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9e39f5313cc976b/Exeter1/103709-2026 TAP-R/For Testimony/Apr 25 to Mar 26/"/>
    </mc:Choice>
  </mc:AlternateContent>
  <xr:revisionPtr revIDLastSave="244" documentId="8_{92F5C5B2-342F-480B-81DF-08411CC1CA5E}" xr6:coauthVersionLast="47" xr6:coauthVersionMax="47" xr10:uidLastSave="{12B95DAE-0CB0-487C-9516-E7110CAABBD0}"/>
  <bookViews>
    <workbookView xWindow="28310" yWindow="1990" windowWidth="14400" windowHeight="7270" firstSheet="4" activeTab="7" xr2:uid="{AD90B2B1-0A52-46C7-967A-7C291D301DA6}"/>
  </bookViews>
  <sheets>
    <sheet name="Home" sheetId="7" r:id="rId1"/>
    <sheet name="Table of Contents" sheetId="20" r:id="rId2"/>
    <sheet name="Assumptions and Inputs" sheetId="3" r:id="rId3"/>
    <sheet name="Customer" sheetId="19" r:id="rId4"/>
    <sheet name="Summary LKM-1" sheetId="1" r:id="rId5"/>
    <sheet name="C-Factor LKM-2" sheetId="5" r:id="rId6"/>
    <sheet name="E-Factor LKM-3" sheetId="18" r:id="rId7"/>
    <sheet name="E-Factor PRIOR LKM-4" sheetId="21" r:id="rId8"/>
    <sheet name="I-Factor LKM-5" sheetId="14" r:id="rId9"/>
    <sheet name="I-Factor PRIOR LKM-6" sheetId="22" r:id="rId10"/>
    <sheet name="Rates" sheetId="6" r:id="rId11"/>
  </sheets>
  <externalReferences>
    <externalReference r:id="rId12"/>
    <externalReference r:id="rId13"/>
  </externalReferences>
  <definedNames>
    <definedName name="_xlnm.Print_Area" localSheetId="5">'C-Factor LKM-2'!$B$2:$I$13</definedName>
    <definedName name="_xlnm.Print_Area" localSheetId="3">Customer!$D$1:$AU$65</definedName>
    <definedName name="_xlnm.Print_Area" localSheetId="6">'E-Factor LKM-3'!$B$2:$J$78</definedName>
    <definedName name="_xlnm.Print_Area" localSheetId="7">'E-Factor PRIOR LKM-4'!$B$2:$M$64</definedName>
    <definedName name="_xlnm.Print_Area" localSheetId="8">'I-Factor LKM-5'!$B$2:$H$64</definedName>
    <definedName name="_xlnm.Print_Area" localSheetId="9">'I-Factor PRIOR LKM-6'!$B$2:$K$60</definedName>
    <definedName name="_xlnm.Print_Area" localSheetId="10">Rates!$B$3:$H$19</definedName>
    <definedName name="_xlnm.Print_Area" localSheetId="4">'Summary LKM-1'!$B$2:$K$28</definedName>
    <definedName name="_xlnm.Print_Area" localSheetId="1">'Table of Contents'!$A$1:$B$17</definedName>
    <definedName name="_xlnm.Print_Titles" localSheetId="3">Customer!$B:$C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6" i="19" l="1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V21" i="19"/>
  <c r="U21" i="19"/>
  <c r="T21" i="19"/>
  <c r="S21" i="19"/>
  <c r="R21" i="19"/>
  <c r="Q21" i="19"/>
  <c r="P21" i="19"/>
  <c r="O21" i="19"/>
  <c r="N21" i="19"/>
  <c r="M21" i="19"/>
  <c r="L21" i="19"/>
  <c r="K21" i="19"/>
  <c r="J21" i="19"/>
  <c r="I21" i="19"/>
  <c r="H21" i="19"/>
  <c r="C13" i="3"/>
  <c r="C11" i="3" l="1"/>
  <c r="C9" i="3"/>
  <c r="AL21" i="19" l="1"/>
  <c r="X46" i="19"/>
  <c r="Z21" i="19"/>
  <c r="AC21" i="19"/>
  <c r="AE21" i="19"/>
  <c r="AG21" i="19"/>
  <c r="AI46" i="19"/>
  <c r="AK21" i="19"/>
  <c r="AM21" i="19"/>
  <c r="W46" i="19"/>
  <c r="W21" i="19"/>
  <c r="AB46" i="19"/>
  <c r="X21" i="19"/>
  <c r="Z46" i="19"/>
  <c r="AC46" i="19"/>
  <c r="AE46" i="19"/>
  <c r="AG46" i="19"/>
  <c r="AI21" i="19"/>
  <c r="AK46" i="19"/>
  <c r="AM46" i="19"/>
  <c r="Y21" i="19"/>
  <c r="AA21" i="19"/>
  <c r="AD46" i="19"/>
  <c r="AF21" i="19"/>
  <c r="AH46" i="19"/>
  <c r="AJ46" i="19"/>
  <c r="AL46" i="19"/>
  <c r="AB21" i="19"/>
  <c r="Y46" i="19"/>
  <c r="AA46" i="19"/>
  <c r="AD21" i="19"/>
  <c r="AF46" i="19"/>
  <c r="AH21" i="19"/>
  <c r="AJ21" i="19"/>
  <c r="H65" i="19" l="1"/>
  <c r="J11" i="19"/>
  <c r="I11" i="19"/>
  <c r="H11" i="19"/>
  <c r="K11" i="19" l="1"/>
  <c r="L11" i="19"/>
  <c r="M11" i="19"/>
  <c r="N11" i="19"/>
  <c r="O11" i="19"/>
  <c r="P11" i="19"/>
  <c r="Q11" i="19"/>
  <c r="R11" i="19"/>
  <c r="R8" i="19"/>
  <c r="S11" i="19"/>
  <c r="P8" i="19" l="1"/>
  <c r="Q8" i="19"/>
  <c r="S8" i="19"/>
  <c r="T8" i="19" l="1"/>
  <c r="U8" i="19" l="1"/>
  <c r="T11" i="19"/>
  <c r="V8" i="19"/>
  <c r="U11" i="19"/>
  <c r="W8" i="19" l="1"/>
  <c r="V11" i="19"/>
  <c r="X8" i="19" l="1"/>
  <c r="W11" i="19"/>
  <c r="Y8" i="19" l="1"/>
  <c r="X11" i="19"/>
  <c r="Z8" i="19" l="1"/>
  <c r="Y11" i="19"/>
  <c r="AA8" i="19" l="1"/>
  <c r="Z11" i="19"/>
  <c r="AB8" i="19" l="1"/>
  <c r="AA11" i="19"/>
  <c r="AC8" i="19" l="1"/>
  <c r="AB11" i="19" l="1"/>
  <c r="AD8" i="19"/>
  <c r="AC11" i="19"/>
  <c r="AE8" i="19" l="1"/>
  <c r="AD11" i="19"/>
  <c r="AF8" i="19" l="1"/>
  <c r="AE11" i="19"/>
  <c r="AG8" i="19" l="1"/>
  <c r="AF11" i="19"/>
  <c r="AH8" i="19" l="1"/>
  <c r="AG11" i="19"/>
  <c r="AI8" i="19" l="1"/>
  <c r="AH11" i="19"/>
  <c r="AJ8" i="19" l="1"/>
  <c r="AI11" i="19"/>
  <c r="AK8" i="19" l="1"/>
  <c r="AJ11" i="19"/>
  <c r="AL8" i="19" l="1"/>
  <c r="AK11" i="19"/>
  <c r="AL11" i="19" l="1"/>
  <c r="AM8" i="19" l="1"/>
  <c r="AS46" i="19"/>
  <c r="AS21" i="19"/>
  <c r="E8" i="5" l="1"/>
  <c r="AM11" i="19"/>
  <c r="AS11" i="19" l="1"/>
  <c r="AQ11" i="19"/>
  <c r="D27" i="1" l="1"/>
  <c r="D26" i="1"/>
  <c r="V52" i="19" l="1"/>
  <c r="W52" i="19"/>
  <c r="X52" i="19"/>
  <c r="Y52" i="19"/>
  <c r="Z52" i="19"/>
  <c r="AA52" i="19"/>
  <c r="AB52" i="19"/>
  <c r="AC52" i="19"/>
  <c r="AD52" i="19"/>
  <c r="AE52" i="19"/>
  <c r="AF52" i="19"/>
  <c r="AG52" i="19"/>
  <c r="AH52" i="19"/>
  <c r="AI52" i="19"/>
  <c r="AJ52" i="19"/>
  <c r="AK52" i="19"/>
  <c r="AL52" i="19"/>
  <c r="AM52" i="19"/>
  <c r="U52" i="19"/>
  <c r="E110" i="22"/>
  <c r="E78" i="22"/>
  <c r="C11" i="5" l="1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AH49" i="19"/>
  <c r="AI49" i="19"/>
  <c r="AJ49" i="19"/>
  <c r="AK49" i="19"/>
  <c r="AL49" i="19"/>
  <c r="AM49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AH50" i="19"/>
  <c r="AI50" i="19"/>
  <c r="AJ50" i="19"/>
  <c r="AK50" i="19"/>
  <c r="AL50" i="19"/>
  <c r="AM50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AH51" i="19"/>
  <c r="AI51" i="19"/>
  <c r="AJ51" i="19"/>
  <c r="AK51" i="19"/>
  <c r="AL51" i="19"/>
  <c r="AM51" i="19"/>
  <c r="T52" i="19"/>
  <c r="T51" i="19"/>
  <c r="AO51" i="19" s="1"/>
  <c r="AO57" i="19" s="1"/>
  <c r="T50" i="19"/>
  <c r="T49" i="19"/>
  <c r="G44" i="22"/>
  <c r="G42" i="22"/>
  <c r="G41" i="22"/>
  <c r="G40" i="22"/>
  <c r="F42" i="22"/>
  <c r="F41" i="22"/>
  <c r="F40" i="22"/>
  <c r="E42" i="22"/>
  <c r="E41" i="22"/>
  <c r="E40" i="22"/>
  <c r="D44" i="22"/>
  <c r="D43" i="22"/>
  <c r="D42" i="22"/>
  <c r="D41" i="22"/>
  <c r="D40" i="22"/>
  <c r="B32" i="22"/>
  <c r="B67" i="22"/>
  <c r="B133" i="22"/>
  <c r="H111" i="22"/>
  <c r="B101" i="22"/>
  <c r="H79" i="22"/>
  <c r="AO50" i="19" l="1"/>
  <c r="AO56" i="19" s="1"/>
  <c r="AO49" i="19"/>
  <c r="AO55" i="19" s="1"/>
  <c r="B16" i="6"/>
  <c r="B17" i="6"/>
  <c r="B70" i="21" l="1"/>
  <c r="F111" i="22"/>
  <c r="F44" i="22" s="1"/>
  <c r="E43" i="22"/>
  <c r="D9" i="22"/>
  <c r="D8" i="22"/>
  <c r="F7" i="22"/>
  <c r="E7" i="22"/>
  <c r="D7" i="22"/>
  <c r="F6" i="22"/>
  <c r="E6" i="22"/>
  <c r="D6" i="22"/>
  <c r="F5" i="22"/>
  <c r="E5" i="22"/>
  <c r="D5" i="22"/>
  <c r="F79" i="22"/>
  <c r="F9" i="22" s="1"/>
  <c r="C53" i="18"/>
  <c r="C52" i="18"/>
  <c r="C51" i="18"/>
  <c r="C50" i="18"/>
  <c r="C14" i="18"/>
  <c r="C13" i="18"/>
  <c r="C12" i="18"/>
  <c r="C11" i="18"/>
  <c r="C137" i="21"/>
  <c r="C136" i="21"/>
  <c r="C135" i="21"/>
  <c r="C134" i="21"/>
  <c r="C133" i="21"/>
  <c r="C132" i="21"/>
  <c r="C131" i="21"/>
  <c r="C130" i="21"/>
  <c r="C129" i="21"/>
  <c r="C128" i="21"/>
  <c r="C127" i="21"/>
  <c r="C126" i="21"/>
  <c r="C97" i="21"/>
  <c r="C96" i="21"/>
  <c r="C95" i="21"/>
  <c r="C94" i="21"/>
  <c r="C93" i="21"/>
  <c r="C92" i="21"/>
  <c r="C91" i="21"/>
  <c r="C90" i="21"/>
  <c r="C89" i="21"/>
  <c r="C88" i="21"/>
  <c r="C87" i="21"/>
  <c r="C86" i="21"/>
  <c r="E111" i="22" l="1"/>
  <c r="E44" i="22" s="1"/>
  <c r="E8" i="22"/>
  <c r="E79" i="22"/>
  <c r="E9" i="22" l="1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AI24" i="19"/>
  <c r="AJ24" i="19"/>
  <c r="AK24" i="19"/>
  <c r="AL24" i="19"/>
  <c r="AM24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AI25" i="19"/>
  <c r="AJ25" i="19"/>
  <c r="AK25" i="19"/>
  <c r="AL25" i="19"/>
  <c r="AM25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AI27" i="19"/>
  <c r="AJ27" i="19"/>
  <c r="AK27" i="19"/>
  <c r="AL27" i="19"/>
  <c r="AM27" i="19"/>
  <c r="T25" i="19"/>
  <c r="T26" i="19"/>
  <c r="T27" i="19"/>
  <c r="T24" i="19"/>
  <c r="AQ24" i="19" l="1"/>
  <c r="AQ25" i="19"/>
  <c r="AM31" i="19"/>
  <c r="AQ26" i="19"/>
  <c r="AM32" i="19"/>
  <c r="AQ27" i="19"/>
  <c r="AB30" i="19"/>
  <c r="AC30" i="19"/>
  <c r="AD30" i="19"/>
  <c r="AD36" i="19" s="1"/>
  <c r="AD40" i="19" s="1"/>
  <c r="AE30" i="19"/>
  <c r="AF30" i="19"/>
  <c r="AG30" i="19"/>
  <c r="AH30" i="19"/>
  <c r="AI30" i="19"/>
  <c r="AJ30" i="19"/>
  <c r="AK30" i="19"/>
  <c r="AL30" i="19"/>
  <c r="AM30" i="19"/>
  <c r="AB31" i="19"/>
  <c r="AC31" i="19"/>
  <c r="AD31" i="19"/>
  <c r="AE31" i="19"/>
  <c r="AF31" i="19"/>
  <c r="AG31" i="19"/>
  <c r="AH31" i="19"/>
  <c r="AI31" i="19"/>
  <c r="AJ31" i="19"/>
  <c r="AK31" i="19"/>
  <c r="AL31" i="19"/>
  <c r="AB32" i="19"/>
  <c r="AC32" i="19"/>
  <c r="AD32" i="19"/>
  <c r="AE32" i="19"/>
  <c r="AF32" i="19"/>
  <c r="AG32" i="19"/>
  <c r="AH32" i="19"/>
  <c r="AI32" i="19"/>
  <c r="AJ32" i="19"/>
  <c r="AK32" i="19"/>
  <c r="AL32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Q49" i="19"/>
  <c r="AQ50" i="19"/>
  <c r="AQ51" i="19"/>
  <c r="AQ52" i="19"/>
  <c r="AB55" i="19"/>
  <c r="AC55" i="19"/>
  <c r="AD55" i="19"/>
  <c r="AE55" i="19"/>
  <c r="AF55" i="19"/>
  <c r="AG55" i="19"/>
  <c r="AH55" i="19"/>
  <c r="AI55" i="19"/>
  <c r="AJ55" i="19"/>
  <c r="AK55" i="19"/>
  <c r="AL55" i="19"/>
  <c r="AM55" i="19"/>
  <c r="AB56" i="19"/>
  <c r="AC56" i="19"/>
  <c r="AD56" i="19"/>
  <c r="AE56" i="19"/>
  <c r="AF56" i="19"/>
  <c r="AG56" i="19"/>
  <c r="AH56" i="19"/>
  <c r="AI56" i="19"/>
  <c r="AJ56" i="19"/>
  <c r="AK56" i="19"/>
  <c r="AL56" i="19"/>
  <c r="AM56" i="19"/>
  <c r="AB57" i="19"/>
  <c r="AB61" i="19" s="1"/>
  <c r="AB65" i="19" s="1"/>
  <c r="AC57" i="19"/>
  <c r="AD57" i="19"/>
  <c r="AE57" i="19"/>
  <c r="AF57" i="19"/>
  <c r="AG57" i="19"/>
  <c r="AH57" i="19"/>
  <c r="AI57" i="19"/>
  <c r="AJ57" i="19"/>
  <c r="AK57" i="19"/>
  <c r="AL57" i="19"/>
  <c r="AM57" i="19"/>
  <c r="AB58" i="19"/>
  <c r="AC58" i="19"/>
  <c r="AD58" i="19"/>
  <c r="AE58" i="19"/>
  <c r="AF58" i="19"/>
  <c r="AG58" i="19"/>
  <c r="AH58" i="19"/>
  <c r="AI58" i="19"/>
  <c r="AJ58" i="19"/>
  <c r="AK58" i="19"/>
  <c r="AL58" i="19"/>
  <c r="AM58" i="19"/>
  <c r="AO52" i="19"/>
  <c r="AO25" i="19"/>
  <c r="AO26" i="19"/>
  <c r="AO27" i="19"/>
  <c r="AO24" i="19"/>
  <c r="AI36" i="19" l="1"/>
  <c r="AI40" i="19" s="1"/>
  <c r="AE61" i="19"/>
  <c r="AE65" i="19" s="1"/>
  <c r="AC61" i="19"/>
  <c r="AC65" i="19" s="1"/>
  <c r="AL36" i="19"/>
  <c r="AL40" i="19" s="1"/>
  <c r="AK36" i="19"/>
  <c r="AK40" i="19" s="1"/>
  <c r="AM61" i="19"/>
  <c r="AQ58" i="19"/>
  <c r="AQ57" i="19"/>
  <c r="AQ56" i="19"/>
  <c r="AQ55" i="19"/>
  <c r="AH36" i="19"/>
  <c r="AH40" i="19" s="1"/>
  <c r="AM65" i="19"/>
  <c r="AQ31" i="19"/>
  <c r="AQ30" i="19"/>
  <c r="AQ32" i="19"/>
  <c r="AE36" i="19"/>
  <c r="AE40" i="19" s="1"/>
  <c r="AQ33" i="19"/>
  <c r="AJ61" i="19"/>
  <c r="AJ65" i="19" s="1"/>
  <c r="AD61" i="19"/>
  <c r="AD65" i="19" s="1"/>
  <c r="AC36" i="19"/>
  <c r="AC40" i="19" s="1"/>
  <c r="AH61" i="19"/>
  <c r="AH65" i="19" s="1"/>
  <c r="AK61" i="19"/>
  <c r="AK65" i="19" s="1"/>
  <c r="AL61" i="19"/>
  <c r="AL65" i="19" s="1"/>
  <c r="AJ36" i="19"/>
  <c r="AJ40" i="19" s="1"/>
  <c r="AG36" i="19"/>
  <c r="AG40" i="19" s="1"/>
  <c r="AF36" i="19"/>
  <c r="AF40" i="19" s="1"/>
  <c r="AB36" i="19"/>
  <c r="AB40" i="19" s="1"/>
  <c r="AI61" i="19"/>
  <c r="AI65" i="19" s="1"/>
  <c r="AF61" i="19"/>
  <c r="AF65" i="19" s="1"/>
  <c r="AG61" i="19"/>
  <c r="AG65" i="19" s="1"/>
  <c r="AM36" i="19"/>
  <c r="AM40" i="19" l="1"/>
  <c r="AQ40" i="19" s="1"/>
  <c r="G17" i="1" s="1"/>
  <c r="AQ61" i="19"/>
  <c r="AQ65" i="19"/>
  <c r="AQ36" i="19"/>
  <c r="C96" i="3" l="1"/>
  <c r="C95" i="3"/>
  <c r="AO8" i="19" l="1"/>
  <c r="AB60" i="19" l="1"/>
  <c r="AB35" i="19"/>
  <c r="AB14" i="19"/>
  <c r="AB15" i="19"/>
  <c r="AC35" i="19"/>
  <c r="AC38" i="19" s="1"/>
  <c r="AC60" i="19"/>
  <c r="AC63" i="19" s="1"/>
  <c r="AB16" i="19" l="1"/>
  <c r="AD35" i="19"/>
  <c r="AD38" i="19" s="1"/>
  <c r="AD60" i="19"/>
  <c r="AD63" i="19" s="1"/>
  <c r="AC14" i="19"/>
  <c r="AC15" i="19"/>
  <c r="AB38" i="19"/>
  <c r="AB63" i="19"/>
  <c r="AC16" i="19" l="1"/>
  <c r="AD15" i="19"/>
  <c r="AD14" i="19"/>
  <c r="AE60" i="19"/>
  <c r="AE63" i="19" s="1"/>
  <c r="B76" i="18"/>
  <c r="B37" i="18"/>
  <c r="B33" i="14"/>
  <c r="H46" i="14"/>
  <c r="H9" i="14"/>
  <c r="F46" i="14"/>
  <c r="E45" i="14"/>
  <c r="E46" i="14" s="1"/>
  <c r="F9" i="14"/>
  <c r="E8" i="14"/>
  <c r="AD16" i="19" l="1"/>
  <c r="AF35" i="19"/>
  <c r="AF38" i="19" s="1"/>
  <c r="AE15" i="19"/>
  <c r="AE14" i="19"/>
  <c r="AE16" i="19" s="1"/>
  <c r="AE35" i="19"/>
  <c r="E9" i="14"/>
  <c r="AG60" i="19" l="1"/>
  <c r="AG63" i="19" s="1"/>
  <c r="AF15" i="19"/>
  <c r="AF14" i="19"/>
  <c r="AE38" i="19"/>
  <c r="AF60" i="19"/>
  <c r="E55" i="19"/>
  <c r="F55" i="19"/>
  <c r="G55" i="19"/>
  <c r="H55" i="19"/>
  <c r="I55" i="19"/>
  <c r="J55" i="19"/>
  <c r="E56" i="19"/>
  <c r="F56" i="19"/>
  <c r="G56" i="19"/>
  <c r="H56" i="19"/>
  <c r="I56" i="19"/>
  <c r="J56" i="19"/>
  <c r="E57" i="19"/>
  <c r="F57" i="19"/>
  <c r="G57" i="19"/>
  <c r="H57" i="19"/>
  <c r="I57" i="19"/>
  <c r="J57" i="19"/>
  <c r="E58" i="19"/>
  <c r="F58" i="19"/>
  <c r="G58" i="19"/>
  <c r="H58" i="19"/>
  <c r="I58" i="19"/>
  <c r="J58" i="19"/>
  <c r="D57" i="19"/>
  <c r="D56" i="19"/>
  <c r="D55" i="19"/>
  <c r="D58" i="19"/>
  <c r="B58" i="19"/>
  <c r="B57" i="19"/>
  <c r="B56" i="19"/>
  <c r="B55" i="19"/>
  <c r="E30" i="19"/>
  <c r="F30" i="19"/>
  <c r="E31" i="19"/>
  <c r="F31" i="19"/>
  <c r="E32" i="19"/>
  <c r="F32" i="19"/>
  <c r="E33" i="19"/>
  <c r="F33" i="19"/>
  <c r="D32" i="19"/>
  <c r="D31" i="19"/>
  <c r="D30" i="19"/>
  <c r="D33" i="19"/>
  <c r="B33" i="19"/>
  <c r="B32" i="19"/>
  <c r="B31" i="19"/>
  <c r="B30" i="19"/>
  <c r="L56" i="21"/>
  <c r="AF16" i="19" l="1"/>
  <c r="C58" i="18"/>
  <c r="C19" i="18"/>
  <c r="C57" i="18"/>
  <c r="C18" i="18"/>
  <c r="C55" i="18"/>
  <c r="C16" i="18"/>
  <c r="C54" i="18"/>
  <c r="C15" i="18"/>
  <c r="C56" i="18"/>
  <c r="C17" i="18"/>
  <c r="C22" i="18"/>
  <c r="C61" i="18"/>
  <c r="C60" i="18"/>
  <c r="C21" i="18"/>
  <c r="C59" i="18"/>
  <c r="C20" i="18"/>
  <c r="AF63" i="19"/>
  <c r="AH35" i="19"/>
  <c r="AH38" i="19" s="1"/>
  <c r="AG15" i="19"/>
  <c r="AG14" i="19"/>
  <c r="AO11" i="19"/>
  <c r="AG35" i="19"/>
  <c r="E61" i="19"/>
  <c r="D36" i="19"/>
  <c r="G61" i="19"/>
  <c r="F61" i="19"/>
  <c r="D61" i="19"/>
  <c r="J61" i="19"/>
  <c r="I61" i="19"/>
  <c r="H61" i="19"/>
  <c r="F36" i="19"/>
  <c r="E36" i="19"/>
  <c r="K55" i="19"/>
  <c r="L55" i="19"/>
  <c r="M55" i="19"/>
  <c r="N55" i="19"/>
  <c r="O55" i="19"/>
  <c r="P55" i="19"/>
  <c r="Q55" i="19"/>
  <c r="R55" i="19"/>
  <c r="S55" i="19"/>
  <c r="T55" i="19"/>
  <c r="U55" i="19"/>
  <c r="V55" i="19"/>
  <c r="W55" i="19"/>
  <c r="X55" i="19"/>
  <c r="Y55" i="19"/>
  <c r="Z55" i="19"/>
  <c r="AA55" i="19"/>
  <c r="K56" i="19"/>
  <c r="L56" i="19"/>
  <c r="M56" i="19"/>
  <c r="N56" i="19"/>
  <c r="O56" i="19"/>
  <c r="P56" i="19"/>
  <c r="Q56" i="19"/>
  <c r="R56" i="19"/>
  <c r="S56" i="19"/>
  <c r="T56" i="19"/>
  <c r="U56" i="19"/>
  <c r="V56" i="19"/>
  <c r="W56" i="19"/>
  <c r="X56" i="19"/>
  <c r="Y56" i="19"/>
  <c r="Z56" i="19"/>
  <c r="AA56" i="19"/>
  <c r="K57" i="19"/>
  <c r="L57" i="19"/>
  <c r="M57" i="19"/>
  <c r="N57" i="19"/>
  <c r="O57" i="19"/>
  <c r="P57" i="19"/>
  <c r="Q57" i="19"/>
  <c r="R57" i="19"/>
  <c r="S57" i="19"/>
  <c r="T57" i="19"/>
  <c r="U57" i="19"/>
  <c r="V57" i="19"/>
  <c r="W57" i="19"/>
  <c r="X57" i="19"/>
  <c r="Y57" i="19"/>
  <c r="Z57" i="19"/>
  <c r="AA57" i="19"/>
  <c r="K58" i="19"/>
  <c r="L58" i="19"/>
  <c r="M58" i="19"/>
  <c r="N58" i="19"/>
  <c r="O58" i="19"/>
  <c r="P58" i="19"/>
  <c r="Q58" i="19"/>
  <c r="R58" i="19"/>
  <c r="S58" i="19"/>
  <c r="T58" i="19"/>
  <c r="U58" i="19"/>
  <c r="V58" i="19"/>
  <c r="W58" i="19"/>
  <c r="X58" i="19"/>
  <c r="Y58" i="19"/>
  <c r="Z58" i="19"/>
  <c r="AA58" i="19"/>
  <c r="H33" i="19"/>
  <c r="I33" i="19"/>
  <c r="J33" i="19"/>
  <c r="K33" i="19"/>
  <c r="L33" i="19"/>
  <c r="M33" i="19"/>
  <c r="N33" i="19"/>
  <c r="O33" i="19"/>
  <c r="Q33" i="19"/>
  <c r="R33" i="19"/>
  <c r="S33" i="19"/>
  <c r="T33" i="19"/>
  <c r="U33" i="19"/>
  <c r="V33" i="19"/>
  <c r="W33" i="19"/>
  <c r="X33" i="19"/>
  <c r="Y33" i="19"/>
  <c r="Z33" i="19"/>
  <c r="AA33" i="19"/>
  <c r="G33" i="19"/>
  <c r="AG16" i="19" l="1"/>
  <c r="AH60" i="19"/>
  <c r="AI60" i="19"/>
  <c r="AI63" i="19" s="1"/>
  <c r="AH15" i="19"/>
  <c r="AH14" i="19"/>
  <c r="AG38" i="19"/>
  <c r="V61" i="19"/>
  <c r="K61" i="19"/>
  <c r="Q61" i="19"/>
  <c r="U61" i="19"/>
  <c r="S61" i="19"/>
  <c r="P61" i="19"/>
  <c r="T61" i="19"/>
  <c r="AA61" i="19"/>
  <c r="O61" i="19"/>
  <c r="Z61" i="19"/>
  <c r="N61" i="19"/>
  <c r="Y61" i="19"/>
  <c r="M61" i="19"/>
  <c r="R61" i="19"/>
  <c r="X61" i="19"/>
  <c r="L61" i="19"/>
  <c r="W61" i="19"/>
  <c r="P33" i="19"/>
  <c r="Y32" i="19"/>
  <c r="Q30" i="19"/>
  <c r="T31" i="19"/>
  <c r="AA30" i="19"/>
  <c r="J32" i="19"/>
  <c r="N30" i="19"/>
  <c r="U32" i="19"/>
  <c r="Y30" i="19"/>
  <c r="T32" i="19"/>
  <c r="X30" i="19"/>
  <c r="AA31" i="19"/>
  <c r="W30" i="19"/>
  <c r="R32" i="19"/>
  <c r="Z31" i="19"/>
  <c r="N31" i="19"/>
  <c r="V30" i="19"/>
  <c r="J30" i="19"/>
  <c r="U31" i="19"/>
  <c r="X32" i="19"/>
  <c r="H31" i="19"/>
  <c r="S31" i="19"/>
  <c r="G30" i="19"/>
  <c r="V32" i="19"/>
  <c r="R31" i="19"/>
  <c r="I32" i="19"/>
  <c r="M30" i="19"/>
  <c r="H32" i="19"/>
  <c r="L30" i="19"/>
  <c r="G31" i="19"/>
  <c r="S32" i="19"/>
  <c r="K30" i="19"/>
  <c r="Q32" i="19"/>
  <c r="Y31" i="19"/>
  <c r="M31" i="19"/>
  <c r="U30" i="19"/>
  <c r="I30" i="19"/>
  <c r="I31" i="19"/>
  <c r="L32" i="19"/>
  <c r="K32" i="19"/>
  <c r="Q31" i="19"/>
  <c r="G32" i="19"/>
  <c r="P31" i="19"/>
  <c r="O31" i="19"/>
  <c r="P32" i="19"/>
  <c r="X31" i="19"/>
  <c r="L31" i="19"/>
  <c r="T30" i="19"/>
  <c r="H30" i="19"/>
  <c r="P30" i="19"/>
  <c r="W32" i="19"/>
  <c r="O30" i="19"/>
  <c r="Z30" i="19"/>
  <c r="AA32" i="19"/>
  <c r="O32" i="19"/>
  <c r="W31" i="19"/>
  <c r="K31" i="19"/>
  <c r="S30" i="19"/>
  <c r="Z32" i="19"/>
  <c r="N32" i="19"/>
  <c r="V31" i="19"/>
  <c r="J31" i="19"/>
  <c r="R30" i="19"/>
  <c r="M32" i="19"/>
  <c r="AH16" i="19" l="1"/>
  <c r="AO61" i="19"/>
  <c r="AI35" i="19"/>
  <c r="AJ35" i="19"/>
  <c r="AJ38" i="19" s="1"/>
  <c r="AJ60" i="19"/>
  <c r="AJ63" i="19" s="1"/>
  <c r="AI15" i="19"/>
  <c r="AI14" i="19"/>
  <c r="AH63" i="19"/>
  <c r="G36" i="19"/>
  <c r="S36" i="19"/>
  <c r="O36" i="19"/>
  <c r="AA36" i="19"/>
  <c r="V36" i="19"/>
  <c r="X36" i="19"/>
  <c r="R36" i="19"/>
  <c r="L36" i="19"/>
  <c r="M36" i="19"/>
  <c r="Y36" i="19"/>
  <c r="K36" i="19"/>
  <c r="H36" i="19"/>
  <c r="I36" i="19"/>
  <c r="W36" i="19"/>
  <c r="N36" i="19"/>
  <c r="Z36" i="19"/>
  <c r="T36" i="19"/>
  <c r="U36" i="19"/>
  <c r="J36" i="19"/>
  <c r="P36" i="19"/>
  <c r="Q36" i="19"/>
  <c r="AI16" i="19" l="1"/>
  <c r="AO36" i="19"/>
  <c r="AJ14" i="19"/>
  <c r="AJ15" i="19"/>
  <c r="AK60" i="19"/>
  <c r="AK35" i="19"/>
  <c r="AK38" i="19" s="1"/>
  <c r="AI38" i="19"/>
  <c r="AJ16" i="19" l="1"/>
  <c r="AL60" i="19"/>
  <c r="AL63" i="19" s="1"/>
  <c r="AL35" i="19"/>
  <c r="AK15" i="19"/>
  <c r="AK14" i="19"/>
  <c r="AK63" i="19"/>
  <c r="Q60" i="19"/>
  <c r="D51" i="18" s="1"/>
  <c r="R60" i="19"/>
  <c r="D52" i="18" s="1"/>
  <c r="S60" i="19"/>
  <c r="D53" i="18" s="1"/>
  <c r="T60" i="19"/>
  <c r="D54" i="18" s="1"/>
  <c r="U60" i="19"/>
  <c r="D55" i="18" s="1"/>
  <c r="V60" i="19"/>
  <c r="D56" i="18" s="1"/>
  <c r="W60" i="19"/>
  <c r="D57" i="18" s="1"/>
  <c r="X60" i="19"/>
  <c r="D58" i="18" s="1"/>
  <c r="Y60" i="19"/>
  <c r="D59" i="18" s="1"/>
  <c r="Z60" i="19"/>
  <c r="D60" i="18" s="1"/>
  <c r="AA60" i="19"/>
  <c r="D61" i="18" s="1"/>
  <c r="Q35" i="19"/>
  <c r="D12" i="18" s="1"/>
  <c r="R35" i="19"/>
  <c r="D13" i="18" s="1"/>
  <c r="S35" i="19"/>
  <c r="D14" i="18" s="1"/>
  <c r="T35" i="19"/>
  <c r="D15" i="18" s="1"/>
  <c r="U35" i="19"/>
  <c r="D16" i="18" s="1"/>
  <c r="V35" i="19"/>
  <c r="D17" i="18" s="1"/>
  <c r="W35" i="19"/>
  <c r="D18" i="18" s="1"/>
  <c r="X35" i="19"/>
  <c r="D19" i="18" s="1"/>
  <c r="Y35" i="19"/>
  <c r="D20" i="18" s="1"/>
  <c r="Z35" i="19"/>
  <c r="D21" i="18" s="1"/>
  <c r="AA35" i="19"/>
  <c r="D22" i="18" s="1"/>
  <c r="Q14" i="19"/>
  <c r="R15" i="19"/>
  <c r="S15" i="19"/>
  <c r="T14" i="19"/>
  <c r="V14" i="19"/>
  <c r="W15" i="19"/>
  <c r="X15" i="19"/>
  <c r="Y15" i="19"/>
  <c r="Z15" i="19"/>
  <c r="AA15" i="19"/>
  <c r="P14" i="19"/>
  <c r="U14" i="19"/>
  <c r="U15" i="19"/>
  <c r="B3" i="6"/>
  <c r="AK16" i="19" l="1"/>
  <c r="U16" i="19"/>
  <c r="P60" i="19"/>
  <c r="AO46" i="19"/>
  <c r="AQ8" i="19"/>
  <c r="AO21" i="19"/>
  <c r="AL14" i="19"/>
  <c r="AL15" i="19"/>
  <c r="AL38" i="19"/>
  <c r="Q15" i="19"/>
  <c r="Q16" i="19" s="1"/>
  <c r="S14" i="19"/>
  <c r="S16" i="19" s="1"/>
  <c r="R14" i="19"/>
  <c r="R16" i="19" s="1"/>
  <c r="T15" i="19"/>
  <c r="T16" i="19" s="1"/>
  <c r="V15" i="19"/>
  <c r="V16" i="19" s="1"/>
  <c r="P35" i="19"/>
  <c r="AA14" i="19"/>
  <c r="AA16" i="19" s="1"/>
  <c r="Z14" i="19"/>
  <c r="Z16" i="19" s="1"/>
  <c r="Y14" i="19"/>
  <c r="Y16" i="19" s="1"/>
  <c r="X14" i="19"/>
  <c r="X16" i="19" s="1"/>
  <c r="W14" i="19"/>
  <c r="W16" i="19" s="1"/>
  <c r="P15" i="19"/>
  <c r="P16" i="19" s="1"/>
  <c r="AL16" i="19" l="1"/>
  <c r="AO35" i="19"/>
  <c r="D11" i="18"/>
  <c r="AO60" i="19"/>
  <c r="D50" i="18"/>
  <c r="AO15" i="19"/>
  <c r="AO14" i="19"/>
  <c r="AM35" i="19"/>
  <c r="AQ21" i="19"/>
  <c r="AM60" i="19"/>
  <c r="AQ46" i="19"/>
  <c r="AM14" i="19"/>
  <c r="AQ14" i="19" s="1"/>
  <c r="AM15" i="19"/>
  <c r="AQ15" i="19" s="1"/>
  <c r="AO32" i="19"/>
  <c r="AO31" i="19"/>
  <c r="C15" i="3"/>
  <c r="AM16" i="19" l="1"/>
  <c r="AQ16" i="19" s="1"/>
  <c r="AM63" i="19"/>
  <c r="AQ63" i="19" s="1"/>
  <c r="AQ60" i="19"/>
  <c r="AM38" i="19"/>
  <c r="AQ38" i="19" s="1"/>
  <c r="AQ35" i="19"/>
  <c r="L48" i="21" l="1"/>
  <c r="J48" i="21"/>
  <c r="L10" i="21"/>
  <c r="J10" i="21"/>
  <c r="C12" i="5"/>
  <c r="D60" i="19" l="1"/>
  <c r="D126" i="21" s="1"/>
  <c r="E60" i="19"/>
  <c r="D127" i="21" s="1"/>
  <c r="F60" i="19"/>
  <c r="D128" i="21" s="1"/>
  <c r="G60" i="19"/>
  <c r="D129" i="21" s="1"/>
  <c r="H60" i="19"/>
  <c r="D130" i="21" s="1"/>
  <c r="I60" i="19"/>
  <c r="D131" i="21" s="1"/>
  <c r="J60" i="19"/>
  <c r="D132" i="21" s="1"/>
  <c r="K60" i="19"/>
  <c r="D133" i="21" s="1"/>
  <c r="L60" i="19"/>
  <c r="D134" i="21" s="1"/>
  <c r="M60" i="19"/>
  <c r="D135" i="21" s="1"/>
  <c r="N60" i="19"/>
  <c r="D136" i="21" s="1"/>
  <c r="O60" i="19"/>
  <c r="D137" i="21" s="1"/>
  <c r="D35" i="19"/>
  <c r="D86" i="21" s="1"/>
  <c r="E35" i="19"/>
  <c r="D87" i="21" s="1"/>
  <c r="F35" i="19"/>
  <c r="D88" i="21" s="1"/>
  <c r="G35" i="19"/>
  <c r="D89" i="21" s="1"/>
  <c r="H35" i="19"/>
  <c r="D90" i="21" s="1"/>
  <c r="I35" i="19"/>
  <c r="D91" i="21" s="1"/>
  <c r="J35" i="19"/>
  <c r="D92" i="21" s="1"/>
  <c r="K35" i="19"/>
  <c r="D93" i="21" s="1"/>
  <c r="L35" i="19"/>
  <c r="D94" i="21" s="1"/>
  <c r="M35" i="19"/>
  <c r="D95" i="21" s="1"/>
  <c r="N35" i="19"/>
  <c r="D96" i="21" s="1"/>
  <c r="O35" i="19"/>
  <c r="D97" i="21" s="1"/>
  <c r="D14" i="19"/>
  <c r="E14" i="19"/>
  <c r="F14" i="19"/>
  <c r="G14" i="19"/>
  <c r="H14" i="19"/>
  <c r="I14" i="19"/>
  <c r="J14" i="19"/>
  <c r="K14" i="19"/>
  <c r="L14" i="19"/>
  <c r="M14" i="19"/>
  <c r="N14" i="19"/>
  <c r="O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L16" i="19" l="1"/>
  <c r="E16" i="19"/>
  <c r="D16" i="19"/>
  <c r="G16" i="19"/>
  <c r="H16" i="19"/>
  <c r="F16" i="19"/>
  <c r="K16" i="19"/>
  <c r="J16" i="19"/>
  <c r="I16" i="19"/>
  <c r="M16" i="19"/>
  <c r="N16" i="19"/>
  <c r="O16" i="19"/>
  <c r="AO33" i="19" l="1"/>
  <c r="B148" i="21"/>
  <c r="B50" i="18" l="1"/>
  <c r="J57" i="22"/>
  <c r="J22" i="22"/>
  <c r="L60" i="21"/>
  <c r="L22" i="21"/>
  <c r="B22" i="21"/>
  <c r="J11" i="22"/>
  <c r="C60" i="21"/>
  <c r="C24" i="18" l="1"/>
  <c r="C139" i="21"/>
  <c r="C63" i="18"/>
  <c r="L95" i="22" l="1"/>
  <c r="B92" i="22"/>
  <c r="B22" i="22" s="1"/>
  <c r="B137" i="21"/>
  <c r="B60" i="21" s="1"/>
  <c r="B136" i="21"/>
  <c r="B135" i="21"/>
  <c r="B134" i="21"/>
  <c r="B133" i="21"/>
  <c r="B132" i="21"/>
  <c r="B131" i="21"/>
  <c r="B130" i="21"/>
  <c r="B129" i="21"/>
  <c r="B128" i="21"/>
  <c r="B127" i="21"/>
  <c r="B126" i="21"/>
  <c r="S101" i="21"/>
  <c r="B124" i="22" l="1"/>
  <c r="B57" i="22" s="1"/>
  <c r="C22" i="21"/>
  <c r="C99" i="21" l="1"/>
  <c r="AO58" i="19" l="1"/>
  <c r="L127" i="22" l="1"/>
  <c r="D60" i="21" l="1"/>
  <c r="D22" i="21"/>
  <c r="D99" i="21" l="1"/>
  <c r="D139" i="21"/>
  <c r="D63" i="18"/>
  <c r="D24" i="18"/>
  <c r="B154" i="21"/>
  <c r="B114" i="21"/>
  <c r="B34" i="21"/>
  <c r="B69" i="21"/>
  <c r="B66" i="21"/>
  <c r="B143" i="21"/>
  <c r="B31" i="21"/>
  <c r="B108" i="21"/>
  <c r="B103" i="21"/>
  <c r="I123" i="21"/>
  <c r="I83" i="21"/>
  <c r="F123" i="21"/>
  <c r="F83" i="21"/>
  <c r="B68" i="21" l="1"/>
  <c r="B33" i="21"/>
  <c r="B22" i="14" l="1"/>
  <c r="B61" i="18"/>
  <c r="B59" i="14" s="1"/>
  <c r="B72" i="14" l="1"/>
  <c r="B153" i="21" l="1"/>
  <c r="B113" i="21"/>
  <c r="B74" i="18"/>
  <c r="B75" i="18"/>
  <c r="B36" i="18"/>
  <c r="B35" i="18"/>
  <c r="H8" i="18" l="1"/>
  <c r="J49" i="18" l="1"/>
  <c r="J10" i="18"/>
  <c r="S141" i="21" l="1"/>
  <c r="C5" i="5" l="1"/>
  <c r="B21" i="14" l="1"/>
  <c r="B60" i="18"/>
  <c r="B58" i="14" s="1"/>
  <c r="B73" i="14" l="1"/>
  <c r="B34" i="14"/>
  <c r="J16" i="22" l="1"/>
  <c r="K42" i="22"/>
  <c r="K41" i="22"/>
  <c r="K40" i="22"/>
  <c r="J58" i="22"/>
  <c r="J60" i="22" s="1"/>
  <c r="J56" i="22"/>
  <c r="J55" i="22"/>
  <c r="J54" i="22"/>
  <c r="J53" i="22"/>
  <c r="J52" i="22"/>
  <c r="J51" i="22"/>
  <c r="J50" i="22"/>
  <c r="J49" i="22"/>
  <c r="J48" i="22"/>
  <c r="J47" i="22"/>
  <c r="J46" i="22"/>
  <c r="J43" i="22"/>
  <c r="J42" i="22"/>
  <c r="J41" i="22"/>
  <c r="J40" i="22"/>
  <c r="B58" i="22"/>
  <c r="C44" i="22"/>
  <c r="H43" i="22"/>
  <c r="C43" i="22"/>
  <c r="H42" i="22"/>
  <c r="C42" i="22"/>
  <c r="H41" i="22"/>
  <c r="C41" i="22"/>
  <c r="B41" i="22"/>
  <c r="H40" i="22"/>
  <c r="C40" i="22"/>
  <c r="B40" i="22"/>
  <c r="C39" i="22"/>
  <c r="B38" i="22"/>
  <c r="B37" i="22"/>
  <c r="J6" i="22"/>
  <c r="K7" i="22"/>
  <c r="K6" i="22"/>
  <c r="J15" i="22"/>
  <c r="J14" i="22"/>
  <c r="J13" i="22"/>
  <c r="J12" i="22"/>
  <c r="J8" i="22"/>
  <c r="J7" i="22"/>
  <c r="B23" i="22"/>
  <c r="G9" i="22"/>
  <c r="C9" i="22"/>
  <c r="H8" i="22"/>
  <c r="C8" i="22"/>
  <c r="H7" i="22"/>
  <c r="G7" i="22"/>
  <c r="C7" i="22"/>
  <c r="H6" i="22"/>
  <c r="G6" i="22"/>
  <c r="C6" i="22"/>
  <c r="B6" i="22"/>
  <c r="K5" i="22"/>
  <c r="H5" i="22"/>
  <c r="G5" i="22"/>
  <c r="C5" i="22"/>
  <c r="B5" i="22"/>
  <c r="C4" i="22"/>
  <c r="B3" i="22"/>
  <c r="B2" i="22"/>
  <c r="H44" i="22"/>
  <c r="H9" i="22"/>
  <c r="J17" i="22" l="1"/>
  <c r="M43" i="21"/>
  <c r="L59" i="21"/>
  <c r="L58" i="21"/>
  <c r="L57" i="21"/>
  <c r="L55" i="21"/>
  <c r="L54" i="21"/>
  <c r="L53" i="21"/>
  <c r="L52" i="21"/>
  <c r="L51" i="21"/>
  <c r="L50" i="21"/>
  <c r="L49" i="21"/>
  <c r="L44" i="21"/>
  <c r="L43" i="21"/>
  <c r="L42" i="21"/>
  <c r="C42" i="21"/>
  <c r="B40" i="21"/>
  <c r="J47" i="21"/>
  <c r="G47" i="21"/>
  <c r="D47" i="21"/>
  <c r="C47" i="21"/>
  <c r="D46" i="21"/>
  <c r="I45" i="21"/>
  <c r="G45" i="21"/>
  <c r="F45" i="21"/>
  <c r="E45" i="21"/>
  <c r="D45" i="21"/>
  <c r="C45" i="21"/>
  <c r="J44" i="21"/>
  <c r="I44" i="21"/>
  <c r="H44" i="21"/>
  <c r="G44" i="21"/>
  <c r="F44" i="21"/>
  <c r="E44" i="21"/>
  <c r="D44" i="21"/>
  <c r="C44" i="21"/>
  <c r="B44" i="21"/>
  <c r="J43" i="21"/>
  <c r="I43" i="21"/>
  <c r="H43" i="21"/>
  <c r="G43" i="21"/>
  <c r="F43" i="21"/>
  <c r="E43" i="21"/>
  <c r="D43" i="21"/>
  <c r="C43" i="21"/>
  <c r="B43" i="21"/>
  <c r="L21" i="21"/>
  <c r="L20" i="21"/>
  <c r="L19" i="21"/>
  <c r="L18" i="21"/>
  <c r="L17" i="21"/>
  <c r="L16" i="21"/>
  <c r="L15" i="21"/>
  <c r="L14" i="21"/>
  <c r="L13" i="21"/>
  <c r="L12" i="21"/>
  <c r="L11" i="21"/>
  <c r="M5" i="21"/>
  <c r="L6" i="21"/>
  <c r="L5" i="21"/>
  <c r="C4" i="21"/>
  <c r="J9" i="21"/>
  <c r="G9" i="21"/>
  <c r="D9" i="21"/>
  <c r="C9" i="21"/>
  <c r="I7" i="21"/>
  <c r="G7" i="21"/>
  <c r="F7" i="21"/>
  <c r="E7" i="21"/>
  <c r="D7" i="21"/>
  <c r="J6" i="21"/>
  <c r="I6" i="21"/>
  <c r="H6" i="21"/>
  <c r="G6" i="21"/>
  <c r="F6" i="21"/>
  <c r="E6" i="21"/>
  <c r="D6" i="21"/>
  <c r="J5" i="21"/>
  <c r="I5" i="21"/>
  <c r="H5" i="21"/>
  <c r="G5" i="21"/>
  <c r="F5" i="21"/>
  <c r="E5" i="21"/>
  <c r="D5" i="21"/>
  <c r="C7" i="21"/>
  <c r="C6" i="21"/>
  <c r="C5" i="21"/>
  <c r="B21" i="21"/>
  <c r="B20" i="21"/>
  <c r="B19" i="21"/>
  <c r="B18" i="21"/>
  <c r="B17" i="21"/>
  <c r="B16" i="21"/>
  <c r="B15" i="21"/>
  <c r="B14" i="21"/>
  <c r="B13" i="21"/>
  <c r="B12" i="21"/>
  <c r="B11" i="21"/>
  <c r="B37" i="21" s="1"/>
  <c r="B6" i="21"/>
  <c r="B5" i="21"/>
  <c r="B2" i="21"/>
  <c r="L24" i="21" l="1"/>
  <c r="L26" i="21" s="1"/>
  <c r="L62" i="21"/>
  <c r="L64" i="21" s="1"/>
  <c r="J18" i="22"/>
  <c r="J19" i="22" l="1"/>
  <c r="B91" i="22"/>
  <c r="B21" i="22" s="1"/>
  <c r="B90" i="22"/>
  <c r="B20" i="22" s="1"/>
  <c r="B89" i="22"/>
  <c r="B19" i="22" s="1"/>
  <c r="B88" i="22"/>
  <c r="B18" i="22" s="1"/>
  <c r="B87" i="22"/>
  <c r="B17" i="22" s="1"/>
  <c r="B86" i="22"/>
  <c r="B16" i="22" s="1"/>
  <c r="B85" i="22"/>
  <c r="B15" i="22" s="1"/>
  <c r="B84" i="22"/>
  <c r="B14" i="22" s="1"/>
  <c r="B83" i="22"/>
  <c r="B13" i="22" s="1"/>
  <c r="B82" i="22"/>
  <c r="B12" i="22" s="1"/>
  <c r="B81" i="22"/>
  <c r="B11" i="22" s="1"/>
  <c r="J20" i="22" l="1"/>
  <c r="D24" i="1"/>
  <c r="J21" i="22" l="1"/>
  <c r="H47" i="18"/>
  <c r="E47" i="18"/>
  <c r="E8" i="18"/>
  <c r="C59" i="21"/>
  <c r="C58" i="21"/>
  <c r="C57" i="21"/>
  <c r="C56" i="21"/>
  <c r="C55" i="21"/>
  <c r="C54" i="21"/>
  <c r="C53" i="21"/>
  <c r="C52" i="21"/>
  <c r="C51" i="21"/>
  <c r="C50" i="21"/>
  <c r="I46" i="21"/>
  <c r="H123" i="21"/>
  <c r="E123" i="21"/>
  <c r="C21" i="21"/>
  <c r="C20" i="21"/>
  <c r="C19" i="21"/>
  <c r="C18" i="21"/>
  <c r="C17" i="21"/>
  <c r="C16" i="21"/>
  <c r="C15" i="21"/>
  <c r="C14" i="21"/>
  <c r="C13" i="21"/>
  <c r="C12" i="21"/>
  <c r="I8" i="21"/>
  <c r="H83" i="21"/>
  <c r="E83" i="21"/>
  <c r="E97" i="21" s="1"/>
  <c r="F97" i="21" l="1"/>
  <c r="F22" i="21" s="1"/>
  <c r="E22" i="21"/>
  <c r="E61" i="18"/>
  <c r="E50" i="18"/>
  <c r="E22" i="18"/>
  <c r="E11" i="18"/>
  <c r="E137" i="21"/>
  <c r="E126" i="21"/>
  <c r="E51" i="18"/>
  <c r="E58" i="18"/>
  <c r="E55" i="18"/>
  <c r="E52" i="18"/>
  <c r="E56" i="18"/>
  <c r="E57" i="18"/>
  <c r="E54" i="18"/>
  <c r="E53" i="18"/>
  <c r="E60" i="18"/>
  <c r="E59" i="18"/>
  <c r="E21" i="18"/>
  <c r="E94" i="21"/>
  <c r="F94" i="21" s="1"/>
  <c r="E93" i="21"/>
  <c r="F93" i="21" s="1"/>
  <c r="E87" i="21"/>
  <c r="F87" i="21" s="1"/>
  <c r="E95" i="21"/>
  <c r="F95" i="21" s="1"/>
  <c r="E86" i="21"/>
  <c r="E88" i="21"/>
  <c r="F88" i="21" s="1"/>
  <c r="E96" i="21"/>
  <c r="F96" i="21" s="1"/>
  <c r="E89" i="21"/>
  <c r="F89" i="21" s="1"/>
  <c r="E90" i="21"/>
  <c r="F90" i="21" s="1"/>
  <c r="E91" i="21"/>
  <c r="F91" i="21" s="1"/>
  <c r="E92" i="21"/>
  <c r="F92" i="21" s="1"/>
  <c r="H46" i="21"/>
  <c r="C11" i="21"/>
  <c r="C24" i="21" s="1"/>
  <c r="C49" i="21"/>
  <c r="C62" i="21" s="1"/>
  <c r="E8" i="21"/>
  <c r="E46" i="21"/>
  <c r="J23" i="22"/>
  <c r="J25" i="22" s="1"/>
  <c r="B49" i="21"/>
  <c r="B72" i="21" s="1"/>
  <c r="B113" i="22"/>
  <c r="B46" i="22" s="1"/>
  <c r="B51" i="21"/>
  <c r="B115" i="22"/>
  <c r="B48" i="22" s="1"/>
  <c r="B53" i="21"/>
  <c r="B117" i="22"/>
  <c r="B50" i="22" s="1"/>
  <c r="B55" i="21"/>
  <c r="B119" i="22"/>
  <c r="B52" i="22" s="1"/>
  <c r="B57" i="21"/>
  <c r="B121" i="22"/>
  <c r="B54" i="22" s="1"/>
  <c r="B59" i="21"/>
  <c r="B123" i="22"/>
  <c r="B56" i="22" s="1"/>
  <c r="B50" i="21"/>
  <c r="B114" i="22"/>
  <c r="B47" i="22" s="1"/>
  <c r="B52" i="21"/>
  <c r="B116" i="22"/>
  <c r="B49" i="22" s="1"/>
  <c r="B54" i="21"/>
  <c r="B118" i="22"/>
  <c r="B51" i="22" s="1"/>
  <c r="B56" i="21"/>
  <c r="B120" i="22"/>
  <c r="B53" i="22" s="1"/>
  <c r="B58" i="21"/>
  <c r="B122" i="22"/>
  <c r="B55" i="22" s="1"/>
  <c r="I84" i="21"/>
  <c r="I9" i="21" s="1"/>
  <c r="F8" i="21"/>
  <c r="I124" i="21"/>
  <c r="I47" i="21" s="1"/>
  <c r="F46" i="21"/>
  <c r="H84" i="21"/>
  <c r="H9" i="21" s="1"/>
  <c r="H124" i="21"/>
  <c r="H47" i="21" s="1"/>
  <c r="F124" i="21"/>
  <c r="F47" i="21" s="1"/>
  <c r="E84" i="21"/>
  <c r="E9" i="21" s="1"/>
  <c r="F84" i="21"/>
  <c r="F9" i="21" s="1"/>
  <c r="E124" i="21"/>
  <c r="E47" i="21" s="1"/>
  <c r="D63" i="19" l="1"/>
  <c r="D65" i="19"/>
  <c r="F137" i="21"/>
  <c r="F60" i="21" s="1"/>
  <c r="E60" i="21"/>
  <c r="E99" i="21"/>
  <c r="F86" i="21"/>
  <c r="F99" i="21" s="1"/>
  <c r="B20" i="14"/>
  <c r="B19" i="14"/>
  <c r="B18" i="14"/>
  <c r="B17" i="14"/>
  <c r="B16" i="14"/>
  <c r="B15" i="14"/>
  <c r="B14" i="14"/>
  <c r="B13" i="14"/>
  <c r="B12" i="14"/>
  <c r="B11" i="14"/>
  <c r="G126" i="21" l="1"/>
  <c r="E63" i="19"/>
  <c r="E65" i="19"/>
  <c r="G127" i="21" l="1"/>
  <c r="D114" i="22" s="1"/>
  <c r="D113" i="22"/>
  <c r="H126" i="21"/>
  <c r="I126" i="21" s="1"/>
  <c r="F63" i="19"/>
  <c r="F65" i="19"/>
  <c r="G128" i="21" l="1"/>
  <c r="D115" i="22" s="1"/>
  <c r="D47" i="22"/>
  <c r="E114" i="22"/>
  <c r="E47" i="22" s="1"/>
  <c r="D46" i="22"/>
  <c r="E113" i="22"/>
  <c r="E46" i="22" s="1"/>
  <c r="B59" i="18"/>
  <c r="B58" i="18"/>
  <c r="B57" i="18"/>
  <c r="B56" i="18"/>
  <c r="B55" i="18"/>
  <c r="B54" i="18"/>
  <c r="B53" i="18"/>
  <c r="B52" i="18"/>
  <c r="B51" i="18"/>
  <c r="D48" i="22" l="1"/>
  <c r="E115" i="22"/>
  <c r="E48" i="22" s="1"/>
  <c r="B57" i="14"/>
  <c r="B56" i="14"/>
  <c r="B55" i="14"/>
  <c r="B54" i="14"/>
  <c r="B53" i="14"/>
  <c r="B52" i="14"/>
  <c r="B51" i="14"/>
  <c r="B50" i="14"/>
  <c r="B49" i="14"/>
  <c r="B48" i="14"/>
  <c r="B72" i="18" l="1"/>
  <c r="B33" i="18"/>
  <c r="B15" i="19" l="1"/>
  <c r="B14" i="19"/>
  <c r="I47" i="18" l="1"/>
  <c r="F47" i="18"/>
  <c r="F8" i="18"/>
  <c r="I8" i="18"/>
  <c r="D40" i="19" l="1"/>
  <c r="D38" i="19"/>
  <c r="F61" i="18"/>
  <c r="F50" i="18"/>
  <c r="F11" i="18"/>
  <c r="F22" i="18"/>
  <c r="F21" i="18"/>
  <c r="D49" i="21"/>
  <c r="I48" i="18"/>
  <c r="F60" i="18"/>
  <c r="I9" i="18"/>
  <c r="E128" i="21"/>
  <c r="D51" i="21"/>
  <c r="E136" i="21"/>
  <c r="D59" i="21"/>
  <c r="E132" i="21"/>
  <c r="D55" i="21"/>
  <c r="E129" i="21"/>
  <c r="D52" i="21"/>
  <c r="E135" i="21"/>
  <c r="D58" i="21"/>
  <c r="E130" i="21"/>
  <c r="D53" i="21"/>
  <c r="E134" i="21"/>
  <c r="D57" i="21"/>
  <c r="E127" i="21"/>
  <c r="D50" i="21"/>
  <c r="E131" i="21"/>
  <c r="D54" i="21"/>
  <c r="E133" i="21"/>
  <c r="D56" i="21"/>
  <c r="D17" i="21"/>
  <c r="D18" i="21"/>
  <c r="D14" i="21"/>
  <c r="D16" i="21"/>
  <c r="D13" i="21"/>
  <c r="D21" i="21"/>
  <c r="E20" i="18"/>
  <c r="F20" i="18" s="1"/>
  <c r="E13" i="18"/>
  <c r="F13" i="18" s="1"/>
  <c r="E16" i="18"/>
  <c r="F16" i="18" s="1"/>
  <c r="E12" i="18"/>
  <c r="F12" i="18" s="1"/>
  <c r="E17" i="18"/>
  <c r="F17" i="18" s="1"/>
  <c r="E15" i="18"/>
  <c r="F15" i="18" s="1"/>
  <c r="F9" i="18"/>
  <c r="F48" i="18"/>
  <c r="G86" i="21" l="1"/>
  <c r="E38" i="19"/>
  <c r="E40" i="19"/>
  <c r="G87" i="21" s="1"/>
  <c r="D62" i="21"/>
  <c r="E139" i="21"/>
  <c r="E63" i="18"/>
  <c r="E49" i="21"/>
  <c r="F133" i="21"/>
  <c r="F56" i="21" s="1"/>
  <c r="E56" i="21"/>
  <c r="F131" i="21"/>
  <c r="F54" i="21" s="1"/>
  <c r="E54" i="21"/>
  <c r="F134" i="21"/>
  <c r="F57" i="21" s="1"/>
  <c r="E57" i="21"/>
  <c r="F135" i="21"/>
  <c r="F58" i="21" s="1"/>
  <c r="E58" i="21"/>
  <c r="F132" i="21"/>
  <c r="F55" i="21" s="1"/>
  <c r="E55" i="21"/>
  <c r="F128" i="21"/>
  <c r="F51" i="21" s="1"/>
  <c r="E51" i="21"/>
  <c r="F127" i="21"/>
  <c r="F50" i="21" s="1"/>
  <c r="E50" i="21"/>
  <c r="F130" i="21"/>
  <c r="F53" i="21" s="1"/>
  <c r="E53" i="21"/>
  <c r="F129" i="21"/>
  <c r="F52" i="21" s="1"/>
  <c r="E52" i="21"/>
  <c r="F136" i="21"/>
  <c r="F59" i="21" s="1"/>
  <c r="E59" i="21"/>
  <c r="D20" i="21"/>
  <c r="F13" i="21"/>
  <c r="E13" i="21"/>
  <c r="F14" i="21"/>
  <c r="E14" i="21"/>
  <c r="F17" i="21"/>
  <c r="E17" i="21"/>
  <c r="D15" i="21"/>
  <c r="D12" i="21"/>
  <c r="F21" i="21"/>
  <c r="E21" i="21"/>
  <c r="F16" i="21"/>
  <c r="E16" i="21"/>
  <c r="F18" i="21"/>
  <c r="E18" i="21"/>
  <c r="D19" i="21"/>
  <c r="F126" i="21"/>
  <c r="J126" i="21" s="1"/>
  <c r="F59" i="18"/>
  <c r="E18" i="18"/>
  <c r="F18" i="18" s="1"/>
  <c r="E19" i="18"/>
  <c r="F19" i="18" s="1"/>
  <c r="E14" i="18"/>
  <c r="F53" i="18"/>
  <c r="F58" i="18"/>
  <c r="F52" i="18"/>
  <c r="F55" i="18"/>
  <c r="F54" i="18"/>
  <c r="F56" i="18"/>
  <c r="F57" i="18"/>
  <c r="F51" i="18"/>
  <c r="D82" i="22" l="1"/>
  <c r="H87" i="21"/>
  <c r="I87" i="21" s="1"/>
  <c r="J87" i="21" s="1"/>
  <c r="U87" i="21" s="1"/>
  <c r="D81" i="22"/>
  <c r="H86" i="21"/>
  <c r="I86" i="21" s="1"/>
  <c r="J86" i="21" s="1"/>
  <c r="U86" i="21" s="1"/>
  <c r="F38" i="19"/>
  <c r="F40" i="19"/>
  <c r="E62" i="21"/>
  <c r="F139" i="21"/>
  <c r="F14" i="18"/>
  <c r="E24" i="18"/>
  <c r="F63" i="18"/>
  <c r="D11" i="21"/>
  <c r="D24" i="21" s="1"/>
  <c r="G49" i="21"/>
  <c r="F49" i="21"/>
  <c r="F62" i="21" s="1"/>
  <c r="H128" i="21"/>
  <c r="G51" i="21"/>
  <c r="H127" i="21"/>
  <c r="G50" i="21"/>
  <c r="G11" i="21"/>
  <c r="F12" i="21"/>
  <c r="E12" i="21"/>
  <c r="G12" i="21"/>
  <c r="F19" i="21"/>
  <c r="E19" i="21"/>
  <c r="F15" i="21"/>
  <c r="E15" i="21"/>
  <c r="F20" i="21"/>
  <c r="E20" i="21"/>
  <c r="G88" i="21" l="1"/>
  <c r="D11" i="22"/>
  <c r="E81" i="22"/>
  <c r="E11" i="22" s="1"/>
  <c r="D12" i="22"/>
  <c r="E82" i="22"/>
  <c r="E12" i="22" s="1"/>
  <c r="F24" i="18"/>
  <c r="E11" i="21"/>
  <c r="E24" i="21" s="1"/>
  <c r="H49" i="21"/>
  <c r="I127" i="21"/>
  <c r="J127" i="21" s="1"/>
  <c r="H50" i="21"/>
  <c r="I128" i="21"/>
  <c r="H51" i="21"/>
  <c r="H12" i="21"/>
  <c r="H11" i="21"/>
  <c r="D83" i="22" l="1"/>
  <c r="H88" i="21"/>
  <c r="G13" i="21"/>
  <c r="I49" i="21"/>
  <c r="F11" i="21"/>
  <c r="F24" i="21" s="1"/>
  <c r="I11" i="21"/>
  <c r="J128" i="21"/>
  <c r="U128" i="21" s="1"/>
  <c r="I51" i="21"/>
  <c r="U127" i="21"/>
  <c r="I50" i="21"/>
  <c r="I12" i="21"/>
  <c r="I88" i="21" l="1"/>
  <c r="H13" i="21"/>
  <c r="D13" i="22"/>
  <c r="E83" i="22"/>
  <c r="E13" i="22" s="1"/>
  <c r="U126" i="21"/>
  <c r="J11" i="21"/>
  <c r="C113" i="22"/>
  <c r="J49" i="21"/>
  <c r="J50" i="21"/>
  <c r="M50" i="21" s="1"/>
  <c r="C114" i="22"/>
  <c r="J51" i="21"/>
  <c r="M51" i="21" s="1"/>
  <c r="C115" i="22"/>
  <c r="J12" i="21"/>
  <c r="M12" i="21" s="1"/>
  <c r="C82" i="22"/>
  <c r="C81" i="22"/>
  <c r="J88" i="21" l="1"/>
  <c r="I13" i="21"/>
  <c r="C46" i="22"/>
  <c r="F113" i="22"/>
  <c r="C11" i="22"/>
  <c r="F81" i="22"/>
  <c r="C48" i="22"/>
  <c r="F115" i="22"/>
  <c r="F48" i="22" s="1"/>
  <c r="C47" i="22"/>
  <c r="F114" i="22"/>
  <c r="F47" i="22" s="1"/>
  <c r="C12" i="22"/>
  <c r="F82" i="22"/>
  <c r="F12" i="22" s="1"/>
  <c r="M11" i="21"/>
  <c r="M49" i="21"/>
  <c r="U88" i="21" l="1"/>
  <c r="J13" i="21"/>
  <c r="M13" i="21" s="1"/>
  <c r="C83" i="22"/>
  <c r="F11" i="22"/>
  <c r="G81" i="22"/>
  <c r="G82" i="22" s="1"/>
  <c r="F46" i="22"/>
  <c r="G113" i="22"/>
  <c r="G114" i="22" s="1"/>
  <c r="G115" i="22" s="1"/>
  <c r="E48" i="18"/>
  <c r="H48" i="18"/>
  <c r="H9" i="18"/>
  <c r="C13" i="22" l="1"/>
  <c r="F83" i="22"/>
  <c r="F13" i="22" s="1"/>
  <c r="E9" i="18"/>
  <c r="G83" i="22" l="1"/>
  <c r="B8" i="6"/>
  <c r="B9" i="6" s="1"/>
  <c r="B10" i="6" s="1"/>
  <c r="B13" i="6" s="1"/>
  <c r="G11" i="22" l="1"/>
  <c r="H81" i="22"/>
  <c r="H82" i="22"/>
  <c r="G8" i="5"/>
  <c r="G9" i="1" s="1"/>
  <c r="G12" i="22" l="1"/>
  <c r="H12" i="22"/>
  <c r="K12" i="22" s="1"/>
  <c r="N81" i="22"/>
  <c r="H11" i="22"/>
  <c r="K11" i="22" s="1"/>
  <c r="H83" i="22"/>
  <c r="G46" i="22"/>
  <c r="H8" i="5"/>
  <c r="J9" i="1" s="1"/>
  <c r="N82" i="22" l="1"/>
  <c r="G13" i="22"/>
  <c r="N83" i="22"/>
  <c r="G47" i="22"/>
  <c r="H113" i="22"/>
  <c r="E9" i="1"/>
  <c r="N113" i="22" l="1"/>
  <c r="H46" i="22"/>
  <c r="K46" i="22" s="1"/>
  <c r="H13" i="22"/>
  <c r="K13" i="22" s="1"/>
  <c r="H114" i="22"/>
  <c r="G48" i="22"/>
  <c r="N114" i="22" l="1"/>
  <c r="H47" i="22"/>
  <c r="K47" i="22" s="1"/>
  <c r="H115" i="22"/>
  <c r="N115" i="22" l="1"/>
  <c r="H48" i="22"/>
  <c r="K48" i="22" s="1"/>
  <c r="G40" i="19" l="1"/>
  <c r="G89" i="21" l="1"/>
  <c r="G38" i="19"/>
  <c r="L38" i="19"/>
  <c r="N40" i="19"/>
  <c r="Y40" i="19"/>
  <c r="G20" i="18" s="1"/>
  <c r="H38" i="19"/>
  <c r="S40" i="19"/>
  <c r="G14" i="18" s="1"/>
  <c r="D14" i="14" s="1"/>
  <c r="E14" i="14" s="1"/>
  <c r="J40" i="19"/>
  <c r="K38" i="19"/>
  <c r="I38" i="19"/>
  <c r="X40" i="19"/>
  <c r="G19" i="18" s="1"/>
  <c r="R38" i="19"/>
  <c r="G92" i="21" l="1"/>
  <c r="H14" i="18"/>
  <c r="D84" i="22"/>
  <c r="H89" i="21"/>
  <c r="G14" i="21"/>
  <c r="G96" i="21"/>
  <c r="D91" i="22" s="1"/>
  <c r="I40" i="19"/>
  <c r="I14" i="18"/>
  <c r="J38" i="19"/>
  <c r="U40" i="19"/>
  <c r="G16" i="18" s="1"/>
  <c r="U38" i="19"/>
  <c r="X38" i="19"/>
  <c r="P40" i="19"/>
  <c r="G11" i="18" s="1"/>
  <c r="M38" i="19"/>
  <c r="M40" i="19"/>
  <c r="O40" i="19"/>
  <c r="O38" i="19"/>
  <c r="V40" i="19"/>
  <c r="G17" i="18" s="1"/>
  <c r="D17" i="14" s="1"/>
  <c r="E17" i="14" s="1"/>
  <c r="V38" i="19"/>
  <c r="Z40" i="19"/>
  <c r="G21" i="18" s="1"/>
  <c r="H21" i="18" s="1"/>
  <c r="I21" i="18" s="1"/>
  <c r="J21" i="18" s="1"/>
  <c r="Z38" i="19"/>
  <c r="W40" i="19"/>
  <c r="G18" i="18" s="1"/>
  <c r="W38" i="19"/>
  <c r="Q38" i="19"/>
  <c r="Q40" i="19"/>
  <c r="G12" i="18" s="1"/>
  <c r="T38" i="19"/>
  <c r="T40" i="19"/>
  <c r="G15" i="18" s="1"/>
  <c r="AA38" i="19"/>
  <c r="AA40" i="19"/>
  <c r="G22" i="18" s="1"/>
  <c r="K40" i="19"/>
  <c r="S38" i="19"/>
  <c r="L40" i="19"/>
  <c r="R40" i="19"/>
  <c r="G13" i="18" s="1"/>
  <c r="P38" i="19"/>
  <c r="N38" i="19"/>
  <c r="Y38" i="19"/>
  <c r="H40" i="19"/>
  <c r="D15" i="14" l="1"/>
  <c r="E15" i="14" s="1"/>
  <c r="G90" i="21"/>
  <c r="D12" i="14"/>
  <c r="E12" i="14" s="1"/>
  <c r="H12" i="18"/>
  <c r="I12" i="18" s="1"/>
  <c r="J12" i="18" s="1"/>
  <c r="C12" i="14" s="1"/>
  <c r="D11" i="14"/>
  <c r="E11" i="14" s="1"/>
  <c r="H11" i="18"/>
  <c r="I11" i="18" s="1"/>
  <c r="J11" i="18" s="1"/>
  <c r="C11" i="14" s="1"/>
  <c r="I89" i="21"/>
  <c r="H14" i="21"/>
  <c r="D16" i="14"/>
  <c r="E16" i="14" s="1"/>
  <c r="G91" i="21"/>
  <c r="D14" i="22"/>
  <c r="E84" i="22"/>
  <c r="D21" i="22"/>
  <c r="E91" i="22"/>
  <c r="E21" i="22" s="1"/>
  <c r="H17" i="18"/>
  <c r="I17" i="18" s="1"/>
  <c r="J17" i="18" s="1"/>
  <c r="C17" i="14" s="1"/>
  <c r="F17" i="14" s="1"/>
  <c r="D21" i="14"/>
  <c r="E21" i="14" s="1"/>
  <c r="D87" i="22"/>
  <c r="H92" i="21"/>
  <c r="G17" i="21"/>
  <c r="D13" i="14"/>
  <c r="E13" i="14" s="1"/>
  <c r="H13" i="18"/>
  <c r="I13" i="18" s="1"/>
  <c r="J13" i="18" s="1"/>
  <c r="C13" i="14" s="1"/>
  <c r="AO40" i="19"/>
  <c r="D18" i="14"/>
  <c r="E18" i="14" s="1"/>
  <c r="G93" i="21"/>
  <c r="D88" i="22" s="1"/>
  <c r="D19" i="14"/>
  <c r="E19" i="14" s="1"/>
  <c r="G94" i="21"/>
  <c r="D89" i="22" s="1"/>
  <c r="D22" i="14"/>
  <c r="E22" i="14" s="1"/>
  <c r="G97" i="21"/>
  <c r="D92" i="22" s="1"/>
  <c r="H96" i="21"/>
  <c r="G21" i="21"/>
  <c r="D20" i="14"/>
  <c r="E20" i="14" s="1"/>
  <c r="G95" i="21"/>
  <c r="D90" i="22" s="1"/>
  <c r="AO38" i="19"/>
  <c r="C21" i="14"/>
  <c r="H16" i="18"/>
  <c r="I16" i="18" s="1"/>
  <c r="J16" i="18" s="1"/>
  <c r="H19" i="18"/>
  <c r="I19" i="18" s="1"/>
  <c r="J19" i="18" s="1"/>
  <c r="H18" i="18"/>
  <c r="I18" i="18" s="1"/>
  <c r="J18" i="18" s="1"/>
  <c r="AO30" i="19"/>
  <c r="H15" i="18"/>
  <c r="J14" i="18"/>
  <c r="F21" i="14" l="1"/>
  <c r="F12" i="14"/>
  <c r="D86" i="22"/>
  <c r="H91" i="21"/>
  <c r="G16" i="21"/>
  <c r="E14" i="22"/>
  <c r="J89" i="21"/>
  <c r="I14" i="21"/>
  <c r="D17" i="22"/>
  <c r="E87" i="22"/>
  <c r="F11" i="14"/>
  <c r="G11" i="14" s="1"/>
  <c r="D22" i="22"/>
  <c r="E92" i="22"/>
  <c r="E22" i="22" s="1"/>
  <c r="D20" i="22"/>
  <c r="E90" i="22"/>
  <c r="E20" i="22" s="1"/>
  <c r="D19" i="22"/>
  <c r="E89" i="22"/>
  <c r="E19" i="22" s="1"/>
  <c r="D85" i="22"/>
  <c r="H90" i="21"/>
  <c r="G15" i="21"/>
  <c r="D18" i="22"/>
  <c r="E88" i="22"/>
  <c r="E18" i="22" s="1"/>
  <c r="F13" i="14"/>
  <c r="I92" i="21"/>
  <c r="H17" i="21"/>
  <c r="G24" i="18"/>
  <c r="H95" i="21"/>
  <c r="G20" i="21"/>
  <c r="I96" i="21"/>
  <c r="H21" i="21"/>
  <c r="G22" i="21"/>
  <c r="H97" i="21"/>
  <c r="H20" i="18"/>
  <c r="I20" i="18" s="1"/>
  <c r="J20" i="18" s="1"/>
  <c r="C20" i="14" s="1"/>
  <c r="F20" i="14" s="1"/>
  <c r="H94" i="21"/>
  <c r="G19" i="21"/>
  <c r="H22" i="18"/>
  <c r="I22" i="18" s="1"/>
  <c r="J22" i="18" s="1"/>
  <c r="C22" i="14" s="1"/>
  <c r="F22" i="14" s="1"/>
  <c r="H93" i="21"/>
  <c r="G99" i="21"/>
  <c r="G18" i="21"/>
  <c r="C18" i="14"/>
  <c r="F18" i="14" s="1"/>
  <c r="C19" i="14"/>
  <c r="F19" i="14" s="1"/>
  <c r="C16" i="14"/>
  <c r="F16" i="14" s="1"/>
  <c r="C14" i="14"/>
  <c r="F14" i="14" s="1"/>
  <c r="I15" i="18"/>
  <c r="Y65" i="19"/>
  <c r="G59" i="18" s="1"/>
  <c r="T65" i="19"/>
  <c r="G54" i="18" s="1"/>
  <c r="Z63" i="19"/>
  <c r="I65" i="19"/>
  <c r="G131" i="21" s="1"/>
  <c r="Q63" i="19"/>
  <c r="M63" i="19"/>
  <c r="K65" i="19"/>
  <c r="J65" i="19"/>
  <c r="G132" i="21" s="1"/>
  <c r="G130" i="21"/>
  <c r="V65" i="19"/>
  <c r="G56" i="18" s="1"/>
  <c r="N65" i="19"/>
  <c r="G65" i="19"/>
  <c r="R65" i="19"/>
  <c r="G52" i="18" s="1"/>
  <c r="X63" i="19"/>
  <c r="P63" i="19"/>
  <c r="G24" i="21" l="1"/>
  <c r="E17" i="22"/>
  <c r="D118" i="22"/>
  <c r="H131" i="21"/>
  <c r="G54" i="21"/>
  <c r="J92" i="21"/>
  <c r="I17" i="21"/>
  <c r="G12" i="14"/>
  <c r="H11" i="14"/>
  <c r="U89" i="21"/>
  <c r="C84" i="22"/>
  <c r="J14" i="21"/>
  <c r="M14" i="21" s="1"/>
  <c r="D50" i="14"/>
  <c r="E50" i="14" s="1"/>
  <c r="H52" i="18"/>
  <c r="I52" i="18" s="1"/>
  <c r="J52" i="18" s="1"/>
  <c r="C50" i="14" s="1"/>
  <c r="D15" i="22"/>
  <c r="E85" i="22"/>
  <c r="D117" i="22"/>
  <c r="G53" i="21"/>
  <c r="H130" i="21"/>
  <c r="I90" i="21"/>
  <c r="H15" i="21"/>
  <c r="I91" i="21"/>
  <c r="H16" i="21"/>
  <c r="G129" i="21"/>
  <c r="D119" i="22"/>
  <c r="H132" i="21"/>
  <c r="G55" i="21"/>
  <c r="D16" i="22"/>
  <c r="E86" i="22"/>
  <c r="D54" i="14"/>
  <c r="E54" i="14" s="1"/>
  <c r="D52" i="14"/>
  <c r="E52" i="14" s="1"/>
  <c r="G136" i="21"/>
  <c r="D123" i="22" s="1"/>
  <c r="G133" i="21"/>
  <c r="D120" i="22" s="1"/>
  <c r="I93" i="21"/>
  <c r="H99" i="21"/>
  <c r="H18" i="21"/>
  <c r="I94" i="21"/>
  <c r="H19" i="21"/>
  <c r="H24" i="18"/>
  <c r="H22" i="21"/>
  <c r="I97" i="21"/>
  <c r="J96" i="21"/>
  <c r="I21" i="21"/>
  <c r="I95" i="21"/>
  <c r="H20" i="21"/>
  <c r="H54" i="18"/>
  <c r="I54" i="18" s="1"/>
  <c r="J54" i="18" s="1"/>
  <c r="H56" i="18"/>
  <c r="I56" i="18" s="1"/>
  <c r="J56" i="18" s="1"/>
  <c r="J15" i="18"/>
  <c r="I24" i="18"/>
  <c r="J63" i="19"/>
  <c r="H63" i="19"/>
  <c r="K63" i="19"/>
  <c r="M65" i="19"/>
  <c r="Z65" i="19"/>
  <c r="G60" i="18" s="1"/>
  <c r="D58" i="14" s="1"/>
  <c r="E58" i="14" s="1"/>
  <c r="N63" i="19"/>
  <c r="T63" i="19"/>
  <c r="Q65" i="19"/>
  <c r="G51" i="18" s="1"/>
  <c r="R63" i="19"/>
  <c r="AA65" i="19"/>
  <c r="G61" i="18" s="1"/>
  <c r="AA63" i="19"/>
  <c r="U63" i="19"/>
  <c r="U65" i="19"/>
  <c r="G55" i="18" s="1"/>
  <c r="D53" i="14" s="1"/>
  <c r="E53" i="14" s="1"/>
  <c r="W65" i="19"/>
  <c r="G57" i="18" s="1"/>
  <c r="D55" i="14" s="1"/>
  <c r="E55" i="14" s="1"/>
  <c r="W63" i="19"/>
  <c r="S65" i="19"/>
  <c r="G53" i="18" s="1"/>
  <c r="D51" i="14" s="1"/>
  <c r="E51" i="14" s="1"/>
  <c r="S63" i="19"/>
  <c r="L63" i="19"/>
  <c r="L65" i="19"/>
  <c r="V63" i="19"/>
  <c r="P65" i="19"/>
  <c r="I63" i="19"/>
  <c r="G63" i="19"/>
  <c r="X65" i="19"/>
  <c r="G58" i="18" s="1"/>
  <c r="Y63" i="19"/>
  <c r="H53" i="18" l="1"/>
  <c r="I53" i="18" s="1"/>
  <c r="F50" i="14"/>
  <c r="D53" i="22"/>
  <c r="E120" i="22"/>
  <c r="E53" i="22" s="1"/>
  <c r="D56" i="22"/>
  <c r="E123" i="22"/>
  <c r="E56" i="22" s="1"/>
  <c r="J90" i="21"/>
  <c r="I15" i="21"/>
  <c r="G13" i="14"/>
  <c r="H12" i="14"/>
  <c r="I130" i="21"/>
  <c r="H53" i="21"/>
  <c r="U92" i="21"/>
  <c r="J17" i="21"/>
  <c r="M17" i="21" s="1"/>
  <c r="C87" i="22"/>
  <c r="J91" i="21"/>
  <c r="I16" i="21"/>
  <c r="D50" i="22"/>
  <c r="E117" i="22"/>
  <c r="I132" i="21"/>
  <c r="H55" i="21"/>
  <c r="E15" i="22"/>
  <c r="H54" i="21"/>
  <c r="I131" i="21"/>
  <c r="C14" i="22"/>
  <c r="F84" i="22"/>
  <c r="D49" i="14"/>
  <c r="E49" i="14" s="1"/>
  <c r="H51" i="18"/>
  <c r="I51" i="18" s="1"/>
  <c r="J51" i="18" s="1"/>
  <c r="C49" i="14" s="1"/>
  <c r="F49" i="14" s="1"/>
  <c r="H60" i="18"/>
  <c r="I60" i="18" s="1"/>
  <c r="J60" i="18" s="1"/>
  <c r="C58" i="14" s="1"/>
  <c r="F58" i="14" s="1"/>
  <c r="D52" i="22"/>
  <c r="E119" i="22"/>
  <c r="D51" i="22"/>
  <c r="E118" i="22"/>
  <c r="H24" i="21"/>
  <c r="E16" i="22"/>
  <c r="AO65" i="19"/>
  <c r="G50" i="18"/>
  <c r="H55" i="18"/>
  <c r="I55" i="18" s="1"/>
  <c r="J55" i="18" s="1"/>
  <c r="C53" i="14" s="1"/>
  <c r="F53" i="14" s="1"/>
  <c r="D116" i="22"/>
  <c r="H129" i="21"/>
  <c r="G52" i="21"/>
  <c r="H57" i="18"/>
  <c r="I57" i="18" s="1"/>
  <c r="J57" i="18" s="1"/>
  <c r="C55" i="14" s="1"/>
  <c r="F55" i="14" s="1"/>
  <c r="D57" i="14"/>
  <c r="E57" i="14" s="1"/>
  <c r="G135" i="21"/>
  <c r="D122" i="22" s="1"/>
  <c r="G56" i="21"/>
  <c r="H133" i="21"/>
  <c r="D56" i="14"/>
  <c r="E56" i="14" s="1"/>
  <c r="G134" i="21"/>
  <c r="D121" i="22" s="1"/>
  <c r="H136" i="21"/>
  <c r="G59" i="21"/>
  <c r="J93" i="21"/>
  <c r="I99" i="21"/>
  <c r="I18" i="21"/>
  <c r="J95" i="21"/>
  <c r="I20" i="21"/>
  <c r="J94" i="21"/>
  <c r="I19" i="21"/>
  <c r="U96" i="21"/>
  <c r="J21" i="21"/>
  <c r="M21" i="21" s="1"/>
  <c r="C91" i="22"/>
  <c r="J97" i="21"/>
  <c r="I22" i="21"/>
  <c r="AO63" i="19"/>
  <c r="H59" i="18"/>
  <c r="I59" i="18" s="1"/>
  <c r="J59" i="18" s="1"/>
  <c r="C54" i="14"/>
  <c r="F54" i="14" s="1"/>
  <c r="C52" i="14"/>
  <c r="F52" i="14" s="1"/>
  <c r="C15" i="14"/>
  <c r="F15" i="14" s="1"/>
  <c r="J24" i="18"/>
  <c r="J17" i="1"/>
  <c r="O65" i="19"/>
  <c r="O63" i="19"/>
  <c r="J53" i="18"/>
  <c r="J130" i="21" l="1"/>
  <c r="I53" i="21"/>
  <c r="D54" i="22"/>
  <c r="E121" i="22"/>
  <c r="E54" i="22" s="1"/>
  <c r="H13" i="14"/>
  <c r="G14" i="14"/>
  <c r="H14" i="14" s="1"/>
  <c r="E51" i="22"/>
  <c r="E52" i="22"/>
  <c r="E50" i="22"/>
  <c r="U90" i="21"/>
  <c r="J15" i="21"/>
  <c r="M15" i="21" s="1"/>
  <c r="C85" i="22"/>
  <c r="H52" i="21"/>
  <c r="I129" i="21"/>
  <c r="J131" i="21"/>
  <c r="I54" i="21"/>
  <c r="J132" i="21"/>
  <c r="I55" i="21"/>
  <c r="D49" i="22"/>
  <c r="E116" i="22"/>
  <c r="U91" i="21"/>
  <c r="J16" i="21"/>
  <c r="M16" i="21" s="1"/>
  <c r="C86" i="22"/>
  <c r="D55" i="22"/>
  <c r="E122" i="22"/>
  <c r="E55" i="22" s="1"/>
  <c r="D48" i="14"/>
  <c r="E48" i="14" s="1"/>
  <c r="H50" i="18"/>
  <c r="I50" i="18" s="1"/>
  <c r="J50" i="18" s="1"/>
  <c r="C48" i="14" s="1"/>
  <c r="F48" i="14" s="1"/>
  <c r="G48" i="14" s="1"/>
  <c r="F14" i="22"/>
  <c r="G84" i="22"/>
  <c r="C17" i="22"/>
  <c r="F87" i="22"/>
  <c r="F17" i="22" s="1"/>
  <c r="C21" i="22"/>
  <c r="F91" i="22"/>
  <c r="F21" i="22" s="1"/>
  <c r="D59" i="14"/>
  <c r="E59" i="14" s="1"/>
  <c r="G137" i="21"/>
  <c r="D124" i="22" s="1"/>
  <c r="I133" i="21"/>
  <c r="H56" i="21"/>
  <c r="H134" i="21"/>
  <c r="G57" i="21"/>
  <c r="H58" i="18"/>
  <c r="I58" i="18" s="1"/>
  <c r="J58" i="18" s="1"/>
  <c r="C56" i="14" s="1"/>
  <c r="F56" i="14" s="1"/>
  <c r="H135" i="21"/>
  <c r="G58" i="21"/>
  <c r="I136" i="21"/>
  <c r="H59" i="21"/>
  <c r="I24" i="21"/>
  <c r="U97" i="21"/>
  <c r="J22" i="21"/>
  <c r="M22" i="21" s="1"/>
  <c r="C92" i="22"/>
  <c r="U94" i="21"/>
  <c r="J19" i="21"/>
  <c r="M19" i="21" s="1"/>
  <c r="C89" i="22"/>
  <c r="U95" i="21"/>
  <c r="J20" i="21"/>
  <c r="M20" i="21" s="1"/>
  <c r="C90" i="22"/>
  <c r="U93" i="21"/>
  <c r="J99" i="21"/>
  <c r="J18" i="21"/>
  <c r="C88" i="22"/>
  <c r="F88" i="22" s="1"/>
  <c r="H61" i="18"/>
  <c r="I61" i="18" s="1"/>
  <c r="J61" i="18" s="1"/>
  <c r="C57" i="14"/>
  <c r="F57" i="14" s="1"/>
  <c r="C51" i="14"/>
  <c r="F51" i="14" s="1"/>
  <c r="G63" i="18"/>
  <c r="G15" i="14" l="1"/>
  <c r="G16" i="14" s="1"/>
  <c r="G17" i="14" s="1"/>
  <c r="G18" i="14" s="1"/>
  <c r="G19" i="14" s="1"/>
  <c r="G20" i="14" s="1"/>
  <c r="G21" i="14" s="1"/>
  <c r="G22" i="14" s="1"/>
  <c r="J129" i="21"/>
  <c r="I52" i="21"/>
  <c r="U132" i="21"/>
  <c r="C119" i="22"/>
  <c r="J55" i="21"/>
  <c r="M55" i="21" s="1"/>
  <c r="E49" i="22"/>
  <c r="G49" i="14"/>
  <c r="H48" i="14"/>
  <c r="U131" i="21"/>
  <c r="J54" i="21"/>
  <c r="M54" i="21" s="1"/>
  <c r="C118" i="22"/>
  <c r="C16" i="22"/>
  <c r="F86" i="22"/>
  <c r="F16" i="22" s="1"/>
  <c r="H84" i="22"/>
  <c r="G14" i="22"/>
  <c r="C15" i="22"/>
  <c r="F85" i="22"/>
  <c r="F15" i="22" s="1"/>
  <c r="D57" i="22"/>
  <c r="E124" i="22"/>
  <c r="E57" i="22" s="1"/>
  <c r="U130" i="21"/>
  <c r="C117" i="22"/>
  <c r="J53" i="21"/>
  <c r="M53" i="21" s="1"/>
  <c r="C19" i="22"/>
  <c r="F89" i="22"/>
  <c r="F19" i="22" s="1"/>
  <c r="C22" i="22"/>
  <c r="F92" i="22"/>
  <c r="F22" i="22" s="1"/>
  <c r="C20" i="22"/>
  <c r="F90" i="22"/>
  <c r="F20" i="22" s="1"/>
  <c r="F18" i="22"/>
  <c r="I134" i="21"/>
  <c r="H57" i="21"/>
  <c r="J63" i="18"/>
  <c r="I59" i="21"/>
  <c r="J136" i="21"/>
  <c r="J133" i="21"/>
  <c r="I56" i="21"/>
  <c r="I63" i="18"/>
  <c r="H137" i="21"/>
  <c r="H139" i="21" s="1"/>
  <c r="G60" i="21"/>
  <c r="G62" i="21" s="1"/>
  <c r="H58" i="21"/>
  <c r="I135" i="21"/>
  <c r="G139" i="21"/>
  <c r="U99" i="21"/>
  <c r="J101" i="21"/>
  <c r="U101" i="21" s="1"/>
  <c r="J26" i="18" s="1"/>
  <c r="J28" i="18" s="1"/>
  <c r="G11" i="1" s="1"/>
  <c r="C18" i="22"/>
  <c r="M18" i="21"/>
  <c r="M24" i="21" s="1"/>
  <c r="J24" i="21"/>
  <c r="J26" i="21" s="1"/>
  <c r="M26" i="21" s="1"/>
  <c r="H63" i="18"/>
  <c r="C59" i="14"/>
  <c r="F59" i="14" s="1"/>
  <c r="H16" i="14" l="1"/>
  <c r="H15" i="14"/>
  <c r="C51" i="22"/>
  <c r="F118" i="22"/>
  <c r="F51" i="22" s="1"/>
  <c r="G50" i="14"/>
  <c r="H49" i="14"/>
  <c r="C50" i="22"/>
  <c r="F117" i="22"/>
  <c r="F50" i="22" s="1"/>
  <c r="H14" i="22"/>
  <c r="K14" i="22" s="1"/>
  <c r="N84" i="22"/>
  <c r="C52" i="22"/>
  <c r="F119" i="22"/>
  <c r="F52" i="22" s="1"/>
  <c r="G85" i="22"/>
  <c r="U129" i="21"/>
  <c r="C116" i="22"/>
  <c r="J52" i="21"/>
  <c r="M52" i="21" s="1"/>
  <c r="H60" i="21"/>
  <c r="H62" i="21" s="1"/>
  <c r="I137" i="21"/>
  <c r="I139" i="21" s="1"/>
  <c r="J56" i="21"/>
  <c r="M56" i="21" s="1"/>
  <c r="C120" i="22"/>
  <c r="F120" i="22" s="1"/>
  <c r="U133" i="21"/>
  <c r="I58" i="21"/>
  <c r="J135" i="21"/>
  <c r="J134" i="21"/>
  <c r="I57" i="21"/>
  <c r="U136" i="21"/>
  <c r="J59" i="21"/>
  <c r="M59" i="21" s="1"/>
  <c r="C123" i="22"/>
  <c r="H17" i="14"/>
  <c r="H50" i="14" l="1"/>
  <c r="G51" i="14"/>
  <c r="G86" i="22"/>
  <c r="H85" i="22"/>
  <c r="G15" i="22"/>
  <c r="C49" i="22"/>
  <c r="F116" i="22"/>
  <c r="F53" i="22"/>
  <c r="C56" i="22"/>
  <c r="F123" i="22"/>
  <c r="F56" i="22" s="1"/>
  <c r="U134" i="21"/>
  <c r="C121" i="22"/>
  <c r="J57" i="21"/>
  <c r="M57" i="21" s="1"/>
  <c r="U135" i="21"/>
  <c r="C122" i="22"/>
  <c r="J58" i="21"/>
  <c r="C53" i="22"/>
  <c r="J137" i="21"/>
  <c r="I60" i="21"/>
  <c r="I62" i="21" s="1"/>
  <c r="H18" i="14"/>
  <c r="H15" i="22" l="1"/>
  <c r="K15" i="22" s="1"/>
  <c r="N85" i="22"/>
  <c r="G87" i="22"/>
  <c r="H86" i="22"/>
  <c r="G16" i="22"/>
  <c r="G52" i="14"/>
  <c r="H51" i="14"/>
  <c r="F49" i="22"/>
  <c r="G116" i="22"/>
  <c r="C55" i="22"/>
  <c r="F122" i="22"/>
  <c r="F55" i="22" s="1"/>
  <c r="C54" i="22"/>
  <c r="F121" i="22"/>
  <c r="F54" i="22" s="1"/>
  <c r="J60" i="21"/>
  <c r="M60" i="21" s="1"/>
  <c r="U137" i="21"/>
  <c r="C124" i="22"/>
  <c r="M58" i="21"/>
  <c r="J139" i="21"/>
  <c r="H19" i="14"/>
  <c r="G117" i="22" l="1"/>
  <c r="G49" i="22"/>
  <c r="H116" i="22"/>
  <c r="N86" i="22"/>
  <c r="H16" i="22"/>
  <c r="K16" i="22" s="1"/>
  <c r="H87" i="22"/>
  <c r="G17" i="22"/>
  <c r="G88" i="22"/>
  <c r="G53" i="14"/>
  <c r="H52" i="14"/>
  <c r="C57" i="22"/>
  <c r="F124" i="22"/>
  <c r="F57" i="22" s="1"/>
  <c r="M62" i="21"/>
  <c r="J62" i="21"/>
  <c r="J64" i="21" s="1"/>
  <c r="M64" i="21" s="1"/>
  <c r="J141" i="21"/>
  <c r="U141" i="21" s="1"/>
  <c r="J65" i="18" s="1"/>
  <c r="J67" i="18" s="1"/>
  <c r="U139" i="21"/>
  <c r="H20" i="14"/>
  <c r="G89" i="22" l="1"/>
  <c r="H88" i="22"/>
  <c r="G18" i="22"/>
  <c r="N116" i="22"/>
  <c r="H49" i="22"/>
  <c r="K49" i="22" s="1"/>
  <c r="G54" i="14"/>
  <c r="H53" i="14"/>
  <c r="H17" i="22"/>
  <c r="K17" i="22" s="1"/>
  <c r="N87" i="22"/>
  <c r="G118" i="22"/>
  <c r="G50" i="22"/>
  <c r="H117" i="22"/>
  <c r="J11" i="1"/>
  <c r="J72" i="18"/>
  <c r="H22" i="14"/>
  <c r="H21" i="14"/>
  <c r="G119" i="22" l="1"/>
  <c r="G51" i="22"/>
  <c r="H118" i="22"/>
  <c r="G55" i="14"/>
  <c r="H54" i="14"/>
  <c r="E11" i="1"/>
  <c r="N117" i="22"/>
  <c r="H50" i="22"/>
  <c r="K50" i="22" s="1"/>
  <c r="N88" i="22"/>
  <c r="H18" i="22"/>
  <c r="K18" i="22" s="1"/>
  <c r="G90" i="22"/>
  <c r="H89" i="22"/>
  <c r="G19" i="22"/>
  <c r="H23" i="14"/>
  <c r="G91" i="22" l="1"/>
  <c r="G20" i="22"/>
  <c r="H90" i="22"/>
  <c r="G56" i="14"/>
  <c r="H55" i="14"/>
  <c r="N118" i="22"/>
  <c r="H51" i="22"/>
  <c r="K51" i="22" s="1"/>
  <c r="H19" i="22"/>
  <c r="K19" i="22" s="1"/>
  <c r="N89" i="22"/>
  <c r="G52" i="22"/>
  <c r="H119" i="22"/>
  <c r="G120" i="22"/>
  <c r="H20" i="22" l="1"/>
  <c r="K20" i="22" s="1"/>
  <c r="N90" i="22"/>
  <c r="N119" i="22"/>
  <c r="H52" i="22"/>
  <c r="K52" i="22" s="1"/>
  <c r="G57" i="14"/>
  <c r="H56" i="14"/>
  <c r="G53" i="22"/>
  <c r="H120" i="22"/>
  <c r="G121" i="22"/>
  <c r="G92" i="22"/>
  <c r="G21" i="22"/>
  <c r="H91" i="22"/>
  <c r="N120" i="22" l="1"/>
  <c r="H53" i="22"/>
  <c r="K53" i="22" s="1"/>
  <c r="G58" i="14"/>
  <c r="H57" i="14"/>
  <c r="H92" i="22"/>
  <c r="G22" i="22"/>
  <c r="G122" i="22"/>
  <c r="G54" i="22"/>
  <c r="H121" i="22"/>
  <c r="H21" i="22"/>
  <c r="K21" i="22" s="1"/>
  <c r="N91" i="22"/>
  <c r="G123" i="22" l="1"/>
  <c r="G55" i="22"/>
  <c r="H122" i="22"/>
  <c r="H22" i="22"/>
  <c r="K22" i="22" s="1"/>
  <c r="N92" i="22"/>
  <c r="H93" i="22"/>
  <c r="N121" i="22"/>
  <c r="H54" i="22"/>
  <c r="K54" i="22" s="1"/>
  <c r="G59" i="14"/>
  <c r="H59" i="14" s="1"/>
  <c r="H58" i="14"/>
  <c r="H60" i="14" l="1"/>
  <c r="N122" i="22"/>
  <c r="H55" i="22"/>
  <c r="K55" i="22" s="1"/>
  <c r="H23" i="22"/>
  <c r="N93" i="22"/>
  <c r="H95" i="22"/>
  <c r="N95" i="22" s="1"/>
  <c r="H25" i="14" s="1"/>
  <c r="H27" i="14" s="1"/>
  <c r="G13" i="1" s="1"/>
  <c r="G124" i="22"/>
  <c r="H123" i="22"/>
  <c r="G56" i="22"/>
  <c r="G15" i="1" l="1"/>
  <c r="K23" i="22"/>
  <c r="H25" i="22"/>
  <c r="K25" i="22" s="1"/>
  <c r="N123" i="22"/>
  <c r="H56" i="22"/>
  <c r="K56" i="22" s="1"/>
  <c r="H124" i="22"/>
  <c r="H125" i="22" s="1"/>
  <c r="G57" i="22"/>
  <c r="N125" i="22" l="1"/>
  <c r="H58" i="22"/>
  <c r="H127" i="22"/>
  <c r="N127" i="22" s="1"/>
  <c r="H62" i="14" s="1"/>
  <c r="H64" i="14" s="1"/>
  <c r="J13" i="1" s="1"/>
  <c r="N124" i="22"/>
  <c r="H57" i="22"/>
  <c r="K57" i="22" s="1"/>
  <c r="G19" i="1"/>
  <c r="J15" i="1" l="1"/>
  <c r="E13" i="1"/>
  <c r="K58" i="22"/>
  <c r="H60" i="22"/>
  <c r="K60" i="22" s="1"/>
  <c r="E10" i="6"/>
  <c r="F10" i="6" s="1"/>
  <c r="E7" i="6"/>
  <c r="F7" i="6" s="1"/>
  <c r="E9" i="6"/>
  <c r="F9" i="6" s="1"/>
  <c r="E8" i="6"/>
  <c r="F8" i="6" s="1"/>
  <c r="J19" i="1" l="1"/>
  <c r="E13" i="6" s="1"/>
  <c r="F13" i="6" s="1"/>
  <c r="E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 Morgan</author>
  </authors>
  <commentList>
    <comment ref="B24" authorId="0" shapeId="0" xr:uid="{77C56546-75B7-40CE-9BEA-13E4CC7C97A1}">
      <text>
        <r>
          <rPr>
            <b/>
            <sz val="9"/>
            <color indexed="81"/>
            <rFont val="Tahoma"/>
            <family val="2"/>
          </rPr>
          <t xml:space="preserve">L Morgan:See Raftallis DR1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 Morgan</author>
  </authors>
  <commentList>
    <comment ref="E8" authorId="0" shapeId="0" xr:uid="{BC73D4E2-A9B1-430D-AD23-E472A3311CFC}">
      <text>
        <r>
          <rPr>
            <b/>
            <sz val="9"/>
            <color indexed="81"/>
            <rFont val="Tahoma"/>
            <charset val="1"/>
          </rPr>
          <t>L Morgan:</t>
        </r>
        <r>
          <rPr>
            <sz val="9"/>
            <color indexed="81"/>
            <rFont val="Tahoma"/>
            <charset val="1"/>
          </rPr>
          <t xml:space="preserve">
From TRR Summary</t>
        </r>
      </text>
    </comment>
  </commentList>
</comments>
</file>

<file path=xl/sharedStrings.xml><?xml version="1.0" encoding="utf-8"?>
<sst xmlns="http://schemas.openxmlformats.org/spreadsheetml/2006/main" count="854" uniqueCount="332">
  <si>
    <t>CONFIDENTIAL</t>
  </si>
  <si>
    <t>DO NOT DUPLICATE</t>
  </si>
  <si>
    <t>TAP RATE RIDER 
RECONCILIATION MODEL</t>
  </si>
  <si>
    <t>Last Revised</t>
  </si>
  <si>
    <t xml:space="preserve">©Black &amp; Veatch Corporation, 2015. All Rights Reserved. The Black &amp; Veatch </t>
  </si>
  <si>
    <t>name and logo are registered trademarks of Black &amp; Veatch Holding Company.</t>
  </si>
  <si>
    <t>PHILADELPHIA WATER DEPARTMENT</t>
  </si>
  <si>
    <t>Sheet Title</t>
  </si>
  <si>
    <t xml:space="preserve">Description </t>
  </si>
  <si>
    <t>Home</t>
  </si>
  <si>
    <t>Home screen with model revision and data input dates</t>
  </si>
  <si>
    <t>Table of Contents</t>
  </si>
  <si>
    <t xml:space="preserve">Assumptions and Inputs </t>
  </si>
  <si>
    <t>Summary of assumptions and inputs including codified factors and adjustment dashboard</t>
  </si>
  <si>
    <t>Customer</t>
  </si>
  <si>
    <t xml:space="preserve">Customer data including actual and estimated TAP Program Discounts, Billed Water and Sewer Volume for the Most Recent Rate Period </t>
  </si>
  <si>
    <t xml:space="preserve">Summary </t>
  </si>
  <si>
    <t>Table 1 - Summary of TAP rate rider reconciliation calculations / Derivation of TAP-R Surcharges</t>
  </si>
  <si>
    <t>C-Factor</t>
  </si>
  <si>
    <t>Table 2 - Calculation of Projected TAP Lost Billings for the Next Rate Period</t>
  </si>
  <si>
    <t>E-Factor</t>
  </si>
  <si>
    <t>Table 3 - Calculation of Experienced &amp; Estimated Net Over/(Under) Collection (E-Factor) for Most Recent Period</t>
  </si>
  <si>
    <t>E-Factor Prior</t>
  </si>
  <si>
    <t>Table 3-A - Calculation of Experienced &amp; Estimated Net Over/(Under) Collection (E-Factor) for Prior Reconciliation Most Recent Period</t>
  </si>
  <si>
    <t>I-Factor</t>
  </si>
  <si>
    <t>Table 4 - Calculation of Interest on Experienced &amp; Estimated Net Over/(Under) Collection (I-Factor) for Most Recent Period</t>
  </si>
  <si>
    <t>I-Factor Prior</t>
  </si>
  <si>
    <t>Table 4-A - Calculation of Interest on Experienced &amp; Estimated Net Over/(Under) Collection (I-Factor) for Prior Reconciliation Most Recent Period</t>
  </si>
  <si>
    <t>Rates</t>
  </si>
  <si>
    <t xml:space="preserve">Table 5 - Application of TAP-R surcharge to adopted water and sewer quantity charges </t>
  </si>
  <si>
    <t xml:space="preserve">Philadelphia Water Department </t>
  </si>
  <si>
    <t>Tap Rate Rider - Assumptions and Inputs</t>
  </si>
  <si>
    <t>Description</t>
  </si>
  <si>
    <t>Source / Notes</t>
  </si>
  <si>
    <t xml:space="preserve">Location </t>
  </si>
  <si>
    <t>Additional Notes</t>
  </si>
  <si>
    <t>TAP Program Inputs</t>
  </si>
  <si>
    <t>Average Monthly Discount - Most Recent Period ($)</t>
  </si>
  <si>
    <t>Raftelis Financial Consultants</t>
  </si>
  <si>
    <t>TRR_Summary</t>
  </si>
  <si>
    <t xml:space="preserve">Average Monthly Usage - Most Recent Period (cf) </t>
  </si>
  <si>
    <t xml:space="preserve">Estimated TAP Participants - Next Rate Period </t>
  </si>
  <si>
    <t>Estimated TAP Total Discount</t>
  </si>
  <si>
    <t>Volume Projections</t>
  </si>
  <si>
    <t>Non-TAP Sales Adjustment Next Rate Period</t>
  </si>
  <si>
    <t>Not used at this time</t>
  </si>
  <si>
    <t>Convert CCF to MCF (Divide by)</t>
  </si>
  <si>
    <t>TAP Rider Rates</t>
  </si>
  <si>
    <t>Water TAP-R ($/MCF)</t>
  </si>
  <si>
    <t>per MCF</t>
  </si>
  <si>
    <t>Section 10.3(a)(1)</t>
  </si>
  <si>
    <t>Sewer TAP-R ($/MCF)</t>
  </si>
  <si>
    <t>Section 10.3(b)(1)</t>
  </si>
  <si>
    <t>PWD Regulations - Rates and Charges Effective September 1, 2024</t>
  </si>
  <si>
    <t xml:space="preserve">Codified Factors </t>
  </si>
  <si>
    <t xml:space="preserve">Collection Factor </t>
  </si>
  <si>
    <t>Section 10.1(b)(3)</t>
  </si>
  <si>
    <t>Water TAP Cost Allocation (%)</t>
  </si>
  <si>
    <t>Section 10.1(a)(i)</t>
  </si>
  <si>
    <t>Sewer TAP Cost Allocation (%)</t>
  </si>
  <si>
    <t>Section 10.1(a)(ii)</t>
  </si>
  <si>
    <t>Prior Reconciliation Proceeding</t>
  </si>
  <si>
    <t>Interest Rate (%)</t>
  </si>
  <si>
    <t>Section 10.1(b)(4)</t>
  </si>
  <si>
    <r>
      <t xml:space="preserve">Downloaded from: </t>
    </r>
    <r>
      <rPr>
        <u val="singleAccounting"/>
        <sz val="11"/>
        <color theme="3"/>
        <rFont val="Roboto"/>
      </rPr>
      <t xml:space="preserve">https://www.federalreserve.gov/releases/h15/  </t>
    </r>
  </si>
  <si>
    <t>as of</t>
  </si>
  <si>
    <t>Current Reconciliation Proceeding</t>
  </si>
  <si>
    <t>Treasury Constant Maturities, 1 year</t>
  </si>
  <si>
    <t>Reconciliation Period</t>
  </si>
  <si>
    <t>Number of Months</t>
  </si>
  <si>
    <t>Other Inputs</t>
  </si>
  <si>
    <t>TAP Rider Rate Effective Date</t>
  </si>
  <si>
    <t>Next Rate Period End Date</t>
  </si>
  <si>
    <t>Cost of Service Study Start Year</t>
  </si>
  <si>
    <t>Cost of Service Study End Year</t>
  </si>
  <si>
    <t>FY 2027</t>
  </si>
  <si>
    <t>Estimate Period End</t>
  </si>
  <si>
    <t>Prior Reconciliation Factors</t>
  </si>
  <si>
    <t>Water</t>
  </si>
  <si>
    <t>Sewer</t>
  </si>
  <si>
    <t xml:space="preserve">E-Factor Adjustment </t>
  </si>
  <si>
    <t xml:space="preserve">I-Factor Adjustment </t>
  </si>
  <si>
    <t>S-Factor (MCF)</t>
  </si>
  <si>
    <t xml:space="preserve">E + I Factor Component </t>
  </si>
  <si>
    <t>$/MCF</t>
  </si>
  <si>
    <t>Discount Adjustments</t>
  </si>
  <si>
    <t>Senior Discount</t>
  </si>
  <si>
    <t>Section 5.2 (b)</t>
  </si>
  <si>
    <t>PHA Discount</t>
  </si>
  <si>
    <t>PWD Regulations - Rates and Charges Effective September 1, 2025</t>
  </si>
  <si>
    <t>Section 5.2 (d)</t>
  </si>
  <si>
    <t>Non-PHA Discount (Other discount)</t>
  </si>
  <si>
    <t>PWD Regulations - Rates and Charges Effective September 1, 2026</t>
  </si>
  <si>
    <t>Section 5.2 (a), (c) through (n)</t>
  </si>
  <si>
    <t>Most Recent Period</t>
  </si>
  <si>
    <t>September</t>
  </si>
  <si>
    <t>November</t>
  </si>
  <si>
    <t>February</t>
  </si>
  <si>
    <t>March</t>
  </si>
  <si>
    <t>April</t>
  </si>
  <si>
    <t>June</t>
  </si>
  <si>
    <t>August</t>
  </si>
  <si>
    <t>October</t>
  </si>
  <si>
    <t>December</t>
  </si>
  <si>
    <t>January</t>
  </si>
  <si>
    <t>May</t>
  </si>
  <si>
    <t>July</t>
  </si>
  <si>
    <t>MOST RECENT PERIOD TOTAL</t>
  </si>
  <si>
    <t>NEXT RATE PERIOD TOTAL</t>
  </si>
  <si>
    <t>Source</t>
  </si>
  <si>
    <t>Notes</t>
  </si>
  <si>
    <t xml:space="preserve">TAP Program </t>
  </si>
  <si>
    <t>Actuals (Reconciled Period)</t>
  </si>
  <si>
    <t>Most Recent Period (Actuals)</t>
  </si>
  <si>
    <t>Most Recent Period (Estimated)</t>
  </si>
  <si>
    <t xml:space="preserve">Estimated (Next Rate Period) </t>
  </si>
  <si>
    <t>Participants (#)</t>
  </si>
  <si>
    <t>Totals</t>
  </si>
  <si>
    <t>Estimates reflect Raftelis' projections.</t>
  </si>
  <si>
    <t>TAP Discounts ($)</t>
  </si>
  <si>
    <t>Allocated TAP Discounts</t>
  </si>
  <si>
    <t xml:space="preserve">Allocated share to Water </t>
  </si>
  <si>
    <t>Allocated share to Sewer</t>
  </si>
  <si>
    <t>check</t>
  </si>
  <si>
    <t>Water - Monthly Billed Water Volume (CCF)</t>
  </si>
  <si>
    <t>TAP</t>
  </si>
  <si>
    <t>TAP Participants</t>
  </si>
  <si>
    <t>Non-TAP</t>
  </si>
  <si>
    <t xml:space="preserve">Estimates assume constant monthly average based upon prior 12 months </t>
  </si>
  <si>
    <t>No Additional Discount</t>
  </si>
  <si>
    <t xml:space="preserve">Non-TAP (Adjusted for Discounts) </t>
  </si>
  <si>
    <t>Total</t>
  </si>
  <si>
    <t>USE NON-TAP SALES</t>
  </si>
  <si>
    <t>Sewer - Monthly Billed Water Volume (CCF)</t>
  </si>
  <si>
    <t>Estimates assume constant monthly average based upon prior 12 months</t>
  </si>
  <si>
    <t>TOTAL</t>
  </si>
  <si>
    <t xml:space="preserve">Water </t>
  </si>
  <si>
    <t xml:space="preserve">Wastewater </t>
  </si>
  <si>
    <t xml:space="preserve">Amount </t>
  </si>
  <si>
    <t>(1)</t>
  </si>
  <si>
    <t>(2)</t>
  </si>
  <si>
    <t>(3)</t>
  </si>
  <si>
    <t>(4)</t>
  </si>
  <si>
    <t>(5)</t>
  </si>
  <si>
    <t>(6)</t>
  </si>
  <si>
    <t>/MCF</t>
  </si>
  <si>
    <t xml:space="preserve">Notes: </t>
  </si>
  <si>
    <t>a</t>
  </si>
  <si>
    <t xml:space="preserve">Recoverable TAP Billing Loss for the Next Rate Period.  Refer to Table 2 for additional information. </t>
  </si>
  <si>
    <t>b</t>
  </si>
  <si>
    <t xml:space="preserve">Actual TAP Discounts versus TAP Revenue Collection for the Most Recent Period.  Refer to Tables 3-W and 3-WW for further information. </t>
  </si>
  <si>
    <t>c</t>
  </si>
  <si>
    <t>d</t>
  </si>
  <si>
    <t>Net Recoverable Costs.</t>
  </si>
  <si>
    <t>e</t>
  </si>
  <si>
    <t>f</t>
  </si>
  <si>
    <t>TAP-R Surcharge for the Next Rate Period.</t>
  </si>
  <si>
    <t>Period</t>
  </si>
  <si>
    <t>Billing</t>
  </si>
  <si>
    <t>Total Actual TAP</t>
  </si>
  <si>
    <t>Billed TAP</t>
  </si>
  <si>
    <t>Total TAP-R</t>
  </si>
  <si>
    <t>Adjusted Actual TAP</t>
  </si>
  <si>
    <t>Billed Non-TAP</t>
  </si>
  <si>
    <t>TAP-R Billed</t>
  </si>
  <si>
    <t>Estimated TAP-R</t>
  </si>
  <si>
    <t>Over/(Under)</t>
  </si>
  <si>
    <t>Discounts</t>
  </si>
  <si>
    <t>Water Sales</t>
  </si>
  <si>
    <t xml:space="preserve">Billed </t>
  </si>
  <si>
    <t>Non-Tap Water Sales</t>
  </si>
  <si>
    <t xml:space="preserve">Revenues </t>
  </si>
  <si>
    <t>Collection</t>
  </si>
  <si>
    <t xml:space="preserve">(Credits) </t>
  </si>
  <si>
    <t>(Mcf)</t>
  </si>
  <si>
    <t>to TAP Participants</t>
  </si>
  <si>
    <t>Experienced</t>
  </si>
  <si>
    <t>(8) = (7) - (4)</t>
  </si>
  <si>
    <t>Prior E &amp; I Factor Adjustments</t>
  </si>
  <si>
    <t>(a)</t>
  </si>
  <si>
    <t>(e)</t>
  </si>
  <si>
    <t>Adjustment for Prior Estimates</t>
  </si>
  <si>
    <t>From Table 3-W-A</t>
  </si>
  <si>
    <t>Notes:</t>
  </si>
  <si>
    <t>Total E-Factor Recovery</t>
  </si>
  <si>
    <t>Line 2 in Summary Table</t>
  </si>
  <si>
    <t>(a) - Actuals</t>
  </si>
  <si>
    <t>(e) - Estimated</t>
  </si>
  <si>
    <t>Billed</t>
  </si>
  <si>
    <t>Sewer Volume</t>
  </si>
  <si>
    <t>From Table 3-WW-A</t>
  </si>
  <si>
    <t>Original Estimates</t>
  </si>
  <si>
    <t>Adjustment</t>
  </si>
  <si>
    <t>(9)</t>
  </si>
  <si>
    <t>(10) = (8) - (9)</t>
  </si>
  <si>
    <t xml:space="preserve">Total </t>
  </si>
  <si>
    <t xml:space="preserve"> Included in Table 3-W</t>
  </si>
  <si>
    <t xml:space="preserve">(8) - Updated Over/(Under) Collection </t>
  </si>
  <si>
    <t xml:space="preserve">(10) - Difference between Updated Over/(Under) Collection and Original Estimates. </t>
  </si>
  <si>
    <r>
      <rPr>
        <b/>
        <sz val="10"/>
        <color theme="1"/>
        <rFont val="Roboto"/>
      </rPr>
      <t>Adjustment for Prior Estimates</t>
    </r>
    <r>
      <rPr>
        <sz val="10"/>
        <color theme="1"/>
        <rFont val="Roboto"/>
      </rPr>
      <t xml:space="preserve"> </t>
    </r>
  </si>
  <si>
    <t>Included in Table 3-WW</t>
  </si>
  <si>
    <t>DETAILED VIEW - MAKE EDITS BELOW FIRST</t>
  </si>
  <si>
    <t>Table 3-W-A - Prior Reconciliation Adjustment - Experienced &amp; Estimated Net Over/(Under) Collection (E-Factor) for Most Recent Period</t>
  </si>
  <si>
    <t>Prior Reconciliation Period with Updated Actuals</t>
  </si>
  <si>
    <t>Prior Reconciliation Period with Original Estimates</t>
  </si>
  <si>
    <t xml:space="preserve">Delta </t>
  </si>
  <si>
    <t>Prior Period</t>
  </si>
  <si>
    <t>(17) = (8) - (16)</t>
  </si>
  <si>
    <t xml:space="preserve">Prior Reconciliation with Updated Actuals </t>
  </si>
  <si>
    <t>Prior Reconciliation with Original Estimates</t>
  </si>
  <si>
    <t xml:space="preserve">(10) - TAP Discounts and billed sales volume reflect projections developed by Raftelis.  Refer to 2024 Annual Rate Adjustment. </t>
  </si>
  <si>
    <t>All Calculations</t>
  </si>
  <si>
    <t xml:space="preserve">Table 3-WW-A - Prior Reconciliation Adjustment - Experienced &amp; Estimated Net Over/(Under) Collection (E-Factor) for Most Recent Period </t>
  </si>
  <si>
    <t>Difference in</t>
  </si>
  <si>
    <t xml:space="preserve">Anticipated E+I </t>
  </si>
  <si>
    <t xml:space="preserve">Remaining E+I </t>
  </si>
  <si>
    <t xml:space="preserve">Cumulative </t>
  </si>
  <si>
    <t xml:space="preserve">Estimated Monthly </t>
  </si>
  <si>
    <t>Recovery</t>
  </si>
  <si>
    <t>Over/(Under) Collection</t>
  </si>
  <si>
    <t>Interest Owed/</t>
  </si>
  <si>
    <t>Water Portion</t>
  </si>
  <si>
    <t>Relative to Revenue Requirements</t>
  </si>
  <si>
    <t>(Interest to be Recouped)</t>
  </si>
  <si>
    <t>From Table 3-W</t>
  </si>
  <si>
    <t xml:space="preserve">(5) </t>
  </si>
  <si>
    <t>Total I-Factor Recovery</t>
  </si>
  <si>
    <t>Line 3 in Summary Table</t>
  </si>
  <si>
    <t>(1) Difference in collection from Total of Column 8 - Table 3-W.</t>
  </si>
  <si>
    <t>(2) Billed Water Sales Volume from Column 5 - Table 3-W.</t>
  </si>
  <si>
    <t xml:space="preserve">(3) Anticipated Water Portion of E+I Recovery based upon the rate component of the 2024 TAP-R Determination. </t>
  </si>
  <si>
    <t xml:space="preserve">(4) Remaining E+I to be recovered. </t>
  </si>
  <si>
    <t>Sewer Portion</t>
  </si>
  <si>
    <t>From Table 3-WW</t>
  </si>
  <si>
    <t>(1) Difference in collection from Total of Column 8 - Table 3-WW.</t>
  </si>
  <si>
    <t>(2) Billed Water Sales Volume from Column 5 - Table 3-WW.</t>
  </si>
  <si>
    <t>Included in Table 4-W</t>
  </si>
  <si>
    <t>(1) Difference in collection from Total of Column 8 - Table 3-W-A.</t>
  </si>
  <si>
    <t>Included in Table 4-WW</t>
  </si>
  <si>
    <t>(1) Difference in collection from Total of Column 8 - Table 3-WW-A.</t>
  </si>
  <si>
    <t xml:space="preserve">Table 4 -W-A - Interest on Experienced &amp; Estimated Net Over/(Under) Collection (I-Factor) for Most Recent Period </t>
  </si>
  <si>
    <t>Estimates</t>
  </si>
  <si>
    <t>Table 4 -WW-A - Interest on Experienced &amp; Estimated Net Over/(Under) Collection (I-Factor) for Most Recent Period</t>
  </si>
  <si>
    <t xml:space="preserve">Base </t>
  </si>
  <si>
    <t>TAP-R  Surcharge</t>
  </si>
  <si>
    <t>Proposed</t>
  </si>
  <si>
    <t>Water Quantity Charges</t>
  </si>
  <si>
    <t>($/Mcf)</t>
  </si>
  <si>
    <t>0 to 2 Mcf</t>
  </si>
  <si>
    <t>2.1 to 100 Mcf</t>
  </si>
  <si>
    <t>100.1 to 2,000 Mcf</t>
  </si>
  <si>
    <t>2,000 + Mcf</t>
  </si>
  <si>
    <t xml:space="preserve">Sewer Quantity Charges </t>
  </si>
  <si>
    <t>Sewer Volume Rate</t>
  </si>
  <si>
    <t xml:space="preserve">The final quantity charges (including the TAP-R surcharge) will be in the final PWD Rates and Charges, if approved. </t>
  </si>
  <si>
    <t>Prior Rates September 1, 2024</t>
  </si>
  <si>
    <t>Current Rates Effective September 1, 2025</t>
  </si>
  <si>
    <t>FY 2028</t>
  </si>
  <si>
    <t>August 2026</t>
  </si>
  <si>
    <t>CY 2024</t>
  </si>
  <si>
    <t>CY 2025</t>
  </si>
  <si>
    <t>CY 2026</t>
  </si>
  <si>
    <t>CY 2027</t>
  </si>
  <si>
    <t>rates-and-charges-2025-09-01.pdf</t>
  </si>
  <si>
    <t>Next Rate Period (FY 2026-27)</t>
  </si>
  <si>
    <t>From 2025 Annual Rate Adjustment Table 3-W</t>
  </si>
  <si>
    <t>From 2025 Annual Rate Adjustment Table 3-WW</t>
  </si>
  <si>
    <t>From 2025 Annual Rate Adjustment Table 4-W</t>
  </si>
  <si>
    <t>From 2025 Annual Rate Adjustment Table 4-WW</t>
  </si>
  <si>
    <t>January 2026</t>
  </si>
  <si>
    <t xml:space="preserve">(10) - TAP Discounts and billed sales volume reflect projections developed by Raftelis.  Refer to 2025 Annual Rate Adjustment. </t>
  </si>
  <si>
    <t xml:space="preserve">(5) - Billed Non-TAP Water Sales, updated to reflect actual billed water sales volumes for April 2025 through August 2025. </t>
  </si>
  <si>
    <t>(5) - Updated to reflect actual billed water sales volumes for April 2025 through August 2025.</t>
  </si>
  <si>
    <t>(13) - Estimated billed water sales volumes for April 2025 through August 2025 based upon average sales for prior 12 month period.</t>
  </si>
  <si>
    <t>(5) - Updated to reflect actual billed sewer volumes for April 2025 through August 2025.</t>
  </si>
  <si>
    <t>(13) - Estimated billed sewer volumes for April 2025 through August 2025 based upon average sales for prior 12 month period.</t>
  </si>
  <si>
    <t xml:space="preserve">(8) - Over/(Under) Collection is based upon Rates that are inclusive of Prior E-Factor and I-Factor.  The presented "Prior E &amp; I Factor Adjustments" includes these amounts from 2025 Annual Rate Adjustment.  </t>
  </si>
  <si>
    <t>(8) - Over/(Under) Collection is based upon Rates that are inclusive of Prior E-Factor and I-Factor. The presented "Prior E &amp; I Factor Adjustments" includes these amounts from 2025 Annual Rate Adjustment.</t>
  </si>
  <si>
    <t xml:space="preserve">(3) Anticipated Water Portion of E+I Recovery based upon the rate component of the 2025 TAP-R Determination. </t>
  </si>
  <si>
    <t>(3) Anticipated Sewer Portion of E+I Recovery based upon the rate component of the 2025 TAP-R Determination.</t>
  </si>
  <si>
    <t>(7)</t>
  </si>
  <si>
    <t xml:space="preserve">(8) </t>
  </si>
  <si>
    <t>(9) = (8) * [4.17% / 12]</t>
  </si>
  <si>
    <t>(10) = (6) - ('9)</t>
  </si>
  <si>
    <t>(7) Remaining E+I Recovery from Column 4 - Table 4-W (Prior Reconciliation).</t>
  </si>
  <si>
    <t>(7) Remaining E+I Recovery from Column 4 - Table 4-WW (Prior Reconciliation).</t>
  </si>
  <si>
    <t>(2) Billed Water Sales Volume from Column 5 - Table 3-WW-A.</t>
  </si>
  <si>
    <t>(2) Billed Water Sales Volume from Column 5 - Table 3-W-A.</t>
  </si>
  <si>
    <t>(8) = (6) - (7)</t>
  </si>
  <si>
    <t>(7) Estimated Monthly Interest Owed/(Interest to be Recouped) from Total of Column 6 - Table 4-WW (Prior Reconciliation).</t>
  </si>
  <si>
    <t>(7) Estimated Monthly Interest Owed/(Interest to be Recouped) from Total of Column 6 - Table 4-W (Prior Reconciliation).</t>
  </si>
  <si>
    <t>Updated 1/20/26</t>
  </si>
  <si>
    <t>Anticipated E+I Recovery</t>
  </si>
  <si>
    <t>From 2025 Annual Rate Adjustment Table 4-W-A</t>
  </si>
  <si>
    <t>From 2025 Annual Rate Adjustment Table 4-WW-A</t>
  </si>
  <si>
    <t>TAP RATE RIDER RECONCILIATION WORKBOOK - SHEET INDEX</t>
  </si>
  <si>
    <t>From 2025 Annual Rate Adjustment Table 1</t>
  </si>
  <si>
    <t>Adopted</t>
  </si>
  <si>
    <t>Estimate Period Start</t>
  </si>
  <si>
    <t>(2) - Estimated TAP Discount per participant and estimated billed sales volume per participant reflect projections developed by Raftelis. Refer to PWD-5.</t>
  </si>
  <si>
    <t>(2) - Updated TAP Discounts and billed sales volume to reflect actuals for April 2025 through August 2025 as provided by Raftelis.  Refer to Schedule PWD-5.</t>
  </si>
  <si>
    <t>(10)</t>
  </si>
  <si>
    <t>(11) = (10) * $ 3.080/Mcf</t>
  </si>
  <si>
    <t>(12) = [(9) - (11)]* 0.9699</t>
  </si>
  <si>
    <t>(13)</t>
  </si>
  <si>
    <t>(14) = (13) * $ 3.080/Mcf</t>
  </si>
  <si>
    <t>(15) = (14) * 0.9699</t>
  </si>
  <si>
    <t>(16) = (15) - (12)</t>
  </si>
  <si>
    <t>(11) = (10) * $ 4.400/Mcf</t>
  </si>
  <si>
    <t>(14) = (13) * $ 4.400/Mcf</t>
  </si>
  <si>
    <t>Actuals (Prior Proceeding(s))</t>
  </si>
  <si>
    <t>PWD-5 DR_3A &amp; TRR_Projections</t>
  </si>
  <si>
    <t>PWD-5 DR_4 &amp; TRR_Projections</t>
  </si>
  <si>
    <t>PWD-5 DR_1 &amp; TRR_Projections</t>
  </si>
  <si>
    <t>PWD-5 DR_1</t>
  </si>
  <si>
    <t>PWD-5 DR_2 &amp; TRR_Projections</t>
  </si>
  <si>
    <t>PWD-5 DR_2</t>
  </si>
  <si>
    <t>Prior Most Recent Period (Prior Reconciliation Period)</t>
  </si>
  <si>
    <t xml:space="preserve"> Calculation of TAP Rider Rates Effective September 1, 2026</t>
  </si>
  <si>
    <t>C = Projected TAP Billing Loss</t>
  </si>
  <si>
    <t>E = Experienced &amp; Estimated Net Over/Under Collection</t>
  </si>
  <si>
    <t>I = Interest on Experienced &amp; Estimated Net Over/Under Collection</t>
  </si>
  <si>
    <t>Net Recoverable Costs: (C) - (E + I)</t>
  </si>
  <si>
    <t>S = Projected Non-TAP Sales for Next Rate Period (MCF)</t>
  </si>
  <si>
    <r>
      <t>TAP-R Surcharge:</t>
    </r>
    <r>
      <rPr>
        <sz val="11"/>
        <color theme="1"/>
        <rFont val="Roboto"/>
      </rPr>
      <t xml:space="preserve">   (4)/(5)</t>
    </r>
  </si>
  <si>
    <t>Projected TAP Billing Loss</t>
  </si>
  <si>
    <t xml:space="preserve">Projected TAP Lost Revenue (C-Factor) for Next Rate Period </t>
  </si>
  <si>
    <t>Experienced &amp; Estimated Net Over/(Under) Collection (E-Factor) for Most Recent Period</t>
  </si>
  <si>
    <t>Prior Reconciliation Adjustment - Experienced &amp; Estimated Net Over/(Under) Collection (E-Factor) for Most Recent Period</t>
  </si>
  <si>
    <t xml:space="preserve">Prior Reconciliation Adjustment - Experienced &amp; Estimated Net Over/(Under) Collection (E-Factor) for Most Recent Period </t>
  </si>
  <si>
    <t>W - Interest on Experienced &amp; Estimated Net Over/(Under) Collection (I-Factor) for Most Recent Period</t>
  </si>
  <si>
    <t>WW - Interest on Experienced &amp; Estimated Net Over/(Under) Collection (I-Factor) for Most Recent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</si>
</sst>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* #,##0_);_(* \(#,##0\);_(* &quot;-&quot;??_);_(@_)"/>
    <numFmt numFmtId="166" formatCode="_(&quot;$&quot;* #,##0.000_);_(&quot;$&quot;* \(#,##0.000\);_(&quot;$&quot;* &quot;-&quot;??_);_(@_)"/>
    <numFmt numFmtId="167" formatCode="_(&quot;$&quot;* #,##0_);_(&quot;$&quot;* \(#,##0\);_(&quot;$&quot;* &quot;-&quot;??_);_(@_)"/>
    <numFmt numFmtId="168" formatCode="0.0%"/>
    <numFmt numFmtId="169" formatCode="[$-409]mmm\-yy;@"/>
    <numFmt numFmtId="170" formatCode="_(&quot;$&quot;* #,##0.00000_);_(&quot;$&quot;* \(#,##0.00000\);_(&quot;$&quot;* &quot;-&quot;??_);_(@_)"/>
    <numFmt numFmtId="171" formatCode="#\ ##/12"/>
    <numFmt numFmtId="172" formatCode="m/d;@"/>
    <numFmt numFmtId="173" formatCode="0.000"/>
    <numFmt numFmtId="174" formatCode="_(* #,##0.00000_);_(* \(#,##0.00000\);_(* &quot;-&quot;??_);_(@_)"/>
  </numFmts>
  <fonts count="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b/>
      <sz val="12"/>
      <color theme="1"/>
      <name val="Roboto"/>
    </font>
    <font>
      <sz val="10"/>
      <color theme="1"/>
      <name val="Roboto"/>
    </font>
    <font>
      <b/>
      <sz val="11"/>
      <color rgb="FFFF0000"/>
      <name val="Roboto"/>
    </font>
    <font>
      <b/>
      <sz val="11"/>
      <name val="Roboto"/>
    </font>
    <font>
      <sz val="11"/>
      <color theme="3"/>
      <name val="Roboto"/>
    </font>
    <font>
      <sz val="11"/>
      <name val="Roboto"/>
    </font>
    <font>
      <sz val="11"/>
      <color theme="0"/>
      <name val="Roboto"/>
    </font>
    <font>
      <sz val="9"/>
      <color theme="0"/>
      <name val="Roboto"/>
    </font>
    <font>
      <sz val="8"/>
      <color theme="1"/>
      <name val="Roboto"/>
    </font>
    <font>
      <sz val="11"/>
      <color theme="2"/>
      <name val="Roboto"/>
    </font>
    <font>
      <b/>
      <sz val="10"/>
      <color theme="1"/>
      <name val="Roboto"/>
    </font>
    <font>
      <b/>
      <sz val="11"/>
      <color theme="3"/>
      <name val="Roboto"/>
    </font>
    <font>
      <sz val="11"/>
      <color theme="3" tint="-0.499984740745262"/>
      <name val="Roboto"/>
    </font>
    <font>
      <u/>
      <sz val="10"/>
      <color theme="1"/>
      <name val="Roboto"/>
    </font>
    <font>
      <b/>
      <u/>
      <sz val="12"/>
      <color theme="3"/>
      <name val="Roboto"/>
    </font>
    <font>
      <b/>
      <sz val="11"/>
      <color theme="1" tint="0.499984740745262"/>
      <name val="Roboto"/>
    </font>
    <font>
      <b/>
      <i/>
      <sz val="11"/>
      <color theme="1" tint="0.499984740745262"/>
      <name val="Roboto"/>
    </font>
    <font>
      <b/>
      <sz val="11"/>
      <color theme="0"/>
      <name val="Roboto"/>
    </font>
    <font>
      <i/>
      <sz val="11"/>
      <color theme="1"/>
      <name val="Roboto"/>
    </font>
    <font>
      <sz val="11"/>
      <color rgb="FF0000FF"/>
      <name val="Roboto"/>
    </font>
    <font>
      <b/>
      <sz val="11"/>
      <color rgb="FFC00000"/>
      <name val="Roboto"/>
    </font>
    <font>
      <b/>
      <sz val="12"/>
      <color rgb="FF626662"/>
      <name val="Roboto"/>
    </font>
    <font>
      <sz val="12"/>
      <color rgb="FF626662"/>
      <name val="Roboto"/>
    </font>
    <font>
      <sz val="12"/>
      <color theme="1"/>
      <name val="Roboto"/>
    </font>
    <font>
      <b/>
      <sz val="12"/>
      <color rgb="FFC00000"/>
      <name val="Roboto"/>
    </font>
    <font>
      <b/>
      <sz val="16"/>
      <color rgb="FF626662"/>
      <name val="Roboto"/>
    </font>
    <font>
      <sz val="16"/>
      <color rgb="FF626662"/>
      <name val="Roboto"/>
    </font>
    <font>
      <b/>
      <sz val="28"/>
      <color theme="6"/>
      <name val="Roboto"/>
    </font>
    <font>
      <b/>
      <sz val="12"/>
      <color rgb="FF0000FF"/>
      <name val="Roboto"/>
    </font>
    <font>
      <sz val="10"/>
      <name val="Roboto"/>
    </font>
    <font>
      <sz val="12"/>
      <color theme="6"/>
      <name val="Roboto"/>
    </font>
    <font>
      <sz val="12"/>
      <color theme="0"/>
      <name val="Roboto"/>
    </font>
    <font>
      <u/>
      <sz val="11"/>
      <color theme="10"/>
      <name val="Roboto"/>
    </font>
    <font>
      <sz val="11"/>
      <color rgb="FFFF0000"/>
      <name val="Roboto"/>
    </font>
    <font>
      <i/>
      <sz val="11"/>
      <name val="Roboto"/>
    </font>
    <font>
      <i/>
      <sz val="11"/>
      <color rgb="FFFF0000"/>
      <name val="Roboto"/>
    </font>
    <font>
      <sz val="11"/>
      <color theme="10"/>
      <name val="Roboto"/>
    </font>
    <font>
      <u val="singleAccounting"/>
      <sz val="11"/>
      <color theme="3"/>
      <name val="Roboto"/>
    </font>
    <font>
      <sz val="11"/>
      <color theme="7"/>
      <name val="Roboto"/>
    </font>
    <font>
      <b/>
      <sz val="10"/>
      <name val="Roboto"/>
    </font>
    <font>
      <b/>
      <sz val="10"/>
      <color theme="1" tint="4.9989318521683403E-2"/>
      <name val="Roboto"/>
    </font>
    <font>
      <b/>
      <i/>
      <sz val="11"/>
      <color theme="0" tint="-0.499984740745262"/>
      <name val="Roboto"/>
    </font>
    <font>
      <sz val="11"/>
      <color theme="0" tint="-0.499984740745262"/>
      <name val="Roboto"/>
    </font>
    <font>
      <vertAlign val="superscript"/>
      <sz val="9"/>
      <color theme="1"/>
      <name val="Roboto"/>
    </font>
    <font>
      <sz val="9"/>
      <color theme="1"/>
      <name val="Roboto"/>
    </font>
    <font>
      <b/>
      <sz val="11"/>
      <color rgb="FF0000FF"/>
      <name val="Roboto"/>
    </font>
    <font>
      <sz val="11"/>
      <color rgb="FFC00000"/>
      <name val="Roboto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Gisha"/>
      <family val="2"/>
    </font>
    <font>
      <sz val="9"/>
      <name val="Roboto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 applyNumberForma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0" fontId="7" fillId="0" borderId="18" applyNumberFormat="0" applyFill="0" applyAlignment="0" applyProtection="0"/>
    <xf numFmtId="0" fontId="8" fillId="0" borderId="19" applyNumberFormat="0" applyFill="0" applyAlignment="0" applyProtection="0"/>
    <xf numFmtId="0" fontId="9" fillId="0" borderId="20" applyNumberFormat="0" applyFill="0" applyAlignment="0" applyProtection="0"/>
    <xf numFmtId="0" fontId="9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1" borderId="21" applyNumberFormat="0" applyAlignment="0" applyProtection="0"/>
    <xf numFmtId="0" fontId="13" fillId="22" borderId="22" applyNumberFormat="0" applyAlignment="0" applyProtection="0"/>
    <xf numFmtId="0" fontId="14" fillId="22" borderId="21" applyNumberFormat="0" applyAlignment="0" applyProtection="0"/>
    <xf numFmtId="0" fontId="15" fillId="0" borderId="23" applyNumberFormat="0" applyFill="0" applyAlignment="0" applyProtection="0"/>
    <xf numFmtId="0" fontId="16" fillId="23" borderId="24" applyNumberFormat="0" applyAlignment="0" applyProtection="0"/>
    <xf numFmtId="0" fontId="17" fillId="0" borderId="0" applyNumberFormat="0" applyFill="0" applyBorder="0" applyAlignment="0" applyProtection="0"/>
    <xf numFmtId="0" fontId="1" fillId="24" borderId="25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26" applyNumberFormat="0" applyFill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0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2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20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21" fillId="20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36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0" fillId="48" borderId="0" applyNumberFormat="0" applyBorder="0" applyAlignment="0" applyProtection="0"/>
    <xf numFmtId="0" fontId="3" fillId="0" borderId="0"/>
    <xf numFmtId="0" fontId="3" fillId="0" borderId="0"/>
  </cellStyleXfs>
  <cellXfs count="349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right"/>
    </xf>
    <xf numFmtId="0" fontId="23" fillId="2" borderId="0" xfId="0" applyFont="1" applyFill="1" applyAlignment="1">
      <alignment horizontal="centerContinuous"/>
    </xf>
    <xf numFmtId="0" fontId="23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44" fontId="22" fillId="0" borderId="0" xfId="2" applyFont="1"/>
    <xf numFmtId="44" fontId="22" fillId="0" borderId="0" xfId="0" applyNumberFormat="1" applyFont="1"/>
    <xf numFmtId="0" fontId="25" fillId="0" borderId="0" xfId="0" applyFont="1"/>
    <xf numFmtId="165" fontId="22" fillId="0" borderId="0" xfId="1" applyNumberFormat="1" applyFont="1"/>
    <xf numFmtId="164" fontId="22" fillId="0" borderId="0" xfId="0" applyNumberFormat="1" applyFont="1"/>
    <xf numFmtId="165" fontId="22" fillId="0" borderId="0" xfId="0" applyNumberFormat="1" applyFont="1"/>
    <xf numFmtId="43" fontId="22" fillId="0" borderId="0" xfId="0" applyNumberFormat="1" applyFont="1"/>
    <xf numFmtId="0" fontId="25" fillId="0" borderId="0" xfId="0" applyFont="1" applyAlignment="1">
      <alignment horizontal="right"/>
    </xf>
    <xf numFmtId="167" fontId="25" fillId="0" borderId="0" xfId="0" applyNumberFormat="1" applyFont="1"/>
    <xf numFmtId="167" fontId="26" fillId="0" borderId="0" xfId="0" quotePrefix="1" applyNumberFormat="1" applyFont="1" applyAlignment="1">
      <alignment horizontal="right"/>
    </xf>
    <xf numFmtId="2" fontId="22" fillId="0" borderId="0" xfId="2" applyNumberFormat="1" applyFont="1"/>
    <xf numFmtId="167" fontId="22" fillId="0" borderId="0" xfId="0" quotePrefix="1" applyNumberFormat="1" applyFont="1"/>
    <xf numFmtId="0" fontId="23" fillId="3" borderId="0" xfId="0" applyFont="1" applyFill="1" applyAlignment="1">
      <alignment horizontal="centerContinuous"/>
    </xf>
    <xf numFmtId="0" fontId="22" fillId="3" borderId="0" xfId="0" applyFont="1" applyFill="1" applyAlignment="1">
      <alignment horizontal="centerContinuous"/>
    </xf>
    <xf numFmtId="167" fontId="22" fillId="0" borderId="0" xfId="0" applyNumberFormat="1" applyFont="1"/>
    <xf numFmtId="14" fontId="22" fillId="0" borderId="0" xfId="0" applyNumberFormat="1" applyFont="1"/>
    <xf numFmtId="0" fontId="30" fillId="5" borderId="6" xfId="0" applyFont="1" applyFill="1" applyBorder="1" applyAlignment="1">
      <alignment horizontal="center"/>
    </xf>
    <xf numFmtId="0" fontId="30" fillId="5" borderId="7" xfId="0" applyFont="1" applyFill="1" applyBorder="1" applyAlignment="1">
      <alignment horizontal="center"/>
    </xf>
    <xf numFmtId="0" fontId="31" fillId="5" borderId="7" xfId="0" applyFont="1" applyFill="1" applyBorder="1" applyAlignment="1">
      <alignment horizontal="center"/>
    </xf>
    <xf numFmtId="166" fontId="31" fillId="5" borderId="7" xfId="2" applyNumberFormat="1" applyFont="1" applyFill="1" applyBorder="1"/>
    <xf numFmtId="10" fontId="31" fillId="5" borderId="7" xfId="3" applyNumberFormat="1" applyFont="1" applyFill="1" applyBorder="1" applyAlignment="1">
      <alignment horizontal="center"/>
    </xf>
    <xf numFmtId="168" fontId="31" fillId="5" borderId="7" xfId="0" applyNumberFormat="1" applyFont="1" applyFill="1" applyBorder="1" applyAlignment="1">
      <alignment horizontal="center"/>
    </xf>
    <xf numFmtId="0" fontId="30" fillId="5" borderId="8" xfId="0" applyFont="1" applyFill="1" applyBorder="1" applyAlignment="1">
      <alignment horizontal="center"/>
    </xf>
    <xf numFmtId="0" fontId="31" fillId="5" borderId="8" xfId="0" quotePrefix="1" applyFont="1" applyFill="1" applyBorder="1" applyAlignment="1">
      <alignment horizontal="center"/>
    </xf>
    <xf numFmtId="0" fontId="31" fillId="5" borderId="8" xfId="0" applyFont="1" applyFill="1" applyBorder="1" applyAlignment="1">
      <alignment horizontal="center"/>
    </xf>
    <xf numFmtId="0" fontId="23" fillId="11" borderId="0" xfId="0" applyFont="1" applyFill="1"/>
    <xf numFmtId="0" fontId="22" fillId="11" borderId="0" xfId="0" applyFont="1" applyFill="1"/>
    <xf numFmtId="0" fontId="23" fillId="11" borderId="0" xfId="0" applyFont="1" applyFill="1" applyAlignment="1">
      <alignment horizontal="right"/>
    </xf>
    <xf numFmtId="167" fontId="23" fillId="11" borderId="0" xfId="2" applyNumberFormat="1" applyFont="1" applyFill="1"/>
    <xf numFmtId="0" fontId="23" fillId="0" borderId="0" xfId="0" applyFont="1"/>
    <xf numFmtId="169" fontId="22" fillId="10" borderId="0" xfId="0" applyNumberFormat="1" applyFont="1" applyFill="1" applyAlignment="1">
      <alignment horizontal="right"/>
    </xf>
    <xf numFmtId="167" fontId="22" fillId="10" borderId="0" xfId="0" applyNumberFormat="1" applyFont="1" applyFill="1"/>
    <xf numFmtId="165" fontId="22" fillId="10" borderId="0" xfId="1" applyNumberFormat="1" applyFont="1" applyFill="1" applyBorder="1"/>
    <xf numFmtId="167" fontId="22" fillId="10" borderId="0" xfId="2" applyNumberFormat="1" applyFont="1" applyFill="1" applyBorder="1"/>
    <xf numFmtId="169" fontId="22" fillId="3" borderId="0" xfId="0" applyNumberFormat="1" applyFont="1" applyFill="1" applyAlignment="1">
      <alignment horizontal="right"/>
    </xf>
    <xf numFmtId="167" fontId="22" fillId="3" borderId="0" xfId="2" applyNumberFormat="1" applyFont="1" applyFill="1" applyBorder="1"/>
    <xf numFmtId="165" fontId="22" fillId="3" borderId="0" xfId="1" applyNumberFormat="1" applyFont="1" applyFill="1" applyBorder="1"/>
    <xf numFmtId="167" fontId="22" fillId="3" borderId="0" xfId="0" applyNumberFormat="1" applyFont="1" applyFill="1"/>
    <xf numFmtId="0" fontId="23" fillId="10" borderId="0" xfId="0" applyFont="1" applyFill="1"/>
    <xf numFmtId="167" fontId="22" fillId="0" borderId="0" xfId="2" applyNumberFormat="1" applyFont="1" applyFill="1"/>
    <xf numFmtId="165" fontId="22" fillId="0" borderId="0" xfId="1" applyNumberFormat="1" applyFont="1" applyFill="1"/>
    <xf numFmtId="167" fontId="22" fillId="3" borderId="0" xfId="2" applyNumberFormat="1" applyFont="1" applyFill="1"/>
    <xf numFmtId="0" fontId="32" fillId="0" borderId="0" xfId="0" applyFont="1" applyAlignment="1">
      <alignment horizontal="left" indent="1"/>
    </xf>
    <xf numFmtId="0" fontId="23" fillId="2" borderId="9" xfId="0" applyFont="1" applyFill="1" applyBorder="1"/>
    <xf numFmtId="167" fontId="23" fillId="2" borderId="10" xfId="0" applyNumberFormat="1" applyFont="1" applyFill="1" applyBorder="1"/>
    <xf numFmtId="0" fontId="25" fillId="0" borderId="0" xfId="0" applyFont="1" applyAlignment="1">
      <alignment horizontal="left" indent="1"/>
    </xf>
    <xf numFmtId="10" fontId="31" fillId="5" borderId="7" xfId="0" applyNumberFormat="1" applyFont="1" applyFill="1" applyBorder="1" applyAlignment="1">
      <alignment horizontal="center"/>
    </xf>
    <xf numFmtId="165" fontId="22" fillId="3" borderId="0" xfId="1" applyNumberFormat="1" applyFont="1" applyFill="1"/>
    <xf numFmtId="169" fontId="22" fillId="0" borderId="0" xfId="0" applyNumberFormat="1" applyFont="1"/>
    <xf numFmtId="3" fontId="22" fillId="0" borderId="0" xfId="0" applyNumberFormat="1" applyFont="1"/>
    <xf numFmtId="41" fontId="22" fillId="0" borderId="0" xfId="0" applyNumberFormat="1" applyFont="1"/>
    <xf numFmtId="0" fontId="23" fillId="15" borderId="11" xfId="0" applyFont="1" applyFill="1" applyBorder="1" applyAlignment="1">
      <alignment horizontal="centerContinuous"/>
    </xf>
    <xf numFmtId="0" fontId="23" fillId="15" borderId="12" xfId="0" applyFont="1" applyFill="1" applyBorder="1" applyAlignment="1">
      <alignment horizontal="centerContinuous"/>
    </xf>
    <xf numFmtId="0" fontId="23" fillId="15" borderId="13" xfId="0" applyFont="1" applyFill="1" applyBorder="1" applyAlignment="1">
      <alignment horizontal="centerContinuous"/>
    </xf>
    <xf numFmtId="167" fontId="23" fillId="2" borderId="15" xfId="0" applyNumberFormat="1" applyFont="1" applyFill="1" applyBorder="1" applyAlignment="1">
      <alignment horizontal="center" vertical="center"/>
    </xf>
    <xf numFmtId="0" fontId="33" fillId="0" borderId="0" xfId="0" applyFont="1"/>
    <xf numFmtId="165" fontId="22" fillId="10" borderId="0" xfId="1" applyNumberFormat="1" applyFont="1" applyFill="1"/>
    <xf numFmtId="167" fontId="22" fillId="10" borderId="0" xfId="2" applyNumberFormat="1" applyFont="1" applyFill="1"/>
    <xf numFmtId="167" fontId="23" fillId="2" borderId="14" xfId="0" applyNumberFormat="1" applyFont="1" applyFill="1" applyBorder="1"/>
    <xf numFmtId="0" fontId="34" fillId="0" borderId="0" xfId="0" applyFont="1"/>
    <xf numFmtId="0" fontId="25" fillId="0" borderId="0" xfId="0" quotePrefix="1" applyFont="1" applyAlignment="1">
      <alignment horizontal="left" indent="1"/>
    </xf>
    <xf numFmtId="0" fontId="35" fillId="17" borderId="0" xfId="0" applyFont="1" applyFill="1" applyAlignment="1">
      <alignment horizontal="centerContinuous"/>
    </xf>
    <xf numFmtId="0" fontId="25" fillId="17" borderId="0" xfId="0" quotePrefix="1" applyFont="1" applyFill="1" applyAlignment="1">
      <alignment horizontal="centerContinuous"/>
    </xf>
    <xf numFmtId="0" fontId="22" fillId="17" borderId="0" xfId="0" applyFont="1" applyFill="1" applyAlignment="1">
      <alignment horizontal="centerContinuous"/>
    </xf>
    <xf numFmtId="0" fontId="23" fillId="16" borderId="11" xfId="0" applyFont="1" applyFill="1" applyBorder="1" applyAlignment="1">
      <alignment horizontal="centerContinuous"/>
    </xf>
    <xf numFmtId="0" fontId="23" fillId="16" borderId="12" xfId="0" applyFont="1" applyFill="1" applyBorder="1" applyAlignment="1">
      <alignment horizontal="centerContinuous"/>
    </xf>
    <xf numFmtId="0" fontId="23" fillId="16" borderId="13" xfId="0" applyFont="1" applyFill="1" applyBorder="1" applyAlignment="1">
      <alignment horizontal="centerContinuous"/>
    </xf>
    <xf numFmtId="0" fontId="33" fillId="0" borderId="0" xfId="0" applyFont="1" applyAlignment="1">
      <alignment horizontal="right"/>
    </xf>
    <xf numFmtId="167" fontId="36" fillId="10" borderId="0" xfId="0" applyNumberFormat="1" applyFont="1" applyFill="1"/>
    <xf numFmtId="165" fontId="36" fillId="10" borderId="0" xfId="1" applyNumberFormat="1" applyFont="1" applyFill="1"/>
    <xf numFmtId="167" fontId="36" fillId="10" borderId="0" xfId="2" applyNumberFormat="1" applyFont="1" applyFill="1"/>
    <xf numFmtId="167" fontId="36" fillId="3" borderId="0" xfId="2" applyNumberFormat="1" applyFont="1" applyFill="1"/>
    <xf numFmtId="165" fontId="36" fillId="3" borderId="0" xfId="1" applyNumberFormat="1" applyFont="1" applyFill="1"/>
    <xf numFmtId="167" fontId="36" fillId="3" borderId="0" xfId="0" applyNumberFormat="1" applyFont="1" applyFill="1"/>
    <xf numFmtId="165" fontId="36" fillId="10" borderId="0" xfId="1" applyNumberFormat="1" applyFont="1" applyFill="1" applyBorder="1"/>
    <xf numFmtId="167" fontId="36" fillId="10" borderId="0" xfId="2" applyNumberFormat="1" applyFont="1" applyFill="1" applyBorder="1"/>
    <xf numFmtId="167" fontId="36" fillId="3" borderId="0" xfId="2" applyNumberFormat="1" applyFont="1" applyFill="1" applyBorder="1"/>
    <xf numFmtId="165" fontId="36" fillId="3" borderId="0" xfId="1" applyNumberFormat="1" applyFont="1" applyFill="1" applyBorder="1"/>
    <xf numFmtId="172" fontId="22" fillId="0" borderId="0" xfId="0" applyNumberFormat="1" applyFont="1"/>
    <xf numFmtId="0" fontId="37" fillId="0" borderId="0" xfId="0" applyFont="1" applyAlignment="1">
      <alignment horizontal="left" indent="1"/>
    </xf>
    <xf numFmtId="167" fontId="22" fillId="10" borderId="0" xfId="0" applyNumberFormat="1" applyFont="1" applyFill="1" applyAlignment="1">
      <alignment horizontal="right"/>
    </xf>
    <xf numFmtId="44" fontId="22" fillId="10" borderId="0" xfId="0" applyNumberFormat="1" applyFont="1" applyFill="1" applyAlignment="1">
      <alignment horizontal="right"/>
    </xf>
    <xf numFmtId="0" fontId="22" fillId="0" borderId="0" xfId="0" quotePrefix="1" applyFont="1"/>
    <xf numFmtId="167" fontId="22" fillId="3" borderId="0" xfId="0" applyNumberFormat="1" applyFont="1" applyFill="1" applyAlignment="1">
      <alignment horizontal="right"/>
    </xf>
    <xf numFmtId="44" fontId="22" fillId="3" borderId="0" xfId="0" applyNumberFormat="1" applyFont="1" applyFill="1" applyAlignment="1">
      <alignment horizontal="right"/>
    </xf>
    <xf numFmtId="167" fontId="22" fillId="10" borderId="0" xfId="3" applyNumberFormat="1" applyFont="1" applyFill="1"/>
    <xf numFmtId="171" fontId="22" fillId="0" borderId="0" xfId="0" applyNumberFormat="1" applyFont="1"/>
    <xf numFmtId="10" fontId="22" fillId="10" borderId="0" xfId="3" applyNumberFormat="1" applyFont="1" applyFill="1"/>
    <xf numFmtId="0" fontId="22" fillId="15" borderId="12" xfId="0" applyFont="1" applyFill="1" applyBorder="1" applyAlignment="1">
      <alignment horizontal="centerContinuous"/>
    </xf>
    <xf numFmtId="0" fontId="22" fillId="15" borderId="13" xfId="0" applyFont="1" applyFill="1" applyBorder="1" applyAlignment="1">
      <alignment horizontal="centerContinuous"/>
    </xf>
    <xf numFmtId="167" fontId="23" fillId="0" borderId="16" xfId="0" applyNumberFormat="1" applyFont="1" applyBorder="1" applyAlignment="1">
      <alignment horizontal="center" vertical="center"/>
    </xf>
    <xf numFmtId="0" fontId="30" fillId="0" borderId="7" xfId="0" applyFont="1" applyBorder="1" applyAlignment="1">
      <alignment horizontal="center"/>
    </xf>
    <xf numFmtId="0" fontId="31" fillId="0" borderId="8" xfId="0" quotePrefix="1" applyFont="1" applyBorder="1" applyAlignment="1">
      <alignment horizontal="center"/>
    </xf>
    <xf numFmtId="44" fontId="22" fillId="0" borderId="0" xfId="0" applyNumberFormat="1" applyFont="1" applyAlignment="1">
      <alignment horizontal="right"/>
    </xf>
    <xf numFmtId="0" fontId="22" fillId="16" borderId="12" xfId="0" applyFont="1" applyFill="1" applyBorder="1" applyAlignment="1">
      <alignment horizontal="centerContinuous"/>
    </xf>
    <xf numFmtId="0" fontId="22" fillId="16" borderId="13" xfId="0" applyFont="1" applyFill="1" applyBorder="1" applyAlignment="1">
      <alignment horizontal="centerContinuous"/>
    </xf>
    <xf numFmtId="44" fontId="22" fillId="10" borderId="0" xfId="2" applyFont="1" applyFill="1"/>
    <xf numFmtId="0" fontId="22" fillId="0" borderId="0" xfId="0" applyFont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1" fillId="12" borderId="4" xfId="0" applyFont="1" applyFill="1" applyBorder="1" applyAlignment="1">
      <alignment horizontal="center"/>
    </xf>
    <xf numFmtId="0" fontId="23" fillId="10" borderId="0" xfId="0" applyFont="1" applyFill="1" applyAlignment="1">
      <alignment horizontal="left" indent="2"/>
    </xf>
    <xf numFmtId="0" fontId="23" fillId="10" borderId="0" xfId="0" applyFont="1" applyFill="1" applyAlignment="1">
      <alignment horizontal="center"/>
    </xf>
    <xf numFmtId="0" fontId="25" fillId="10" borderId="0" xfId="0" applyFont="1" applyFill="1" applyAlignment="1">
      <alignment horizontal="center"/>
    </xf>
    <xf numFmtId="0" fontId="42" fillId="0" borderId="0" xfId="0" applyFont="1" applyAlignment="1">
      <alignment horizontal="center"/>
    </xf>
    <xf numFmtId="44" fontId="43" fillId="8" borderId="0" xfId="2" applyFont="1" applyFill="1" applyBorder="1"/>
    <xf numFmtId="44" fontId="28" fillId="0" borderId="0" xfId="2" applyFont="1" applyFill="1" applyBorder="1"/>
    <xf numFmtId="9" fontId="22" fillId="0" borderId="0" xfId="3" applyFont="1"/>
    <xf numFmtId="0" fontId="23" fillId="0" borderId="0" xfId="0" applyFont="1" applyAlignment="1">
      <alignment horizontal="center"/>
    </xf>
    <xf numFmtId="44" fontId="23" fillId="0" borderId="0" xfId="0" applyNumberFormat="1" applyFont="1" applyAlignment="1">
      <alignment horizontal="center"/>
    </xf>
    <xf numFmtId="44" fontId="25" fillId="10" borderId="0" xfId="0" applyNumberFormat="1" applyFont="1" applyFill="1" applyAlignment="1">
      <alignment horizontal="center"/>
    </xf>
    <xf numFmtId="0" fontId="44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 applyAlignment="1">
      <alignment horizontal="right"/>
    </xf>
    <xf numFmtId="0" fontId="49" fillId="0" borderId="0" xfId="0" applyFont="1"/>
    <xf numFmtId="0" fontId="50" fillId="0" borderId="0" xfId="0" applyFont="1"/>
    <xf numFmtId="0" fontId="23" fillId="0" borderId="0" xfId="0" applyFont="1" applyAlignment="1">
      <alignment horizontal="right"/>
    </xf>
    <xf numFmtId="14" fontId="52" fillId="8" borderId="0" xfId="0" applyNumberFormat="1" applyFont="1" applyFill="1"/>
    <xf numFmtId="14" fontId="52" fillId="0" borderId="0" xfId="0" applyNumberFormat="1" applyFont="1"/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47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56" fillId="0" borderId="0" xfId="6" quotePrefix="1" applyFont="1"/>
    <xf numFmtId="0" fontId="56" fillId="0" borderId="0" xfId="6" quotePrefix="1" applyFont="1" applyFill="1"/>
    <xf numFmtId="0" fontId="56" fillId="0" borderId="0" xfId="6" applyFont="1" applyFill="1"/>
    <xf numFmtId="0" fontId="27" fillId="0" borderId="5" xfId="5" applyFont="1" applyBorder="1" applyAlignment="1">
      <alignment horizontal="center"/>
    </xf>
    <xf numFmtId="0" fontId="41" fillId="6" borderId="0" xfId="0" applyFont="1" applyFill="1"/>
    <xf numFmtId="0" fontId="22" fillId="6" borderId="0" xfId="0" applyFont="1" applyFill="1"/>
    <xf numFmtId="0" fontId="23" fillId="0" borderId="0" xfId="0" applyFont="1" applyAlignment="1">
      <alignment horizontal="left" indent="1"/>
    </xf>
    <xf numFmtId="0" fontId="28" fillId="0" borderId="0" xfId="0" applyFont="1"/>
    <xf numFmtId="9" fontId="28" fillId="0" borderId="0" xfId="3" applyFont="1" applyFill="1"/>
    <xf numFmtId="9" fontId="29" fillId="0" borderId="0" xfId="3" applyFont="1" applyFill="1" applyAlignment="1">
      <alignment horizontal="left"/>
    </xf>
    <xf numFmtId="167" fontId="29" fillId="0" borderId="0" xfId="2" applyNumberFormat="1" applyFont="1" applyFill="1" applyAlignment="1">
      <alignment horizontal="left"/>
    </xf>
    <xf numFmtId="44" fontId="57" fillId="0" borderId="0" xfId="2" applyFont="1" applyFill="1"/>
    <xf numFmtId="1" fontId="57" fillId="0" borderId="0" xfId="2" applyNumberFormat="1" applyFont="1" applyFill="1"/>
    <xf numFmtId="8" fontId="57" fillId="0" borderId="0" xfId="0" applyNumberFormat="1" applyFont="1"/>
    <xf numFmtId="0" fontId="27" fillId="10" borderId="0" xfId="0" applyFont="1" applyFill="1"/>
    <xf numFmtId="0" fontId="29" fillId="10" borderId="0" xfId="0" applyFont="1" applyFill="1"/>
    <xf numFmtId="10" fontId="43" fillId="8" borderId="0" xfId="3" applyNumberFormat="1" applyFont="1" applyFill="1"/>
    <xf numFmtId="167" fontId="58" fillId="0" borderId="0" xfId="2" applyNumberFormat="1" applyFont="1" applyFill="1" applyAlignment="1">
      <alignment horizontal="left"/>
    </xf>
    <xf numFmtId="0" fontId="42" fillId="0" borderId="0" xfId="0" applyFont="1"/>
    <xf numFmtId="0" fontId="43" fillId="8" borderId="0" xfId="0" applyFont="1" applyFill="1"/>
    <xf numFmtId="0" fontId="41" fillId="0" borderId="0" xfId="0" applyFont="1"/>
    <xf numFmtId="0" fontId="35" fillId="0" borderId="0" xfId="0" applyFont="1"/>
    <xf numFmtId="0" fontId="22" fillId="0" borderId="0" xfId="0" applyFont="1" applyAlignment="1">
      <alignment horizontal="left" indent="1"/>
    </xf>
    <xf numFmtId="44" fontId="43" fillId="8" borderId="0" xfId="1" applyNumberFormat="1" applyFont="1" applyFill="1"/>
    <xf numFmtId="0" fontId="29" fillId="0" borderId="0" xfId="0" applyFont="1"/>
    <xf numFmtId="0" fontId="41" fillId="7" borderId="0" xfId="0" applyFont="1" applyFill="1"/>
    <xf numFmtId="0" fontId="22" fillId="7" borderId="0" xfId="0" applyFont="1" applyFill="1"/>
    <xf numFmtId="0" fontId="57" fillId="0" borderId="0" xfId="0" applyFont="1"/>
    <xf numFmtId="167" fontId="59" fillId="0" borderId="0" xfId="2" applyNumberFormat="1" applyFont="1" applyFill="1" applyAlignment="1">
      <alignment horizontal="left"/>
    </xf>
    <xf numFmtId="167" fontId="60" fillId="0" borderId="0" xfId="6" applyNumberFormat="1" applyFont="1" applyFill="1" applyAlignment="1">
      <alignment horizontal="left"/>
    </xf>
    <xf numFmtId="14" fontId="43" fillId="8" borderId="0" xfId="0" applyNumberFormat="1" applyFont="1" applyFill="1"/>
    <xf numFmtId="14" fontId="43" fillId="0" borderId="0" xfId="0" applyNumberFormat="1" applyFont="1"/>
    <xf numFmtId="0" fontId="43" fillId="8" borderId="0" xfId="0" applyFont="1" applyFill="1" applyAlignment="1">
      <alignment horizontal="right"/>
    </xf>
    <xf numFmtId="14" fontId="43" fillId="8" borderId="0" xfId="0" applyNumberFormat="1" applyFont="1" applyFill="1" applyAlignment="1">
      <alignment horizontal="right"/>
    </xf>
    <xf numFmtId="49" fontId="43" fillId="8" borderId="0" xfId="0" applyNumberFormat="1" applyFont="1" applyFill="1" applyAlignment="1">
      <alignment horizontal="right"/>
    </xf>
    <xf numFmtId="167" fontId="43" fillId="8" borderId="0" xfId="2" applyNumberFormat="1" applyFont="1" applyFill="1" applyAlignment="1">
      <alignment horizontal="right"/>
    </xf>
    <xf numFmtId="0" fontId="27" fillId="0" borderId="0" xfId="0" applyFont="1"/>
    <xf numFmtId="9" fontId="43" fillId="8" borderId="0" xfId="3" applyFont="1" applyFill="1" applyAlignment="1">
      <alignment horizontal="right"/>
    </xf>
    <xf numFmtId="0" fontId="23" fillId="0" borderId="5" xfId="0" applyFont="1" applyBorder="1" applyAlignment="1">
      <alignment horizontal="center"/>
    </xf>
    <xf numFmtId="165" fontId="23" fillId="0" borderId="5" xfId="0" applyNumberFormat="1" applyFont="1" applyBorder="1" applyAlignment="1">
      <alignment horizontal="center"/>
    </xf>
    <xf numFmtId="165" fontId="23" fillId="0" borderId="5" xfId="0" applyNumberFormat="1" applyFont="1" applyBorder="1" applyAlignment="1">
      <alignment horizontal="center" wrapText="1"/>
    </xf>
    <xf numFmtId="0" fontId="27" fillId="0" borderId="0" xfId="5" applyFont="1" applyAlignment="1">
      <alignment horizontal="center"/>
    </xf>
    <xf numFmtId="0" fontId="33" fillId="0" borderId="0" xfId="0" applyFont="1" applyAlignment="1">
      <alignment horizontal="center"/>
    </xf>
    <xf numFmtId="0" fontId="23" fillId="13" borderId="4" xfId="5" applyFont="1" applyFill="1" applyBorder="1" applyAlignment="1">
      <alignment horizontal="center"/>
    </xf>
    <xf numFmtId="0" fontId="23" fillId="13" borderId="4" xfId="5" applyFont="1" applyFill="1" applyBorder="1" applyAlignment="1">
      <alignment horizontal="left"/>
    </xf>
    <xf numFmtId="14" fontId="62" fillId="13" borderId="4" xfId="5" applyNumberFormat="1" applyFont="1" applyFill="1" applyBorder="1"/>
    <xf numFmtId="165" fontId="22" fillId="13" borderId="4" xfId="5" applyNumberFormat="1" applyFont="1" applyFill="1" applyBorder="1"/>
    <xf numFmtId="0" fontId="23" fillId="11" borderId="17" xfId="0" applyFont="1" applyFill="1" applyBorder="1"/>
    <xf numFmtId="0" fontId="23" fillId="0" borderId="17" xfId="0" applyFont="1" applyBorder="1"/>
    <xf numFmtId="165" fontId="23" fillId="0" borderId="0" xfId="0" applyNumberFormat="1" applyFont="1" applyAlignment="1">
      <alignment horizontal="centerContinuous"/>
    </xf>
    <xf numFmtId="0" fontId="27" fillId="10" borderId="0" xfId="5" applyFont="1" applyFill="1" applyAlignment="1">
      <alignment horizontal="left"/>
    </xf>
    <xf numFmtId="0" fontId="27" fillId="10" borderId="0" xfId="5" applyFont="1" applyFill="1" applyAlignment="1">
      <alignment horizontal="center"/>
    </xf>
    <xf numFmtId="165" fontId="23" fillId="10" borderId="0" xfId="0" applyNumberFormat="1" applyFont="1" applyFill="1" applyAlignment="1">
      <alignment horizontal="center"/>
    </xf>
    <xf numFmtId="0" fontId="63" fillId="10" borderId="0" xfId="5" applyFont="1" applyFill="1" applyAlignment="1">
      <alignment horizontal="center"/>
    </xf>
    <xf numFmtId="0" fontId="27" fillId="0" borderId="0" xfId="5" applyFont="1" applyAlignment="1">
      <alignment horizontal="left"/>
    </xf>
    <xf numFmtId="0" fontId="64" fillId="0" borderId="0" xfId="5" applyFont="1" applyAlignment="1">
      <alignment horizontal="center"/>
    </xf>
    <xf numFmtId="165" fontId="43" fillId="8" borderId="0" xfId="1" applyNumberFormat="1" applyFont="1" applyFill="1" applyBorder="1" applyAlignment="1">
      <alignment horizontal="center"/>
    </xf>
    <xf numFmtId="0" fontId="64" fillId="0" borderId="0" xfId="5" applyFont="1" applyAlignment="1">
      <alignment horizontal="left"/>
    </xf>
    <xf numFmtId="165" fontId="23" fillId="0" borderId="0" xfId="0" applyNumberFormat="1" applyFont="1" applyAlignment="1">
      <alignment horizontal="center"/>
    </xf>
    <xf numFmtId="8" fontId="43" fillId="8" borderId="0" xfId="2" applyNumberFormat="1" applyFont="1" applyFill="1" applyBorder="1" applyAlignment="1">
      <alignment horizontal="center"/>
    </xf>
    <xf numFmtId="165" fontId="23" fillId="0" borderId="0" xfId="0" applyNumberFormat="1" applyFont="1"/>
    <xf numFmtId="43" fontId="23" fillId="0" borderId="0" xfId="2" applyNumberFormat="1" applyFont="1" applyBorder="1" applyAlignment="1">
      <alignment horizontal="center"/>
    </xf>
    <xf numFmtId="0" fontId="29" fillId="0" borderId="0" xfId="5" applyFont="1" applyAlignment="1">
      <alignment horizontal="left" indent="1"/>
    </xf>
    <xf numFmtId="44" fontId="22" fillId="0" borderId="0" xfId="2" applyFont="1" applyBorder="1" applyAlignment="1">
      <alignment horizontal="center"/>
    </xf>
    <xf numFmtId="43" fontId="22" fillId="0" borderId="0" xfId="2" applyNumberFormat="1" applyFont="1" applyBorder="1" applyAlignment="1">
      <alignment horizontal="center"/>
    </xf>
    <xf numFmtId="0" fontId="65" fillId="0" borderId="0" xfId="5" applyFont="1" applyAlignment="1">
      <alignment horizontal="center"/>
    </xf>
    <xf numFmtId="43" fontId="66" fillId="0" borderId="0" xfId="2" applyNumberFormat="1" applyFont="1" applyBorder="1" applyAlignment="1">
      <alignment horizontal="center"/>
    </xf>
    <xf numFmtId="0" fontId="41" fillId="5" borderId="4" xfId="5" applyFont="1" applyFill="1" applyBorder="1"/>
    <xf numFmtId="0" fontId="23" fillId="5" borderId="4" xfId="5" applyFont="1" applyFill="1" applyBorder="1" applyAlignment="1">
      <alignment horizontal="center"/>
    </xf>
    <xf numFmtId="0" fontId="23" fillId="5" borderId="4" xfId="5" applyFont="1" applyFill="1" applyBorder="1" applyAlignment="1">
      <alignment horizontal="left"/>
    </xf>
    <xf numFmtId="0" fontId="22" fillId="5" borderId="4" xfId="5" applyFont="1" applyFill="1" applyBorder="1"/>
    <xf numFmtId="165" fontId="22" fillId="5" borderId="4" xfId="5" applyNumberFormat="1" applyFont="1" applyFill="1" applyBorder="1"/>
    <xf numFmtId="0" fontId="63" fillId="10" borderId="0" xfId="5" applyFont="1" applyFill="1" applyAlignment="1">
      <alignment horizontal="left"/>
    </xf>
    <xf numFmtId="3" fontId="43" fillId="8" borderId="0" xfId="0" applyNumberFormat="1" applyFont="1" applyFill="1"/>
    <xf numFmtId="10" fontId="22" fillId="0" borderId="0" xfId="3" applyNumberFormat="1" applyFont="1"/>
    <xf numFmtId="165" fontId="22" fillId="0" borderId="2" xfId="0" applyNumberFormat="1" applyFont="1" applyBorder="1"/>
    <xf numFmtId="0" fontId="22" fillId="0" borderId="2" xfId="0" applyFont="1" applyBorder="1"/>
    <xf numFmtId="0" fontId="23" fillId="0" borderId="0" xfId="0" applyFont="1" applyAlignment="1">
      <alignment horizontal="left"/>
    </xf>
    <xf numFmtId="3" fontId="22" fillId="0" borderId="2" xfId="0" applyNumberFormat="1" applyFont="1" applyBorder="1"/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41" fillId="4" borderId="4" xfId="5" applyFont="1" applyFill="1" applyBorder="1"/>
    <xf numFmtId="0" fontId="23" fillId="4" borderId="4" xfId="5" applyFont="1" applyFill="1" applyBorder="1" applyAlignment="1">
      <alignment horizontal="center"/>
    </xf>
    <xf numFmtId="0" fontId="23" fillId="4" borderId="4" xfId="5" applyFont="1" applyFill="1" applyBorder="1" applyAlignment="1">
      <alignment horizontal="left"/>
    </xf>
    <xf numFmtId="0" fontId="22" fillId="4" borderId="4" xfId="5" applyFont="1" applyFill="1" applyBorder="1"/>
    <xf numFmtId="165" fontId="22" fillId="4" borderId="4" xfId="5" applyNumberFormat="1" applyFont="1" applyFill="1" applyBorder="1"/>
    <xf numFmtId="0" fontId="67" fillId="0" borderId="0" xfId="0" applyFont="1" applyAlignment="1">
      <alignment horizontal="right"/>
    </xf>
    <xf numFmtId="0" fontId="68" fillId="0" borderId="0" xfId="0" applyFont="1"/>
    <xf numFmtId="0" fontId="68" fillId="0" borderId="0" xfId="0" applyFont="1" applyAlignment="1">
      <alignment horizontal="left"/>
    </xf>
    <xf numFmtId="0" fontId="68" fillId="0" borderId="0" xfId="0" applyFont="1" applyAlignment="1">
      <alignment horizontal="left" indent="1"/>
    </xf>
    <xf numFmtId="0" fontId="68" fillId="0" borderId="0" xfId="0" quotePrefix="1" applyFont="1" applyAlignment="1">
      <alignment horizontal="left" indent="1"/>
    </xf>
    <xf numFmtId="0" fontId="68" fillId="0" borderId="0" xfId="0" applyFont="1" applyAlignment="1">
      <alignment horizontal="left" indent="3"/>
    </xf>
    <xf numFmtId="167" fontId="58" fillId="0" borderId="0" xfId="2" applyNumberFormat="1" applyFont="1" applyAlignment="1">
      <alignment horizontal="left"/>
    </xf>
    <xf numFmtId="165" fontId="43" fillId="8" borderId="0" xfId="1" applyNumberFormat="1" applyFont="1" applyFill="1" applyAlignment="1">
      <alignment horizontal="right"/>
    </xf>
    <xf numFmtId="167" fontId="29" fillId="0" borderId="0" xfId="2" applyNumberFormat="1" applyFont="1" applyFill="1"/>
    <xf numFmtId="0" fontId="41" fillId="52" borderId="4" xfId="5" applyFont="1" applyFill="1" applyBorder="1"/>
    <xf numFmtId="173" fontId="22" fillId="0" borderId="0" xfId="0" applyNumberFormat="1" applyFont="1"/>
    <xf numFmtId="0" fontId="4" fillId="0" borderId="0" xfId="6"/>
    <xf numFmtId="0" fontId="69" fillId="51" borderId="17" xfId="0" applyFont="1" applyFill="1" applyBorder="1"/>
    <xf numFmtId="0" fontId="69" fillId="11" borderId="17" xfId="0" applyFont="1" applyFill="1" applyBorder="1"/>
    <xf numFmtId="0" fontId="23" fillId="11" borderId="0" xfId="0" applyFont="1" applyFill="1" applyAlignment="1">
      <alignment horizontal="center"/>
    </xf>
    <xf numFmtId="0" fontId="23" fillId="11" borderId="5" xfId="0" applyFont="1" applyFill="1" applyBorder="1" applyAlignment="1">
      <alignment horizontal="center"/>
    </xf>
    <xf numFmtId="10" fontId="70" fillId="10" borderId="0" xfId="0" applyNumberFormat="1" applyFont="1" applyFill="1" applyAlignment="1">
      <alignment horizontal="center"/>
    </xf>
    <xf numFmtId="8" fontId="22" fillId="0" borderId="0" xfId="2" applyNumberFormat="1" applyFont="1" applyBorder="1" applyAlignment="1">
      <alignment horizontal="center"/>
    </xf>
    <xf numFmtId="8" fontId="43" fillId="0" borderId="0" xfId="2" applyNumberFormat="1" applyFont="1" applyBorder="1" applyAlignment="1">
      <alignment horizontal="center"/>
    </xf>
    <xf numFmtId="165" fontId="22" fillId="10" borderId="0" xfId="0" applyNumberFormat="1" applyFont="1" applyFill="1" applyAlignment="1">
      <alignment horizontal="right"/>
    </xf>
    <xf numFmtId="165" fontId="22" fillId="3" borderId="0" xfId="0" applyNumberFormat="1" applyFont="1" applyFill="1" applyAlignment="1">
      <alignment horizontal="right"/>
    </xf>
    <xf numFmtId="174" fontId="43" fillId="8" borderId="0" xfId="1" applyNumberFormat="1" applyFont="1" applyFill="1" applyAlignment="1">
      <alignment horizontal="right"/>
    </xf>
    <xf numFmtId="0" fontId="23" fillId="50" borderId="17" xfId="0" applyFont="1" applyFill="1" applyBorder="1"/>
    <xf numFmtId="0" fontId="26" fillId="11" borderId="5" xfId="0" applyFont="1" applyFill="1" applyBorder="1" applyAlignment="1">
      <alignment horizontal="center"/>
    </xf>
    <xf numFmtId="8" fontId="64" fillId="0" borderId="0" xfId="5" applyNumberFormat="1" applyFont="1" applyAlignment="1">
      <alignment horizontal="left"/>
    </xf>
    <xf numFmtId="0" fontId="27" fillId="53" borderId="0" xfId="5" applyFont="1" applyFill="1" applyAlignment="1">
      <alignment horizontal="left"/>
    </xf>
    <xf numFmtId="38" fontId="64" fillId="0" borderId="0" xfId="5" applyNumberFormat="1" applyFont="1" applyAlignment="1">
      <alignment horizontal="left"/>
    </xf>
    <xf numFmtId="44" fontId="43" fillId="54" borderId="0" xfId="2" applyFont="1" applyFill="1"/>
    <xf numFmtId="165" fontId="43" fillId="54" borderId="0" xfId="1" applyNumberFormat="1" applyFont="1" applyFill="1"/>
    <xf numFmtId="3" fontId="43" fillId="54" borderId="0" xfId="0" applyNumberFormat="1" applyFont="1" applyFill="1"/>
    <xf numFmtId="0" fontId="75" fillId="51" borderId="0" xfId="0" applyFont="1" applyFill="1" applyAlignment="1">
      <alignment horizontal="centerContinuous"/>
    </xf>
    <xf numFmtId="0" fontId="22" fillId="51" borderId="0" xfId="0" applyFont="1" applyFill="1"/>
    <xf numFmtId="0" fontId="22" fillId="51" borderId="0" xfId="0" applyFont="1" applyFill="1" applyAlignment="1">
      <alignment horizontal="right"/>
    </xf>
    <xf numFmtId="0" fontId="23" fillId="51" borderId="0" xfId="0" applyFont="1" applyFill="1" applyAlignment="1">
      <alignment horizontal="centerContinuous"/>
    </xf>
    <xf numFmtId="0" fontId="22" fillId="51" borderId="0" xfId="0" applyFont="1" applyFill="1" applyAlignment="1">
      <alignment horizontal="centerContinuous"/>
    </xf>
    <xf numFmtId="167" fontId="22" fillId="51" borderId="0" xfId="2" applyNumberFormat="1" applyFont="1" applyFill="1" applyBorder="1"/>
    <xf numFmtId="164" fontId="22" fillId="51" borderId="0" xfId="2" applyNumberFormat="1" applyFont="1" applyFill="1" applyBorder="1" applyAlignment="1">
      <alignment horizontal="left" indent="2"/>
    </xf>
    <xf numFmtId="167" fontId="22" fillId="51" borderId="0" xfId="2" applyNumberFormat="1" applyFont="1" applyFill="1" applyBorder="1" applyAlignment="1">
      <alignment horizontal="left" indent="2"/>
    </xf>
    <xf numFmtId="167" fontId="22" fillId="51" borderId="0" xfId="0" applyNumberFormat="1" applyFont="1" applyFill="1"/>
    <xf numFmtId="165" fontId="22" fillId="51" borderId="0" xfId="1" applyNumberFormat="1" applyFont="1" applyFill="1" applyBorder="1"/>
    <xf numFmtId="0" fontId="23" fillId="51" borderId="0" xfId="0" applyFont="1" applyFill="1"/>
    <xf numFmtId="0" fontId="24" fillId="51" borderId="0" xfId="0" applyFont="1" applyFill="1" applyAlignment="1">
      <alignment horizontal="centerContinuous"/>
    </xf>
    <xf numFmtId="0" fontId="24" fillId="51" borderId="0" xfId="0" applyFont="1" applyFill="1"/>
    <xf numFmtId="0" fontId="23" fillId="51" borderId="0" xfId="0" applyFont="1" applyFill="1" applyAlignment="1">
      <alignment horizontal="center"/>
    </xf>
    <xf numFmtId="0" fontId="22" fillId="51" borderId="0" xfId="0" quotePrefix="1" applyFont="1" applyFill="1" applyAlignment="1">
      <alignment horizontal="center"/>
    </xf>
    <xf numFmtId="0" fontId="22" fillId="51" borderId="0" xfId="0" quotePrefix="1" applyFont="1" applyFill="1" applyAlignment="1">
      <alignment horizontal="right"/>
    </xf>
    <xf numFmtId="0" fontId="22" fillId="51" borderId="0" xfId="0" quotePrefix="1" applyFont="1" applyFill="1"/>
    <xf numFmtId="167" fontId="22" fillId="51" borderId="0" xfId="0" quotePrefix="1" applyNumberFormat="1" applyFont="1" applyFill="1"/>
    <xf numFmtId="0" fontId="22" fillId="51" borderId="0" xfId="0" applyFont="1" applyFill="1" applyAlignment="1">
      <alignment horizontal="center"/>
    </xf>
    <xf numFmtId="167" fontId="22" fillId="51" borderId="0" xfId="0" applyNumberFormat="1" applyFont="1" applyFill="1" applyAlignment="1">
      <alignment horizontal="left" indent="3"/>
    </xf>
    <xf numFmtId="167" fontId="22" fillId="51" borderId="0" xfId="0" applyNumberFormat="1" applyFont="1" applyFill="1" applyAlignment="1">
      <alignment horizontal="left" indent="2"/>
    </xf>
    <xf numFmtId="0" fontId="22" fillId="51" borderId="0" xfId="0" applyFont="1" applyFill="1" applyAlignment="1">
      <alignment horizontal="left" indent="2"/>
    </xf>
    <xf numFmtId="0" fontId="22" fillId="51" borderId="0" xfId="0" applyFont="1" applyFill="1" applyAlignment="1">
      <alignment horizontal="left" indent="3"/>
    </xf>
    <xf numFmtId="0" fontId="23" fillId="51" borderId="0" xfId="0" quotePrefix="1" applyFont="1" applyFill="1" applyAlignment="1">
      <alignment horizontal="right"/>
    </xf>
    <xf numFmtId="44" fontId="23" fillId="51" borderId="0" xfId="2" applyFont="1" applyFill="1" applyBorder="1"/>
    <xf numFmtId="0" fontId="23" fillId="51" borderId="0" xfId="0" quotePrefix="1" applyFont="1" applyFill="1"/>
    <xf numFmtId="170" fontId="22" fillId="51" borderId="0" xfId="0" applyNumberFormat="1" applyFont="1" applyFill="1"/>
    <xf numFmtId="9" fontId="29" fillId="51" borderId="0" xfId="3" applyFont="1" applyFill="1" applyBorder="1" applyAlignment="1">
      <alignment horizontal="center"/>
    </xf>
    <xf numFmtId="168" fontId="22" fillId="51" borderId="0" xfId="3" applyNumberFormat="1" applyFont="1" applyFill="1" applyBorder="1" applyAlignment="1">
      <alignment horizontal="center"/>
    </xf>
    <xf numFmtId="167" fontId="29" fillId="51" borderId="0" xfId="2" applyNumberFormat="1" applyFont="1" applyFill="1" applyBorder="1"/>
    <xf numFmtId="0" fontId="22" fillId="51" borderId="0" xfId="0" applyFont="1" applyFill="1" applyAlignment="1">
      <alignment horizontal="center" vertical="center"/>
    </xf>
    <xf numFmtId="0" fontId="27" fillId="51" borderId="0" xfId="0" applyFont="1" applyFill="1" applyAlignment="1">
      <alignment horizontal="left" vertical="center"/>
    </xf>
    <xf numFmtId="0" fontId="28" fillId="51" borderId="0" xfId="0" applyFont="1" applyFill="1" applyAlignment="1">
      <alignment horizontal="center"/>
    </xf>
    <xf numFmtId="0" fontId="22" fillId="51" borderId="0" xfId="0" applyFont="1" applyFill="1" applyAlignment="1">
      <alignment horizontal="left" indent="1"/>
    </xf>
    <xf numFmtId="0" fontId="25" fillId="51" borderId="0" xfId="0" applyFont="1" applyFill="1" applyAlignment="1">
      <alignment horizontal="left" indent="1"/>
    </xf>
    <xf numFmtId="0" fontId="23" fillId="2" borderId="0" xfId="0" applyFont="1" applyFill="1"/>
    <xf numFmtId="167" fontId="23" fillId="2" borderId="0" xfId="0" applyNumberFormat="1" applyFont="1" applyFill="1"/>
    <xf numFmtId="167" fontId="22" fillId="51" borderId="0" xfId="2" applyNumberFormat="1" applyFont="1" applyFill="1"/>
    <xf numFmtId="165" fontId="22" fillId="51" borderId="0" xfId="1" applyNumberFormat="1" applyFont="1" applyFill="1"/>
    <xf numFmtId="167" fontId="23" fillId="51" borderId="0" xfId="2" applyNumberFormat="1" applyFont="1" applyFill="1" applyAlignment="1">
      <alignment horizontal="right"/>
    </xf>
    <xf numFmtId="43" fontId="22" fillId="51" borderId="0" xfId="0" applyNumberFormat="1" applyFont="1" applyFill="1"/>
    <xf numFmtId="44" fontId="22" fillId="51" borderId="0" xfId="0" applyNumberFormat="1" applyFont="1" applyFill="1"/>
    <xf numFmtId="0" fontId="23" fillId="51" borderId="9" xfId="0" applyFont="1" applyFill="1" applyBorder="1"/>
    <xf numFmtId="167" fontId="23" fillId="51" borderId="10" xfId="0" applyNumberFormat="1" applyFont="1" applyFill="1" applyBorder="1"/>
    <xf numFmtId="167" fontId="23" fillId="51" borderId="0" xfId="0" applyNumberFormat="1" applyFont="1" applyFill="1"/>
    <xf numFmtId="165" fontId="22" fillId="51" borderId="0" xfId="0" applyNumberFormat="1" applyFont="1" applyFill="1"/>
    <xf numFmtId="0" fontId="29" fillId="51" borderId="27" xfId="0" applyFont="1" applyFill="1" applyBorder="1" applyAlignment="1">
      <alignment horizontal="center"/>
    </xf>
    <xf numFmtId="0" fontId="29" fillId="51" borderId="28" xfId="0" applyFont="1" applyFill="1" applyBorder="1" applyAlignment="1">
      <alignment horizontal="center"/>
    </xf>
    <xf numFmtId="0" fontId="29" fillId="51" borderId="29" xfId="0" applyFont="1" applyFill="1" applyBorder="1" applyAlignment="1">
      <alignment horizontal="center"/>
    </xf>
    <xf numFmtId="0" fontId="29" fillId="51" borderId="30" xfId="0" applyFont="1" applyFill="1" applyBorder="1" applyAlignment="1">
      <alignment horizontal="center"/>
    </xf>
    <xf numFmtId="0" fontId="29" fillId="51" borderId="31" xfId="0" applyFont="1" applyFill="1" applyBorder="1" applyAlignment="1">
      <alignment horizontal="center"/>
    </xf>
    <xf numFmtId="168" fontId="76" fillId="51" borderId="31" xfId="0" applyNumberFormat="1" applyFont="1" applyFill="1" applyBorder="1" applyAlignment="1">
      <alignment horizontal="center"/>
    </xf>
    <xf numFmtId="0" fontId="76" fillId="51" borderId="32" xfId="0" quotePrefix="1" applyFont="1" applyFill="1" applyBorder="1" applyAlignment="1">
      <alignment horizontal="center"/>
    </xf>
    <xf numFmtId="0" fontId="23" fillId="51" borderId="14" xfId="0" applyFont="1" applyFill="1" applyBorder="1"/>
    <xf numFmtId="0" fontId="22" fillId="51" borderId="14" xfId="0" applyFont="1" applyFill="1" applyBorder="1"/>
    <xf numFmtId="0" fontId="23" fillId="51" borderId="14" xfId="0" applyFont="1" applyFill="1" applyBorder="1" applyAlignment="1">
      <alignment horizontal="right"/>
    </xf>
    <xf numFmtId="167" fontId="23" fillId="51" borderId="14" xfId="2" applyNumberFormat="1" applyFont="1" applyFill="1" applyBorder="1"/>
    <xf numFmtId="169" fontId="22" fillId="51" borderId="14" xfId="0" applyNumberFormat="1" applyFont="1" applyFill="1" applyBorder="1" applyAlignment="1">
      <alignment horizontal="right"/>
    </xf>
    <xf numFmtId="167" fontId="22" fillId="51" borderId="14" xfId="0" applyNumberFormat="1" applyFont="1" applyFill="1" applyBorder="1"/>
    <xf numFmtId="165" fontId="22" fillId="51" borderId="14" xfId="1" applyNumberFormat="1" applyFont="1" applyFill="1" applyBorder="1"/>
    <xf numFmtId="167" fontId="22" fillId="51" borderId="14" xfId="2" applyNumberFormat="1" applyFont="1" applyFill="1" applyBorder="1"/>
    <xf numFmtId="0" fontId="29" fillId="51" borderId="32" xfId="0" applyFont="1" applyFill="1" applyBorder="1" applyAlignment="1">
      <alignment horizontal="center"/>
    </xf>
    <xf numFmtId="0" fontId="27" fillId="51" borderId="14" xfId="0" applyFont="1" applyFill="1" applyBorder="1"/>
    <xf numFmtId="0" fontId="29" fillId="51" borderId="14" xfId="0" applyFont="1" applyFill="1" applyBorder="1"/>
    <xf numFmtId="0" fontId="27" fillId="51" borderId="14" xfId="0" applyFont="1" applyFill="1" applyBorder="1" applyAlignment="1">
      <alignment horizontal="right"/>
    </xf>
    <xf numFmtId="167" fontId="29" fillId="51" borderId="14" xfId="0" applyNumberFormat="1" applyFont="1" applyFill="1" applyBorder="1"/>
    <xf numFmtId="0" fontId="23" fillId="51" borderId="11" xfId="0" applyFont="1" applyFill="1" applyBorder="1" applyAlignment="1">
      <alignment horizontal="centerContinuous"/>
    </xf>
    <xf numFmtId="0" fontId="23" fillId="51" borderId="12" xfId="0" applyFont="1" applyFill="1" applyBorder="1" applyAlignment="1">
      <alignment horizontal="centerContinuous"/>
    </xf>
    <xf numFmtId="0" fontId="23" fillId="51" borderId="13" xfId="0" applyFont="1" applyFill="1" applyBorder="1" applyAlignment="1">
      <alignment horizontal="centerContinuous"/>
    </xf>
    <xf numFmtId="0" fontId="23" fillId="51" borderId="15" xfId="0" applyFont="1" applyFill="1" applyBorder="1" applyAlignment="1">
      <alignment horizontal="centerContinuous"/>
    </xf>
    <xf numFmtId="167" fontId="23" fillId="51" borderId="15" xfId="0" applyNumberFormat="1" applyFont="1" applyFill="1" applyBorder="1" applyAlignment="1">
      <alignment horizontal="center" vertical="center"/>
    </xf>
    <xf numFmtId="167" fontId="23" fillId="51" borderId="14" xfId="0" applyNumberFormat="1" applyFont="1" applyFill="1" applyBorder="1"/>
    <xf numFmtId="167" fontId="23" fillId="51" borderId="0" xfId="0" applyNumberFormat="1" applyFont="1" applyFill="1" applyAlignment="1">
      <alignment horizontal="center" vertical="center"/>
    </xf>
    <xf numFmtId="0" fontId="29" fillId="51" borderId="1" xfId="0" applyFont="1" applyFill="1" applyBorder="1" applyAlignment="1">
      <alignment horizontal="center"/>
    </xf>
    <xf numFmtId="0" fontId="29" fillId="51" borderId="0" xfId="0" applyFont="1" applyFill="1" applyAlignment="1">
      <alignment horizontal="center"/>
    </xf>
    <xf numFmtId="167" fontId="22" fillId="51" borderId="14" xfId="0" applyNumberFormat="1" applyFont="1" applyFill="1" applyBorder="1" applyAlignment="1">
      <alignment horizontal="right"/>
    </xf>
    <xf numFmtId="44" fontId="22" fillId="51" borderId="14" xfId="0" applyNumberFormat="1" applyFont="1" applyFill="1" applyBorder="1" applyAlignment="1">
      <alignment horizontal="right"/>
    </xf>
    <xf numFmtId="167" fontId="22" fillId="51" borderId="14" xfId="3" applyNumberFormat="1" applyFont="1" applyFill="1" applyBorder="1"/>
    <xf numFmtId="0" fontId="23" fillId="51" borderId="11" xfId="0" applyFont="1" applyFill="1" applyBorder="1"/>
    <xf numFmtId="167" fontId="23" fillId="51" borderId="13" xfId="0" applyNumberFormat="1" applyFont="1" applyFill="1" applyBorder="1"/>
    <xf numFmtId="0" fontId="32" fillId="51" borderId="0" xfId="0" applyFont="1" applyFill="1" applyAlignment="1">
      <alignment horizontal="left" indent="1"/>
    </xf>
    <xf numFmtId="167" fontId="23" fillId="51" borderId="15" xfId="0" applyNumberFormat="1" applyFont="1" applyFill="1" applyBorder="1" applyAlignment="1">
      <alignment horizontal="centerContinuous"/>
    </xf>
    <xf numFmtId="0" fontId="22" fillId="51" borderId="12" xfId="0" applyFont="1" applyFill="1" applyBorder="1" applyAlignment="1">
      <alignment horizontal="centerContinuous"/>
    </xf>
    <xf numFmtId="0" fontId="22" fillId="51" borderId="13" xfId="0" applyFont="1" applyFill="1" applyBorder="1" applyAlignment="1">
      <alignment horizontal="centerContinuous"/>
    </xf>
    <xf numFmtId="167" fontId="23" fillId="51" borderId="33" xfId="0" applyNumberFormat="1" applyFont="1" applyFill="1" applyBorder="1" applyAlignment="1">
      <alignment horizontal="center" vertical="center"/>
    </xf>
    <xf numFmtId="0" fontId="29" fillId="51" borderId="0" xfId="0" applyFont="1" applyFill="1"/>
    <xf numFmtId="0" fontId="51" fillId="0" borderId="0" xfId="0" applyFont="1" applyAlignment="1">
      <alignment horizontal="center" vertical="center" wrapText="1"/>
    </xf>
    <xf numFmtId="0" fontId="53" fillId="0" borderId="0" xfId="0" applyFont="1" applyAlignment="1">
      <alignment horizontal="left"/>
    </xf>
    <xf numFmtId="0" fontId="54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41" fillId="14" borderId="0" xfId="0" applyFont="1" applyFill="1" applyAlignment="1">
      <alignment horizontal="center"/>
    </xf>
    <xf numFmtId="0" fontId="41" fillId="9" borderId="0" xfId="0" applyFont="1" applyFill="1" applyAlignment="1">
      <alignment horizontal="center"/>
    </xf>
    <xf numFmtId="0" fontId="27" fillId="10" borderId="0" xfId="0" applyFont="1" applyFill="1" applyAlignment="1">
      <alignment horizontal="center"/>
    </xf>
    <xf numFmtId="0" fontId="23" fillId="15" borderId="3" xfId="0" applyFont="1" applyFill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49" borderId="0" xfId="0" applyFont="1" applyFill="1" applyAlignment="1">
      <alignment horizontal="center"/>
    </xf>
    <xf numFmtId="0" fontId="24" fillId="51" borderId="0" xfId="0" applyFont="1" applyFill="1" applyAlignment="1">
      <alignment horizontal="center"/>
    </xf>
    <xf numFmtId="0" fontId="23" fillId="51" borderId="0" xfId="0" applyFont="1" applyFill="1" applyAlignment="1">
      <alignment horizontal="center"/>
    </xf>
    <xf numFmtId="0" fontId="75" fillId="51" borderId="0" xfId="0" applyFont="1" applyFill="1" applyAlignment="1">
      <alignment horizontal="center"/>
    </xf>
  </cellXfs>
  <cellStyles count="51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3" xr:uid="{445D9C41-1D5E-455F-8CC7-232339A7C810}"/>
    <cellStyle name="60% - Accent2 2" xfId="44" xr:uid="{D90867AF-A2F1-4059-9EF4-670490571792}"/>
    <cellStyle name="60% - Accent3 2" xfId="45" xr:uid="{1B109D9E-BBF3-4CB8-84AD-A6BF78F62F4E}"/>
    <cellStyle name="60% - Accent4 2" xfId="46" xr:uid="{25E7A770-9DDD-4CCE-BCCF-B32A5C5559F4}"/>
    <cellStyle name="60% - Accent5 2" xfId="47" xr:uid="{7EE7BFFF-A37F-4F5D-BB55-5B9966A72C71}"/>
    <cellStyle name="60% - Accent6 2" xfId="48" xr:uid="{0E1E6B63-CD11-42DA-BE77-F4137442402F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Calculation" xfId="17" builtinId="22" customBuiltin="1"/>
    <cellStyle name="Check Cell" xfId="19" builtinId="23" customBuiltin="1"/>
    <cellStyle name="Comma" xfId="1" builtinId="3"/>
    <cellStyle name="Currency" xfId="2" builtinId="4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Hyperlink" xfId="6" builtinId="8"/>
    <cellStyle name="Input" xfId="15" builtinId="20" customBuiltin="1"/>
    <cellStyle name="Linked Cell" xfId="18" builtinId="24" customBuiltin="1"/>
    <cellStyle name="Neutral 2" xfId="42" xr:uid="{2D142405-B321-4954-B25A-E1E8AD5DD3AB}"/>
    <cellStyle name="Normal" xfId="0" builtinId="0"/>
    <cellStyle name="Normal 10" xfId="5" xr:uid="{00000000-0005-0000-0000-000004000000}"/>
    <cellStyle name="Normal 2" xfId="4" xr:uid="{00000000-0005-0000-0000-000005000000}"/>
    <cellStyle name="Normal 2 2" xfId="49" xr:uid="{AC821D66-A76D-485E-B325-AFEAB4FD5A56}"/>
    <cellStyle name="Normal 3" xfId="7" xr:uid="{00000000-0005-0000-0000-000006000000}"/>
    <cellStyle name="Normal 3 2" xfId="50" xr:uid="{650E7019-F95F-4365-8F79-787ADC58021D}"/>
    <cellStyle name="Note" xfId="21" builtinId="10" customBuiltin="1"/>
    <cellStyle name="Output" xfId="16" builtinId="21" customBuiltin="1"/>
    <cellStyle name="Percent" xfId="3" builtinId="5"/>
    <cellStyle name="Title" xfId="8" builtinId="15" customBuiltin="1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0000FF"/>
      <color rgb="FF8064A2"/>
      <color rgb="FFFFFFCC"/>
      <color rgb="FF006699"/>
      <color rgb="FFADC3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627062</xdr:colOff>
      <xdr:row>9</xdr:row>
      <xdr:rowOff>142875</xdr:rowOff>
    </xdr:from>
    <xdr:to>
      <xdr:col>12</xdr:col>
      <xdr:colOff>676274</xdr:colOff>
      <xdr:row>12</xdr:row>
      <xdr:rowOff>0</xdr:rowOff>
    </xdr:to>
    <xdr:pic>
      <xdr:nvPicPr>
        <xdr:cNvPr id="3" name="Picture 2" descr="2011 Logo Horizontal Color">
          <a:extLst>
            <a:ext uri="{FF2B5EF4-FFF2-40B4-BE49-F238E27FC236}">
              <a16:creationId xmlns:a16="http://schemas.microsoft.com/office/drawing/2014/main" id="{CA9C3C71-BDA5-40F5-A117-F01869B698D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746875" y="3825875"/>
          <a:ext cx="3033712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35719</xdr:colOff>
      <xdr:row>0</xdr:row>
      <xdr:rowOff>51594</xdr:rowOff>
    </xdr:from>
    <xdr:ext cx="1587843" cy="700519"/>
    <xdr:pic>
      <xdr:nvPicPr>
        <xdr:cNvPr id="5" name="Picture 4">
          <a:extLst>
            <a:ext uri="{FF2B5EF4-FFF2-40B4-BE49-F238E27FC236}">
              <a16:creationId xmlns:a16="http://schemas.microsoft.com/office/drawing/2014/main" id="{5899742D-38A3-482D-BBEB-5E69DF0915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80" t="25429" r="17442" b="26888"/>
        <a:stretch/>
      </xdr:blipFill>
      <xdr:spPr>
        <a:xfrm>
          <a:off x="35719" y="51594"/>
          <a:ext cx="1587843" cy="70051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29e39f5313cc976b/Exeter1/103709-2026%20TAP-R/For%20Testimony/Apr%2025%20to%20Mar%2026/Modified%20PWD-5%20Rate%20Rider%20Reporting%20Model.xlsx" TargetMode="External"/><Relationship Id="rId1" Type="http://schemas.openxmlformats.org/officeDocument/2006/relationships/externalLinkPath" Target="Modified%20PWD-5%20Rate%20Rider%20Reporting%20Mode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29e39f5313cc976b/Exeter1/103709-2026%20TAP-R/For%20Testimony/Calendar%20Year%202025/Modified%20%20Raftalis%20PWD-5%20Rate%20Rider%20Reporting%20Model.xlsx" TargetMode="External"/><Relationship Id="rId1" Type="http://schemas.openxmlformats.org/officeDocument/2006/relationships/externalLinkPath" Target="Modified%20%20Raftalis%20PWD-5%20Rate%20Rider%20Reporting%20Mod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Table of Contents"/>
      <sheetName val="TRR_Summary"/>
      <sheetName val="TRR_Projections"/>
      <sheetName val="Combined Data"/>
      <sheetName val="DR_1"/>
      <sheetName val="DR_2"/>
      <sheetName val="Data Source"/>
      <sheetName val="051018 Model_Applications"/>
      <sheetName val="051018 Model_Assumptions"/>
      <sheetName val="051018 Model_Model"/>
      <sheetName val="051018 Model_Cost Estimates"/>
    </sheetNames>
    <sheetDataSet>
      <sheetData sheetId="0"/>
      <sheetData sheetId="1"/>
      <sheetData sheetId="2">
        <row r="20">
          <cell r="E20">
            <v>59.467821369606519</v>
          </cell>
        </row>
        <row r="21">
          <cell r="E21">
            <v>653.72420126637337</v>
          </cell>
        </row>
      </sheetData>
      <sheetData sheetId="3">
        <row r="5">
          <cell r="BG5">
            <v>68405</v>
          </cell>
        </row>
        <row r="9">
          <cell r="Z9">
            <v>431332</v>
          </cell>
          <cell r="AA9">
            <v>362543</v>
          </cell>
          <cell r="AB9">
            <v>375751</v>
          </cell>
          <cell r="AC9">
            <v>382353</v>
          </cell>
          <cell r="AD9">
            <v>395758</v>
          </cell>
          <cell r="AE9">
            <v>419696</v>
          </cell>
          <cell r="AF9">
            <v>423997</v>
          </cell>
          <cell r="AG9">
            <v>450076</v>
          </cell>
          <cell r="AH9">
            <v>444157</v>
          </cell>
          <cell r="AI9">
            <v>466827</v>
          </cell>
          <cell r="AJ9">
            <v>340206</v>
          </cell>
          <cell r="AK9">
            <v>453729</v>
          </cell>
          <cell r="AL9">
            <v>474801</v>
          </cell>
          <cell r="AM9">
            <v>423513</v>
          </cell>
          <cell r="AN9">
            <v>464349</v>
          </cell>
          <cell r="AO9">
            <v>447180.03987626272</v>
          </cell>
          <cell r="AP9">
            <v>447180.03987626272</v>
          </cell>
          <cell r="AQ9">
            <v>447180.03987626272</v>
          </cell>
          <cell r="AR9">
            <v>447180.03987626272</v>
          </cell>
          <cell r="AS9">
            <v>447180.03987626272</v>
          </cell>
          <cell r="AT9">
            <v>447180.03987626272</v>
          </cell>
          <cell r="AU9">
            <v>447180.03987626272</v>
          </cell>
          <cell r="AV9">
            <v>447180.03987626272</v>
          </cell>
          <cell r="AW9">
            <v>447180.03987626272</v>
          </cell>
          <cell r="AX9">
            <v>447180.03987626272</v>
          </cell>
          <cell r="AY9">
            <v>447180.03987626272</v>
          </cell>
          <cell r="AZ9">
            <v>447180.03987626272</v>
          </cell>
          <cell r="BA9">
            <v>447180.03987626272</v>
          </cell>
          <cell r="BB9">
            <v>447180.03987626272</v>
          </cell>
          <cell r="BC9">
            <v>447180.03987626272</v>
          </cell>
          <cell r="BD9">
            <v>447180.03987626272</v>
          </cell>
          <cell r="BE9">
            <v>447180.03987626272</v>
          </cell>
        </row>
        <row r="11">
          <cell r="Z11">
            <v>431025</v>
          </cell>
          <cell r="AA11">
            <v>362258</v>
          </cell>
          <cell r="AB11">
            <v>375462</v>
          </cell>
          <cell r="AC11">
            <v>382075</v>
          </cell>
          <cell r="AD11">
            <v>395427</v>
          </cell>
          <cell r="AE11">
            <v>419359</v>
          </cell>
          <cell r="AF11">
            <v>423626</v>
          </cell>
          <cell r="AG11">
            <v>449771</v>
          </cell>
          <cell r="AH11">
            <v>443876</v>
          </cell>
          <cell r="AI11">
            <v>466528</v>
          </cell>
          <cell r="AJ11">
            <v>339938</v>
          </cell>
          <cell r="AK11">
            <v>453388</v>
          </cell>
          <cell r="AL11">
            <v>474423</v>
          </cell>
          <cell r="AM11">
            <v>423187</v>
          </cell>
          <cell r="AN11">
            <v>463972</v>
          </cell>
          <cell r="AO11">
            <v>447180.03987626272</v>
          </cell>
          <cell r="AP11">
            <v>447180.03987626272</v>
          </cell>
          <cell r="AQ11">
            <v>447180.03987626272</v>
          </cell>
          <cell r="AR11">
            <v>447180.03987626272</v>
          </cell>
          <cell r="AS11">
            <v>447180.03987626272</v>
          </cell>
          <cell r="AT11">
            <v>447180.03987626272</v>
          </cell>
          <cell r="AU11">
            <v>447180.03987626272</v>
          </cell>
          <cell r="AV11">
            <v>447180.03987626272</v>
          </cell>
          <cell r="AW11">
            <v>447180.03987626272</v>
          </cell>
          <cell r="AX11">
            <v>447180.03987626272</v>
          </cell>
          <cell r="AY11">
            <v>447180.03987626272</v>
          </cell>
          <cell r="AZ11">
            <v>447180.03987626272</v>
          </cell>
          <cell r="BA11">
            <v>447180.03987626272</v>
          </cell>
          <cell r="BB11">
            <v>447180.03987626272</v>
          </cell>
          <cell r="BC11">
            <v>447180.03987626272</v>
          </cell>
          <cell r="BD11">
            <v>447180.03987626272</v>
          </cell>
          <cell r="BE11">
            <v>447180.03987626272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Table of Contents"/>
      <sheetName val="TRR_Summary"/>
      <sheetName val="TRR_Projections"/>
      <sheetName val="Combined Data"/>
      <sheetName val="DR_1"/>
      <sheetName val="DR_2"/>
      <sheetName val="Data Source"/>
      <sheetName val="From PA-TAP-1-1"/>
      <sheetName val="051018 Model_Applications"/>
      <sheetName val="051018 Model_Assumptions"/>
      <sheetName val="051018 Model_Model"/>
      <sheetName val="051018 Model_Cost Estimates"/>
    </sheetNames>
    <sheetDataSet>
      <sheetData sheetId="0"/>
      <sheetData sheetId="1"/>
      <sheetData sheetId="2">
        <row r="4">
          <cell r="B4">
            <v>56.026667931955203</v>
          </cell>
        </row>
        <row r="13">
          <cell r="G13">
            <v>47276080.975337833</v>
          </cell>
        </row>
      </sheetData>
      <sheetData sheetId="3">
        <row r="5">
          <cell r="K5">
            <v>66827</v>
          </cell>
          <cell r="L5">
            <v>67155</v>
          </cell>
          <cell r="M5">
            <v>56281</v>
          </cell>
          <cell r="N5">
            <v>67815</v>
          </cell>
          <cell r="O5">
            <v>67984.537499999991</v>
          </cell>
          <cell r="P5">
            <v>68154.498843749985</v>
          </cell>
          <cell r="Q5">
            <v>68324.885090859359</v>
          </cell>
          <cell r="R5">
            <v>68495.697303586508</v>
          </cell>
          <cell r="S5">
            <v>68666.936546845478</v>
          </cell>
          <cell r="T5">
            <v>68838.603888212587</v>
          </cell>
          <cell r="U5">
            <v>69010.70039793312</v>
          </cell>
          <cell r="V5">
            <v>69183.227148927952</v>
          </cell>
          <cell r="W5">
            <v>69356.185216800266</v>
          </cell>
          <cell r="X5">
            <v>69529.575679842266</v>
          </cell>
          <cell r="Y5">
            <v>69703.399619041869</v>
          </cell>
          <cell r="Z5">
            <v>69877.658118089472</v>
          </cell>
          <cell r="AA5">
            <v>70052.352263384688</v>
          </cell>
          <cell r="AB5">
            <v>70227.483144043144</v>
          </cell>
          <cell r="AC5">
            <v>70403.051851903248</v>
          </cell>
          <cell r="AD5">
            <v>70579.059481532997</v>
          </cell>
          <cell r="AE5">
            <v>70755.507130236831</v>
          </cell>
          <cell r="AF5">
            <v>70932.395898062416</v>
          </cell>
          <cell r="AG5">
            <v>71109.72688780757</v>
          </cell>
          <cell r="AH5">
            <v>71287.501205027089</v>
          </cell>
        </row>
        <row r="7">
          <cell r="C7">
            <v>3646630.18</v>
          </cell>
          <cell r="D7">
            <v>2993649.08</v>
          </cell>
          <cell r="E7">
            <v>3084799.46</v>
          </cell>
          <cell r="F7">
            <v>3128342.41</v>
          </cell>
          <cell r="G7">
            <v>3243724.0700000003</v>
          </cell>
          <cell r="H7">
            <v>3486841.07</v>
          </cell>
          <cell r="I7">
            <v>3526644.22</v>
          </cell>
          <cell r="J7">
            <v>3776526.48</v>
          </cell>
          <cell r="K7">
            <v>3997140.2</v>
          </cell>
          <cell r="L7">
            <v>4545754.26</v>
          </cell>
          <cell r="M7">
            <v>3282881.9</v>
          </cell>
          <cell r="N7">
            <v>4386029.1899999995</v>
          </cell>
          <cell r="O7">
            <v>3808947.1070200554</v>
          </cell>
          <cell r="P7">
            <v>3818469.474787605</v>
          </cell>
          <cell r="Q7">
            <v>3828015.6484745741</v>
          </cell>
          <cell r="R7">
            <v>3837585.6875957604</v>
          </cell>
          <cell r="S7">
            <v>3847179.6518147504</v>
          </cell>
          <cell r="T7">
            <v>3856797.6009442867</v>
          </cell>
          <cell r="U7">
            <v>3866439.5949466475</v>
          </cell>
          <cell r="V7">
            <v>3876105.6939340141</v>
          </cell>
          <cell r="W7">
            <v>3885795.9581688489</v>
          </cell>
          <cell r="X7">
            <v>3895510.4480642709</v>
          </cell>
          <cell r="Y7">
            <v>3905249.2241844316</v>
          </cell>
          <cell r="Z7">
            <v>3915012.3472448927</v>
          </cell>
          <cell r="AA7">
            <v>3924799.8781130044</v>
          </cell>
          <cell r="AB7">
            <v>3934611.8778082863</v>
          </cell>
          <cell r="AC7">
            <v>3944448.4075028072</v>
          </cell>
          <cell r="AD7">
            <v>3954309.5285215634</v>
          </cell>
          <cell r="AE7">
            <v>3964195.3023428675</v>
          </cell>
          <cell r="AF7">
            <v>3974105.7905987245</v>
          </cell>
          <cell r="AG7">
            <v>3984041.0550752212</v>
          </cell>
          <cell r="AH7">
            <v>3994001.1577129089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ater.phila.gov/wp-content/uploads/files/rates-and-charges-2025-09-01.pdf" TargetMode="External"/><Relationship Id="rId2" Type="http://schemas.openxmlformats.org/officeDocument/2006/relationships/hyperlink" Target="https://www.federalreserve.gov/releases/h15/" TargetMode="External"/><Relationship Id="rId1" Type="http://schemas.openxmlformats.org/officeDocument/2006/relationships/hyperlink" Target="https://www.federalreserve.gov/releases/h15/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-0.249977111117893"/>
  </sheetPr>
  <dimension ref="A1:M13"/>
  <sheetViews>
    <sheetView workbookViewId="0">
      <selection activeCell="D9" sqref="D9"/>
    </sheetView>
  </sheetViews>
  <sheetFormatPr defaultColWidth="0" defaultRowHeight="15.75" customHeight="1" zeroHeight="1" x14ac:dyDescent="0.4"/>
  <cols>
    <col min="1" max="3" width="11.26953125" style="1" customWidth="1"/>
    <col min="4" max="4" width="13.453125" style="1" customWidth="1"/>
    <col min="5" max="13" width="11.26953125" style="1" customWidth="1"/>
    <col min="14" max="16384" width="9.26953125" style="1" hidden="1"/>
  </cols>
  <sheetData>
    <row r="1" spans="1:13" ht="17" x14ac:dyDescent="0.45">
      <c r="A1" s="120"/>
      <c r="B1" s="121"/>
      <c r="C1" s="121"/>
      <c r="D1" s="122"/>
      <c r="E1" s="122"/>
      <c r="F1" s="122"/>
      <c r="G1" s="122"/>
      <c r="H1" s="122"/>
      <c r="I1" s="122"/>
      <c r="J1" s="122"/>
      <c r="K1" s="122"/>
      <c r="L1" s="122"/>
      <c r="M1" s="123" t="s">
        <v>0</v>
      </c>
    </row>
    <row r="2" spans="1:13" ht="17" x14ac:dyDescent="0.45">
      <c r="A2" s="120"/>
      <c r="B2" s="121"/>
      <c r="C2" s="121"/>
      <c r="D2" s="122"/>
      <c r="E2" s="122"/>
      <c r="F2" s="122"/>
      <c r="G2" s="122"/>
      <c r="H2" s="122"/>
      <c r="I2" s="122"/>
      <c r="J2" s="122"/>
      <c r="K2" s="122"/>
      <c r="L2" s="122"/>
      <c r="M2" s="123" t="s">
        <v>1</v>
      </c>
    </row>
    <row r="3" spans="1:13" ht="23" x14ac:dyDescent="0.6">
      <c r="A3" s="124"/>
      <c r="B3" s="125"/>
      <c r="C3" s="121"/>
      <c r="M3" s="126"/>
    </row>
    <row r="4" spans="1:13" ht="23" x14ac:dyDescent="0.6">
      <c r="A4" s="120"/>
      <c r="B4" s="125"/>
      <c r="C4" s="121"/>
      <c r="M4" s="126"/>
    </row>
    <row r="5" spans="1:13" ht="114.75" customHeight="1" x14ac:dyDescent="0.4">
      <c r="A5" s="335" t="s">
        <v>2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</row>
    <row r="6" spans="1:13" ht="23" x14ac:dyDescent="0.6">
      <c r="A6" s="124"/>
      <c r="B6" s="125"/>
      <c r="C6" s="121"/>
      <c r="M6" s="126"/>
    </row>
    <row r="7" spans="1:13" ht="23" x14ac:dyDescent="0.6">
      <c r="A7" s="124"/>
      <c r="B7" s="125"/>
      <c r="C7" s="121"/>
      <c r="M7" s="126"/>
    </row>
    <row r="8" spans="1:13" ht="17" x14ac:dyDescent="0.45">
      <c r="A8" s="120" t="s">
        <v>3</v>
      </c>
      <c r="B8" s="121"/>
      <c r="C8" s="121"/>
      <c r="D8" s="127">
        <v>46070</v>
      </c>
      <c r="E8" s="122"/>
      <c r="F8" s="122"/>
      <c r="G8" s="122"/>
      <c r="H8" s="122"/>
      <c r="M8" s="126"/>
    </row>
    <row r="9" spans="1:13" ht="17" x14ac:dyDescent="0.45">
      <c r="A9" s="120"/>
      <c r="B9" s="121"/>
      <c r="C9" s="121"/>
      <c r="D9" s="128"/>
      <c r="E9" s="122"/>
      <c r="F9" s="122"/>
      <c r="G9" s="122"/>
      <c r="H9" s="122"/>
      <c r="M9" s="126"/>
    </row>
    <row r="10" spans="1:13" ht="17" x14ac:dyDescent="0.45">
      <c r="A10" s="120"/>
      <c r="B10" s="121"/>
      <c r="C10" s="121"/>
      <c r="D10" s="122"/>
      <c r="E10" s="122"/>
      <c r="F10" s="122"/>
      <c r="G10" s="122"/>
      <c r="H10" s="122"/>
      <c r="M10" s="126"/>
    </row>
    <row r="11" spans="1:13" ht="17" x14ac:dyDescent="0.45">
      <c r="A11" s="336" t="s">
        <v>4</v>
      </c>
      <c r="B11" s="337"/>
      <c r="C11" s="337"/>
      <c r="D11" s="337"/>
      <c r="E11" s="337"/>
      <c r="F11" s="337"/>
      <c r="G11" s="338"/>
      <c r="H11" s="338"/>
      <c r="M11" s="126"/>
    </row>
    <row r="12" spans="1:13" ht="17" x14ac:dyDescent="0.45">
      <c r="A12" s="129" t="s">
        <v>5</v>
      </c>
      <c r="B12" s="130"/>
      <c r="C12" s="130"/>
      <c r="D12" s="130"/>
      <c r="E12" s="130"/>
      <c r="F12" s="130"/>
      <c r="G12" s="131"/>
      <c r="H12" s="131"/>
      <c r="M12" s="126"/>
    </row>
    <row r="13" spans="1:13" ht="15.5" hidden="1" x14ac:dyDescent="0.4"/>
  </sheetData>
  <mergeCells count="2">
    <mergeCell ref="A5:M5"/>
    <mergeCell ref="A11:H1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0EC7-FD91-4EDE-B640-AB737F953BE9}">
  <sheetPr codeName="Sheet10">
    <tabColor theme="4" tint="-0.249977111117893"/>
    <pageSetUpPr fitToPage="1"/>
  </sheetPr>
  <dimension ref="A1:N187"/>
  <sheetViews>
    <sheetView view="pageBreakPreview" zoomScale="60" zoomScaleNormal="70" workbookViewId="0">
      <selection activeCell="O48" sqref="O48"/>
    </sheetView>
  </sheetViews>
  <sheetFormatPr defaultColWidth="9.26953125" defaultRowHeight="15.5" zeroHeight="1" x14ac:dyDescent="0.4"/>
  <cols>
    <col min="1" max="1" width="9.26953125" style="1" customWidth="1"/>
    <col min="2" max="2" width="20.54296875" style="1" customWidth="1"/>
    <col min="3" max="8" width="30.54296875" style="1" customWidth="1"/>
    <col min="9" max="9" width="1.7265625" style="1" customWidth="1"/>
    <col min="10" max="10" width="24" style="1" customWidth="1"/>
    <col min="11" max="11" width="34.453125" style="1" bestFit="1" customWidth="1"/>
    <col min="12" max="12" width="30.7265625" style="1" customWidth="1"/>
    <col min="13" max="13" width="1.54296875" style="1" customWidth="1"/>
    <col min="14" max="14" width="15.26953125" style="1" customWidth="1"/>
    <col min="15" max="16" width="9.26953125" style="1" customWidth="1"/>
    <col min="17" max="16384" width="9.26953125" style="1"/>
  </cols>
  <sheetData>
    <row r="1" spans="2:12" x14ac:dyDescent="0.4"/>
    <row r="2" spans="2:12" x14ac:dyDescent="0.4">
      <c r="B2" s="252" t="str">
        <f>B72</f>
        <v xml:space="preserve">Philadelphia Water Department </v>
      </c>
      <c r="C2" s="252"/>
      <c r="D2" s="252"/>
      <c r="E2" s="252"/>
      <c r="F2" s="252"/>
      <c r="G2" s="252"/>
      <c r="H2" s="252"/>
      <c r="I2" s="252"/>
      <c r="J2" s="252"/>
      <c r="K2" s="252"/>
      <c r="L2" s="4"/>
    </row>
    <row r="3" spans="2:12" ht="16" thickBot="1" x14ac:dyDescent="0.45">
      <c r="B3" s="252" t="str">
        <f>B73</f>
        <v xml:space="preserve">Table 4 -W-A - Interest on Experienced &amp; Estimated Net Over/(Under) Collection (I-Factor) for Most Recent Period </v>
      </c>
      <c r="C3" s="252"/>
      <c r="D3" s="252"/>
      <c r="E3" s="252"/>
      <c r="F3" s="252"/>
      <c r="G3" s="252"/>
      <c r="H3" s="252"/>
      <c r="I3" s="252"/>
      <c r="J3" s="252"/>
      <c r="K3" s="252"/>
      <c r="L3" s="4"/>
    </row>
    <row r="4" spans="2:12" ht="16" thickBot="1" x14ac:dyDescent="0.45">
      <c r="B4" s="250"/>
      <c r="C4" s="315" t="str">
        <f t="shared" ref="C4:F9" si="0">C74</f>
        <v>Prior Reconciliation Period with Updated Actuals</v>
      </c>
      <c r="D4" s="331"/>
      <c r="E4" s="332"/>
      <c r="F4" s="250"/>
      <c r="G4" s="318"/>
      <c r="H4" s="333"/>
      <c r="J4" s="318" t="s">
        <v>191</v>
      </c>
      <c r="K4" s="333" t="s">
        <v>192</v>
      </c>
      <c r="L4" s="96"/>
    </row>
    <row r="5" spans="2:12" x14ac:dyDescent="0.4">
      <c r="B5" s="298" t="str">
        <f>B75</f>
        <v>Billing</v>
      </c>
      <c r="C5" s="298" t="str">
        <f t="shared" si="0"/>
        <v>Difference in</v>
      </c>
      <c r="D5" s="298" t="str">
        <f t="shared" si="0"/>
        <v>Billed Non-TAP</v>
      </c>
      <c r="E5" s="298" t="str">
        <f t="shared" si="0"/>
        <v xml:space="preserve">Anticipated E+I </v>
      </c>
      <c r="F5" s="334" t="str">
        <f t="shared" si="0"/>
        <v xml:space="preserve">Remaining E+I </v>
      </c>
      <c r="G5" s="298" t="str">
        <f t="shared" ref="G5:H7" si="1">G75</f>
        <v xml:space="preserve">Cumulative </v>
      </c>
      <c r="H5" s="298" t="str">
        <f t="shared" si="1"/>
        <v xml:space="preserve">Estimated Monthly </v>
      </c>
      <c r="J5" s="298" t="s">
        <v>217</v>
      </c>
      <c r="K5" s="298" t="str">
        <f>K75</f>
        <v xml:space="preserve">Cumulative </v>
      </c>
      <c r="L5" s="97"/>
    </row>
    <row r="6" spans="2:12" x14ac:dyDescent="0.4">
      <c r="B6" s="299" t="str">
        <f>B76</f>
        <v>Period</v>
      </c>
      <c r="C6" s="299" t="str">
        <f t="shared" si="0"/>
        <v>Collection</v>
      </c>
      <c r="D6" s="299" t="str">
        <f t="shared" si="0"/>
        <v>Water Sales</v>
      </c>
      <c r="E6" s="299" t="str">
        <f t="shared" si="0"/>
        <v>Recovery</v>
      </c>
      <c r="F6" s="334" t="str">
        <f t="shared" si="0"/>
        <v>Recovery</v>
      </c>
      <c r="G6" s="299" t="str">
        <f t="shared" si="1"/>
        <v>Over/(Under) Collection</v>
      </c>
      <c r="H6" s="299" t="str">
        <f t="shared" si="1"/>
        <v>Interest Owed/</v>
      </c>
      <c r="J6" s="299" t="str">
        <f>L76</f>
        <v>Interest Owed/</v>
      </c>
      <c r="K6" s="299" t="str">
        <f t="shared" ref="K6" si="2">K76</f>
        <v>Over/(Under) Collection</v>
      </c>
      <c r="L6" s="97"/>
    </row>
    <row r="7" spans="2:12" x14ac:dyDescent="0.4">
      <c r="B7" s="299"/>
      <c r="C7" s="299" t="str">
        <f t="shared" si="0"/>
        <v>Water Portion</v>
      </c>
      <c r="D7" s="299" t="str">
        <f t="shared" si="0"/>
        <v>(Mcf)</v>
      </c>
      <c r="E7" s="299" t="str">
        <f t="shared" si="0"/>
        <v>Water Portion</v>
      </c>
      <c r="F7" s="334" t="str">
        <f t="shared" si="0"/>
        <v>Water Portion</v>
      </c>
      <c r="G7" s="299" t="str">
        <f t="shared" si="1"/>
        <v>Water Portion</v>
      </c>
      <c r="H7" s="299" t="str">
        <f t="shared" si="1"/>
        <v>(Interest to be Recouped)</v>
      </c>
      <c r="J7" s="299" t="str">
        <f>L77</f>
        <v>(Interest to be Recouped)</v>
      </c>
      <c r="K7" s="299" t="str">
        <f t="shared" ref="K7" si="3">K77</f>
        <v>Water Portion</v>
      </c>
      <c r="L7" s="97"/>
    </row>
    <row r="8" spans="2:12" x14ac:dyDescent="0.4">
      <c r="B8" s="299"/>
      <c r="C8" s="299" t="str">
        <f t="shared" si="0"/>
        <v>From Table 3-W-A</v>
      </c>
      <c r="D8" s="299" t="str">
        <f t="shared" si="0"/>
        <v>From Table 3-W-A</v>
      </c>
      <c r="E8" s="299">
        <f t="shared" si="0"/>
        <v>-0.9694262811148262</v>
      </c>
      <c r="F8" s="334"/>
      <c r="G8" s="299"/>
      <c r="H8" s="299" t="str">
        <f>H78</f>
        <v>Water Portion</v>
      </c>
      <c r="J8" s="299" t="str">
        <f>L78</f>
        <v>Water Portion</v>
      </c>
      <c r="K8" s="299"/>
      <c r="L8" s="97"/>
    </row>
    <row r="9" spans="2:12" x14ac:dyDescent="0.4">
      <c r="B9" s="299"/>
      <c r="C9" s="299" t="str">
        <f t="shared" si="0"/>
        <v>(1)</v>
      </c>
      <c r="D9" s="299" t="str">
        <f t="shared" si="0"/>
        <v>(2)</v>
      </c>
      <c r="E9" s="299" t="str">
        <f t="shared" si="0"/>
        <v>(3) = (2) * $ -0.969/Mcf</v>
      </c>
      <c r="F9" s="334" t="str">
        <f t="shared" si="0"/>
        <v>(4) = (3) + (1)</v>
      </c>
      <c r="G9" s="299" t="str">
        <f>G79</f>
        <v xml:space="preserve">(5) </v>
      </c>
      <c r="H9" s="299" t="str">
        <f>H79</f>
        <v>(6) = (5) * [4.17% / 12]</v>
      </c>
      <c r="J9" s="299" t="s">
        <v>280</v>
      </c>
      <c r="K9" s="299" t="s">
        <v>288</v>
      </c>
      <c r="L9" s="98"/>
    </row>
    <row r="10" spans="2:12" x14ac:dyDescent="0.4">
      <c r="B10" s="311"/>
      <c r="C10" s="312"/>
      <c r="D10" s="312"/>
      <c r="E10" s="312"/>
      <c r="F10" s="312"/>
      <c r="G10" s="312"/>
      <c r="H10" s="312"/>
      <c r="J10" s="312"/>
      <c r="K10" s="312"/>
    </row>
    <row r="11" spans="2:12" x14ac:dyDescent="0.4">
      <c r="B11" s="306">
        <f t="shared" ref="B11:H22" si="4">B81</f>
        <v>45536</v>
      </c>
      <c r="C11" s="324">
        <f t="shared" si="4"/>
        <v>295352.06232041982</v>
      </c>
      <c r="D11" s="324">
        <f t="shared" ref="D11:F11" si="5">D81</f>
        <v>490921.995</v>
      </c>
      <c r="E11" s="325">
        <f t="shared" si="5"/>
        <v>-475912.68393032131</v>
      </c>
      <c r="F11" s="303">
        <f t="shared" si="5"/>
        <v>-180560.62160990149</v>
      </c>
      <c r="G11" s="325">
        <f t="shared" si="4"/>
        <v>-180560.62160990149</v>
      </c>
      <c r="H11" s="325">
        <f t="shared" si="4"/>
        <v>-627.44816009440763</v>
      </c>
      <c r="J11" s="325">
        <f t="shared" ref="J11:J23" si="6">L81</f>
        <v>-627.4472992936096</v>
      </c>
      <c r="K11" s="325">
        <f>H11-J11</f>
        <v>-8.6080079802286491E-4</v>
      </c>
      <c r="L11" s="99"/>
    </row>
    <row r="12" spans="2:12" x14ac:dyDescent="0.4">
      <c r="B12" s="306">
        <f t="shared" si="4"/>
        <v>45566</v>
      </c>
      <c r="C12" s="324">
        <f t="shared" si="4"/>
        <v>110477.46838998003</v>
      </c>
      <c r="D12" s="324">
        <f t="shared" ref="D12:F12" si="7">D82</f>
        <v>458132.77999999997</v>
      </c>
      <c r="E12" s="325">
        <f t="shared" si="7"/>
        <v>-444125.95717219682</v>
      </c>
      <c r="F12" s="303">
        <f t="shared" si="7"/>
        <v>-333648.48878221679</v>
      </c>
      <c r="G12" s="325">
        <f t="shared" si="4"/>
        <v>-514209.11039211828</v>
      </c>
      <c r="H12" s="325">
        <f t="shared" si="4"/>
        <v>-1786.8766586126112</v>
      </c>
      <c r="J12" s="325">
        <f t="shared" si="6"/>
        <v>-1786.8756710846792</v>
      </c>
      <c r="K12" s="325">
        <f t="shared" ref="K12:K23" si="8">H12-J12</f>
        <v>-9.8752793201128952E-4</v>
      </c>
      <c r="L12" s="99"/>
    </row>
    <row r="13" spans="2:12" x14ac:dyDescent="0.4">
      <c r="B13" s="306">
        <f t="shared" si="4"/>
        <v>45597</v>
      </c>
      <c r="C13" s="324">
        <f t="shared" si="4"/>
        <v>161967.9566269198</v>
      </c>
      <c r="D13" s="324">
        <f t="shared" ref="D13:F13" si="9">D83</f>
        <v>424733.95499999996</v>
      </c>
      <c r="E13" s="325">
        <f t="shared" si="9"/>
        <v>-411748.25845884188</v>
      </c>
      <c r="F13" s="303">
        <f t="shared" si="9"/>
        <v>-249780.30183192209</v>
      </c>
      <c r="G13" s="325">
        <f t="shared" si="4"/>
        <v>-763989.41222404037</v>
      </c>
      <c r="H13" s="325">
        <f t="shared" si="4"/>
        <v>-2654.8632074785405</v>
      </c>
      <c r="J13" s="325">
        <f t="shared" si="6"/>
        <v>-2654.8608091001206</v>
      </c>
      <c r="K13" s="325">
        <f t="shared" si="8"/>
        <v>-2.3983784199117508E-3</v>
      </c>
      <c r="L13" s="99"/>
    </row>
    <row r="14" spans="2:12" x14ac:dyDescent="0.4">
      <c r="B14" s="306">
        <f t="shared" si="4"/>
        <v>45627</v>
      </c>
      <c r="C14" s="324">
        <f t="shared" si="4"/>
        <v>95970.034149960149</v>
      </c>
      <c r="D14" s="324">
        <f t="shared" ref="D14:F14" si="10">D84</f>
        <v>428037.62</v>
      </c>
      <c r="E14" s="325">
        <f t="shared" si="10"/>
        <v>-414950.91813384113</v>
      </c>
      <c r="F14" s="303">
        <f t="shared" si="10"/>
        <v>-318980.88398388098</v>
      </c>
      <c r="G14" s="325">
        <f t="shared" si="4"/>
        <v>-1082970.2962079213</v>
      </c>
      <c r="H14" s="325">
        <f t="shared" si="4"/>
        <v>-3763.3217793225267</v>
      </c>
      <c r="J14" s="325">
        <f t="shared" si="6"/>
        <v>-3763.318941443622</v>
      </c>
      <c r="K14" s="325">
        <f t="shared" si="8"/>
        <v>-2.8378789047565078E-3</v>
      </c>
      <c r="L14" s="99"/>
    </row>
    <row r="15" spans="2:12" x14ac:dyDescent="0.4">
      <c r="B15" s="306">
        <f t="shared" si="4"/>
        <v>45658</v>
      </c>
      <c r="C15" s="324">
        <f t="shared" si="4"/>
        <v>-21368.129354940029</v>
      </c>
      <c r="D15" s="324">
        <f t="shared" ref="D15:F15" si="11">D85</f>
        <v>446981.625</v>
      </c>
      <c r="E15" s="325">
        <f t="shared" si="11"/>
        <v>-433315.73445041181</v>
      </c>
      <c r="F15" s="303">
        <f t="shared" si="11"/>
        <v>-454683.86380535184</v>
      </c>
      <c r="G15" s="325">
        <f t="shared" si="4"/>
        <v>-1537654.1600132731</v>
      </c>
      <c r="H15" s="325">
        <f t="shared" si="4"/>
        <v>-5343.3482060461238</v>
      </c>
      <c r="J15" s="325">
        <f t="shared" si="6"/>
        <v>-5341.5064934152297</v>
      </c>
      <c r="K15" s="325">
        <f t="shared" si="8"/>
        <v>-1.8417126308941079</v>
      </c>
      <c r="L15" s="99"/>
    </row>
    <row r="16" spans="2:12" x14ac:dyDescent="0.4">
      <c r="B16" s="306">
        <f t="shared" si="4"/>
        <v>45689</v>
      </c>
      <c r="C16" s="324">
        <f t="shared" si="4"/>
        <v>53570.767583040055</v>
      </c>
      <c r="D16" s="324">
        <f t="shared" ref="D16:F16" si="12">D86</f>
        <v>389903.54</v>
      </c>
      <c r="E16" s="325">
        <f t="shared" si="12"/>
        <v>-377982.73877570586</v>
      </c>
      <c r="F16" s="303">
        <f t="shared" si="12"/>
        <v>-324411.97119266581</v>
      </c>
      <c r="G16" s="325">
        <f t="shared" si="4"/>
        <v>-1862066.131205939</v>
      </c>
      <c r="H16" s="325">
        <f t="shared" si="4"/>
        <v>-6470.6798059406383</v>
      </c>
      <c r="J16" s="325">
        <f t="shared" si="6"/>
        <v>-6467.1795290247828</v>
      </c>
      <c r="K16" s="325">
        <f t="shared" si="8"/>
        <v>-3.5002769158554656</v>
      </c>
      <c r="L16" s="99"/>
    </row>
    <row r="17" spans="2:14" x14ac:dyDescent="0.4">
      <c r="B17" s="306">
        <f t="shared" si="4"/>
        <v>45717</v>
      </c>
      <c r="C17" s="324">
        <f t="shared" si="4"/>
        <v>35473.220753880218</v>
      </c>
      <c r="D17" s="324">
        <f t="shared" ref="D17:F17" si="13">D87</f>
        <v>394954.18</v>
      </c>
      <c r="E17" s="325">
        <f t="shared" si="13"/>
        <v>-382878.96192815568</v>
      </c>
      <c r="F17" s="303">
        <f t="shared" si="13"/>
        <v>-347405.74117427546</v>
      </c>
      <c r="G17" s="325">
        <f t="shared" si="4"/>
        <v>-2209471.8723802143</v>
      </c>
      <c r="H17" s="325">
        <f t="shared" si="4"/>
        <v>-7677.9147565212443</v>
      </c>
      <c r="J17" s="325">
        <f t="shared" si="6"/>
        <v>-7670.979616135337</v>
      </c>
      <c r="K17" s="325">
        <f t="shared" si="8"/>
        <v>-6.9351403859072889</v>
      </c>
      <c r="L17" s="99"/>
    </row>
    <row r="18" spans="2:14" x14ac:dyDescent="0.4">
      <c r="B18" s="306">
        <f t="shared" si="4"/>
        <v>45748</v>
      </c>
      <c r="C18" s="324">
        <f t="shared" si="4"/>
        <v>34307.428886999842</v>
      </c>
      <c r="D18" s="324">
        <f t="shared" ref="D18:F18" si="14">D88</f>
        <v>399841.21499999997</v>
      </c>
      <c r="E18" s="325">
        <f t="shared" si="14"/>
        <v>-387616.58209388366</v>
      </c>
      <c r="F18" s="303">
        <f t="shared" si="14"/>
        <v>-353309.15320688381</v>
      </c>
      <c r="G18" s="325">
        <f t="shared" si="4"/>
        <v>-2562781.0255870982</v>
      </c>
      <c r="H18" s="325">
        <f t="shared" si="4"/>
        <v>-8905.6640639151665</v>
      </c>
      <c r="J18" s="325">
        <f t="shared" si="6"/>
        <v>-8267.7329852468247</v>
      </c>
      <c r="K18" s="325">
        <f t="shared" si="8"/>
        <v>-637.9310786683418</v>
      </c>
      <c r="L18" s="99"/>
    </row>
    <row r="19" spans="2:14" x14ac:dyDescent="0.4">
      <c r="B19" s="306">
        <f t="shared" si="4"/>
        <v>45778</v>
      </c>
      <c r="C19" s="324">
        <f t="shared" si="4"/>
        <v>51003.02154042013</v>
      </c>
      <c r="D19" s="324">
        <f t="shared" ref="D19:F19" si="15">D89</f>
        <v>419823.69000000006</v>
      </c>
      <c r="E19" s="325">
        <f t="shared" si="15"/>
        <v>-406988.11852060369</v>
      </c>
      <c r="F19" s="303">
        <f t="shared" si="15"/>
        <v>-355985.09698018356</v>
      </c>
      <c r="G19" s="325">
        <f t="shared" si="4"/>
        <v>-2918766.1225672816</v>
      </c>
      <c r="H19" s="325">
        <f t="shared" si="4"/>
        <v>-10142.712275921303</v>
      </c>
      <c r="J19" s="325">
        <f t="shared" si="6"/>
        <v>-8864.4863543583106</v>
      </c>
      <c r="K19" s="325">
        <f t="shared" si="8"/>
        <v>-1278.2259215629929</v>
      </c>
      <c r="L19" s="99"/>
    </row>
    <row r="20" spans="2:14" x14ac:dyDescent="0.4">
      <c r="B20" s="306">
        <f t="shared" si="4"/>
        <v>45809</v>
      </c>
      <c r="C20" s="324">
        <f t="shared" si="4"/>
        <v>11580.843237539986</v>
      </c>
      <c r="D20" s="324">
        <f t="shared" ref="D20:F20" si="16">D90</f>
        <v>437385.55</v>
      </c>
      <c r="E20" s="325">
        <f t="shared" si="16"/>
        <v>-424013.04714986286</v>
      </c>
      <c r="F20" s="303">
        <f t="shared" si="16"/>
        <v>-412432.20391232288</v>
      </c>
      <c r="G20" s="325">
        <f t="shared" si="4"/>
        <v>-3331198.3264796045</v>
      </c>
      <c r="H20" s="325">
        <f t="shared" si="4"/>
        <v>-11575.914184516625</v>
      </c>
      <c r="J20" s="325">
        <f t="shared" si="6"/>
        <v>-9461.2397234697983</v>
      </c>
      <c r="K20" s="325">
        <f t="shared" si="8"/>
        <v>-2114.6744610468268</v>
      </c>
      <c r="L20" s="99"/>
    </row>
    <row r="21" spans="2:14" x14ac:dyDescent="0.4">
      <c r="B21" s="306">
        <f t="shared" si="4"/>
        <v>45839</v>
      </c>
      <c r="C21" s="324">
        <f t="shared" si="4"/>
        <v>54675.480385380331</v>
      </c>
      <c r="D21" s="324">
        <f t="shared" ref="D21:F21" si="17">D91</f>
        <v>456809.04500000004</v>
      </c>
      <c r="E21" s="325">
        <f t="shared" si="17"/>
        <v>-442842.69367396535</v>
      </c>
      <c r="F21" s="303">
        <f t="shared" si="17"/>
        <v>-388167.21328858502</v>
      </c>
      <c r="G21" s="325">
        <f t="shared" si="4"/>
        <v>-3719365.5397681897</v>
      </c>
      <c r="H21" s="325">
        <f t="shared" si="4"/>
        <v>-12924.795250694458</v>
      </c>
      <c r="J21" s="325">
        <f t="shared" si="6"/>
        <v>-10057.993092581282</v>
      </c>
      <c r="K21" s="325">
        <f t="shared" si="8"/>
        <v>-2866.8021581131761</v>
      </c>
      <c r="L21" s="99"/>
    </row>
    <row r="22" spans="2:14" x14ac:dyDescent="0.4">
      <c r="B22" s="306">
        <f t="shared" si="4"/>
        <v>45870</v>
      </c>
      <c r="C22" s="324">
        <f t="shared" si="4"/>
        <v>8173.8549456601031</v>
      </c>
      <c r="D22" s="324">
        <f t="shared" ref="D22:F22" si="18">D92</f>
        <v>472709.625</v>
      </c>
      <c r="E22" s="325">
        <f t="shared" si="18"/>
        <v>-458257.13381093409</v>
      </c>
      <c r="F22" s="303">
        <f t="shared" si="18"/>
        <v>-450083.27886527398</v>
      </c>
      <c r="G22" s="325">
        <f t="shared" si="4"/>
        <v>-4169448.8186334637</v>
      </c>
      <c r="H22" s="325">
        <f t="shared" si="4"/>
        <v>-14488.834644751287</v>
      </c>
      <c r="J22" s="325">
        <f t="shared" si="6"/>
        <v>-10654.74646169277</v>
      </c>
      <c r="K22" s="325">
        <f>H22-J22</f>
        <v>-3834.0881830585167</v>
      </c>
      <c r="L22" s="99"/>
    </row>
    <row r="23" spans="2:14" x14ac:dyDescent="0.4">
      <c r="B23" s="302" t="str">
        <f>B93</f>
        <v>Total</v>
      </c>
      <c r="C23" s="309"/>
      <c r="D23" s="326"/>
      <c r="E23" s="309"/>
      <c r="F23" s="303"/>
      <c r="G23" s="309"/>
      <c r="H23" s="309">
        <f>H93</f>
        <v>-86362.372993814934</v>
      </c>
      <c r="J23" s="309">
        <f t="shared" si="6"/>
        <v>-75618.366976846373</v>
      </c>
      <c r="K23" s="309">
        <f t="shared" si="8"/>
        <v>-10744.00601696856</v>
      </c>
      <c r="L23" s="45"/>
    </row>
    <row r="24" spans="2:14" ht="5.15" customHeight="1" thickBot="1" x14ac:dyDescent="0.45">
      <c r="B24" s="250"/>
      <c r="C24" s="257"/>
      <c r="D24" s="250"/>
      <c r="E24" s="290"/>
      <c r="F24" s="250"/>
      <c r="G24" s="290"/>
      <c r="H24" s="257"/>
      <c r="J24" s="290"/>
      <c r="K24" s="257"/>
      <c r="L24" s="20"/>
    </row>
    <row r="25" spans="2:14" ht="16" thickBot="1" x14ac:dyDescent="0.45">
      <c r="B25" s="250"/>
      <c r="C25" s="250"/>
      <c r="D25" s="327"/>
      <c r="E25" s="328"/>
      <c r="F25" s="329"/>
      <c r="G25" s="330" t="s">
        <v>131</v>
      </c>
      <c r="H25" s="319">
        <f>H23</f>
        <v>-86362.372993814934</v>
      </c>
      <c r="I25" s="48"/>
      <c r="J25" s="330">
        <f>J23</f>
        <v>-75618.366976846373</v>
      </c>
      <c r="K25" s="319">
        <f>H25-J25</f>
        <v>-10744.00601696856</v>
      </c>
      <c r="L25" s="35" t="s">
        <v>181</v>
      </c>
    </row>
    <row r="26" spans="2:14" x14ac:dyDescent="0.4">
      <c r="B26" s="8"/>
      <c r="H26" s="7"/>
      <c r="J26" s="8"/>
      <c r="L26" s="7" t="s">
        <v>236</v>
      </c>
      <c r="N26" s="20"/>
    </row>
    <row r="27" spans="2:14" hidden="1" x14ac:dyDescent="0.4">
      <c r="B27" s="8" t="s">
        <v>183</v>
      </c>
      <c r="J27" s="51"/>
    </row>
    <row r="28" spans="2:14" hidden="1" x14ac:dyDescent="0.4">
      <c r="B28" s="222" t="s">
        <v>237</v>
      </c>
    </row>
    <row r="29" spans="2:14" hidden="1" x14ac:dyDescent="0.4">
      <c r="B29" s="51" t="s">
        <v>287</v>
      </c>
    </row>
    <row r="30" spans="2:14" hidden="1" x14ac:dyDescent="0.4">
      <c r="B30" s="51" t="s">
        <v>230</v>
      </c>
    </row>
    <row r="31" spans="2:14" hidden="1" x14ac:dyDescent="0.4">
      <c r="B31" s="51" t="s">
        <v>231</v>
      </c>
    </row>
    <row r="32" spans="2:14" hidden="1" x14ac:dyDescent="0.4">
      <c r="B32" s="222" t="str">
        <f>"(6) Interest calculated monthly based on 1-year interest rate for constant maturity U.S. Treasury Securities as published in the Federal Reserve Statistical Release H.15 (519) on "&amp;TEXT('Assumptions and Inputs'!$C$53,"MMMM DD, YYYY")&amp;"."</f>
        <v>(6) Interest calculated monthly based on 1-year interest rate for constant maturity U.S. Treasury Securities as published in the Federal Reserve Statistical Release H.15 (519) on January 02, 2025.</v>
      </c>
    </row>
    <row r="33" spans="2:12" hidden="1" x14ac:dyDescent="0.4">
      <c r="B33" s="222" t="s">
        <v>290</v>
      </c>
    </row>
    <row r="34" spans="2:12" x14ac:dyDescent="0.4">
      <c r="B34" s="222"/>
    </row>
    <row r="35" spans="2:12" x14ac:dyDescent="0.4">
      <c r="B35" s="222"/>
    </row>
    <row r="36" spans="2:12" x14ac:dyDescent="0.4">
      <c r="B36" s="51"/>
    </row>
    <row r="37" spans="2:12" x14ac:dyDescent="0.4">
      <c r="B37" s="252" t="str">
        <f>B104</f>
        <v xml:space="preserve">Philadelphia Water Department </v>
      </c>
      <c r="C37" s="252"/>
      <c r="D37" s="252"/>
      <c r="E37" s="252"/>
      <c r="F37" s="252"/>
      <c r="G37" s="252"/>
      <c r="H37" s="252"/>
      <c r="I37" s="252"/>
      <c r="J37" s="252"/>
      <c r="K37" s="252"/>
      <c r="L37" s="4"/>
    </row>
    <row r="38" spans="2:12" x14ac:dyDescent="0.4">
      <c r="B38" s="252" t="str">
        <f>B105</f>
        <v>Table 4 -WW-A - Interest on Experienced &amp; Estimated Net Over/(Under) Collection (I-Factor) for Most Recent Period</v>
      </c>
      <c r="C38" s="252"/>
      <c r="D38" s="252"/>
      <c r="E38" s="252"/>
      <c r="F38" s="252"/>
      <c r="G38" s="252"/>
      <c r="H38" s="252"/>
      <c r="I38" s="252"/>
      <c r="J38" s="252"/>
      <c r="K38" s="252"/>
      <c r="L38" s="4"/>
    </row>
    <row r="39" spans="2:12" x14ac:dyDescent="0.4">
      <c r="B39" s="252"/>
      <c r="C39" s="252" t="str">
        <f>C106</f>
        <v>Prior Reconciliation Period with Updated Actuals</v>
      </c>
      <c r="D39" s="252"/>
      <c r="E39" s="252"/>
      <c r="F39" s="252"/>
      <c r="G39" s="252"/>
      <c r="H39" s="252"/>
      <c r="J39" s="252" t="s">
        <v>191</v>
      </c>
      <c r="K39" s="252" t="s">
        <v>192</v>
      </c>
      <c r="L39" s="96"/>
    </row>
    <row r="40" spans="2:12" ht="16" thickBot="1" x14ac:dyDescent="0.45">
      <c r="B40" s="252" t="str">
        <f>B107</f>
        <v>Billing</v>
      </c>
      <c r="C40" s="252" t="str">
        <f t="shared" ref="C40:H40" si="19">C107</f>
        <v>Difference in</v>
      </c>
      <c r="D40" s="252" t="str">
        <f t="shared" ref="D40" si="20">D107</f>
        <v>Billed Non-TAP</v>
      </c>
      <c r="E40" s="252" t="str">
        <f t="shared" ref="E40:F40" si="21">E107</f>
        <v xml:space="preserve">Anticipated E+I </v>
      </c>
      <c r="F40" s="252" t="str">
        <f t="shared" si="21"/>
        <v xml:space="preserve">Remaining E+I </v>
      </c>
      <c r="G40" s="252" t="str">
        <f t="shared" ref="G40" si="22">G107</f>
        <v xml:space="preserve">Cumulative </v>
      </c>
      <c r="H40" s="252" t="str">
        <f t="shared" si="19"/>
        <v xml:space="preserve">Estimated Monthly </v>
      </c>
      <c r="J40" s="252" t="str">
        <f>L107</f>
        <v xml:space="preserve">Estimated Monthly </v>
      </c>
      <c r="K40" s="252" t="str">
        <f>N107</f>
        <v xml:space="preserve">Delta </v>
      </c>
      <c r="L40" s="97"/>
    </row>
    <row r="41" spans="2:12" ht="16" thickBot="1" x14ac:dyDescent="0.45">
      <c r="B41" s="250" t="str">
        <f t="shared" ref="B41:H41" si="23">B108</f>
        <v>Period</v>
      </c>
      <c r="C41" s="315" t="str">
        <f t="shared" si="23"/>
        <v>Collection</v>
      </c>
      <c r="D41" s="331" t="str">
        <f t="shared" ref="D41" si="24">D108</f>
        <v>Sewer Volume</v>
      </c>
      <c r="E41" s="332" t="str">
        <f t="shared" ref="E41:F41" si="25">E108</f>
        <v>Recovery</v>
      </c>
      <c r="F41" s="250" t="str">
        <f t="shared" si="25"/>
        <v>Recovery</v>
      </c>
      <c r="G41" s="318" t="str">
        <f t="shared" ref="G41" si="26">G108</f>
        <v>Over/(Under) Collection</v>
      </c>
      <c r="H41" s="333" t="str">
        <f t="shared" si="23"/>
        <v>Interest Owed/</v>
      </c>
      <c r="J41" s="318" t="str">
        <f>L108</f>
        <v>Interest Owed/</v>
      </c>
      <c r="K41" s="333" t="str">
        <f>N108</f>
        <v>Prior Period</v>
      </c>
      <c r="L41" s="97"/>
    </row>
    <row r="42" spans="2:12" x14ac:dyDescent="0.4">
      <c r="B42" s="298"/>
      <c r="C42" s="298" t="str">
        <f t="shared" ref="C42:H42" si="27">C109</f>
        <v>Sewer Portion</v>
      </c>
      <c r="D42" s="298" t="str">
        <f t="shared" si="27"/>
        <v>(Mcf)</v>
      </c>
      <c r="E42" s="298" t="str">
        <f t="shared" si="27"/>
        <v>Sewer Portion</v>
      </c>
      <c r="F42" s="334" t="str">
        <f t="shared" si="27"/>
        <v>Sewer Portion</v>
      </c>
      <c r="G42" s="298" t="str">
        <f t="shared" si="27"/>
        <v>Sewer Portion</v>
      </c>
      <c r="H42" s="298" t="str">
        <f t="shared" si="27"/>
        <v>(Interest to be Recouped)</v>
      </c>
      <c r="J42" s="298" t="str">
        <f>L109</f>
        <v>(Interest to be Recouped)</v>
      </c>
      <c r="K42" s="298" t="str">
        <f>N109</f>
        <v>Estimates</v>
      </c>
      <c r="L42" s="97"/>
    </row>
    <row r="43" spans="2:12" x14ac:dyDescent="0.4">
      <c r="B43" s="299"/>
      <c r="C43" s="299" t="str">
        <f t="shared" ref="C43:E44" si="28">C110</f>
        <v>From Table 3-WW-A</v>
      </c>
      <c r="D43" s="299" t="str">
        <f t="shared" si="28"/>
        <v>From Table 3-WW-A</v>
      </c>
      <c r="E43" s="299">
        <f t="shared" si="28"/>
        <v>-1.3238407275056514</v>
      </c>
      <c r="F43" s="334"/>
      <c r="G43" s="299"/>
      <c r="H43" s="299" t="str">
        <f>H110</f>
        <v>Sewer Portion</v>
      </c>
      <c r="J43" s="299" t="str">
        <f>L110</f>
        <v>Sewer Portion</v>
      </c>
      <c r="K43" s="299"/>
      <c r="L43" s="97"/>
    </row>
    <row r="44" spans="2:12" x14ac:dyDescent="0.4">
      <c r="B44" s="299"/>
      <c r="C44" s="299" t="str">
        <f t="shared" si="28"/>
        <v>(1)</v>
      </c>
      <c r="D44" s="299" t="str">
        <f t="shared" si="28"/>
        <v>(2)</v>
      </c>
      <c r="E44" s="299" t="str">
        <f t="shared" si="28"/>
        <v>(3) = (2) * $ -1.324/Mcf</v>
      </c>
      <c r="F44" s="334" t="str">
        <f>F111</f>
        <v>(4) = (3) + (1)</v>
      </c>
      <c r="G44" s="299" t="str">
        <f>G111</f>
        <v xml:space="preserve">(5) </v>
      </c>
      <c r="H44" s="299" t="str">
        <f>H111</f>
        <v>(6) = (5) * [4.17% / 12]</v>
      </c>
      <c r="J44" s="299" t="s">
        <v>280</v>
      </c>
      <c r="K44" s="299" t="s">
        <v>288</v>
      </c>
      <c r="L44" s="98"/>
    </row>
    <row r="45" spans="2:12" x14ac:dyDescent="0.4">
      <c r="B45" s="299"/>
      <c r="C45" s="299"/>
      <c r="D45" s="299"/>
      <c r="E45" s="299"/>
      <c r="F45" s="334"/>
      <c r="G45" s="299"/>
      <c r="H45" s="299"/>
      <c r="J45" s="299"/>
      <c r="K45" s="299"/>
    </row>
    <row r="46" spans="2:12" x14ac:dyDescent="0.4">
      <c r="B46" s="299">
        <f t="shared" ref="B46:H46" si="29">B113</f>
        <v>45536</v>
      </c>
      <c r="C46" s="299">
        <f t="shared" si="29"/>
        <v>355925.33661912009</v>
      </c>
      <c r="D46" s="299">
        <f t="shared" ref="D46:F46" si="30">D113</f>
        <v>461019.51500000001</v>
      </c>
      <c r="E46" s="299">
        <f t="shared" si="30"/>
        <v>-610316.41013190255</v>
      </c>
      <c r="F46" s="334">
        <f t="shared" si="30"/>
        <v>-254391.07351278246</v>
      </c>
      <c r="G46" s="299">
        <f t="shared" si="29"/>
        <v>-254391.07351278246</v>
      </c>
      <c r="H46" s="299">
        <f t="shared" si="29"/>
        <v>-884.00898045691918</v>
      </c>
      <c r="J46" s="299">
        <f t="shared" ref="J46:J56" si="31">L113</f>
        <v>-884.00938490521946</v>
      </c>
      <c r="K46" s="299">
        <f>H46-J46</f>
        <v>4.044483002871857E-4</v>
      </c>
      <c r="L46" s="99"/>
    </row>
    <row r="47" spans="2:12" x14ac:dyDescent="0.4">
      <c r="B47" s="311">
        <f t="shared" ref="B47:H47" si="32">B114</f>
        <v>45566</v>
      </c>
      <c r="C47" s="312">
        <f t="shared" si="32"/>
        <v>106208.87253677985</v>
      </c>
      <c r="D47" s="312">
        <f t="shared" ref="D47:F47" si="33">D114</f>
        <v>430672.32500000001</v>
      </c>
      <c r="E47" s="312">
        <f t="shared" si="33"/>
        <v>-570141.56404455041</v>
      </c>
      <c r="F47" s="312">
        <f t="shared" si="33"/>
        <v>-463932.69150777056</v>
      </c>
      <c r="G47" s="312">
        <f t="shared" si="32"/>
        <v>-718323.76502055302</v>
      </c>
      <c r="H47" s="312">
        <f t="shared" si="32"/>
        <v>-2496.1750834464219</v>
      </c>
      <c r="J47" s="312">
        <f t="shared" si="31"/>
        <v>-2496.1753530786223</v>
      </c>
      <c r="K47" s="312">
        <f t="shared" ref="K47:K58" si="34">H47-J47</f>
        <v>2.6963220034303959E-4</v>
      </c>
      <c r="L47" s="99"/>
    </row>
    <row r="48" spans="2:12" x14ac:dyDescent="0.4">
      <c r="B48" s="306">
        <f t="shared" ref="B48:H48" si="35">B115</f>
        <v>45597</v>
      </c>
      <c r="C48" s="324">
        <f t="shared" si="35"/>
        <v>189027.80756993988</v>
      </c>
      <c r="D48" s="324">
        <f t="shared" ref="D48:F48" si="36">D115</f>
        <v>401299.14500000002</v>
      </c>
      <c r="E48" s="325">
        <f t="shared" si="36"/>
        <v>-531256.15206419595</v>
      </c>
      <c r="F48" s="303">
        <f t="shared" si="36"/>
        <v>-342228.34449425607</v>
      </c>
      <c r="G48" s="325">
        <f t="shared" si="35"/>
        <v>-1060552.1095148092</v>
      </c>
      <c r="H48" s="325">
        <f t="shared" si="35"/>
        <v>-3685.4185805639622</v>
      </c>
      <c r="J48" s="325">
        <f t="shared" si="31"/>
        <v>-3685.4187153800613</v>
      </c>
      <c r="K48" s="325">
        <f t="shared" si="34"/>
        <v>1.3481609903465142E-4</v>
      </c>
      <c r="L48" s="99"/>
    </row>
    <row r="49" spans="2:12" x14ac:dyDescent="0.4">
      <c r="B49" s="306">
        <f t="shared" ref="B49:H49" si="37">B116</f>
        <v>45627</v>
      </c>
      <c r="C49" s="324">
        <f t="shared" si="37"/>
        <v>107490.35970108001</v>
      </c>
      <c r="D49" s="324">
        <f t="shared" ref="D49:F49" si="38">D116</f>
        <v>406659.43</v>
      </c>
      <c r="E49" s="325">
        <f t="shared" si="38"/>
        <v>-538352.31565823348</v>
      </c>
      <c r="F49" s="303">
        <f t="shared" si="38"/>
        <v>-430861.95595715346</v>
      </c>
      <c r="G49" s="325">
        <f t="shared" si="37"/>
        <v>-1491414.0654719626</v>
      </c>
      <c r="H49" s="325">
        <f t="shared" si="37"/>
        <v>-5182.6638775150705</v>
      </c>
      <c r="J49" s="325">
        <f t="shared" si="31"/>
        <v>-5182.664012331169</v>
      </c>
      <c r="K49" s="325">
        <f t="shared" si="34"/>
        <v>1.3481609857990406E-4</v>
      </c>
      <c r="L49" s="99"/>
    </row>
    <row r="50" spans="2:12" x14ac:dyDescent="0.4">
      <c r="B50" s="306">
        <f t="shared" ref="B50:H50" si="39">B117</f>
        <v>45658</v>
      </c>
      <c r="C50" s="324">
        <f t="shared" si="39"/>
        <v>-55155.792517559836</v>
      </c>
      <c r="D50" s="324">
        <f t="shared" ref="D50:F50" si="40">D117</f>
        <v>424665.15499999997</v>
      </c>
      <c r="E50" s="325">
        <f t="shared" si="40"/>
        <v>-562189.02774150018</v>
      </c>
      <c r="F50" s="303">
        <f t="shared" si="40"/>
        <v>-617344.82025906001</v>
      </c>
      <c r="G50" s="325">
        <f t="shared" si="39"/>
        <v>-2108758.8857310228</v>
      </c>
      <c r="H50" s="325">
        <f t="shared" si="39"/>
        <v>-7327.9371279153047</v>
      </c>
      <c r="J50" s="325">
        <f t="shared" si="31"/>
        <v>-7325.3083487814029</v>
      </c>
      <c r="K50" s="325">
        <f t="shared" si="34"/>
        <v>-2.628779133901844</v>
      </c>
      <c r="L50" s="99"/>
    </row>
    <row r="51" spans="2:12" x14ac:dyDescent="0.4">
      <c r="B51" s="306">
        <f t="shared" ref="B51:H51" si="41">B118</f>
        <v>45689</v>
      </c>
      <c r="C51" s="324">
        <f t="shared" si="41"/>
        <v>67198.603586639976</v>
      </c>
      <c r="D51" s="324">
        <f t="shared" ref="D51:F51" si="42">D118</f>
        <v>374138</v>
      </c>
      <c r="E51" s="325">
        <f t="shared" si="42"/>
        <v>-495299.12210750941</v>
      </c>
      <c r="F51" s="303">
        <f t="shared" si="42"/>
        <v>-428100.51852086943</v>
      </c>
      <c r="G51" s="325">
        <f t="shared" si="41"/>
        <v>-2536859.4042518921</v>
      </c>
      <c r="H51" s="325">
        <f t="shared" si="41"/>
        <v>-8815.5864297753251</v>
      </c>
      <c r="J51" s="325">
        <f t="shared" si="31"/>
        <v>-8810.5866398907237</v>
      </c>
      <c r="K51" s="325">
        <f t="shared" si="34"/>
        <v>-4.9997898846013413</v>
      </c>
      <c r="L51" s="99"/>
    </row>
    <row r="52" spans="2:12" x14ac:dyDescent="0.4">
      <c r="B52" s="306">
        <f t="shared" ref="B52:H52" si="43">B119</f>
        <v>45717</v>
      </c>
      <c r="C52" s="324">
        <f t="shared" si="43"/>
        <v>16831.250044680201</v>
      </c>
      <c r="D52" s="324">
        <f t="shared" ref="D52:F52" si="44">D119</f>
        <v>373030.42000000004</v>
      </c>
      <c r="E52" s="325">
        <f t="shared" si="44"/>
        <v>-493832.86259453878</v>
      </c>
      <c r="F52" s="303">
        <f t="shared" si="44"/>
        <v>-477001.61254985858</v>
      </c>
      <c r="G52" s="325">
        <f t="shared" si="43"/>
        <v>-3013861.0168017508</v>
      </c>
      <c r="H52" s="325">
        <f t="shared" si="43"/>
        <v>-10473.167033386084</v>
      </c>
      <c r="J52" s="325">
        <f t="shared" si="31"/>
        <v>-10463.264251576682</v>
      </c>
      <c r="K52" s="325">
        <f t="shared" si="34"/>
        <v>-9.9027818094018585</v>
      </c>
      <c r="L52" s="99"/>
    </row>
    <row r="53" spans="2:12" x14ac:dyDescent="0.4">
      <c r="B53" s="306">
        <f t="shared" ref="B53:H53" si="45">B120</f>
        <v>45748</v>
      </c>
      <c r="C53" s="324">
        <f t="shared" si="45"/>
        <v>29222.507193780039</v>
      </c>
      <c r="D53" s="324">
        <f t="shared" ref="D53:F53" si="46">D120</f>
        <v>381012.39500000002</v>
      </c>
      <c r="E53" s="325">
        <f t="shared" si="46"/>
        <v>-504399.72618547064</v>
      </c>
      <c r="F53" s="303">
        <f t="shared" si="46"/>
        <v>-475177.21899169061</v>
      </c>
      <c r="G53" s="325">
        <f t="shared" si="45"/>
        <v>-3489038.2357934415</v>
      </c>
      <c r="H53" s="325">
        <f t="shared" si="45"/>
        <v>-12124.407869382208</v>
      </c>
      <c r="J53" s="325">
        <f t="shared" si="31"/>
        <v>-11282.151113671178</v>
      </c>
      <c r="K53" s="325">
        <f t="shared" si="34"/>
        <v>-842.25675571103056</v>
      </c>
      <c r="L53" s="99"/>
    </row>
    <row r="54" spans="2:12" x14ac:dyDescent="0.4">
      <c r="B54" s="306">
        <f t="shared" ref="B54:H54" si="47">B121</f>
        <v>45778</v>
      </c>
      <c r="C54" s="324">
        <f t="shared" si="47"/>
        <v>32977.491726059932</v>
      </c>
      <c r="D54" s="324">
        <f t="shared" ref="D54:F54" si="48">D121</f>
        <v>395766.63</v>
      </c>
      <c r="E54" s="325">
        <f t="shared" si="48"/>
        <v>-523931.98338165996</v>
      </c>
      <c r="F54" s="303">
        <f t="shared" si="48"/>
        <v>-490954.49165560002</v>
      </c>
      <c r="G54" s="325">
        <f t="shared" si="47"/>
        <v>-3979992.7274490418</v>
      </c>
      <c r="H54" s="325">
        <f t="shared" si="47"/>
        <v>-13830.474727885421</v>
      </c>
      <c r="J54" s="325">
        <f t="shared" si="31"/>
        <v>-12101.037975765676</v>
      </c>
      <c r="K54" s="325">
        <f t="shared" si="34"/>
        <v>-1729.4367521197455</v>
      </c>
      <c r="L54" s="99"/>
    </row>
    <row r="55" spans="2:12" x14ac:dyDescent="0.4">
      <c r="B55" s="306">
        <f t="shared" ref="B55:H57" si="49">B122</f>
        <v>45809</v>
      </c>
      <c r="C55" s="324">
        <f t="shared" si="49"/>
        <v>-20350.30659593991</v>
      </c>
      <c r="D55" s="324">
        <f t="shared" ref="D55:F55" si="50">D122</f>
        <v>412924.63</v>
      </c>
      <c r="E55" s="325">
        <f t="shared" si="50"/>
        <v>-546646.44258420193</v>
      </c>
      <c r="F55" s="303">
        <f t="shared" si="50"/>
        <v>-566996.74918014184</v>
      </c>
      <c r="G55" s="325">
        <f t="shared" si="49"/>
        <v>-4546989.4766291836</v>
      </c>
      <c r="H55" s="325">
        <f t="shared" si="49"/>
        <v>-15800.788431286413</v>
      </c>
      <c r="J55" s="325">
        <f t="shared" si="31"/>
        <v>-12919.924837860171</v>
      </c>
      <c r="K55" s="325">
        <f t="shared" si="34"/>
        <v>-2880.863593426242</v>
      </c>
      <c r="L55" s="99"/>
    </row>
    <row r="56" spans="2:12" x14ac:dyDescent="0.4">
      <c r="B56" s="306">
        <f t="shared" ref="B56:H56" si="51">B123</f>
        <v>45839</v>
      </c>
      <c r="C56" s="324">
        <f t="shared" si="51"/>
        <v>21409.371248760028</v>
      </c>
      <c r="D56" s="324">
        <f t="shared" ref="D56:F56" si="52">D123</f>
        <v>427530</v>
      </c>
      <c r="E56" s="325">
        <f t="shared" si="52"/>
        <v>-565981.62623049109</v>
      </c>
      <c r="F56" s="303">
        <f t="shared" si="52"/>
        <v>-544572.25498173106</v>
      </c>
      <c r="G56" s="325">
        <f t="shared" si="51"/>
        <v>-5091561.7316109147</v>
      </c>
      <c r="H56" s="325">
        <f t="shared" si="51"/>
        <v>-17693.177017347927</v>
      </c>
      <c r="J56" s="325">
        <f t="shared" si="31"/>
        <v>-13738.811699954667</v>
      </c>
      <c r="K56" s="325">
        <f t="shared" si="34"/>
        <v>-3954.3653173932598</v>
      </c>
      <c r="L56" s="99"/>
    </row>
    <row r="57" spans="2:12" x14ac:dyDescent="0.4">
      <c r="B57" s="306">
        <f t="shared" si="49"/>
        <v>45870</v>
      </c>
      <c r="C57" s="324">
        <f t="shared" si="49"/>
        <v>-40539.025136159733</v>
      </c>
      <c r="D57" s="324">
        <f t="shared" ref="D57:F57" si="53">D124</f>
        <v>443338.47499999998</v>
      </c>
      <c r="E57" s="325">
        <f t="shared" si="53"/>
        <v>-586909.52927524596</v>
      </c>
      <c r="F57" s="303">
        <f t="shared" si="53"/>
        <v>-627448.5544114057</v>
      </c>
      <c r="G57" s="325">
        <f t="shared" si="49"/>
        <v>-5719010.2860223204</v>
      </c>
      <c r="H57" s="325">
        <f t="shared" si="49"/>
        <v>-19873.560743927563</v>
      </c>
      <c r="J57" s="325">
        <f t="shared" ref="J57" si="54">L124</f>
        <v>-14557.698562049163</v>
      </c>
      <c r="K57" s="325">
        <f>H57-J57</f>
        <v>-5315.8621818783995</v>
      </c>
      <c r="L57" s="99"/>
    </row>
    <row r="58" spans="2:12" x14ac:dyDescent="0.4">
      <c r="B58" s="306" t="str">
        <f t="shared" ref="B58" si="55">B125</f>
        <v>Total</v>
      </c>
      <c r="C58" s="324"/>
      <c r="D58" s="324"/>
      <c r="E58" s="325"/>
      <c r="F58" s="303"/>
      <c r="G58" s="325"/>
      <c r="H58" s="325">
        <f>H125</f>
        <v>-118187.36590288862</v>
      </c>
      <c r="J58" s="325">
        <f>L125</f>
        <v>-103447.05089524474</v>
      </c>
      <c r="K58" s="325">
        <f t="shared" si="34"/>
        <v>-14740.315007643876</v>
      </c>
      <c r="L58" s="45"/>
    </row>
    <row r="59" spans="2:12" ht="5.15" customHeight="1" x14ac:dyDescent="0.4">
      <c r="B59" s="306"/>
      <c r="C59" s="324"/>
      <c r="D59" s="324"/>
      <c r="E59" s="325"/>
      <c r="F59" s="303"/>
      <c r="G59" s="325"/>
      <c r="H59" s="325"/>
      <c r="J59" s="325"/>
      <c r="K59" s="325"/>
      <c r="L59" s="20"/>
    </row>
    <row r="60" spans="2:12" x14ac:dyDescent="0.4">
      <c r="B60" s="302"/>
      <c r="C60" s="309"/>
      <c r="D60" s="326"/>
      <c r="E60" s="309"/>
      <c r="F60" s="303"/>
      <c r="G60" s="309" t="s">
        <v>131</v>
      </c>
      <c r="H60" s="309">
        <f>H58</f>
        <v>-118187.36590288862</v>
      </c>
      <c r="I60" s="48"/>
      <c r="J60" s="309">
        <f>J58</f>
        <v>-103447.05089524474</v>
      </c>
      <c r="K60" s="309">
        <f>H60-J60</f>
        <v>-14740.315007643876</v>
      </c>
      <c r="L60" s="35" t="s">
        <v>181</v>
      </c>
    </row>
    <row r="61" spans="2:12" ht="16" thickBot="1" x14ac:dyDescent="0.45">
      <c r="B61" s="250"/>
      <c r="C61" s="257"/>
      <c r="D61" s="250"/>
      <c r="E61" s="290"/>
      <c r="F61" s="250"/>
      <c r="G61" s="290"/>
      <c r="H61" s="257"/>
      <c r="J61" s="8"/>
      <c r="L61" s="7" t="s">
        <v>238</v>
      </c>
    </row>
    <row r="62" spans="2:12" ht="16" thickBot="1" x14ac:dyDescent="0.45">
      <c r="B62" s="250" t="s">
        <v>183</v>
      </c>
      <c r="C62" s="250"/>
      <c r="D62" s="327"/>
      <c r="E62" s="328"/>
      <c r="F62" s="329"/>
      <c r="G62" s="330"/>
      <c r="H62" s="319"/>
      <c r="J62" s="51"/>
    </row>
    <row r="63" spans="2:12" x14ac:dyDescent="0.4">
      <c r="B63" s="222" t="s">
        <v>239</v>
      </c>
    </row>
    <row r="64" spans="2:12" x14ac:dyDescent="0.4">
      <c r="B64" s="51" t="s">
        <v>286</v>
      </c>
    </row>
    <row r="65" spans="1:14" x14ac:dyDescent="0.4">
      <c r="B65" s="51" t="s">
        <v>230</v>
      </c>
    </row>
    <row r="66" spans="1:14" x14ac:dyDescent="0.4">
      <c r="B66" s="51" t="s">
        <v>231</v>
      </c>
    </row>
    <row r="67" spans="1:14" x14ac:dyDescent="0.4">
      <c r="B67" s="222" t="str">
        <f>"(6) Interest calculated monthly based on 1-year interest rate for constant maturity U.S. Treasury Securities as published in the Federal Reserve Statistical Release H.15 (519) on "&amp;TEXT('Assumptions and Inputs'!$C$53,"MMMM DD, YYYY")&amp;"."</f>
        <v>(6) Interest calculated monthly based on 1-year interest rate for constant maturity U.S. Treasury Securities as published in the Federal Reserve Statistical Release H.15 (519) on January 02, 2025.</v>
      </c>
    </row>
    <row r="68" spans="1:14" x14ac:dyDescent="0.4">
      <c r="B68" s="222" t="s">
        <v>289</v>
      </c>
    </row>
    <row r="69" spans="1:14" x14ac:dyDescent="0.4"/>
    <row r="70" spans="1:14" x14ac:dyDescent="0.4">
      <c r="A70" s="67" t="s">
        <v>201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4" x14ac:dyDescent="0.4"/>
    <row r="72" spans="1:14" x14ac:dyDescent="0.4">
      <c r="B72" s="18" t="s">
        <v>30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1:14" ht="16" thickBot="1" x14ac:dyDescent="0.45">
      <c r="B73" s="18" t="s">
        <v>240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1:14" ht="16" thickBot="1" x14ac:dyDescent="0.45">
      <c r="C74" s="57" t="s">
        <v>203</v>
      </c>
      <c r="D74" s="58"/>
      <c r="E74" s="58"/>
      <c r="F74" s="58"/>
      <c r="G74" s="94"/>
      <c r="H74" s="95"/>
      <c r="J74" s="70" t="s">
        <v>204</v>
      </c>
      <c r="K74" s="100"/>
      <c r="L74" s="101"/>
      <c r="N74" s="60" t="s">
        <v>192</v>
      </c>
    </row>
    <row r="75" spans="1:14" x14ac:dyDescent="0.4">
      <c r="B75" s="22" t="s">
        <v>158</v>
      </c>
      <c r="C75" s="23" t="s">
        <v>213</v>
      </c>
      <c r="D75" s="22" t="s">
        <v>163</v>
      </c>
      <c r="E75" s="23" t="s">
        <v>214</v>
      </c>
      <c r="F75" s="23" t="s">
        <v>215</v>
      </c>
      <c r="G75" s="23" t="s">
        <v>216</v>
      </c>
      <c r="H75" s="23" t="s">
        <v>217</v>
      </c>
      <c r="J75" s="23" t="s">
        <v>215</v>
      </c>
      <c r="K75" s="23" t="s">
        <v>216</v>
      </c>
      <c r="L75" s="23" t="s">
        <v>217</v>
      </c>
      <c r="N75" s="23" t="s">
        <v>205</v>
      </c>
    </row>
    <row r="76" spans="1:14" x14ac:dyDescent="0.4">
      <c r="B76" s="23" t="s">
        <v>157</v>
      </c>
      <c r="C76" s="23" t="s">
        <v>172</v>
      </c>
      <c r="D76" s="23" t="s">
        <v>168</v>
      </c>
      <c r="E76" s="23" t="s">
        <v>218</v>
      </c>
      <c r="F76" s="23" t="s">
        <v>218</v>
      </c>
      <c r="G76" s="23" t="s">
        <v>219</v>
      </c>
      <c r="H76" s="23" t="s">
        <v>220</v>
      </c>
      <c r="J76" s="23" t="s">
        <v>218</v>
      </c>
      <c r="K76" s="23" t="s">
        <v>219</v>
      </c>
      <c r="L76" s="23" t="s">
        <v>220</v>
      </c>
      <c r="N76" s="23" t="s">
        <v>206</v>
      </c>
    </row>
    <row r="77" spans="1:14" x14ac:dyDescent="0.4">
      <c r="B77" s="23"/>
      <c r="C77" s="23" t="s">
        <v>221</v>
      </c>
      <c r="D77" s="23" t="s">
        <v>174</v>
      </c>
      <c r="E77" s="23" t="s">
        <v>221</v>
      </c>
      <c r="F77" s="23" t="s">
        <v>221</v>
      </c>
      <c r="G77" s="23" t="s">
        <v>221</v>
      </c>
      <c r="H77" s="23" t="s">
        <v>223</v>
      </c>
      <c r="J77" s="23" t="s">
        <v>221</v>
      </c>
      <c r="K77" s="23" t="s">
        <v>221</v>
      </c>
      <c r="L77" s="23" t="s">
        <v>223</v>
      </c>
      <c r="N77" s="23" t="s">
        <v>241</v>
      </c>
    </row>
    <row r="78" spans="1:14" x14ac:dyDescent="0.4">
      <c r="B78" s="23"/>
      <c r="C78" s="23" t="s">
        <v>182</v>
      </c>
      <c r="D78" s="23" t="s">
        <v>182</v>
      </c>
      <c r="E78" s="25">
        <f>'Assumptions and Inputs'!C99</f>
        <v>-0.9694262811148262</v>
      </c>
      <c r="F78" s="25"/>
      <c r="G78" s="24"/>
      <c r="H78" s="23" t="s">
        <v>221</v>
      </c>
      <c r="J78" s="23"/>
      <c r="K78" s="24"/>
      <c r="L78" s="23" t="s">
        <v>221</v>
      </c>
      <c r="N78" s="23"/>
    </row>
    <row r="79" spans="1:14" x14ac:dyDescent="0.4">
      <c r="B79" s="28"/>
      <c r="C79" s="29" t="s">
        <v>139</v>
      </c>
      <c r="D79" s="29" t="s">
        <v>140</v>
      </c>
      <c r="E79" s="29" t="str">
        <f>"(3) = (2) * $ "&amp;FIXED(E78,3,)&amp;"/Mcf"</f>
        <v>(3) = (2) * $ -0.969/Mcf</v>
      </c>
      <c r="F79" s="29" t="str">
        <f>"(4) = (3) + (1)"</f>
        <v>(4) = (3) + (1)</v>
      </c>
      <c r="G79" s="29" t="s">
        <v>225</v>
      </c>
      <c r="H79" s="29" t="str">
        <f>"(6) = (5) * ["&amp;FIXED('Assumptions and Inputs'!$C$52*100,2,TRUE)&amp;"% / 12]"</f>
        <v>(6) = (5) * [4.17% / 12]</v>
      </c>
      <c r="J79" s="29" t="s">
        <v>280</v>
      </c>
      <c r="K79" s="29" t="s">
        <v>281</v>
      </c>
      <c r="L79" s="29" t="s">
        <v>282</v>
      </c>
      <c r="N79" s="29" t="s">
        <v>283</v>
      </c>
    </row>
    <row r="80" spans="1:14" x14ac:dyDescent="0.4">
      <c r="B80" s="31"/>
      <c r="C80" s="32"/>
      <c r="D80" s="32"/>
      <c r="E80" s="32"/>
      <c r="F80" s="32"/>
      <c r="G80" s="32"/>
      <c r="H80" s="32"/>
      <c r="J80" s="32"/>
      <c r="K80" s="32"/>
      <c r="L80" s="32"/>
      <c r="N80" s="32"/>
    </row>
    <row r="81" spans="2:14" x14ac:dyDescent="0.4">
      <c r="B81" s="36">
        <f>'E-Factor PRIOR LKM-4'!B86</f>
        <v>45536</v>
      </c>
      <c r="C81" s="86">
        <f>'E-Factor PRIOR LKM-4'!J86</f>
        <v>295352.06232041982</v>
      </c>
      <c r="D81" s="238">
        <f>'E-Factor PRIOR LKM-4'!G86</f>
        <v>490921.995</v>
      </c>
      <c r="E81" s="86">
        <f>$E$78*$D81</f>
        <v>-475912.68393032131</v>
      </c>
      <c r="F81" s="86">
        <f>E81+C81</f>
        <v>-180560.62160990149</v>
      </c>
      <c r="G81" s="86">
        <f>F81</f>
        <v>-180560.62160990149</v>
      </c>
      <c r="H81" s="87">
        <f>G81*('Assumptions and Inputs'!$C$52)/12</f>
        <v>-627.44816009440763</v>
      </c>
      <c r="J81" s="86">
        <v>-180560.3738974416</v>
      </c>
      <c r="K81" s="86">
        <v>-180560.3738974416</v>
      </c>
      <c r="L81" s="87">
        <v>-627.4472992936096</v>
      </c>
      <c r="N81" s="87">
        <f t="shared" ref="N81:N93" si="56">H81-L81</f>
        <v>-8.6080079802286491E-4</v>
      </c>
    </row>
    <row r="82" spans="2:14" x14ac:dyDescent="0.4">
      <c r="B82" s="40">
        <f>'E-Factor PRIOR LKM-4'!B87</f>
        <v>45566</v>
      </c>
      <c r="C82" s="89">
        <f>'E-Factor PRIOR LKM-4'!J87</f>
        <v>110477.46838998003</v>
      </c>
      <c r="D82" s="239">
        <f>'E-Factor PRIOR LKM-4'!G87</f>
        <v>458132.77999999997</v>
      </c>
      <c r="E82" s="89">
        <f t="shared" ref="E82:E92" si="57">$E$78*$D82</f>
        <v>-444125.95717219682</v>
      </c>
      <c r="F82" s="89">
        <f t="shared" ref="F82:F92" si="58">E82+C82</f>
        <v>-333648.48878221679</v>
      </c>
      <c r="G82" s="89">
        <f>G81+F82</f>
        <v>-514209.11039211828</v>
      </c>
      <c r="H82" s="90">
        <f>G82*('Assumptions and Inputs'!$C$52)/12</f>
        <v>-1786.8766586126112</v>
      </c>
      <c r="J82" s="89">
        <v>-333648.45231397683</v>
      </c>
      <c r="K82" s="89">
        <v>-514208.82621141843</v>
      </c>
      <c r="L82" s="90">
        <v>-1786.8756710846792</v>
      </c>
      <c r="N82" s="90">
        <f t="shared" si="56"/>
        <v>-9.8752793201128952E-4</v>
      </c>
    </row>
    <row r="83" spans="2:14" x14ac:dyDescent="0.4">
      <c r="B83" s="36">
        <f>'E-Factor PRIOR LKM-4'!B88</f>
        <v>45597</v>
      </c>
      <c r="C83" s="86">
        <f>'E-Factor PRIOR LKM-4'!J88</f>
        <v>161967.9566269198</v>
      </c>
      <c r="D83" s="238">
        <f>'E-Factor PRIOR LKM-4'!G88</f>
        <v>424733.95499999996</v>
      </c>
      <c r="E83" s="86">
        <f t="shared" si="57"/>
        <v>-411748.25845884188</v>
      </c>
      <c r="F83" s="86">
        <f t="shared" si="58"/>
        <v>-249780.30183192209</v>
      </c>
      <c r="G83" s="86">
        <f t="shared" ref="G83:G92" si="59">G82+F83</f>
        <v>-763989.41222404037</v>
      </c>
      <c r="H83" s="87">
        <f>G83*('Assumptions and Inputs'!$C$52)/12</f>
        <v>-2654.8632074785405</v>
      </c>
      <c r="J83" s="86">
        <v>-249779.89583178173</v>
      </c>
      <c r="K83" s="86">
        <v>-763988.72204320016</v>
      </c>
      <c r="L83" s="87">
        <v>-2654.8608091001206</v>
      </c>
      <c r="N83" s="87">
        <f t="shared" si="56"/>
        <v>-2.3983784199117508E-3</v>
      </c>
    </row>
    <row r="84" spans="2:14" x14ac:dyDescent="0.4">
      <c r="B84" s="40">
        <f>'E-Factor PRIOR LKM-4'!B89</f>
        <v>45627</v>
      </c>
      <c r="C84" s="89">
        <f>'E-Factor PRIOR LKM-4'!J89</f>
        <v>95970.034149960149</v>
      </c>
      <c r="D84" s="239">
        <f>'E-Factor PRIOR LKM-4'!G89</f>
        <v>428037.62</v>
      </c>
      <c r="E84" s="89">
        <f t="shared" si="57"/>
        <v>-414950.91813384113</v>
      </c>
      <c r="F84" s="89">
        <f t="shared" si="58"/>
        <v>-318980.88398388098</v>
      </c>
      <c r="G84" s="89">
        <f t="shared" si="59"/>
        <v>-1082970.2962079213</v>
      </c>
      <c r="H84" s="90">
        <f>G84*('Assumptions and Inputs'!$C$52)/12</f>
        <v>-3763.3217793225267</v>
      </c>
      <c r="J84" s="89">
        <v>-318980.7575089212</v>
      </c>
      <c r="K84" s="89">
        <v>-1082969.4795521214</v>
      </c>
      <c r="L84" s="90">
        <v>-3763.318941443622</v>
      </c>
      <c r="N84" s="90">
        <f t="shared" si="56"/>
        <v>-2.8378789047565078E-3</v>
      </c>
    </row>
    <row r="85" spans="2:14" x14ac:dyDescent="0.4">
      <c r="B85" s="36">
        <f>'E-Factor PRIOR LKM-4'!B90</f>
        <v>45658</v>
      </c>
      <c r="C85" s="86">
        <f>'E-Factor PRIOR LKM-4'!J90</f>
        <v>-21368.129354940029</v>
      </c>
      <c r="D85" s="238">
        <f>'E-Factor PRIOR LKM-4'!G90</f>
        <v>446981.625</v>
      </c>
      <c r="E85" s="86">
        <f t="shared" si="57"/>
        <v>-433315.73445041181</v>
      </c>
      <c r="F85" s="86">
        <f t="shared" si="58"/>
        <v>-454683.86380535184</v>
      </c>
      <c r="G85" s="86">
        <f t="shared" si="59"/>
        <v>-1537654.1600132731</v>
      </c>
      <c r="H85" s="87">
        <f>G85*('Assumptions and Inputs'!$C$52)/12</f>
        <v>-5343.3482060461238</v>
      </c>
      <c r="J85" s="86">
        <v>-454154.69121485139</v>
      </c>
      <c r="K85" s="86">
        <v>-1537124.1707669727</v>
      </c>
      <c r="L85" s="87">
        <v>-5341.5064934152297</v>
      </c>
      <c r="N85" s="87">
        <f t="shared" si="56"/>
        <v>-1.8417126308941079</v>
      </c>
    </row>
    <row r="86" spans="2:14" x14ac:dyDescent="0.4">
      <c r="B86" s="40">
        <f>'E-Factor PRIOR LKM-4'!B91</f>
        <v>45689</v>
      </c>
      <c r="C86" s="89">
        <f>'E-Factor PRIOR LKM-4'!J91</f>
        <v>53570.767583040055</v>
      </c>
      <c r="D86" s="239">
        <f>'E-Factor PRIOR LKM-4'!G91</f>
        <v>389903.54</v>
      </c>
      <c r="E86" s="89">
        <f t="shared" si="57"/>
        <v>-377982.73877570586</v>
      </c>
      <c r="F86" s="89">
        <f t="shared" si="58"/>
        <v>-324411.97119266581</v>
      </c>
      <c r="G86" s="89">
        <f t="shared" si="59"/>
        <v>-1862066.131205939</v>
      </c>
      <c r="H86" s="90">
        <f>G86*('Assumptions and Inputs'!$C$52)/12</f>
        <v>-6470.6798059406383</v>
      </c>
      <c r="J86" s="89">
        <v>-323934.68650634604</v>
      </c>
      <c r="K86" s="89">
        <v>-1861058.8572733188</v>
      </c>
      <c r="L86" s="90">
        <v>-6467.1795290247828</v>
      </c>
      <c r="N86" s="90">
        <f t="shared" si="56"/>
        <v>-3.5002769158554656</v>
      </c>
    </row>
    <row r="87" spans="2:14" x14ac:dyDescent="0.4">
      <c r="B87" s="36">
        <f>'E-Factor PRIOR LKM-4'!B92</f>
        <v>45717</v>
      </c>
      <c r="C87" s="86">
        <f>'E-Factor PRIOR LKM-4'!J92</f>
        <v>35473.220753880218</v>
      </c>
      <c r="D87" s="238">
        <f>'E-Factor PRIOR LKM-4'!G92</f>
        <v>394954.18</v>
      </c>
      <c r="E87" s="86">
        <f t="shared" si="57"/>
        <v>-382878.96192815568</v>
      </c>
      <c r="F87" s="86">
        <f t="shared" si="58"/>
        <v>-347405.74117427546</v>
      </c>
      <c r="G87" s="86">
        <f t="shared" si="59"/>
        <v>-2209471.8723802143</v>
      </c>
      <c r="H87" s="87">
        <f>G87*('Assumptions and Inputs'!$C$52)/12</f>
        <v>-7677.9147565212443</v>
      </c>
      <c r="J87" s="86">
        <v>-346417.29125483561</v>
      </c>
      <c r="K87" s="86">
        <v>-2207476.1485281545</v>
      </c>
      <c r="L87" s="87">
        <v>-7670.979616135337</v>
      </c>
      <c r="N87" s="87">
        <f t="shared" si="56"/>
        <v>-6.9351403859072889</v>
      </c>
    </row>
    <row r="88" spans="2:14" x14ac:dyDescent="0.4">
      <c r="B88" s="40">
        <f>'E-Factor PRIOR LKM-4'!B93</f>
        <v>45748</v>
      </c>
      <c r="C88" s="89">
        <f>'E-Factor PRIOR LKM-4'!J93</f>
        <v>34307.428886999842</v>
      </c>
      <c r="D88" s="239">
        <f>'E-Factor PRIOR LKM-4'!G93</f>
        <v>399841.21499999997</v>
      </c>
      <c r="E88" s="89">
        <f t="shared" si="57"/>
        <v>-387616.58209388366</v>
      </c>
      <c r="F88" s="89">
        <f t="shared" si="58"/>
        <v>-353309.15320688381</v>
      </c>
      <c r="G88" s="89">
        <f t="shared" si="59"/>
        <v>-2562781.0255870982</v>
      </c>
      <c r="H88" s="90">
        <f>G88*('Assumptions and Inputs'!$C$52)/12</f>
        <v>-8905.6640639151665</v>
      </c>
      <c r="J88" s="89">
        <v>-171727.58823352144</v>
      </c>
      <c r="K88" s="89">
        <v>-2379203.7367616761</v>
      </c>
      <c r="L88" s="90">
        <v>-8267.7329852468247</v>
      </c>
      <c r="N88" s="90">
        <f t="shared" si="56"/>
        <v>-637.9310786683418</v>
      </c>
    </row>
    <row r="89" spans="2:14" x14ac:dyDescent="0.4">
      <c r="B89" s="36">
        <f>'E-Factor PRIOR LKM-4'!B94</f>
        <v>45778</v>
      </c>
      <c r="C89" s="86">
        <f>'E-Factor PRIOR LKM-4'!J94</f>
        <v>51003.02154042013</v>
      </c>
      <c r="D89" s="238">
        <f>'E-Factor PRIOR LKM-4'!G94</f>
        <v>419823.69000000006</v>
      </c>
      <c r="E89" s="86">
        <f t="shared" si="57"/>
        <v>-406988.11852060369</v>
      </c>
      <c r="F89" s="86">
        <f t="shared" si="58"/>
        <v>-355985.09698018356</v>
      </c>
      <c r="G89" s="86">
        <f t="shared" si="59"/>
        <v>-2918766.1225672816</v>
      </c>
      <c r="H89" s="87">
        <f>G89*('Assumptions and Inputs'!$C$52)/12</f>
        <v>-10142.712275921303</v>
      </c>
      <c r="J89" s="86">
        <v>-171727.58823352144</v>
      </c>
      <c r="K89" s="86">
        <v>-2550931.3249951974</v>
      </c>
      <c r="L89" s="87">
        <v>-8864.4863543583106</v>
      </c>
      <c r="N89" s="87">
        <f t="shared" si="56"/>
        <v>-1278.2259215629929</v>
      </c>
    </row>
    <row r="90" spans="2:14" x14ac:dyDescent="0.4">
      <c r="B90" s="40">
        <f>'E-Factor PRIOR LKM-4'!B95</f>
        <v>45809</v>
      </c>
      <c r="C90" s="89">
        <f>'E-Factor PRIOR LKM-4'!J95</f>
        <v>11580.843237539986</v>
      </c>
      <c r="D90" s="239">
        <f>'E-Factor PRIOR LKM-4'!G95</f>
        <v>437385.55</v>
      </c>
      <c r="E90" s="89">
        <f t="shared" si="57"/>
        <v>-424013.04714986286</v>
      </c>
      <c r="F90" s="89">
        <f t="shared" si="58"/>
        <v>-412432.20391232288</v>
      </c>
      <c r="G90" s="89">
        <f t="shared" si="59"/>
        <v>-3331198.3264796045</v>
      </c>
      <c r="H90" s="90">
        <f>G90*('Assumptions and Inputs'!$C$52)/12</f>
        <v>-11575.914184516625</v>
      </c>
      <c r="J90" s="89">
        <v>-171727.58823352144</v>
      </c>
      <c r="K90" s="89">
        <v>-2722658.9132287186</v>
      </c>
      <c r="L90" s="90">
        <v>-9461.2397234697983</v>
      </c>
      <c r="N90" s="90">
        <f t="shared" si="56"/>
        <v>-2114.6744610468268</v>
      </c>
    </row>
    <row r="91" spans="2:14" x14ac:dyDescent="0.4">
      <c r="B91" s="36">
        <f>'E-Factor PRIOR LKM-4'!B96</f>
        <v>45839</v>
      </c>
      <c r="C91" s="86">
        <f>'E-Factor PRIOR LKM-4'!J96</f>
        <v>54675.480385380331</v>
      </c>
      <c r="D91" s="238">
        <f>'E-Factor PRIOR LKM-4'!G96</f>
        <v>456809.04500000004</v>
      </c>
      <c r="E91" s="86">
        <f t="shared" si="57"/>
        <v>-442842.69367396535</v>
      </c>
      <c r="F91" s="86">
        <f t="shared" si="58"/>
        <v>-388167.21328858502</v>
      </c>
      <c r="G91" s="86">
        <f t="shared" si="59"/>
        <v>-3719365.5397681897</v>
      </c>
      <c r="H91" s="87">
        <f>G91*('Assumptions and Inputs'!$C$52)/12</f>
        <v>-12924.795250694458</v>
      </c>
      <c r="J91" s="86">
        <v>-171727.58823352144</v>
      </c>
      <c r="K91" s="86">
        <v>-2894386.5014622398</v>
      </c>
      <c r="L91" s="87">
        <v>-10057.993092581282</v>
      </c>
      <c r="N91" s="87">
        <f t="shared" si="56"/>
        <v>-2866.8021581131761</v>
      </c>
    </row>
    <row r="92" spans="2:14" x14ac:dyDescent="0.4">
      <c r="B92" s="40">
        <f>'E-Factor PRIOR LKM-4'!B97</f>
        <v>45870</v>
      </c>
      <c r="C92" s="89">
        <f>'E-Factor PRIOR LKM-4'!J97</f>
        <v>8173.8549456601031</v>
      </c>
      <c r="D92" s="239">
        <f>'E-Factor PRIOR LKM-4'!G97</f>
        <v>472709.625</v>
      </c>
      <c r="E92" s="89">
        <f t="shared" si="57"/>
        <v>-458257.13381093409</v>
      </c>
      <c r="F92" s="89">
        <f t="shared" si="58"/>
        <v>-450083.27886527398</v>
      </c>
      <c r="G92" s="89">
        <f t="shared" si="59"/>
        <v>-4169448.8186334637</v>
      </c>
      <c r="H92" s="90">
        <f>G92*('Assumptions and Inputs'!$C$52)/12</f>
        <v>-14488.834644751287</v>
      </c>
      <c r="J92" s="89">
        <v>-171727.58823352144</v>
      </c>
      <c r="K92" s="89">
        <v>-3066114.089695761</v>
      </c>
      <c r="L92" s="90">
        <v>-10654.74646169277</v>
      </c>
      <c r="N92" s="90">
        <f t="shared" si="56"/>
        <v>-3834.0881830585167</v>
      </c>
    </row>
    <row r="93" spans="2:14" x14ac:dyDescent="0.4">
      <c r="B93" s="44" t="s">
        <v>131</v>
      </c>
      <c r="C93" s="63"/>
      <c r="D93" s="63"/>
      <c r="E93" s="63"/>
      <c r="F93" s="63"/>
      <c r="G93" s="91"/>
      <c r="H93" s="63">
        <f>SUM(H81:H92)</f>
        <v>-86362.372993814934</v>
      </c>
      <c r="J93" s="63"/>
      <c r="K93" s="91"/>
      <c r="L93" s="63">
        <v>-75618.366976846373</v>
      </c>
      <c r="N93" s="102">
        <f t="shared" si="56"/>
        <v>-10744.00601696856</v>
      </c>
    </row>
    <row r="94" spans="2:14" x14ac:dyDescent="0.4">
      <c r="C94" s="20"/>
      <c r="D94" s="20"/>
      <c r="E94" s="20"/>
      <c r="F94" s="20"/>
      <c r="H94" s="7"/>
      <c r="J94" s="20"/>
      <c r="L94" s="7"/>
      <c r="N94" s="20"/>
    </row>
    <row r="95" spans="2:14" x14ac:dyDescent="0.4">
      <c r="G95" s="49" t="s">
        <v>226</v>
      </c>
      <c r="H95" s="50">
        <f>H93</f>
        <v>-86362.372993814934</v>
      </c>
      <c r="I95" s="48"/>
      <c r="K95" s="49" t="s">
        <v>226</v>
      </c>
      <c r="L95" s="50">
        <f>L93</f>
        <v>-75618.366976846373</v>
      </c>
      <c r="N95" s="64">
        <f>H95-L95</f>
        <v>-10744.00601696856</v>
      </c>
    </row>
    <row r="96" spans="2:14" x14ac:dyDescent="0.4">
      <c r="B96" s="8" t="s">
        <v>183</v>
      </c>
      <c r="H96" s="7"/>
      <c r="J96" s="8"/>
      <c r="L96" s="7"/>
      <c r="N96" s="20"/>
    </row>
    <row r="97" spans="2:14" x14ac:dyDescent="0.4">
      <c r="B97" s="51" t="s">
        <v>237</v>
      </c>
      <c r="J97" s="51"/>
    </row>
    <row r="98" spans="2:14" x14ac:dyDescent="0.4">
      <c r="B98" s="51" t="s">
        <v>287</v>
      </c>
      <c r="J98" s="51"/>
    </row>
    <row r="99" spans="2:14" x14ac:dyDescent="0.4">
      <c r="B99" s="51" t="s">
        <v>230</v>
      </c>
      <c r="J99" s="51"/>
    </row>
    <row r="100" spans="2:14" x14ac:dyDescent="0.4">
      <c r="B100" s="51" t="s">
        <v>231</v>
      </c>
      <c r="J100" s="51"/>
    </row>
    <row r="101" spans="2:14" x14ac:dyDescent="0.4">
      <c r="B101" s="51" t="str">
        <f>"(6) &amp; (9) Interest calculated monthly based on 1-year interest rate for constant maturity U.S. Treasury Securities as published in the Federal Reserve Statistical Release H.15 (519) on "&amp;TEXT('Assumptions and Inputs'!$C$53,"MMMM DD, YYYY")&amp;"."</f>
        <v>(6) &amp; (9) Interest calculated monthly based on 1-year interest rate for constant maturity U.S. Treasury Securities as published in the Federal Reserve Statistical Release H.15 (519) on January 02, 2025.</v>
      </c>
    </row>
    <row r="102" spans="2:14" x14ac:dyDescent="0.4">
      <c r="B102" s="51" t="s">
        <v>284</v>
      </c>
    </row>
    <row r="103" spans="2:14" x14ac:dyDescent="0.4">
      <c r="B103" s="51"/>
    </row>
    <row r="104" spans="2:14" x14ac:dyDescent="0.4">
      <c r="B104" s="18" t="s">
        <v>30</v>
      </c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</row>
    <row r="105" spans="2:14" ht="16" thickBot="1" x14ac:dyDescent="0.45">
      <c r="B105" s="18" t="s">
        <v>242</v>
      </c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</row>
    <row r="106" spans="2:14" ht="16" thickBot="1" x14ac:dyDescent="0.45">
      <c r="C106" s="57" t="s">
        <v>203</v>
      </c>
      <c r="D106" s="58"/>
      <c r="E106" s="58"/>
      <c r="F106" s="58"/>
      <c r="G106" s="94"/>
      <c r="H106" s="95"/>
      <c r="J106" s="70" t="s">
        <v>204</v>
      </c>
      <c r="K106" s="100"/>
      <c r="L106" s="101"/>
      <c r="N106" s="60" t="s">
        <v>192</v>
      </c>
    </row>
    <row r="107" spans="2:14" x14ac:dyDescent="0.4">
      <c r="B107" s="22" t="s">
        <v>158</v>
      </c>
      <c r="C107" s="22" t="s">
        <v>213</v>
      </c>
      <c r="D107" s="22" t="s">
        <v>163</v>
      </c>
      <c r="E107" s="23" t="s">
        <v>214</v>
      </c>
      <c r="F107" s="23" t="s">
        <v>215</v>
      </c>
      <c r="G107" s="22" t="s">
        <v>216</v>
      </c>
      <c r="H107" s="22" t="s">
        <v>217</v>
      </c>
      <c r="J107" s="22" t="s">
        <v>215</v>
      </c>
      <c r="K107" s="22" t="s">
        <v>216</v>
      </c>
      <c r="L107" s="22" t="s">
        <v>217</v>
      </c>
      <c r="N107" s="23" t="s">
        <v>205</v>
      </c>
    </row>
    <row r="108" spans="2:14" x14ac:dyDescent="0.4">
      <c r="B108" s="23" t="s">
        <v>157</v>
      </c>
      <c r="C108" s="23" t="s">
        <v>172</v>
      </c>
      <c r="D108" s="23" t="s">
        <v>189</v>
      </c>
      <c r="E108" s="23" t="s">
        <v>218</v>
      </c>
      <c r="F108" s="23" t="s">
        <v>218</v>
      </c>
      <c r="G108" s="23" t="s">
        <v>219</v>
      </c>
      <c r="H108" s="23" t="s">
        <v>220</v>
      </c>
      <c r="J108" s="23" t="s">
        <v>218</v>
      </c>
      <c r="K108" s="23" t="s">
        <v>219</v>
      </c>
      <c r="L108" s="23" t="s">
        <v>220</v>
      </c>
      <c r="N108" s="23" t="s">
        <v>206</v>
      </c>
    </row>
    <row r="109" spans="2:14" x14ac:dyDescent="0.4">
      <c r="B109" s="23"/>
      <c r="C109" s="23" t="s">
        <v>232</v>
      </c>
      <c r="D109" s="23" t="s">
        <v>174</v>
      </c>
      <c r="E109" s="23" t="s">
        <v>232</v>
      </c>
      <c r="F109" s="23" t="s">
        <v>232</v>
      </c>
      <c r="G109" s="23" t="s">
        <v>232</v>
      </c>
      <c r="H109" s="23" t="s">
        <v>223</v>
      </c>
      <c r="J109" s="23" t="s">
        <v>232</v>
      </c>
      <c r="K109" s="23" t="s">
        <v>222</v>
      </c>
      <c r="L109" s="23" t="s">
        <v>223</v>
      </c>
      <c r="N109" s="23" t="s">
        <v>241</v>
      </c>
    </row>
    <row r="110" spans="2:14" x14ac:dyDescent="0.4">
      <c r="B110" s="23"/>
      <c r="C110" s="23" t="s">
        <v>190</v>
      </c>
      <c r="D110" s="23" t="s">
        <v>190</v>
      </c>
      <c r="E110" s="25">
        <f>'Assumptions and Inputs'!C100</f>
        <v>-1.3238407275056514</v>
      </c>
      <c r="F110" s="25"/>
      <c r="G110" s="24"/>
      <c r="H110" s="23" t="s">
        <v>232</v>
      </c>
      <c r="J110" s="23"/>
      <c r="K110" s="23" t="s">
        <v>232</v>
      </c>
      <c r="L110" s="23" t="s">
        <v>232</v>
      </c>
      <c r="N110" s="23"/>
    </row>
    <row r="111" spans="2:14" x14ac:dyDescent="0.4">
      <c r="B111" s="28"/>
      <c r="C111" s="29" t="s">
        <v>139</v>
      </c>
      <c r="D111" s="29" t="s">
        <v>140</v>
      </c>
      <c r="E111" s="29" t="str">
        <f>"(3) = (2) * $ "&amp;FIXED(E110,3,)&amp;"/Mcf"</f>
        <v>(3) = (2) * $ -1.324/Mcf</v>
      </c>
      <c r="F111" s="29" t="str">
        <f>"(4) = (3) + (1)"</f>
        <v>(4) = (3) + (1)</v>
      </c>
      <c r="G111" s="29" t="s">
        <v>225</v>
      </c>
      <c r="H111" s="29" t="str">
        <f>"(6) = (5) * ["&amp;FIXED('Assumptions and Inputs'!$C$52*100,2,TRUE)&amp;"% / 12]"</f>
        <v>(6) = (5) * [4.17% / 12]</v>
      </c>
      <c r="J111" s="29" t="s">
        <v>280</v>
      </c>
      <c r="K111" s="29" t="s">
        <v>281</v>
      </c>
      <c r="L111" s="29" t="s">
        <v>282</v>
      </c>
      <c r="N111" s="29" t="s">
        <v>283</v>
      </c>
    </row>
    <row r="112" spans="2:14" x14ac:dyDescent="0.4">
      <c r="B112" s="31"/>
      <c r="C112" s="32"/>
      <c r="D112" s="32"/>
      <c r="E112" s="32"/>
      <c r="F112" s="32"/>
      <c r="G112" s="32"/>
      <c r="H112" s="32"/>
      <c r="J112" s="32"/>
      <c r="K112" s="32"/>
      <c r="L112" s="32"/>
      <c r="N112" s="32"/>
    </row>
    <row r="113" spans="2:14" x14ac:dyDescent="0.4">
      <c r="B113" s="36">
        <f>+'E-Factor PRIOR LKM-4'!B126</f>
        <v>45536</v>
      </c>
      <c r="C113" s="86">
        <f>'E-Factor PRIOR LKM-4'!J126</f>
        <v>355925.33661912009</v>
      </c>
      <c r="D113" s="238">
        <f>'E-Factor PRIOR LKM-4'!G126</f>
        <v>461019.51500000001</v>
      </c>
      <c r="E113" s="86">
        <f>$E$110*$D113</f>
        <v>-610316.41013190255</v>
      </c>
      <c r="F113" s="86">
        <f>E113+C113</f>
        <v>-254391.07351278246</v>
      </c>
      <c r="G113" s="86">
        <f>F113</f>
        <v>-254391.07351278246</v>
      </c>
      <c r="H113" s="87">
        <f>G113*('Assumptions and Inputs'!$C$52)/12</f>
        <v>-884.00898045691918</v>
      </c>
      <c r="J113" s="86">
        <v>-254391.18990078254</v>
      </c>
      <c r="K113" s="86">
        <v>-254391.18990078254</v>
      </c>
      <c r="L113" s="87">
        <v>-884.00938490521946</v>
      </c>
      <c r="N113" s="87">
        <f t="shared" ref="N113:N125" si="60">H113-L113</f>
        <v>4.044483002871857E-4</v>
      </c>
    </row>
    <row r="114" spans="2:14" x14ac:dyDescent="0.4">
      <c r="B114" s="40">
        <f>+'E-Factor PRIOR LKM-4'!B127</f>
        <v>45566</v>
      </c>
      <c r="C114" s="89">
        <f>'E-Factor PRIOR LKM-4'!J127</f>
        <v>106208.87253677985</v>
      </c>
      <c r="D114" s="239">
        <f>'E-Factor PRIOR LKM-4'!G127</f>
        <v>430672.32500000001</v>
      </c>
      <c r="E114" s="89">
        <f t="shared" ref="E114:E124" si="61">$E$110*$D114</f>
        <v>-570141.56404455041</v>
      </c>
      <c r="F114" s="89">
        <f t="shared" ref="F114:F124" si="62">E114+C114</f>
        <v>-463932.69150777056</v>
      </c>
      <c r="G114" s="89">
        <f>G113+F114</f>
        <v>-718323.76502055302</v>
      </c>
      <c r="H114" s="90">
        <f>G114*('Assumptions and Inputs'!$C$52)/12</f>
        <v>-2496.1750834464219</v>
      </c>
      <c r="J114" s="89">
        <v>-463932.65271177061</v>
      </c>
      <c r="K114" s="89">
        <v>-718323.84261255316</v>
      </c>
      <c r="L114" s="90">
        <v>-2496.1753530786223</v>
      </c>
      <c r="N114" s="90">
        <f t="shared" si="60"/>
        <v>2.6963220034303959E-4</v>
      </c>
    </row>
    <row r="115" spans="2:14" x14ac:dyDescent="0.4">
      <c r="B115" s="36">
        <f>+'E-Factor PRIOR LKM-4'!B128</f>
        <v>45597</v>
      </c>
      <c r="C115" s="86">
        <f>'E-Factor PRIOR LKM-4'!J128</f>
        <v>189027.80756993988</v>
      </c>
      <c r="D115" s="238">
        <f>'E-Factor PRIOR LKM-4'!G128</f>
        <v>401299.14500000002</v>
      </c>
      <c r="E115" s="86">
        <f t="shared" si="61"/>
        <v>-531256.15206419595</v>
      </c>
      <c r="F115" s="86">
        <f t="shared" si="62"/>
        <v>-342228.34449425607</v>
      </c>
      <c r="G115" s="86">
        <f t="shared" ref="G115:G124" si="63">G114+F115</f>
        <v>-1060552.1095148092</v>
      </c>
      <c r="H115" s="87">
        <f>G115*('Assumptions and Inputs'!$C$52)/12</f>
        <v>-3685.4185805639622</v>
      </c>
      <c r="J115" s="86">
        <v>-342228.30569825589</v>
      </c>
      <c r="K115" s="86">
        <v>-1060552.1483108089</v>
      </c>
      <c r="L115" s="87">
        <v>-3685.4187153800613</v>
      </c>
      <c r="N115" s="87">
        <f t="shared" si="60"/>
        <v>1.3481609903465142E-4</v>
      </c>
    </row>
    <row r="116" spans="2:14" x14ac:dyDescent="0.4">
      <c r="B116" s="40">
        <f>+'E-Factor PRIOR LKM-4'!B129</f>
        <v>45627</v>
      </c>
      <c r="C116" s="89">
        <f>'E-Factor PRIOR LKM-4'!J129</f>
        <v>107490.35970108001</v>
      </c>
      <c r="D116" s="239">
        <f>'E-Factor PRIOR LKM-4'!G129</f>
        <v>406659.43</v>
      </c>
      <c r="E116" s="89">
        <f t="shared" si="61"/>
        <v>-538352.31565823348</v>
      </c>
      <c r="F116" s="89">
        <f t="shared" si="62"/>
        <v>-430861.95595715346</v>
      </c>
      <c r="G116" s="89">
        <f t="shared" si="63"/>
        <v>-1491414.0654719626</v>
      </c>
      <c r="H116" s="90">
        <f>G116*('Assumptions and Inputs'!$C$52)/12</f>
        <v>-5182.6638775150705</v>
      </c>
      <c r="J116" s="89">
        <v>-430861.95595715346</v>
      </c>
      <c r="K116" s="89">
        <v>-1491414.1042679623</v>
      </c>
      <c r="L116" s="90">
        <v>-5182.664012331169</v>
      </c>
      <c r="N116" s="90">
        <f t="shared" si="60"/>
        <v>1.3481609857990406E-4</v>
      </c>
    </row>
    <row r="117" spans="2:14" x14ac:dyDescent="0.4">
      <c r="B117" s="36">
        <f>+'E-Factor PRIOR LKM-4'!B130</f>
        <v>45658</v>
      </c>
      <c r="C117" s="86">
        <f>'E-Factor PRIOR LKM-4'!J130</f>
        <v>-55155.792517559836</v>
      </c>
      <c r="D117" s="238">
        <f>'E-Factor PRIOR LKM-4'!G130</f>
        <v>424665.15499999997</v>
      </c>
      <c r="E117" s="86">
        <f t="shared" si="61"/>
        <v>-562189.02774150018</v>
      </c>
      <c r="F117" s="86">
        <f t="shared" si="62"/>
        <v>-617344.82025906001</v>
      </c>
      <c r="G117" s="86">
        <f t="shared" si="63"/>
        <v>-2108758.8857310228</v>
      </c>
      <c r="H117" s="87">
        <f>G117*('Assumptions and Inputs'!$C$52)/12</f>
        <v>-7327.9371279153047</v>
      </c>
      <c r="J117" s="86">
        <v>-616588.29825905967</v>
      </c>
      <c r="K117" s="86">
        <v>-2108002.4025270222</v>
      </c>
      <c r="L117" s="87">
        <v>-7325.3083487814029</v>
      </c>
      <c r="N117" s="87">
        <f t="shared" si="60"/>
        <v>-2.628779133901844</v>
      </c>
    </row>
    <row r="118" spans="2:14" x14ac:dyDescent="0.4">
      <c r="B118" s="40">
        <f>+'E-Factor PRIOR LKM-4'!B131</f>
        <v>45689</v>
      </c>
      <c r="C118" s="89">
        <f>'E-Factor PRIOR LKM-4'!J131</f>
        <v>67198.603586639976</v>
      </c>
      <c r="D118" s="239">
        <f>'E-Factor PRIOR LKM-4'!G131</f>
        <v>374138</v>
      </c>
      <c r="E118" s="89">
        <f t="shared" si="61"/>
        <v>-495299.12210750941</v>
      </c>
      <c r="F118" s="89">
        <f t="shared" si="62"/>
        <v>-428100.51852086943</v>
      </c>
      <c r="G118" s="89">
        <f t="shared" si="63"/>
        <v>-2536859.4042518921</v>
      </c>
      <c r="H118" s="90">
        <f>G118*('Assumptions and Inputs'!$C$52)/12</f>
        <v>-8815.5864297753251</v>
      </c>
      <c r="J118" s="89">
        <v>-427418.21326886944</v>
      </c>
      <c r="K118" s="89">
        <v>-2535420.6157958917</v>
      </c>
      <c r="L118" s="90">
        <v>-8810.5866398907237</v>
      </c>
      <c r="N118" s="90">
        <f t="shared" si="60"/>
        <v>-4.9997898846013413</v>
      </c>
    </row>
    <row r="119" spans="2:14" x14ac:dyDescent="0.4">
      <c r="B119" s="36">
        <f>+'E-Factor PRIOR LKM-4'!B132</f>
        <v>45717</v>
      </c>
      <c r="C119" s="86">
        <f>'E-Factor PRIOR LKM-4'!J132</f>
        <v>16831.250044680201</v>
      </c>
      <c r="D119" s="238">
        <f>'E-Factor PRIOR LKM-4'!G132</f>
        <v>373030.42000000004</v>
      </c>
      <c r="E119" s="86">
        <f t="shared" si="61"/>
        <v>-493832.86259453878</v>
      </c>
      <c r="F119" s="86">
        <f t="shared" si="62"/>
        <v>-477001.61254985858</v>
      </c>
      <c r="G119" s="86">
        <f t="shared" si="63"/>
        <v>-3013861.0168017508</v>
      </c>
      <c r="H119" s="87">
        <f>G119*('Assumptions and Inputs'!$C$52)/12</f>
        <v>-10473.167033386084</v>
      </c>
      <c r="J119" s="86">
        <v>-475590.67962185846</v>
      </c>
      <c r="K119" s="86">
        <v>-3011011.2954177503</v>
      </c>
      <c r="L119" s="87">
        <v>-10463.264251576682</v>
      </c>
      <c r="N119" s="87">
        <f t="shared" si="60"/>
        <v>-9.9027818094018585</v>
      </c>
    </row>
    <row r="120" spans="2:14" x14ac:dyDescent="0.4">
      <c r="B120" s="40">
        <f>+'E-Factor PRIOR LKM-4'!B133</f>
        <v>45748</v>
      </c>
      <c r="C120" s="89">
        <f>'E-Factor PRIOR LKM-4'!J133</f>
        <v>29222.507193780039</v>
      </c>
      <c r="D120" s="239">
        <f>'E-Factor PRIOR LKM-4'!G133</f>
        <v>381012.39500000002</v>
      </c>
      <c r="E120" s="89">
        <f t="shared" si="61"/>
        <v>-504399.72618547064</v>
      </c>
      <c r="F120" s="89">
        <f t="shared" si="62"/>
        <v>-475177.21899169061</v>
      </c>
      <c r="G120" s="89">
        <f t="shared" si="63"/>
        <v>-3489038.2357934415</v>
      </c>
      <c r="H120" s="90">
        <f>G120*('Assumptions and Inputs'!$C$52)/12</f>
        <v>-12124.407869382208</v>
      </c>
      <c r="J120" s="89">
        <v>-235650.89556676173</v>
      </c>
      <c r="K120" s="89">
        <v>-3246662.1909845117</v>
      </c>
      <c r="L120" s="90">
        <v>-11282.151113671178</v>
      </c>
      <c r="N120" s="90">
        <f t="shared" si="60"/>
        <v>-842.25675571103056</v>
      </c>
    </row>
    <row r="121" spans="2:14" x14ac:dyDescent="0.4">
      <c r="B121" s="36">
        <f>+'E-Factor PRIOR LKM-4'!B134</f>
        <v>45778</v>
      </c>
      <c r="C121" s="86">
        <f>'E-Factor PRIOR LKM-4'!J134</f>
        <v>32977.491726059932</v>
      </c>
      <c r="D121" s="238">
        <f>'E-Factor PRIOR LKM-4'!G134</f>
        <v>395766.63</v>
      </c>
      <c r="E121" s="86">
        <f t="shared" si="61"/>
        <v>-523931.98338165996</v>
      </c>
      <c r="F121" s="86">
        <f t="shared" si="62"/>
        <v>-490954.49165560002</v>
      </c>
      <c r="G121" s="86">
        <f t="shared" si="63"/>
        <v>-3979992.7274490418</v>
      </c>
      <c r="H121" s="87">
        <f>G121*('Assumptions and Inputs'!$C$52)/12</f>
        <v>-13830.474727885421</v>
      </c>
      <c r="J121" s="86">
        <v>-235650.89556676173</v>
      </c>
      <c r="K121" s="86">
        <v>-3482313.0865512732</v>
      </c>
      <c r="L121" s="87">
        <v>-12101.037975765676</v>
      </c>
      <c r="N121" s="87">
        <f t="shared" si="60"/>
        <v>-1729.4367521197455</v>
      </c>
    </row>
    <row r="122" spans="2:14" x14ac:dyDescent="0.4">
      <c r="B122" s="40">
        <f>+'E-Factor PRIOR LKM-4'!B135</f>
        <v>45809</v>
      </c>
      <c r="C122" s="89">
        <f>'E-Factor PRIOR LKM-4'!J135</f>
        <v>-20350.30659593991</v>
      </c>
      <c r="D122" s="239">
        <f>'E-Factor PRIOR LKM-4'!G135</f>
        <v>412924.63</v>
      </c>
      <c r="E122" s="89">
        <f t="shared" si="61"/>
        <v>-546646.44258420193</v>
      </c>
      <c r="F122" s="89">
        <f t="shared" si="62"/>
        <v>-566996.74918014184</v>
      </c>
      <c r="G122" s="89">
        <f t="shared" si="63"/>
        <v>-4546989.4766291836</v>
      </c>
      <c r="H122" s="90">
        <f>G122*('Assumptions and Inputs'!$C$52)/12</f>
        <v>-15800.788431286413</v>
      </c>
      <c r="J122" s="89">
        <v>-235650.89556676173</v>
      </c>
      <c r="K122" s="89">
        <v>-3717963.9821180347</v>
      </c>
      <c r="L122" s="90">
        <v>-12919.924837860171</v>
      </c>
      <c r="N122" s="90">
        <f t="shared" si="60"/>
        <v>-2880.863593426242</v>
      </c>
    </row>
    <row r="123" spans="2:14" x14ac:dyDescent="0.4">
      <c r="B123" s="36">
        <f>+'E-Factor PRIOR LKM-4'!B136</f>
        <v>45839</v>
      </c>
      <c r="C123" s="86">
        <f>'E-Factor PRIOR LKM-4'!J136</f>
        <v>21409.371248760028</v>
      </c>
      <c r="D123" s="238">
        <f>'E-Factor PRIOR LKM-4'!G136</f>
        <v>427530</v>
      </c>
      <c r="E123" s="86">
        <f t="shared" si="61"/>
        <v>-565981.62623049109</v>
      </c>
      <c r="F123" s="86">
        <f t="shared" si="62"/>
        <v>-544572.25498173106</v>
      </c>
      <c r="G123" s="86">
        <f t="shared" si="63"/>
        <v>-5091561.7316109147</v>
      </c>
      <c r="H123" s="87">
        <f>G123*('Assumptions and Inputs'!$C$52)/12</f>
        <v>-17693.177017347927</v>
      </c>
      <c r="J123" s="86">
        <v>-235650.89556676173</v>
      </c>
      <c r="K123" s="86">
        <v>-3953614.8776847962</v>
      </c>
      <c r="L123" s="87">
        <v>-13738.811699954667</v>
      </c>
      <c r="N123" s="87">
        <f t="shared" si="60"/>
        <v>-3954.3653173932598</v>
      </c>
    </row>
    <row r="124" spans="2:14" x14ac:dyDescent="0.4">
      <c r="B124" s="40">
        <f>+'E-Factor PRIOR LKM-4'!B137</f>
        <v>45870</v>
      </c>
      <c r="C124" s="89">
        <f>'E-Factor PRIOR LKM-4'!J137</f>
        <v>-40539.025136159733</v>
      </c>
      <c r="D124" s="239">
        <f>'E-Factor PRIOR LKM-4'!G137</f>
        <v>443338.47499999998</v>
      </c>
      <c r="E124" s="89">
        <f t="shared" si="61"/>
        <v>-586909.52927524596</v>
      </c>
      <c r="F124" s="89">
        <f t="shared" si="62"/>
        <v>-627448.5544114057</v>
      </c>
      <c r="G124" s="89">
        <f t="shared" si="63"/>
        <v>-5719010.2860223204</v>
      </c>
      <c r="H124" s="90">
        <f>G124*('Assumptions and Inputs'!$C$52)/12</f>
        <v>-19873.560743927563</v>
      </c>
      <c r="J124" s="89">
        <v>-235650.89556676173</v>
      </c>
      <c r="K124" s="89">
        <v>-4189265.7732515577</v>
      </c>
      <c r="L124" s="90">
        <v>-14557.698562049163</v>
      </c>
      <c r="N124" s="90">
        <f t="shared" si="60"/>
        <v>-5315.8621818783995</v>
      </c>
    </row>
    <row r="125" spans="2:14" x14ac:dyDescent="0.4">
      <c r="B125" s="44" t="s">
        <v>131</v>
      </c>
      <c r="C125" s="63"/>
      <c r="D125" s="63"/>
      <c r="E125" s="63"/>
      <c r="F125" s="63"/>
      <c r="G125" s="93"/>
      <c r="H125" s="63">
        <f>SUM(H113:H124)</f>
        <v>-118187.36590288862</v>
      </c>
      <c r="J125" s="63"/>
      <c r="K125" s="93"/>
      <c r="L125" s="63">
        <v>-103447.05089524474</v>
      </c>
      <c r="N125" s="87">
        <f t="shared" si="60"/>
        <v>-14740.315007643876</v>
      </c>
    </row>
    <row r="126" spans="2:14" x14ac:dyDescent="0.4">
      <c r="H126" s="7"/>
      <c r="L126" s="7"/>
      <c r="N126" s="7"/>
    </row>
    <row r="127" spans="2:14" x14ac:dyDescent="0.4">
      <c r="G127" s="49" t="s">
        <v>226</v>
      </c>
      <c r="H127" s="50">
        <f>H125</f>
        <v>-118187.36590288862</v>
      </c>
      <c r="I127" s="48"/>
      <c r="K127" s="49" t="s">
        <v>226</v>
      </c>
      <c r="L127" s="50">
        <f>L125</f>
        <v>-103447.05089524474</v>
      </c>
      <c r="N127" s="64">
        <f>H127-L127</f>
        <v>-14740.315007643876</v>
      </c>
    </row>
    <row r="128" spans="2:14" x14ac:dyDescent="0.4">
      <c r="B128" s="8" t="s">
        <v>183</v>
      </c>
      <c r="H128" s="7"/>
      <c r="J128" s="8"/>
      <c r="L128" s="7"/>
    </row>
    <row r="129" spans="2:2" x14ac:dyDescent="0.4">
      <c r="B129" s="51" t="s">
        <v>239</v>
      </c>
    </row>
    <row r="130" spans="2:2" x14ac:dyDescent="0.4">
      <c r="B130" s="51" t="s">
        <v>286</v>
      </c>
    </row>
    <row r="131" spans="2:2" x14ac:dyDescent="0.4">
      <c r="B131" s="51" t="s">
        <v>230</v>
      </c>
    </row>
    <row r="132" spans="2:2" x14ac:dyDescent="0.4">
      <c r="B132" s="51" t="s">
        <v>231</v>
      </c>
    </row>
    <row r="133" spans="2:2" x14ac:dyDescent="0.4">
      <c r="B133" s="51" t="str">
        <f>"(6) &amp; (9) Interest calculated monthly based on 1-year interest rate for constant maturity U.S. Treasury Securities as published in the Federal Reserve Statistical Release H.15 (519) on "&amp;TEXT('Assumptions and Inputs'!$C$53,"MMMM DD, YYYY")&amp;"."</f>
        <v>(6) &amp; (9) Interest calculated monthly based on 1-year interest rate for constant maturity U.S. Treasury Securities as published in the Federal Reserve Statistical Release H.15 (519) on January 02, 2025.</v>
      </c>
    </row>
    <row r="134" spans="2:2" x14ac:dyDescent="0.4">
      <c r="B134" s="51" t="s">
        <v>285</v>
      </c>
    </row>
    <row r="135" spans="2:2" x14ac:dyDescent="0.4">
      <c r="B135" s="51"/>
    </row>
    <row r="136" spans="2:2" x14ac:dyDescent="0.4"/>
    <row r="137" spans="2:2" x14ac:dyDescent="0.4"/>
    <row r="138" spans="2:2" x14ac:dyDescent="0.4"/>
    <row r="139" spans="2:2" x14ac:dyDescent="0.4"/>
    <row r="140" spans="2:2" x14ac:dyDescent="0.4"/>
    <row r="141" spans="2:2" x14ac:dyDescent="0.4"/>
    <row r="142" spans="2:2" x14ac:dyDescent="0.4"/>
    <row r="143" spans="2:2" x14ac:dyDescent="0.4"/>
    <row r="144" spans="2:2" x14ac:dyDescent="0.4"/>
    <row r="145" x14ac:dyDescent="0.4"/>
    <row r="146" x14ac:dyDescent="0.4"/>
    <row r="147" x14ac:dyDescent="0.4"/>
    <row r="148" x14ac:dyDescent="0.4"/>
    <row r="149" x14ac:dyDescent="0.4"/>
    <row r="150" x14ac:dyDescent="0.4"/>
    <row r="151" x14ac:dyDescent="0.4"/>
    <row r="152" x14ac:dyDescent="0.4"/>
    <row r="153" x14ac:dyDescent="0.4"/>
    <row r="154" x14ac:dyDescent="0.4"/>
    <row r="155" x14ac:dyDescent="0.4"/>
    <row r="156" x14ac:dyDescent="0.4"/>
    <row r="157" x14ac:dyDescent="0.4"/>
    <row r="158" x14ac:dyDescent="0.4"/>
    <row r="159" x14ac:dyDescent="0.4"/>
    <row r="160" x14ac:dyDescent="0.4"/>
    <row r="161" x14ac:dyDescent="0.4"/>
    <row r="162" x14ac:dyDescent="0.4"/>
    <row r="163" x14ac:dyDescent="0.4"/>
    <row r="164" x14ac:dyDescent="0.4"/>
    <row r="165" x14ac:dyDescent="0.4"/>
    <row r="166" x14ac:dyDescent="0.4"/>
    <row r="167" x14ac:dyDescent="0.4"/>
    <row r="168" x14ac:dyDescent="0.4"/>
    <row r="169" x14ac:dyDescent="0.4"/>
    <row r="170" x14ac:dyDescent="0.4"/>
    <row r="171" x14ac:dyDescent="0.4"/>
    <row r="172" x14ac:dyDescent="0.4"/>
    <row r="173" x14ac:dyDescent="0.4"/>
    <row r="174" x14ac:dyDescent="0.4"/>
    <row r="175" x14ac:dyDescent="0.4"/>
    <row r="176" x14ac:dyDescent="0.4"/>
    <row r="177" x14ac:dyDescent="0.4"/>
    <row r="178" x14ac:dyDescent="0.4"/>
    <row r="179" x14ac:dyDescent="0.4"/>
    <row r="180" x14ac:dyDescent="0.4"/>
    <row r="181" x14ac:dyDescent="0.4"/>
    <row r="182" x14ac:dyDescent="0.4"/>
    <row r="183" x14ac:dyDescent="0.4"/>
    <row r="184" x14ac:dyDescent="0.4"/>
    <row r="185" x14ac:dyDescent="0.4"/>
    <row r="186" x14ac:dyDescent="0.4"/>
    <row r="187" x14ac:dyDescent="0.4"/>
  </sheetData>
  <printOptions horizontalCentered="1"/>
  <pageMargins left="0.7" right="0.7" top="0.75" bottom="0.75" header="0.3" footer="0.3"/>
  <pageSetup scale="46" orientation="landscape" r:id="rId1"/>
  <headerFooter>
    <oddHeader xml:space="preserve">&amp;R2026 TAP-R Rate Procceding
Schedule LKM-TAP-6
</oddHeader>
  </headerFooter>
  <ignoredErrors>
    <ignoredError sqref="C111 C7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theme="4" tint="-0.249977111117893"/>
    <pageSetUpPr fitToPage="1"/>
  </sheetPr>
  <dimension ref="B2:J19"/>
  <sheetViews>
    <sheetView workbookViewId="0">
      <selection activeCell="J11" sqref="J11"/>
    </sheetView>
  </sheetViews>
  <sheetFormatPr defaultColWidth="9.26953125" defaultRowHeight="15.5" x14ac:dyDescent="0.4"/>
  <cols>
    <col min="1" max="1" width="9.26953125" style="1"/>
    <col min="2" max="2" width="8.54296875" style="1" customWidth="1"/>
    <col min="3" max="3" width="27.26953125" style="1" customWidth="1"/>
    <col min="4" max="4" width="18.7265625" style="1" customWidth="1"/>
    <col min="5" max="5" width="20.7265625" style="1" bestFit="1" customWidth="1"/>
    <col min="6" max="6" width="15" style="1" customWidth="1"/>
    <col min="7" max="7" width="4.26953125" style="1" customWidth="1"/>
    <col min="8" max="8" width="4.453125" style="1" customWidth="1"/>
    <col min="9" max="16384" width="9.26953125" style="1"/>
  </cols>
  <sheetData>
    <row r="2" spans="2:10" hidden="1" x14ac:dyDescent="0.4">
      <c r="B2" s="3" t="s">
        <v>30</v>
      </c>
      <c r="C2" s="3"/>
      <c r="D2" s="3"/>
      <c r="E2" s="3"/>
      <c r="F2" s="3"/>
    </row>
    <row r="3" spans="2:10" x14ac:dyDescent="0.4">
      <c r="B3" s="3" t="str">
        <f>"Table 5 - Application of TAP Rate Rider Adjustment Effective "&amp;TEXT('Assumptions and Inputs'!C65,"MMMM D, YYYY")</f>
        <v>Table 5 - Application of TAP Rate Rider Adjustment Effective September 1, 2026</v>
      </c>
      <c r="C3" s="3"/>
      <c r="D3" s="3"/>
      <c r="E3" s="3"/>
      <c r="F3" s="3"/>
    </row>
    <row r="4" spans="2:10" ht="17" x14ac:dyDescent="0.45">
      <c r="B4" s="103"/>
      <c r="C4" s="104"/>
      <c r="D4" s="105" t="s">
        <v>243</v>
      </c>
      <c r="E4" s="105" t="s">
        <v>244</v>
      </c>
      <c r="F4" s="106" t="s">
        <v>131</v>
      </c>
    </row>
    <row r="5" spans="2:10" x14ac:dyDescent="0.4">
      <c r="B5" s="107"/>
      <c r="C5" s="107" t="s">
        <v>28</v>
      </c>
      <c r="D5" s="107" t="s">
        <v>297</v>
      </c>
      <c r="E5" s="107" t="s">
        <v>245</v>
      </c>
      <c r="F5" s="107" t="s">
        <v>131</v>
      </c>
    </row>
    <row r="6" spans="2:10" x14ac:dyDescent="0.4">
      <c r="B6" s="108"/>
      <c r="C6" s="109" t="s">
        <v>246</v>
      </c>
      <c r="D6" s="110" t="s">
        <v>247</v>
      </c>
      <c r="E6" s="110" t="s">
        <v>247</v>
      </c>
      <c r="F6" s="110" t="s">
        <v>247</v>
      </c>
    </row>
    <row r="7" spans="2:10" x14ac:dyDescent="0.4">
      <c r="B7" s="111">
        <v>1</v>
      </c>
      <c r="C7" s="111" t="s">
        <v>248</v>
      </c>
      <c r="D7" s="112">
        <v>73.13</v>
      </c>
      <c r="E7" s="113">
        <f>'Summary LKM-1'!$G$19</f>
        <v>4.8600000000000003</v>
      </c>
      <c r="F7" s="113">
        <f>D7+E7</f>
        <v>77.989999999999995</v>
      </c>
      <c r="J7" s="114"/>
    </row>
    <row r="8" spans="2:10" x14ac:dyDescent="0.4">
      <c r="B8" s="111">
        <f>B7+1</f>
        <v>2</v>
      </c>
      <c r="C8" s="111" t="s">
        <v>249</v>
      </c>
      <c r="D8" s="112">
        <v>68.72</v>
      </c>
      <c r="E8" s="113">
        <f>'Summary LKM-1'!$G$19</f>
        <v>4.8600000000000003</v>
      </c>
      <c r="F8" s="113">
        <f t="shared" ref="F8:F10" si="0">D8+E8</f>
        <v>73.58</v>
      </c>
    </row>
    <row r="9" spans="2:10" x14ac:dyDescent="0.4">
      <c r="B9" s="111">
        <f>B8+1</f>
        <v>3</v>
      </c>
      <c r="C9" s="111" t="s">
        <v>250</v>
      </c>
      <c r="D9" s="112">
        <v>53.87</v>
      </c>
      <c r="E9" s="113">
        <f>'Summary LKM-1'!$G$19</f>
        <v>4.8600000000000003</v>
      </c>
      <c r="F9" s="113">
        <f t="shared" si="0"/>
        <v>58.73</v>
      </c>
    </row>
    <row r="10" spans="2:10" x14ac:dyDescent="0.4">
      <c r="B10" s="111">
        <f>B9+1</f>
        <v>4</v>
      </c>
      <c r="C10" s="111" t="s">
        <v>251</v>
      </c>
      <c r="D10" s="112">
        <v>52.4</v>
      </c>
      <c r="E10" s="113">
        <f>'Summary LKM-1'!$G$19</f>
        <v>4.8600000000000003</v>
      </c>
      <c r="F10" s="113">
        <f t="shared" si="0"/>
        <v>57.26</v>
      </c>
    </row>
    <row r="11" spans="2:10" ht="17" x14ac:dyDescent="0.45">
      <c r="B11" s="103"/>
      <c r="C11" s="104"/>
      <c r="D11" s="115"/>
      <c r="E11" s="116"/>
      <c r="F11" s="116"/>
    </row>
    <row r="12" spans="2:10" x14ac:dyDescent="0.4">
      <c r="B12" s="108"/>
      <c r="C12" s="108" t="s">
        <v>252</v>
      </c>
      <c r="D12" s="110" t="s">
        <v>247</v>
      </c>
      <c r="E12" s="117" t="s">
        <v>247</v>
      </c>
      <c r="F12" s="117" t="s">
        <v>247</v>
      </c>
    </row>
    <row r="13" spans="2:10" x14ac:dyDescent="0.4">
      <c r="B13" s="103">
        <f>B10+1</f>
        <v>5</v>
      </c>
      <c r="C13" s="103" t="s">
        <v>253</v>
      </c>
      <c r="D13" s="112">
        <v>49.53</v>
      </c>
      <c r="E13" s="113">
        <f>'Summary LKM-1'!$J$19</f>
        <v>6.8</v>
      </c>
      <c r="F13" s="113">
        <f>D13+E13</f>
        <v>56.33</v>
      </c>
    </row>
    <row r="14" spans="2:10" x14ac:dyDescent="0.4">
      <c r="B14" s="103"/>
      <c r="C14" s="103"/>
      <c r="D14" s="113"/>
      <c r="E14" s="113"/>
      <c r="F14" s="113"/>
    </row>
    <row r="15" spans="2:10" x14ac:dyDescent="0.4">
      <c r="B15" s="8" t="s">
        <v>183</v>
      </c>
      <c r="D15" s="118"/>
    </row>
    <row r="16" spans="2:10" x14ac:dyDescent="0.4">
      <c r="B16" s="51" t="str">
        <f>"Approved Base Rates reflect the "&amp;TEXT('Assumptions and Inputs'!C69,)&amp;" quantity charges, per the 2025 Rate Determination."</f>
        <v>Approved Base Rates reflect the FY 2027 quantity charges, per the 2025 Rate Determination.</v>
      </c>
    </row>
    <row r="17" spans="2:2" x14ac:dyDescent="0.4">
      <c r="B17" s="51" t="str">
        <f>"TAP-R Rates are proposed to be effective on "&amp;TEXT('Assumptions and Inputs'!C65,"MMMM DD, YYYY")&amp;"."</f>
        <v>TAP-R Rates are proposed to be effective on September 01, 2026.</v>
      </c>
    </row>
    <row r="18" spans="2:2" x14ac:dyDescent="0.4">
      <c r="B18" s="51" t="s">
        <v>254</v>
      </c>
    </row>
    <row r="19" spans="2:2" x14ac:dyDescent="0.4">
      <c r="B19" s="119"/>
    </row>
  </sheetData>
  <printOptions horizontalCentered="1"/>
  <pageMargins left="0.7" right="0.7" top="0.75" bottom="0.75" header="0.3" footer="0.3"/>
  <pageSetup orientation="landscape" r:id="rId1"/>
  <headerFooter scaleWithDoc="0">
    <oddHeader xml:space="preserve">&amp;LTAP Rate Rider
Effective September 1, 2026&amp;RTAP Rider Reconciliation Calculations
</oddHeader>
    <oddFooter>&amp;LBlack &amp;&amp; Veatch&amp;C&amp;P&amp;RFebruary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 tint="-0.499984740745262"/>
    <pageSetUpPr fitToPage="1"/>
  </sheetPr>
  <dimension ref="A1:XFC19"/>
  <sheetViews>
    <sheetView workbookViewId="0">
      <selection activeCell="B17" sqref="B17"/>
    </sheetView>
  </sheetViews>
  <sheetFormatPr defaultColWidth="0" defaultRowHeight="15.5" zeroHeight="1" x14ac:dyDescent="0.4"/>
  <cols>
    <col min="1" max="1" width="25.26953125" style="1" bestFit="1" customWidth="1"/>
    <col min="2" max="2" width="143.453125" style="1" bestFit="1" customWidth="1"/>
    <col min="3" max="16383" width="9.26953125" style="1" hidden="1"/>
    <col min="16384" max="16384" width="8.453125" style="1" hidden="1" customWidth="1"/>
  </cols>
  <sheetData>
    <row r="1" spans="1:2" x14ac:dyDescent="0.4">
      <c r="A1" s="339" t="s">
        <v>6</v>
      </c>
      <c r="B1" s="339"/>
    </row>
    <row r="2" spans="1:2" x14ac:dyDescent="0.4">
      <c r="A2" s="340" t="s">
        <v>295</v>
      </c>
      <c r="B2" s="340"/>
    </row>
    <row r="3" spans="1:2" x14ac:dyDescent="0.4">
      <c r="A3" s="341"/>
      <c r="B3" s="341"/>
    </row>
    <row r="4" spans="1:2" x14ac:dyDescent="0.4">
      <c r="A4" s="342"/>
      <c r="B4" s="342"/>
    </row>
    <row r="5" spans="1:2" x14ac:dyDescent="0.4">
      <c r="A5" s="132"/>
      <c r="B5" s="132"/>
    </row>
    <row r="6" spans="1:2" x14ac:dyDescent="0.4">
      <c r="A6" s="35" t="s">
        <v>7</v>
      </c>
      <c r="B6" s="35" t="s">
        <v>8</v>
      </c>
    </row>
    <row r="7" spans="1:2" x14ac:dyDescent="0.4">
      <c r="A7" s="133" t="s">
        <v>9</v>
      </c>
      <c r="B7" s="1" t="s">
        <v>10</v>
      </c>
    </row>
    <row r="8" spans="1:2" x14ac:dyDescent="0.4">
      <c r="A8" s="134" t="s">
        <v>11</v>
      </c>
      <c r="B8" s="1" t="s">
        <v>11</v>
      </c>
    </row>
    <row r="9" spans="1:2" x14ac:dyDescent="0.4">
      <c r="A9" s="134" t="s">
        <v>12</v>
      </c>
      <c r="B9" s="1" t="s">
        <v>13</v>
      </c>
    </row>
    <row r="10" spans="1:2" x14ac:dyDescent="0.4">
      <c r="A10" s="135" t="s">
        <v>14</v>
      </c>
      <c r="B10" s="1" t="s">
        <v>15</v>
      </c>
    </row>
    <row r="11" spans="1:2" x14ac:dyDescent="0.4">
      <c r="A11" s="135" t="s">
        <v>16</v>
      </c>
      <c r="B11" s="1" t="s">
        <v>17</v>
      </c>
    </row>
    <row r="12" spans="1:2" x14ac:dyDescent="0.4">
      <c r="A12" s="135" t="s">
        <v>18</v>
      </c>
      <c r="B12" s="1" t="s">
        <v>19</v>
      </c>
    </row>
    <row r="13" spans="1:2" x14ac:dyDescent="0.4">
      <c r="A13" s="135" t="s">
        <v>20</v>
      </c>
      <c r="B13" s="1" t="s">
        <v>21</v>
      </c>
    </row>
    <row r="14" spans="1:2" x14ac:dyDescent="0.4">
      <c r="A14" s="135" t="s">
        <v>22</v>
      </c>
      <c r="B14" s="1" t="s">
        <v>23</v>
      </c>
    </row>
    <row r="15" spans="1:2" x14ac:dyDescent="0.4">
      <c r="A15" s="135" t="s">
        <v>24</v>
      </c>
      <c r="B15" s="1" t="s">
        <v>25</v>
      </c>
    </row>
    <row r="16" spans="1:2" x14ac:dyDescent="0.4">
      <c r="A16" s="135" t="s">
        <v>26</v>
      </c>
      <c r="B16" s="1" t="s">
        <v>27</v>
      </c>
    </row>
    <row r="17" spans="1:2" x14ac:dyDescent="0.4">
      <c r="A17" s="135" t="s">
        <v>28</v>
      </c>
      <c r="B17" s="1" t="s">
        <v>29</v>
      </c>
    </row>
    <row r="18" spans="1:2" x14ac:dyDescent="0.4"/>
    <row r="19" spans="1:2" x14ac:dyDescent="0.4"/>
  </sheetData>
  <mergeCells count="4">
    <mergeCell ref="A1:B1"/>
    <mergeCell ref="A2:B2"/>
    <mergeCell ref="A3:B3"/>
    <mergeCell ref="A4:B4"/>
  </mergeCells>
  <hyperlinks>
    <hyperlink ref="A7" location="Home!A1" display="Home" xr:uid="{00000000-0004-0000-0100-000000000000}"/>
    <hyperlink ref="A8" location="'Table of Contents'!A1" display="Table of Contents" xr:uid="{00000000-0004-0000-0100-000001000000}"/>
    <hyperlink ref="A9" location="'Assumptions and Inputs'!A1" display="Assumptions and Inputs " xr:uid="{00000000-0004-0000-0100-000002000000}"/>
    <hyperlink ref="A10" location="Customer!A1" display="Customer" xr:uid="{00000000-0004-0000-0100-000003000000}"/>
    <hyperlink ref="A11" location="Summary!A1" display="Summary " xr:uid="{00000000-0004-0000-0100-000004000000}"/>
    <hyperlink ref="A12" location="'C-Factor'!A1" display="C-Factor" xr:uid="{00000000-0004-0000-0100-000005000000}"/>
    <hyperlink ref="A13" location="'E-Factor'!A1" display="E-Factor" xr:uid="{00000000-0004-0000-0100-000006000000}"/>
    <hyperlink ref="A15" location="'I-Factor'!A1" display="I-Factor" xr:uid="{00000000-0004-0000-0100-000007000000}"/>
    <hyperlink ref="A17" location="Rates!A1" display="Rates" xr:uid="{00000000-0004-0000-0100-000008000000}"/>
    <hyperlink ref="A14" location="'E-Factor PRIOR'!A1" display="E-Factor Prior" xr:uid="{D98F2539-414F-44E7-AD81-67F9A6AE3DB6}"/>
    <hyperlink ref="A16" location="'I-Factor PRIOR'!A1" display="I-Factor Prior" xr:uid="{80DC8295-C8A1-4AF9-86EA-2F65B4B95CC8}"/>
  </hyperlinks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Z145"/>
  <sheetViews>
    <sheetView topLeftCell="A4" zoomScale="90" zoomScaleNormal="90" workbookViewId="0">
      <selection activeCell="C13" sqref="C13"/>
    </sheetView>
  </sheetViews>
  <sheetFormatPr defaultColWidth="0" defaultRowHeight="15.5" zeroHeight="1" x14ac:dyDescent="0.4"/>
  <cols>
    <col min="1" max="1" width="4.7265625" style="1" customWidth="1"/>
    <col min="2" max="2" width="53.26953125" style="1" customWidth="1"/>
    <col min="3" max="3" width="20.7265625" style="1" customWidth="1"/>
    <col min="4" max="4" width="17.54296875" style="1" customWidth="1"/>
    <col min="5" max="5" width="3.26953125" style="1" customWidth="1"/>
    <col min="6" max="6" width="66.54296875" style="1" customWidth="1"/>
    <col min="7" max="7" width="33" style="1" customWidth="1"/>
    <col min="8" max="8" width="62.26953125" style="1" customWidth="1"/>
    <col min="9" max="25" width="9.26953125" style="1" customWidth="1"/>
    <col min="26" max="26" width="0" style="1" hidden="1" customWidth="1"/>
    <col min="27" max="16384" width="9.26953125" style="1" hidden="1"/>
  </cols>
  <sheetData>
    <row r="1" spans="2:8" x14ac:dyDescent="0.4"/>
    <row r="2" spans="2:8" x14ac:dyDescent="0.4">
      <c r="B2" s="3" t="s">
        <v>30</v>
      </c>
      <c r="C2" s="3"/>
      <c r="D2" s="3"/>
      <c r="E2" s="3"/>
      <c r="F2" s="3"/>
      <c r="G2" s="3"/>
      <c r="H2" s="3"/>
    </row>
    <row r="3" spans="2:8" x14ac:dyDescent="0.4">
      <c r="B3" s="3" t="s">
        <v>31</v>
      </c>
      <c r="C3" s="3"/>
      <c r="D3" s="3"/>
      <c r="E3" s="3"/>
      <c r="F3" s="3"/>
      <c r="G3" s="3"/>
      <c r="H3" s="3"/>
    </row>
    <row r="4" spans="2:8" x14ac:dyDescent="0.4"/>
    <row r="5" spans="2:8" x14ac:dyDescent="0.4">
      <c r="B5" s="136" t="s">
        <v>32</v>
      </c>
      <c r="C5" s="136"/>
      <c r="D5" s="136"/>
      <c r="E5" s="136"/>
      <c r="F5" s="136" t="s">
        <v>33</v>
      </c>
      <c r="G5" s="136" t="s">
        <v>34</v>
      </c>
      <c r="H5" s="136" t="s">
        <v>35</v>
      </c>
    </row>
    <row r="6" spans="2:8" x14ac:dyDescent="0.4"/>
    <row r="7" spans="2:8" x14ac:dyDescent="0.4">
      <c r="B7" s="137" t="s">
        <v>36</v>
      </c>
      <c r="C7" s="138"/>
      <c r="D7" s="138"/>
      <c r="E7" s="138"/>
      <c r="F7" s="138"/>
      <c r="G7" s="138"/>
      <c r="H7" s="138"/>
    </row>
    <row r="8" spans="2:8" x14ac:dyDescent="0.4">
      <c r="B8" s="139"/>
      <c r="D8" s="140"/>
      <c r="E8" s="141"/>
      <c r="F8" s="142"/>
      <c r="G8" s="143"/>
      <c r="H8" s="143"/>
    </row>
    <row r="9" spans="2:8" x14ac:dyDescent="0.4">
      <c r="B9" s="139" t="s">
        <v>37</v>
      </c>
      <c r="C9" s="246">
        <f>[1]TRR_Summary!$E$20</f>
        <v>59.467821369606519</v>
      </c>
      <c r="E9" s="141"/>
      <c r="F9" s="143" t="s">
        <v>38</v>
      </c>
      <c r="G9" s="143" t="s">
        <v>39</v>
      </c>
      <c r="H9" s="143" t="s">
        <v>291</v>
      </c>
    </row>
    <row r="10" spans="2:8" x14ac:dyDescent="0.4">
      <c r="B10" s="139"/>
      <c r="C10" s="144"/>
      <c r="E10" s="141"/>
      <c r="F10" s="142"/>
      <c r="G10" s="143"/>
      <c r="H10" s="143"/>
    </row>
    <row r="11" spans="2:8" x14ac:dyDescent="0.4">
      <c r="B11" s="139" t="s">
        <v>40</v>
      </c>
      <c r="C11" s="247">
        <f>[1]TRR_Summary!$E$21</f>
        <v>653.72420126637337</v>
      </c>
      <c r="E11" s="141"/>
      <c r="F11" s="143" t="s">
        <v>38</v>
      </c>
      <c r="G11" s="143" t="s">
        <v>39</v>
      </c>
      <c r="H11" s="143" t="s">
        <v>291</v>
      </c>
    </row>
    <row r="12" spans="2:8" x14ac:dyDescent="0.4">
      <c r="B12" s="139"/>
      <c r="C12" s="145"/>
      <c r="E12" s="141"/>
      <c r="F12" s="143"/>
      <c r="G12" s="143"/>
      <c r="H12" s="143"/>
    </row>
    <row r="13" spans="2:8" x14ac:dyDescent="0.4">
      <c r="B13" s="139" t="s">
        <v>41</v>
      </c>
      <c r="C13" s="247">
        <f>[1]TRR_Projections!$BG$5</f>
        <v>68405</v>
      </c>
      <c r="E13" s="141"/>
      <c r="F13" s="143" t="s">
        <v>38</v>
      </c>
      <c r="G13" s="143" t="s">
        <v>39</v>
      </c>
      <c r="H13" s="143" t="s">
        <v>291</v>
      </c>
    </row>
    <row r="14" spans="2:8" x14ac:dyDescent="0.4">
      <c r="B14" s="139"/>
      <c r="C14" s="146"/>
      <c r="E14" s="141"/>
      <c r="F14" s="143"/>
      <c r="G14" s="143"/>
      <c r="H14" s="143"/>
    </row>
    <row r="15" spans="2:8" x14ac:dyDescent="0.4">
      <c r="B15" s="139" t="s">
        <v>42</v>
      </c>
      <c r="C15" s="227">
        <f>C9*C13*12</f>
        <v>48814755.849455208</v>
      </c>
      <c r="D15" s="7"/>
      <c r="E15" s="141"/>
      <c r="F15" s="143" t="s">
        <v>38</v>
      </c>
      <c r="G15" s="143" t="s">
        <v>39</v>
      </c>
      <c r="H15" s="143" t="s">
        <v>291</v>
      </c>
    </row>
    <row r="16" spans="2:8" x14ac:dyDescent="0.4">
      <c r="C16" s="7"/>
    </row>
    <row r="17" spans="2:14" x14ac:dyDescent="0.4">
      <c r="B17" s="147" t="s">
        <v>43</v>
      </c>
      <c r="C17" s="148"/>
      <c r="D17" s="148"/>
      <c r="E17" s="148"/>
      <c r="F17" s="148"/>
      <c r="G17" s="148"/>
      <c r="H17" s="148"/>
    </row>
    <row r="18" spans="2:14" x14ac:dyDescent="0.4"/>
    <row r="19" spans="2:14" x14ac:dyDescent="0.4">
      <c r="B19" s="1" t="s">
        <v>44</v>
      </c>
      <c r="C19" s="149">
        <v>0</v>
      </c>
      <c r="F19" s="1" t="s">
        <v>45</v>
      </c>
      <c r="G19" s="150"/>
      <c r="J19" s="150"/>
      <c r="N19" s="150"/>
    </row>
    <row r="20" spans="2:14" x14ac:dyDescent="0.4">
      <c r="G20" s="151"/>
    </row>
    <row r="21" spans="2:14" x14ac:dyDescent="0.4">
      <c r="B21" s="1" t="s">
        <v>46</v>
      </c>
      <c r="C21" s="152">
        <v>10</v>
      </c>
    </row>
    <row r="22" spans="2:14" x14ac:dyDescent="0.4"/>
    <row r="23" spans="2:14" x14ac:dyDescent="0.4">
      <c r="B23" s="137" t="s">
        <v>47</v>
      </c>
      <c r="C23" s="138"/>
      <c r="D23" s="138"/>
      <c r="E23" s="138"/>
      <c r="F23" s="138"/>
      <c r="G23" s="138"/>
      <c r="H23" s="138"/>
    </row>
    <row r="24" spans="2:14" x14ac:dyDescent="0.4">
      <c r="B24" s="137"/>
      <c r="C24" s="138"/>
      <c r="D24" s="138"/>
      <c r="E24" s="138"/>
      <c r="F24" s="138"/>
      <c r="G24" s="138"/>
      <c r="H24" s="138"/>
    </row>
    <row r="25" spans="2:14" x14ac:dyDescent="0.4">
      <c r="B25" s="153"/>
    </row>
    <row r="26" spans="2:14" x14ac:dyDescent="0.4">
      <c r="B26" s="154" t="s">
        <v>255</v>
      </c>
    </row>
    <row r="27" spans="2:14" x14ac:dyDescent="0.4">
      <c r="B27" s="155" t="s">
        <v>48</v>
      </c>
      <c r="C27" s="156">
        <v>3.08</v>
      </c>
      <c r="D27" s="1" t="s">
        <v>49</v>
      </c>
      <c r="F27" s="150" t="s">
        <v>53</v>
      </c>
      <c r="G27" s="150" t="s">
        <v>50</v>
      </c>
      <c r="H27" s="150"/>
    </row>
    <row r="28" spans="2:14" x14ac:dyDescent="0.4">
      <c r="B28" s="155"/>
    </row>
    <row r="29" spans="2:14" x14ac:dyDescent="0.4">
      <c r="B29" s="155" t="s">
        <v>51</v>
      </c>
      <c r="C29" s="156">
        <v>4.4000000000000004</v>
      </c>
      <c r="D29" s="1" t="s">
        <v>49</v>
      </c>
      <c r="F29" s="150" t="s">
        <v>53</v>
      </c>
      <c r="G29" s="150" t="s">
        <v>52</v>
      </c>
      <c r="H29" s="150"/>
    </row>
    <row r="30" spans="2:14" x14ac:dyDescent="0.4">
      <c r="F30" s="150"/>
      <c r="G30" s="150"/>
      <c r="H30" s="150"/>
    </row>
    <row r="31" spans="2:14" x14ac:dyDescent="0.4">
      <c r="B31" s="154" t="s">
        <v>256</v>
      </c>
      <c r="F31" s="150"/>
      <c r="G31" s="150"/>
      <c r="H31" s="150"/>
    </row>
    <row r="32" spans="2:14" x14ac:dyDescent="0.4">
      <c r="B32" s="155" t="s">
        <v>48</v>
      </c>
      <c r="C32" s="156">
        <v>3.59</v>
      </c>
      <c r="D32" s="1" t="s">
        <v>49</v>
      </c>
      <c r="F32" s="150" t="s">
        <v>89</v>
      </c>
      <c r="G32" s="150" t="s">
        <v>50</v>
      </c>
      <c r="H32" s="150"/>
    </row>
    <row r="33" spans="2:8" x14ac:dyDescent="0.4">
      <c r="B33" s="155"/>
      <c r="F33" s="157"/>
      <c r="H33" s="150"/>
    </row>
    <row r="34" spans="2:8" x14ac:dyDescent="0.4">
      <c r="B34" s="155" t="s">
        <v>51</v>
      </c>
      <c r="C34" s="156">
        <v>5.07</v>
      </c>
      <c r="D34" s="1" t="s">
        <v>49</v>
      </c>
      <c r="F34" s="150" t="s">
        <v>89</v>
      </c>
      <c r="G34" s="150" t="s">
        <v>52</v>
      </c>
      <c r="H34" s="150"/>
    </row>
    <row r="35" spans="2:8" x14ac:dyDescent="0.4"/>
    <row r="36" spans="2:8" x14ac:dyDescent="0.4">
      <c r="B36" s="158" t="s">
        <v>54</v>
      </c>
      <c r="C36" s="159"/>
      <c r="D36" s="159"/>
      <c r="E36" s="159"/>
      <c r="F36" s="159"/>
      <c r="G36" s="159"/>
      <c r="H36" s="159"/>
    </row>
    <row r="37" spans="2:8" x14ac:dyDescent="0.4"/>
    <row r="38" spans="2:8" x14ac:dyDescent="0.4">
      <c r="B38" s="139" t="s">
        <v>55</v>
      </c>
      <c r="C38" s="149">
        <v>0.96930000000000005</v>
      </c>
      <c r="F38" s="150" t="s">
        <v>89</v>
      </c>
      <c r="G38" s="150" t="s">
        <v>56</v>
      </c>
      <c r="H38" s="230" t="s">
        <v>263</v>
      </c>
    </row>
    <row r="39" spans="2:8" x14ac:dyDescent="0.4">
      <c r="C39" s="160"/>
      <c r="F39" s="160"/>
    </row>
    <row r="40" spans="2:8" x14ac:dyDescent="0.4">
      <c r="B40" s="139" t="s">
        <v>57</v>
      </c>
      <c r="C40" s="149">
        <v>0.43</v>
      </c>
      <c r="F40" s="150" t="s">
        <v>89</v>
      </c>
      <c r="G40" s="150" t="s">
        <v>58</v>
      </c>
      <c r="H40" s="230"/>
    </row>
    <row r="41" spans="2:8" x14ac:dyDescent="0.4">
      <c r="B41" s="139"/>
      <c r="C41" s="160"/>
      <c r="F41" s="150"/>
      <c r="G41" s="150"/>
      <c r="H41" s="150"/>
    </row>
    <row r="42" spans="2:8" x14ac:dyDescent="0.4">
      <c r="B42" s="139" t="s">
        <v>59</v>
      </c>
      <c r="C42" s="149">
        <v>0.56999999999999995</v>
      </c>
      <c r="F42" s="150" t="s">
        <v>89</v>
      </c>
      <c r="G42" s="150" t="s">
        <v>60</v>
      </c>
      <c r="H42" s="150"/>
    </row>
    <row r="43" spans="2:8" x14ac:dyDescent="0.4">
      <c r="B43" s="139"/>
      <c r="C43" s="160"/>
      <c r="F43" s="161"/>
      <c r="G43" s="150"/>
      <c r="H43" s="150"/>
    </row>
    <row r="44" spans="2:8" x14ac:dyDescent="0.4">
      <c r="B44" s="154" t="s">
        <v>61</v>
      </c>
      <c r="C44" s="160"/>
      <c r="F44" s="150"/>
      <c r="G44" s="150"/>
      <c r="H44" s="150"/>
    </row>
    <row r="45" spans="2:8" x14ac:dyDescent="0.4">
      <c r="B45" s="139" t="s">
        <v>55</v>
      </c>
      <c r="C45" s="149">
        <v>0.96989999999999998</v>
      </c>
      <c r="F45" s="150" t="s">
        <v>53</v>
      </c>
      <c r="G45" s="150" t="s">
        <v>56</v>
      </c>
      <c r="H45" s="150"/>
    </row>
    <row r="46" spans="2:8" x14ac:dyDescent="0.4">
      <c r="C46" s="160"/>
      <c r="H46" s="150"/>
    </row>
    <row r="47" spans="2:8" x14ac:dyDescent="0.4">
      <c r="B47" s="139" t="s">
        <v>57</v>
      </c>
      <c r="C47" s="149">
        <v>0.42</v>
      </c>
      <c r="F47" s="150" t="s">
        <v>53</v>
      </c>
      <c r="G47" s="150" t="s">
        <v>58</v>
      </c>
      <c r="H47" s="150"/>
    </row>
    <row r="48" spans="2:8" x14ac:dyDescent="0.4">
      <c r="B48" s="139"/>
      <c r="C48" s="160"/>
      <c r="F48" s="150"/>
      <c r="G48" s="150"/>
      <c r="H48" s="150"/>
    </row>
    <row r="49" spans="2:8" x14ac:dyDescent="0.4">
      <c r="B49" s="139" t="s">
        <v>59</v>
      </c>
      <c r="C49" s="149">
        <v>0.57999999999999996</v>
      </c>
      <c r="F49" s="150" t="s">
        <v>53</v>
      </c>
      <c r="G49" s="150" t="s">
        <v>60</v>
      </c>
      <c r="H49" s="150"/>
    </row>
    <row r="50" spans="2:8" x14ac:dyDescent="0.4">
      <c r="B50" s="139"/>
      <c r="F50" s="150"/>
      <c r="G50" s="150"/>
      <c r="H50" s="150"/>
    </row>
    <row r="51" spans="2:8" x14ac:dyDescent="0.4">
      <c r="B51" s="154" t="s">
        <v>61</v>
      </c>
    </row>
    <row r="52" spans="2:8" ht="17" x14ac:dyDescent="0.55000000000000004">
      <c r="B52" s="139" t="s">
        <v>62</v>
      </c>
      <c r="C52" s="149">
        <v>4.1700000000000001E-2</v>
      </c>
      <c r="D52" s="2"/>
      <c r="F52" s="150" t="s">
        <v>53</v>
      </c>
      <c r="G52" s="150" t="s">
        <v>63</v>
      </c>
      <c r="H52" s="162" t="s">
        <v>64</v>
      </c>
    </row>
    <row r="53" spans="2:8" x14ac:dyDescent="0.4">
      <c r="B53" s="2" t="s">
        <v>65</v>
      </c>
      <c r="C53" s="163">
        <v>45659</v>
      </c>
      <c r="F53" s="160"/>
    </row>
    <row r="54" spans="2:8" x14ac:dyDescent="0.4">
      <c r="B54" s="2"/>
      <c r="C54" s="164"/>
    </row>
    <row r="55" spans="2:8" x14ac:dyDescent="0.4">
      <c r="B55" s="154" t="s">
        <v>66</v>
      </c>
    </row>
    <row r="56" spans="2:8" ht="17" x14ac:dyDescent="0.55000000000000004">
      <c r="B56" s="139" t="s">
        <v>62</v>
      </c>
      <c r="C56" s="149">
        <v>3.4700000000000002E-2</v>
      </c>
      <c r="D56" s="2"/>
      <c r="F56" s="150" t="s">
        <v>53</v>
      </c>
      <c r="G56" s="150" t="s">
        <v>63</v>
      </c>
      <c r="H56" s="162" t="s">
        <v>64</v>
      </c>
    </row>
    <row r="57" spans="2:8" x14ac:dyDescent="0.4">
      <c r="B57" s="2" t="s">
        <v>65</v>
      </c>
      <c r="C57" s="163">
        <v>46024</v>
      </c>
      <c r="H57" s="1" t="s">
        <v>67</v>
      </c>
    </row>
    <row r="58" spans="2:8" x14ac:dyDescent="0.4"/>
    <row r="59" spans="2:8" x14ac:dyDescent="0.4">
      <c r="B59" s="147" t="s">
        <v>68</v>
      </c>
      <c r="C59" s="148"/>
      <c r="D59" s="148"/>
      <c r="E59" s="148"/>
      <c r="F59" s="148"/>
      <c r="G59" s="148"/>
      <c r="H59" s="148"/>
    </row>
    <row r="60" spans="2:8" x14ac:dyDescent="0.4">
      <c r="C60" s="4"/>
      <c r="D60" s="4"/>
    </row>
    <row r="61" spans="2:8" x14ac:dyDescent="0.4">
      <c r="B61" s="126" t="s">
        <v>69</v>
      </c>
      <c r="C61" s="165">
        <v>12</v>
      </c>
    </row>
    <row r="62" spans="2:8" x14ac:dyDescent="0.4"/>
    <row r="63" spans="2:8" x14ac:dyDescent="0.4">
      <c r="B63" s="147" t="s">
        <v>70</v>
      </c>
      <c r="C63" s="148"/>
      <c r="D63" s="148"/>
      <c r="E63" s="148"/>
      <c r="F63" s="148"/>
      <c r="G63" s="148"/>
      <c r="H63" s="148"/>
    </row>
    <row r="64" spans="2:8" x14ac:dyDescent="0.4"/>
    <row r="65" spans="2:6" x14ac:dyDescent="0.4">
      <c r="B65" s="126" t="s">
        <v>71</v>
      </c>
      <c r="C65" s="166">
        <v>46266</v>
      </c>
    </row>
    <row r="66" spans="2:6" x14ac:dyDescent="0.4"/>
    <row r="67" spans="2:6" x14ac:dyDescent="0.4">
      <c r="B67" s="126" t="s">
        <v>72</v>
      </c>
      <c r="C67" s="166">
        <v>46630</v>
      </c>
    </row>
    <row r="68" spans="2:6" x14ac:dyDescent="0.4"/>
    <row r="69" spans="2:6" x14ac:dyDescent="0.4">
      <c r="B69" s="126" t="s">
        <v>73</v>
      </c>
      <c r="C69" s="165" t="s">
        <v>75</v>
      </c>
    </row>
    <row r="70" spans="2:6" x14ac:dyDescent="0.4"/>
    <row r="71" spans="2:6" x14ac:dyDescent="0.4">
      <c r="B71" s="126" t="s">
        <v>74</v>
      </c>
      <c r="C71" s="165" t="s">
        <v>257</v>
      </c>
    </row>
    <row r="72" spans="2:6" x14ac:dyDescent="0.4"/>
    <row r="73" spans="2:6" x14ac:dyDescent="0.4">
      <c r="B73" s="126" t="s">
        <v>298</v>
      </c>
      <c r="C73" s="167" t="s">
        <v>269</v>
      </c>
    </row>
    <row r="74" spans="2:6" x14ac:dyDescent="0.4"/>
    <row r="75" spans="2:6" x14ac:dyDescent="0.4">
      <c r="B75" s="126" t="s">
        <v>76</v>
      </c>
      <c r="C75" s="167" t="s">
        <v>258</v>
      </c>
    </row>
    <row r="76" spans="2:6" x14ac:dyDescent="0.4"/>
    <row r="77" spans="2:6" x14ac:dyDescent="0.4">
      <c r="B77" s="154" t="s">
        <v>77</v>
      </c>
    </row>
    <row r="78" spans="2:6" x14ac:dyDescent="0.4">
      <c r="B78" s="126" t="s">
        <v>18</v>
      </c>
    </row>
    <row r="79" spans="2:6" x14ac:dyDescent="0.4">
      <c r="B79" s="2" t="s">
        <v>78</v>
      </c>
      <c r="C79" s="168">
        <v>15314734</v>
      </c>
      <c r="F79" s="151" t="s">
        <v>296</v>
      </c>
    </row>
    <row r="80" spans="2:6" x14ac:dyDescent="0.4">
      <c r="B80" s="2" t="s">
        <v>79</v>
      </c>
      <c r="C80" s="168">
        <v>20300927</v>
      </c>
      <c r="F80" s="151" t="s">
        <v>296</v>
      </c>
    </row>
    <row r="81" spans="2:6" x14ac:dyDescent="0.4">
      <c r="B81" s="154"/>
    </row>
    <row r="82" spans="2:6" x14ac:dyDescent="0.4">
      <c r="B82" s="126" t="s">
        <v>80</v>
      </c>
    </row>
    <row r="83" spans="2:6" x14ac:dyDescent="0.4">
      <c r="B83" s="2" t="s">
        <v>78</v>
      </c>
      <c r="C83" s="168">
        <v>-3538857</v>
      </c>
      <c r="F83" s="151" t="s">
        <v>265</v>
      </c>
    </row>
    <row r="84" spans="2:6" x14ac:dyDescent="0.4">
      <c r="B84" s="2" t="s">
        <v>79</v>
      </c>
      <c r="C84" s="168">
        <v>-4848766</v>
      </c>
      <c r="F84" s="151" t="s">
        <v>266</v>
      </c>
    </row>
    <row r="85" spans="2:6" x14ac:dyDescent="0.4"/>
    <row r="86" spans="2:6" x14ac:dyDescent="0.4">
      <c r="B86" s="126" t="s">
        <v>81</v>
      </c>
    </row>
    <row r="87" spans="2:6" x14ac:dyDescent="0.4">
      <c r="B87" s="2" t="s">
        <v>78</v>
      </c>
      <c r="C87" s="168">
        <v>-77685</v>
      </c>
      <c r="F87" s="151" t="s">
        <v>267</v>
      </c>
    </row>
    <row r="88" spans="2:6" x14ac:dyDescent="0.4">
      <c r="B88" s="2" t="s">
        <v>79</v>
      </c>
      <c r="C88" s="168">
        <v>-106349</v>
      </c>
      <c r="F88" s="151" t="s">
        <v>268</v>
      </c>
    </row>
    <row r="89" spans="2:6" x14ac:dyDescent="0.4"/>
    <row r="90" spans="2:6" x14ac:dyDescent="0.4">
      <c r="B90" s="126" t="s">
        <v>82</v>
      </c>
    </row>
    <row r="91" spans="2:6" x14ac:dyDescent="0.4">
      <c r="B91" s="2" t="s">
        <v>78</v>
      </c>
      <c r="C91" s="226">
        <v>5274429</v>
      </c>
      <c r="F91" s="151" t="s">
        <v>296</v>
      </c>
    </row>
    <row r="92" spans="2:6" x14ac:dyDescent="0.4">
      <c r="B92" s="2" t="s">
        <v>79</v>
      </c>
      <c r="C92" s="226">
        <v>4976897</v>
      </c>
      <c r="F92" s="151" t="s">
        <v>296</v>
      </c>
    </row>
    <row r="93" spans="2:6" x14ac:dyDescent="0.4"/>
    <row r="94" spans="2:6" x14ac:dyDescent="0.4">
      <c r="B94" s="126" t="s">
        <v>83</v>
      </c>
    </row>
    <row r="95" spans="2:6" x14ac:dyDescent="0.4">
      <c r="B95" s="2" t="s">
        <v>78</v>
      </c>
      <c r="C95" s="229">
        <f>($C$83+$C$87)/$C$91</f>
        <v>-0.68567460098524413</v>
      </c>
      <c r="D95" s="1" t="s">
        <v>84</v>
      </c>
    </row>
    <row r="96" spans="2:6" x14ac:dyDescent="0.4">
      <c r="B96" s="2" t="s">
        <v>79</v>
      </c>
      <c r="C96" s="229">
        <f>($C$84+$C$88)/$C$92</f>
        <v>-0.9956233773775105</v>
      </c>
      <c r="D96" s="1" t="s">
        <v>84</v>
      </c>
    </row>
    <row r="97" spans="2:8" x14ac:dyDescent="0.4">
      <c r="B97" s="2"/>
      <c r="C97" s="229"/>
    </row>
    <row r="98" spans="2:8" x14ac:dyDescent="0.4">
      <c r="B98" s="126" t="s">
        <v>292</v>
      </c>
      <c r="C98" s="229"/>
    </row>
    <row r="99" spans="2:8" x14ac:dyDescent="0.4">
      <c r="B99" s="2" t="s">
        <v>78</v>
      </c>
      <c r="C99" s="240">
        <v>-0.9694262811148262</v>
      </c>
      <c r="F99" s="151" t="s">
        <v>293</v>
      </c>
    </row>
    <row r="100" spans="2:8" x14ac:dyDescent="0.4">
      <c r="B100" s="2" t="s">
        <v>79</v>
      </c>
      <c r="C100" s="240">
        <v>-1.3238407275056514</v>
      </c>
      <c r="F100" s="151" t="s">
        <v>294</v>
      </c>
    </row>
    <row r="101" spans="2:8" x14ac:dyDescent="0.4"/>
    <row r="102" spans="2:8" x14ac:dyDescent="0.4">
      <c r="B102" s="147" t="s">
        <v>85</v>
      </c>
      <c r="C102" s="148"/>
      <c r="D102" s="148"/>
      <c r="E102" s="148"/>
      <c r="F102" s="148"/>
      <c r="G102" s="148"/>
      <c r="H102" s="148"/>
    </row>
    <row r="103" spans="2:8" s="35" customFormat="1" x14ac:dyDescent="0.4">
      <c r="B103" s="169"/>
      <c r="C103" s="169"/>
      <c r="D103" s="169"/>
      <c r="E103" s="169"/>
      <c r="F103" s="169"/>
      <c r="G103" s="169"/>
      <c r="H103" s="169"/>
    </row>
    <row r="104" spans="2:8" x14ac:dyDescent="0.4">
      <c r="B104" s="155" t="s">
        <v>86</v>
      </c>
      <c r="C104" s="170">
        <v>0.25</v>
      </c>
      <c r="F104" s="225" t="s">
        <v>53</v>
      </c>
      <c r="G104" s="225" t="s">
        <v>87</v>
      </c>
    </row>
    <row r="105" spans="2:8" x14ac:dyDescent="0.4">
      <c r="B105" s="155" t="s">
        <v>88</v>
      </c>
      <c r="C105" s="170">
        <v>0.05</v>
      </c>
      <c r="F105" s="225" t="s">
        <v>89</v>
      </c>
      <c r="G105" s="225" t="s">
        <v>90</v>
      </c>
    </row>
    <row r="106" spans="2:8" x14ac:dyDescent="0.4">
      <c r="B106" s="155" t="s">
        <v>91</v>
      </c>
      <c r="C106" s="170">
        <v>0.25</v>
      </c>
      <c r="F106" s="225" t="s">
        <v>92</v>
      </c>
      <c r="G106" s="225" t="s">
        <v>93</v>
      </c>
    </row>
    <row r="107" spans="2:8" x14ac:dyDescent="0.4"/>
    <row r="108" spans="2:8" x14ac:dyDescent="0.4"/>
    <row r="109" spans="2:8" x14ac:dyDescent="0.4"/>
    <row r="110" spans="2:8" x14ac:dyDescent="0.4"/>
    <row r="111" spans="2:8" x14ac:dyDescent="0.4"/>
    <row r="112" spans="2:8" x14ac:dyDescent="0.4"/>
    <row r="113" x14ac:dyDescent="0.4"/>
    <row r="114" x14ac:dyDescent="0.4"/>
    <row r="115" x14ac:dyDescent="0.4"/>
    <row r="116" x14ac:dyDescent="0.4"/>
    <row r="117" x14ac:dyDescent="0.4"/>
    <row r="118" x14ac:dyDescent="0.4"/>
    <row r="119" x14ac:dyDescent="0.4"/>
    <row r="120" x14ac:dyDescent="0.4"/>
    <row r="121" x14ac:dyDescent="0.4"/>
    <row r="122" x14ac:dyDescent="0.4"/>
    <row r="123" x14ac:dyDescent="0.4"/>
    <row r="124" x14ac:dyDescent="0.4"/>
    <row r="125" x14ac:dyDescent="0.4"/>
    <row r="126" x14ac:dyDescent="0.4"/>
    <row r="127" x14ac:dyDescent="0.4"/>
    <row r="128" x14ac:dyDescent="0.4"/>
    <row r="129" x14ac:dyDescent="0.4"/>
    <row r="130" x14ac:dyDescent="0.4"/>
    <row r="131" x14ac:dyDescent="0.4"/>
    <row r="132" x14ac:dyDescent="0.4"/>
    <row r="133" x14ac:dyDescent="0.4"/>
    <row r="134" x14ac:dyDescent="0.4"/>
    <row r="135" x14ac:dyDescent="0.4"/>
    <row r="136" x14ac:dyDescent="0.4"/>
    <row r="137" x14ac:dyDescent="0.4"/>
    <row r="138" x14ac:dyDescent="0.4"/>
    <row r="139" x14ac:dyDescent="0.4"/>
    <row r="140" x14ac:dyDescent="0.4"/>
    <row r="141" x14ac:dyDescent="0.4"/>
    <row r="142" x14ac:dyDescent="0.4"/>
    <row r="143" x14ac:dyDescent="0.4"/>
    <row r="144" x14ac:dyDescent="0.4"/>
    <row r="145" x14ac:dyDescent="0.4"/>
  </sheetData>
  <hyperlinks>
    <hyperlink ref="H52" r:id="rId1" display="https://www.federalreserve.gov/releases/h15/" xr:uid="{00000000-0004-0000-0200-000000000000}"/>
    <hyperlink ref="H56" r:id="rId2" display="https://www.federalreserve.gov/releases/h15/" xr:uid="{7AD51F90-01FF-4DC8-BE14-85147F35CADC}"/>
    <hyperlink ref="H38" r:id="rId3" display="https://water.phila.gov/wp-content/uploads/files/rates-and-charges-2025-09-01.pdf" xr:uid="{5AAF5542-B114-485A-9672-6BE621E5B797}"/>
  </hyperlinks>
  <pageMargins left="0.7" right="0.7" top="0.75" bottom="0.75" header="0.3" footer="0.3"/>
  <pageSetup scale="39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</sheetPr>
  <dimension ref="A1:EM133"/>
  <sheetViews>
    <sheetView zoomScale="70" zoomScaleNormal="70" zoomScaleSheetLayoutView="80" workbookViewId="0">
      <pane xSplit="3" ySplit="4" topLeftCell="H14" activePane="bottomRight" state="frozen"/>
      <selection pane="topRight" activeCell="D1" sqref="D1"/>
      <selection pane="bottomLeft" activeCell="A5" sqref="A5"/>
      <selection pane="bottomRight" activeCell="H24" sqref="H24"/>
    </sheetView>
  </sheetViews>
  <sheetFormatPr defaultColWidth="0" defaultRowHeight="15.5" zeroHeight="1" x14ac:dyDescent="0.4"/>
  <cols>
    <col min="1" max="1" width="5.453125" style="1" customWidth="1"/>
    <col min="2" max="2" width="40.7265625" style="1" customWidth="1"/>
    <col min="3" max="3" width="5.54296875" style="103" customWidth="1"/>
    <col min="4" max="7" width="16.453125" style="1" hidden="1" customWidth="1"/>
    <col min="8" max="10" width="16.453125" style="1" customWidth="1"/>
    <col min="11" max="11" width="18.453125" style="1" customWidth="1"/>
    <col min="12" max="12" width="18.7265625" style="1" customWidth="1"/>
    <col min="13" max="13" width="18.453125" style="1" customWidth="1"/>
    <col min="14" max="15" width="19.54296875" style="1" customWidth="1"/>
    <col min="16" max="16" width="24" style="1" customWidth="1"/>
    <col min="17" max="17" width="19.54296875" style="1" bestFit="1" customWidth="1"/>
    <col min="18" max="19" width="18.453125" style="1" customWidth="1"/>
    <col min="20" max="24" width="16.453125" style="1" customWidth="1"/>
    <col min="25" max="25" width="17.453125" style="1" customWidth="1"/>
    <col min="26" max="36" width="16.453125" style="1" customWidth="1"/>
    <col min="37" max="37" width="16.7265625" style="1" customWidth="1"/>
    <col min="38" max="39" width="16.453125" style="1" customWidth="1"/>
    <col min="40" max="40" width="1.54296875" style="11" customWidth="1"/>
    <col min="41" max="41" width="23" style="11" customWidth="1"/>
    <col min="42" max="42" width="2.54296875" style="11" customWidth="1"/>
    <col min="43" max="43" width="23" style="11" customWidth="1"/>
    <col min="44" max="44" width="1.54296875" style="11" customWidth="1"/>
    <col min="45" max="45" width="30" style="1" customWidth="1"/>
    <col min="46" max="46" width="59.26953125" style="1" customWidth="1"/>
    <col min="47" max="51" width="9.26953125" style="1" customWidth="1"/>
    <col min="52" max="52" width="16.7265625" style="1" customWidth="1"/>
    <col min="53" max="53" width="15.453125" style="1" customWidth="1"/>
    <col min="54" max="54" width="12.7265625" style="1" customWidth="1"/>
    <col min="55" max="55" width="9.26953125" style="1" customWidth="1"/>
    <col min="56" max="56" width="14.7265625" style="1" customWidth="1"/>
    <col min="57" max="59" width="9.26953125" style="1" customWidth="1"/>
    <col min="60" max="60" width="14.7265625" style="1" customWidth="1"/>
    <col min="61" max="65" width="9.26953125" style="1" customWidth="1"/>
    <col min="66" max="143" width="0" style="1" hidden="1" customWidth="1"/>
    <col min="144" max="16384" width="9.26953125" style="1" hidden="1"/>
  </cols>
  <sheetData>
    <row r="1" spans="2:61" x14ac:dyDescent="0.4">
      <c r="D1" s="342" t="s">
        <v>317</v>
      </c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1" t="s">
        <v>94</v>
      </c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 t="s">
        <v>264</v>
      </c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</row>
    <row r="2" spans="2:61" x14ac:dyDescent="0.4">
      <c r="B2" s="11"/>
      <c r="D2" s="343" t="s">
        <v>259</v>
      </c>
      <c r="E2" s="343"/>
      <c r="F2" s="343"/>
      <c r="G2" s="343"/>
      <c r="H2" s="344" t="s">
        <v>260</v>
      </c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3" t="s">
        <v>261</v>
      </c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4" t="s">
        <v>262</v>
      </c>
      <c r="AF2" s="344"/>
      <c r="AG2" s="344"/>
      <c r="AH2" s="344"/>
      <c r="AI2" s="344"/>
      <c r="AJ2" s="344"/>
      <c r="AK2" s="344"/>
      <c r="AL2" s="344"/>
      <c r="AM2" s="344"/>
    </row>
    <row r="3" spans="2:61" ht="31" x14ac:dyDescent="0.4">
      <c r="B3" s="136" t="s">
        <v>32</v>
      </c>
      <c r="C3" s="136"/>
      <c r="D3" s="171" t="s">
        <v>95</v>
      </c>
      <c r="E3" s="171" t="s">
        <v>102</v>
      </c>
      <c r="F3" s="171" t="s">
        <v>96</v>
      </c>
      <c r="G3" s="171" t="s">
        <v>103</v>
      </c>
      <c r="H3" s="171" t="s">
        <v>104</v>
      </c>
      <c r="I3" s="171" t="s">
        <v>97</v>
      </c>
      <c r="J3" s="171" t="s">
        <v>98</v>
      </c>
      <c r="K3" s="171" t="s">
        <v>99</v>
      </c>
      <c r="L3" s="171" t="s">
        <v>105</v>
      </c>
      <c r="M3" s="171" t="s">
        <v>100</v>
      </c>
      <c r="N3" s="171" t="s">
        <v>106</v>
      </c>
      <c r="O3" s="171" t="s">
        <v>101</v>
      </c>
      <c r="P3" s="242" t="s">
        <v>95</v>
      </c>
      <c r="Q3" s="234" t="s">
        <v>102</v>
      </c>
      <c r="R3" s="234" t="s">
        <v>96</v>
      </c>
      <c r="S3" s="234" t="s">
        <v>103</v>
      </c>
      <c r="T3" s="234" t="s">
        <v>104</v>
      </c>
      <c r="U3" s="234" t="s">
        <v>97</v>
      </c>
      <c r="V3" s="234" t="s">
        <v>98</v>
      </c>
      <c r="W3" s="234" t="s">
        <v>99</v>
      </c>
      <c r="X3" s="234" t="s">
        <v>105</v>
      </c>
      <c r="Y3" s="234" t="s">
        <v>100</v>
      </c>
      <c r="Z3" s="234" t="s">
        <v>106</v>
      </c>
      <c r="AA3" s="234" t="s">
        <v>101</v>
      </c>
      <c r="AB3" s="171" t="s">
        <v>95</v>
      </c>
      <c r="AC3" s="171" t="s">
        <v>102</v>
      </c>
      <c r="AD3" s="171" t="s">
        <v>96</v>
      </c>
      <c r="AE3" s="171" t="s">
        <v>103</v>
      </c>
      <c r="AF3" s="171" t="s">
        <v>104</v>
      </c>
      <c r="AG3" s="171" t="s">
        <v>97</v>
      </c>
      <c r="AH3" s="171" t="s">
        <v>98</v>
      </c>
      <c r="AI3" s="171" t="s">
        <v>99</v>
      </c>
      <c r="AJ3" s="171" t="s">
        <v>105</v>
      </c>
      <c r="AK3" s="171" t="s">
        <v>100</v>
      </c>
      <c r="AL3" s="171" t="s">
        <v>106</v>
      </c>
      <c r="AM3" s="171" t="s">
        <v>101</v>
      </c>
      <c r="AN3" s="172"/>
      <c r="AO3" s="173" t="s">
        <v>107</v>
      </c>
      <c r="AP3" s="173"/>
      <c r="AQ3" s="173" t="s">
        <v>108</v>
      </c>
      <c r="AR3" s="172"/>
      <c r="AS3" s="136" t="s">
        <v>109</v>
      </c>
      <c r="AT3" s="136" t="s">
        <v>110</v>
      </c>
    </row>
    <row r="4" spans="2:61" x14ac:dyDescent="0.4">
      <c r="B4" s="174"/>
      <c r="C4" s="174"/>
      <c r="D4" s="175">
        <v>1</v>
      </c>
      <c r="E4" s="175">
        <v>2</v>
      </c>
      <c r="F4" s="175">
        <v>3</v>
      </c>
      <c r="G4" s="175">
        <v>4</v>
      </c>
      <c r="H4" s="175">
        <v>5</v>
      </c>
      <c r="I4" s="175">
        <v>6</v>
      </c>
      <c r="J4" s="175">
        <v>7</v>
      </c>
      <c r="K4" s="175">
        <v>8</v>
      </c>
      <c r="L4" s="175">
        <v>9</v>
      </c>
      <c r="M4" s="175">
        <v>10</v>
      </c>
      <c r="N4" s="175">
        <v>11</v>
      </c>
      <c r="O4" s="175">
        <v>12</v>
      </c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S4" s="174"/>
    </row>
    <row r="5" spans="2:61" x14ac:dyDescent="0.4">
      <c r="B5" s="228" t="s">
        <v>111</v>
      </c>
      <c r="C5" s="176"/>
      <c r="D5" s="178">
        <v>45536</v>
      </c>
      <c r="E5" s="178">
        <v>45566</v>
      </c>
      <c r="F5" s="178">
        <v>45597</v>
      </c>
      <c r="G5" s="178">
        <v>45627</v>
      </c>
      <c r="H5" s="178">
        <v>45658</v>
      </c>
      <c r="I5" s="178">
        <v>45689</v>
      </c>
      <c r="J5" s="178">
        <v>45717</v>
      </c>
      <c r="K5" s="178">
        <v>45748</v>
      </c>
      <c r="L5" s="178">
        <v>45778</v>
      </c>
      <c r="M5" s="178">
        <v>45809</v>
      </c>
      <c r="N5" s="178">
        <v>45839</v>
      </c>
      <c r="O5" s="178">
        <v>45870</v>
      </c>
      <c r="P5" s="178">
        <v>45901</v>
      </c>
      <c r="Q5" s="178">
        <v>45931</v>
      </c>
      <c r="R5" s="178">
        <v>45962</v>
      </c>
      <c r="S5" s="178">
        <v>45992</v>
      </c>
      <c r="T5" s="178">
        <v>46023</v>
      </c>
      <c r="U5" s="178">
        <v>46054</v>
      </c>
      <c r="V5" s="178">
        <v>46082</v>
      </c>
      <c r="W5" s="178">
        <v>46113</v>
      </c>
      <c r="X5" s="178">
        <v>46143</v>
      </c>
      <c r="Y5" s="178">
        <v>46174</v>
      </c>
      <c r="Z5" s="178">
        <v>46204</v>
      </c>
      <c r="AA5" s="178">
        <v>46235</v>
      </c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9"/>
      <c r="AO5" s="179"/>
      <c r="AP5" s="179"/>
      <c r="AQ5" s="179"/>
      <c r="AR5" s="179"/>
      <c r="AS5" s="177"/>
      <c r="AT5" s="177"/>
    </row>
    <row r="6" spans="2:61" x14ac:dyDescent="0.4">
      <c r="B6" s="174"/>
      <c r="C6" s="174"/>
      <c r="D6" s="241" t="s">
        <v>310</v>
      </c>
      <c r="E6" s="241"/>
      <c r="F6" s="241"/>
      <c r="G6" s="241"/>
      <c r="H6" s="241"/>
      <c r="I6" s="241"/>
      <c r="J6" s="241"/>
      <c r="K6" s="232" t="s">
        <v>112</v>
      </c>
      <c r="L6" s="180"/>
      <c r="M6" s="180"/>
      <c r="N6" s="180"/>
      <c r="O6" s="180"/>
      <c r="P6" s="231" t="s">
        <v>113</v>
      </c>
      <c r="Q6" s="115"/>
      <c r="R6" s="115"/>
      <c r="S6" s="115"/>
      <c r="T6" s="232" t="s">
        <v>114</v>
      </c>
      <c r="U6" s="233"/>
      <c r="V6" s="233"/>
      <c r="W6" s="233"/>
      <c r="X6" s="233"/>
      <c r="Y6" s="233"/>
      <c r="Z6" s="233"/>
      <c r="AA6" s="233"/>
      <c r="AB6" s="181" t="s">
        <v>115</v>
      </c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82"/>
      <c r="AO6" s="182"/>
      <c r="AP6" s="182"/>
      <c r="AQ6" s="182"/>
      <c r="AR6" s="182"/>
      <c r="AS6" s="174"/>
      <c r="AT6" s="174"/>
    </row>
    <row r="7" spans="2:61" x14ac:dyDescent="0.4">
      <c r="B7" s="183" t="s">
        <v>116</v>
      </c>
      <c r="C7" s="184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N7" s="185"/>
      <c r="AO7" s="185"/>
      <c r="AP7" s="185"/>
      <c r="AQ7" s="185"/>
      <c r="AR7" s="185"/>
      <c r="AS7" s="186" t="s">
        <v>311</v>
      </c>
      <c r="AT7" s="184"/>
    </row>
    <row r="8" spans="2:61" x14ac:dyDescent="0.4">
      <c r="B8" s="244" t="s">
        <v>117</v>
      </c>
      <c r="C8" s="188"/>
      <c r="D8" s="189">
        <v>59251</v>
      </c>
      <c r="E8" s="189">
        <v>60118</v>
      </c>
      <c r="F8" s="189">
        <v>56340</v>
      </c>
      <c r="G8" s="189">
        <v>60300</v>
      </c>
      <c r="H8" s="189">
        <v>60481</v>
      </c>
      <c r="I8" s="189">
        <v>59037</v>
      </c>
      <c r="J8" s="189">
        <v>64283</v>
      </c>
      <c r="K8" s="189">
        <v>64762</v>
      </c>
      <c r="L8" s="189">
        <v>65114</v>
      </c>
      <c r="M8" s="189">
        <v>65257</v>
      </c>
      <c r="N8" s="189">
        <v>65853</v>
      </c>
      <c r="O8" s="189">
        <v>66393</v>
      </c>
      <c r="P8" s="189">
        <f>[2]TRR_Projections!K5</f>
        <v>66827</v>
      </c>
      <c r="Q8" s="189">
        <f>[2]TRR_Projections!L5</f>
        <v>67155</v>
      </c>
      <c r="R8" s="189">
        <f>[2]TRR_Projections!M5</f>
        <v>56281</v>
      </c>
      <c r="S8" s="189">
        <f>[2]TRR_Projections!N5</f>
        <v>67815</v>
      </c>
      <c r="T8" s="189">
        <f>[2]TRR_Projections!O5</f>
        <v>67984.537499999991</v>
      </c>
      <c r="U8" s="189">
        <f>[2]TRR_Projections!P5</f>
        <v>68154.498843749985</v>
      </c>
      <c r="V8" s="189">
        <f>[2]TRR_Projections!Q5</f>
        <v>68324.885090859359</v>
      </c>
      <c r="W8" s="189">
        <f>[2]TRR_Projections!R5</f>
        <v>68495.697303586508</v>
      </c>
      <c r="X8" s="189">
        <f>[2]TRR_Projections!S5</f>
        <v>68666.936546845478</v>
      </c>
      <c r="Y8" s="189">
        <f>[2]TRR_Projections!T5</f>
        <v>68838.603888212587</v>
      </c>
      <c r="Z8" s="189">
        <f>[2]TRR_Projections!U5</f>
        <v>69010.70039793312</v>
      </c>
      <c r="AA8" s="189">
        <f>[2]TRR_Projections!V5</f>
        <v>69183.227148927952</v>
      </c>
      <c r="AB8" s="189">
        <f>[2]TRR_Projections!W5</f>
        <v>69356.185216800266</v>
      </c>
      <c r="AC8" s="189">
        <f>[2]TRR_Projections!X5</f>
        <v>69529.575679842266</v>
      </c>
      <c r="AD8" s="189">
        <f>[2]TRR_Projections!Y5</f>
        <v>69703.399619041869</v>
      </c>
      <c r="AE8" s="189">
        <f>[2]TRR_Projections!Z5</f>
        <v>69877.658118089472</v>
      </c>
      <c r="AF8" s="189">
        <f>[2]TRR_Projections!AA5</f>
        <v>70052.352263384688</v>
      </c>
      <c r="AG8" s="189">
        <f>[2]TRR_Projections!AB5</f>
        <v>70227.483144043144</v>
      </c>
      <c r="AH8" s="189">
        <f>[2]TRR_Projections!AC5</f>
        <v>70403.051851903248</v>
      </c>
      <c r="AI8" s="189">
        <f>[2]TRR_Projections!AD5</f>
        <v>70579.059481532997</v>
      </c>
      <c r="AJ8" s="189">
        <f>[2]TRR_Projections!AE5</f>
        <v>70755.507130236831</v>
      </c>
      <c r="AK8" s="189">
        <f>[2]TRR_Projections!AF5</f>
        <v>70932.395898062416</v>
      </c>
      <c r="AL8" s="189">
        <f>[2]TRR_Projections!AG5</f>
        <v>71109.72688780757</v>
      </c>
      <c r="AM8" s="189">
        <f>[2]TRR_Projections!AH5</f>
        <v>71287.501205027089</v>
      </c>
      <c r="AO8" s="11">
        <f>SUM(P8:AA8)</f>
        <v>806737.08672011504</v>
      </c>
      <c r="AQ8" s="11">
        <f>SUM(AB8:AM8)</f>
        <v>843813.89649577183</v>
      </c>
      <c r="AS8" s="190"/>
      <c r="AT8" s="1" t="s">
        <v>118</v>
      </c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</row>
    <row r="9" spans="2:61" x14ac:dyDescent="0.4">
      <c r="B9" s="187"/>
      <c r="C9" s="174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91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91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S9" s="174"/>
    </row>
    <row r="10" spans="2:61" x14ac:dyDescent="0.4">
      <c r="B10" s="183" t="s">
        <v>119</v>
      </c>
      <c r="C10" s="184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85"/>
      <c r="AO10" s="185"/>
      <c r="AP10" s="185"/>
      <c r="AQ10" s="185"/>
      <c r="AR10" s="185"/>
      <c r="AS10" s="186" t="s">
        <v>312</v>
      </c>
      <c r="AT10" s="184"/>
    </row>
    <row r="11" spans="2:61" x14ac:dyDescent="0.4">
      <c r="B11" s="244" t="s">
        <v>117</v>
      </c>
      <c r="C11" s="188"/>
      <c r="D11" s="192">
        <v>3183451.64</v>
      </c>
      <c r="E11" s="192">
        <v>3388687.91</v>
      </c>
      <c r="F11" s="192">
        <v>2979735.93</v>
      </c>
      <c r="G11" s="192">
        <v>3184189.2600000002</v>
      </c>
      <c r="H11" s="192">
        <f>[2]TRR_Projections!C7</f>
        <v>3646630.18</v>
      </c>
      <c r="I11" s="192">
        <f>[2]TRR_Projections!D7</f>
        <v>2993649.08</v>
      </c>
      <c r="J11" s="192">
        <f>[2]TRR_Projections!E7</f>
        <v>3084799.46</v>
      </c>
      <c r="K11" s="192">
        <f>[2]TRR_Projections!F7</f>
        <v>3128342.41</v>
      </c>
      <c r="L11" s="192">
        <f>[2]TRR_Projections!G7</f>
        <v>3243724.0700000003</v>
      </c>
      <c r="M11" s="192">
        <f>[2]TRR_Projections!H7</f>
        <v>3486841.07</v>
      </c>
      <c r="N11" s="192">
        <f>[2]TRR_Projections!I7</f>
        <v>3526644.22</v>
      </c>
      <c r="O11" s="192">
        <f>[2]TRR_Projections!J7</f>
        <v>3776526.48</v>
      </c>
      <c r="P11" s="192">
        <f>[2]TRR_Projections!K7</f>
        <v>3997140.2</v>
      </c>
      <c r="Q11" s="192">
        <f>[2]TRR_Projections!L7</f>
        <v>4545754.26</v>
      </c>
      <c r="R11" s="192">
        <f>[2]TRR_Projections!M7</f>
        <v>3282881.9</v>
      </c>
      <c r="S11" s="192">
        <f>[2]TRR_Projections!N7</f>
        <v>4386029.1899999995</v>
      </c>
      <c r="T11" s="192">
        <f>[2]TRR_Projections!O7</f>
        <v>3808947.1070200554</v>
      </c>
      <c r="U11" s="192">
        <f>[2]TRR_Projections!P7</f>
        <v>3818469.474787605</v>
      </c>
      <c r="V11" s="192">
        <f>[2]TRR_Projections!Q7</f>
        <v>3828015.6484745741</v>
      </c>
      <c r="W11" s="192">
        <f>[2]TRR_Projections!R7</f>
        <v>3837585.6875957604</v>
      </c>
      <c r="X11" s="192">
        <f>[2]TRR_Projections!S7</f>
        <v>3847179.6518147504</v>
      </c>
      <c r="Y11" s="192">
        <f>[2]TRR_Projections!T7</f>
        <v>3856797.6009442867</v>
      </c>
      <c r="Z11" s="192">
        <f>[2]TRR_Projections!U7</f>
        <v>3866439.5949466475</v>
      </c>
      <c r="AA11" s="192">
        <f>[2]TRR_Projections!V7</f>
        <v>3876105.6939340141</v>
      </c>
      <c r="AB11" s="192">
        <f>[2]TRR_Projections!W7</f>
        <v>3885795.9581688489</v>
      </c>
      <c r="AC11" s="192">
        <f>[2]TRR_Projections!X7</f>
        <v>3895510.4480642709</v>
      </c>
      <c r="AD11" s="192">
        <f>[2]TRR_Projections!Y7</f>
        <v>3905249.2241844316</v>
      </c>
      <c r="AE11" s="192">
        <f>[2]TRR_Projections!Z7</f>
        <v>3915012.3472448927</v>
      </c>
      <c r="AF11" s="192">
        <f>[2]TRR_Projections!AA7</f>
        <v>3924799.8781130044</v>
      </c>
      <c r="AG11" s="192">
        <f>[2]TRR_Projections!AB7</f>
        <v>3934611.8778082863</v>
      </c>
      <c r="AH11" s="192">
        <f>[2]TRR_Projections!AC7</f>
        <v>3944448.4075028072</v>
      </c>
      <c r="AI11" s="192">
        <f>[2]TRR_Projections!AD7</f>
        <v>3954309.5285215634</v>
      </c>
      <c r="AJ11" s="192">
        <f>[2]TRR_Projections!AE7</f>
        <v>3964195.3023428675</v>
      </c>
      <c r="AK11" s="192">
        <f>[2]TRR_Projections!AF7</f>
        <v>3974105.7905987245</v>
      </c>
      <c r="AL11" s="192">
        <f>[2]TRR_Projections!AG7</f>
        <v>3984041.0550752212</v>
      </c>
      <c r="AM11" s="192">
        <f>[2]TRR_Projections!AH7</f>
        <v>3994001.1577129089</v>
      </c>
      <c r="AN11" s="193"/>
      <c r="AO11" s="11">
        <f>SUM(P11:AA11)</f>
        <v>46951346.009517692</v>
      </c>
      <c r="AQ11" s="11">
        <f>SUM(AB11:AM11)</f>
        <v>47276080.975337833</v>
      </c>
      <c r="AR11" s="193"/>
      <c r="AS11" s="243">
        <f>SUM(H11:AM11)</f>
        <v>121114583.95485552</v>
      </c>
      <c r="AT11" s="1" t="s">
        <v>118</v>
      </c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</row>
    <row r="12" spans="2:61" x14ac:dyDescent="0.4">
      <c r="B12" s="187"/>
      <c r="C12" s="174"/>
      <c r="D12" s="194"/>
      <c r="E12" s="194"/>
      <c r="F12" s="194"/>
      <c r="G12" s="194"/>
      <c r="H12" s="194"/>
      <c r="I12" s="194"/>
      <c r="J12" s="194"/>
      <c r="K12" s="194"/>
      <c r="L12" s="194"/>
      <c r="M12" s="236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237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237"/>
      <c r="AL12" s="194"/>
      <c r="AM12" s="194"/>
      <c r="AO12" s="11">
        <v>50677178.139477178</v>
      </c>
      <c r="AQ12" s="11">
        <v>53006249.31368532</v>
      </c>
      <c r="AS12" s="243"/>
    </row>
    <row r="13" spans="2:61" x14ac:dyDescent="0.4">
      <c r="B13" s="183" t="s">
        <v>120</v>
      </c>
      <c r="C13" s="184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183"/>
      <c r="AT13" s="183"/>
    </row>
    <row r="14" spans="2:61" x14ac:dyDescent="0.4">
      <c r="B14" s="195" t="str">
        <f>"Water  - "&amp;FIXED(('Assumptions and Inputs'!$C$40)*100,0,TRUE)&amp;" %"</f>
        <v>Water  - 43 %</v>
      </c>
      <c r="C14" s="174"/>
      <c r="D14" s="196">
        <f>D$11*'Assumptions and Inputs'!$C$40</f>
        <v>1368884.2052</v>
      </c>
      <c r="E14" s="196">
        <f>E$11*'Assumptions and Inputs'!$C$40</f>
        <v>1457135.8012999999</v>
      </c>
      <c r="F14" s="196">
        <f>F$11*'Assumptions and Inputs'!$C$40</f>
        <v>1281286.4499000001</v>
      </c>
      <c r="G14" s="196">
        <f>G$11*'Assumptions and Inputs'!$C$40</f>
        <v>1369201.3818000001</v>
      </c>
      <c r="H14" s="196">
        <f>H$11*'Assumptions and Inputs'!$C$40</f>
        <v>1568050.9774</v>
      </c>
      <c r="I14" s="196">
        <f>I$11*'Assumptions and Inputs'!$C$40</f>
        <v>1287269.1044000001</v>
      </c>
      <c r="J14" s="196">
        <f>J$11*'Assumptions and Inputs'!$C$40</f>
        <v>1326463.7678</v>
      </c>
      <c r="K14" s="196">
        <f>K$11*'Assumptions and Inputs'!$C$40</f>
        <v>1345187.2363</v>
      </c>
      <c r="L14" s="196">
        <f>L$11*'Assumptions and Inputs'!$C$40</f>
        <v>1394801.3501000002</v>
      </c>
      <c r="M14" s="196">
        <f>M$11*'Assumptions and Inputs'!$C$40</f>
        <v>1499341.6601</v>
      </c>
      <c r="N14" s="196">
        <f>N$11*'Assumptions and Inputs'!$C$40</f>
        <v>1516457.0146000001</v>
      </c>
      <c r="O14" s="196">
        <f>O$11*'Assumptions and Inputs'!$C$40</f>
        <v>1623906.3864</v>
      </c>
      <c r="P14" s="196">
        <f>P$11*'Assumptions and Inputs'!$C$40</f>
        <v>1718770.2860000001</v>
      </c>
      <c r="Q14" s="196">
        <f>Q$11*'Assumptions and Inputs'!$C$40</f>
        <v>1954674.3317999998</v>
      </c>
      <c r="R14" s="196">
        <f>R$11*'Assumptions and Inputs'!$C$40</f>
        <v>1411639.2169999999</v>
      </c>
      <c r="S14" s="196">
        <f>S$11*'Assumptions and Inputs'!$C$40</f>
        <v>1885992.5516999997</v>
      </c>
      <c r="T14" s="196">
        <f>T$11*'Assumptions and Inputs'!$C$40</f>
        <v>1637847.2560186237</v>
      </c>
      <c r="U14" s="196">
        <f>U$11*'Assumptions and Inputs'!$C$40</f>
        <v>1641941.8741586702</v>
      </c>
      <c r="V14" s="196">
        <f>V$11*'Assumptions and Inputs'!$C$40</f>
        <v>1646046.7288440668</v>
      </c>
      <c r="W14" s="196">
        <f>W$11*'Assumptions and Inputs'!$C$40</f>
        <v>1650161.8456661769</v>
      </c>
      <c r="X14" s="196">
        <f>X$11*'Assumptions and Inputs'!$C$40</f>
        <v>1654287.2502803425</v>
      </c>
      <c r="Y14" s="196">
        <f>Y$11*'Assumptions and Inputs'!$C$40</f>
        <v>1658422.9684060432</v>
      </c>
      <c r="Z14" s="196">
        <f>Z$11*'Assumptions and Inputs'!$C$40</f>
        <v>1662569.0258270584</v>
      </c>
      <c r="AA14" s="196">
        <f>AA$11*'Assumptions and Inputs'!$C$40</f>
        <v>1666725.4483916261</v>
      </c>
      <c r="AB14" s="196">
        <f>AB$11*'Assumptions and Inputs'!$C$40</f>
        <v>1670892.2620126051</v>
      </c>
      <c r="AC14" s="196">
        <f>AC$11*'Assumptions and Inputs'!$C$40</f>
        <v>1675069.4926676364</v>
      </c>
      <c r="AD14" s="196">
        <f>AD$11*'Assumptions and Inputs'!$C$40</f>
        <v>1679257.1663993055</v>
      </c>
      <c r="AE14" s="196">
        <f>AE$11*'Assumptions and Inputs'!$C$40</f>
        <v>1683455.3093153038</v>
      </c>
      <c r="AF14" s="196">
        <f>AF$11*'Assumptions and Inputs'!$C$40</f>
        <v>1687663.9475885918</v>
      </c>
      <c r="AG14" s="196">
        <f>AG$11*'Assumptions and Inputs'!$C$40</f>
        <v>1691883.107457563</v>
      </c>
      <c r="AH14" s="196">
        <f>AH$11*'Assumptions and Inputs'!$C$40</f>
        <v>1696112.815226207</v>
      </c>
      <c r="AI14" s="196">
        <f>AI$11*'Assumptions and Inputs'!$C$40</f>
        <v>1700353.0972642722</v>
      </c>
      <c r="AJ14" s="196">
        <f>AJ$11*'Assumptions and Inputs'!$C$40</f>
        <v>1704603.9800074331</v>
      </c>
      <c r="AK14" s="196">
        <f>AK$11*'Assumptions and Inputs'!$C$40</f>
        <v>1708865.4899574516</v>
      </c>
      <c r="AL14" s="196">
        <f>AL$11*'Assumptions and Inputs'!$C$40</f>
        <v>1713137.6536823451</v>
      </c>
      <c r="AM14" s="196">
        <f>AM$11*'Assumptions and Inputs'!$C$40</f>
        <v>1717420.4978165508</v>
      </c>
      <c r="AO14" s="11">
        <f>SUM(P14:AA14)</f>
        <v>20189078.784092609</v>
      </c>
      <c r="AQ14" s="11">
        <f>SUM(AB14:AM14)</f>
        <v>20328714.819395266</v>
      </c>
      <c r="AS14" s="174"/>
      <c r="AT14" s="1" t="s">
        <v>121</v>
      </c>
    </row>
    <row r="15" spans="2:61" x14ac:dyDescent="0.4">
      <c r="B15" s="195" t="str">
        <f>"Wastewater  - "&amp;FIXED(('Assumptions and Inputs'!$C$42)*100,0,TRUE)&amp;" %"</f>
        <v>Wastewater  - 57 %</v>
      </c>
      <c r="C15" s="174"/>
      <c r="D15" s="197">
        <f>D$11*'Assumptions and Inputs'!$C$42</f>
        <v>1814567.4347999999</v>
      </c>
      <c r="E15" s="197">
        <f>E$11*'Assumptions and Inputs'!$C$42</f>
        <v>1931552.1087</v>
      </c>
      <c r="F15" s="197">
        <f>F$11*'Assumptions and Inputs'!$C$42</f>
        <v>1698449.4801</v>
      </c>
      <c r="G15" s="197">
        <f>G$11*'Assumptions and Inputs'!$C$42</f>
        <v>1814987.8781999999</v>
      </c>
      <c r="H15" s="197">
        <f>H$11*'Assumptions and Inputs'!$C$42</f>
        <v>2078579.2026</v>
      </c>
      <c r="I15" s="197">
        <f>I$11*'Assumptions and Inputs'!$C$42</f>
        <v>1706379.9756</v>
      </c>
      <c r="J15" s="197">
        <f>J$11*'Assumptions and Inputs'!$C$42</f>
        <v>1758335.6921999999</v>
      </c>
      <c r="K15" s="197">
        <f>K$11*'Assumptions and Inputs'!$C$42</f>
        <v>1783155.1736999999</v>
      </c>
      <c r="L15" s="197">
        <f>L$11*'Assumptions and Inputs'!$C$42</f>
        <v>1848922.7198999999</v>
      </c>
      <c r="M15" s="197">
        <f>M$11*'Assumptions and Inputs'!$C$42</f>
        <v>1987499.4098999996</v>
      </c>
      <c r="N15" s="197">
        <f>N$11*'Assumptions and Inputs'!$C$42</f>
        <v>2010187.2053999999</v>
      </c>
      <c r="O15" s="197">
        <f>O$11*'Assumptions and Inputs'!$C$42</f>
        <v>2152620.0935999998</v>
      </c>
      <c r="P15" s="197">
        <f>P$11*'Assumptions and Inputs'!$C$42</f>
        <v>2278369.9139999999</v>
      </c>
      <c r="Q15" s="197">
        <f>Q$11*'Assumptions and Inputs'!$C$42</f>
        <v>2591079.9281999995</v>
      </c>
      <c r="R15" s="197">
        <f>R$11*'Assumptions and Inputs'!$C$42</f>
        <v>1871242.6829999997</v>
      </c>
      <c r="S15" s="197">
        <f>S$11*'Assumptions and Inputs'!$C$42</f>
        <v>2500036.6382999993</v>
      </c>
      <c r="T15" s="197">
        <f>T$11*'Assumptions and Inputs'!$C$42</f>
        <v>2171099.8510014312</v>
      </c>
      <c r="U15" s="197">
        <f>U$11*'Assumptions and Inputs'!$C$42</f>
        <v>2176527.6006289348</v>
      </c>
      <c r="V15" s="197">
        <f>V$11*'Assumptions and Inputs'!$C$42</f>
        <v>2181968.919630507</v>
      </c>
      <c r="W15" s="197">
        <f>W$11*'Assumptions and Inputs'!$C$42</f>
        <v>2187423.8419295833</v>
      </c>
      <c r="X15" s="197">
        <f>X$11*'Assumptions and Inputs'!$C$42</f>
        <v>2192892.4015344074</v>
      </c>
      <c r="Y15" s="197">
        <f>Y$11*'Assumptions and Inputs'!$C$42</f>
        <v>2198374.6325382432</v>
      </c>
      <c r="Z15" s="197">
        <f>Z$11*'Assumptions and Inputs'!$C$42</f>
        <v>2203870.5691195889</v>
      </c>
      <c r="AA15" s="197">
        <f>AA$11*'Assumptions and Inputs'!$C$42</f>
        <v>2209380.2455423879</v>
      </c>
      <c r="AB15" s="197">
        <f>AB$11*'Assumptions and Inputs'!$C$42</f>
        <v>2214903.6961562438</v>
      </c>
      <c r="AC15" s="197">
        <f>AC$11*'Assumptions and Inputs'!$C$42</f>
        <v>2220440.9553966341</v>
      </c>
      <c r="AD15" s="197">
        <f>AD$11*'Assumptions and Inputs'!$C$42</f>
        <v>2225992.0577851259</v>
      </c>
      <c r="AE15" s="197">
        <f>AE$11*'Assumptions and Inputs'!$C$42</f>
        <v>2231557.0379295885</v>
      </c>
      <c r="AF15" s="197">
        <f>AF$11*'Assumptions and Inputs'!$C$42</f>
        <v>2237135.9305244121</v>
      </c>
      <c r="AG15" s="197">
        <f>AG$11*'Assumptions and Inputs'!$C$42</f>
        <v>2242728.7703507231</v>
      </c>
      <c r="AH15" s="197">
        <f>AH$11*'Assumptions and Inputs'!$C$42</f>
        <v>2248335.5922765997</v>
      </c>
      <c r="AI15" s="197">
        <f>AI$11*'Assumptions and Inputs'!$C$42</f>
        <v>2253956.4312572908</v>
      </c>
      <c r="AJ15" s="197">
        <f>AJ$11*'Assumptions and Inputs'!$C$42</f>
        <v>2259591.3223354341</v>
      </c>
      <c r="AK15" s="197">
        <f>AK$11*'Assumptions and Inputs'!$C$42</f>
        <v>2265240.3006412727</v>
      </c>
      <c r="AL15" s="197">
        <f>AL$11*'Assumptions and Inputs'!$C$42</f>
        <v>2270903.4013928757</v>
      </c>
      <c r="AM15" s="197">
        <f>AM$11*'Assumptions and Inputs'!$C$42</f>
        <v>2276580.6598963579</v>
      </c>
      <c r="AO15" s="11">
        <f>SUM(P15:AA15)</f>
        <v>26762267.225425083</v>
      </c>
      <c r="AQ15" s="11">
        <f>SUM(AB15:AM15)</f>
        <v>26947366.155942559</v>
      </c>
      <c r="AS15" s="174"/>
      <c r="AT15" s="1" t="s">
        <v>122</v>
      </c>
    </row>
    <row r="16" spans="2:61" x14ac:dyDescent="0.4">
      <c r="B16" s="198" t="s">
        <v>123</v>
      </c>
      <c r="C16" s="198"/>
      <c r="D16" s="199">
        <f t="shared" ref="D16:O16" si="0">SUM(D14:D15)-D11</f>
        <v>0</v>
      </c>
      <c r="E16" s="199">
        <f t="shared" si="0"/>
        <v>0</v>
      </c>
      <c r="F16" s="199">
        <f t="shared" si="0"/>
        <v>0</v>
      </c>
      <c r="G16" s="199">
        <f t="shared" si="0"/>
        <v>0</v>
      </c>
      <c r="H16" s="199">
        <f t="shared" si="0"/>
        <v>0</v>
      </c>
      <c r="I16" s="199">
        <f t="shared" si="0"/>
        <v>0</v>
      </c>
      <c r="J16" s="199">
        <f t="shared" si="0"/>
        <v>0</v>
      </c>
      <c r="K16" s="199">
        <f t="shared" si="0"/>
        <v>0</v>
      </c>
      <c r="L16" s="199">
        <f t="shared" si="0"/>
        <v>0</v>
      </c>
      <c r="M16" s="199">
        <f t="shared" si="0"/>
        <v>0</v>
      </c>
      <c r="N16" s="199">
        <f t="shared" si="0"/>
        <v>0</v>
      </c>
      <c r="O16" s="199">
        <f t="shared" si="0"/>
        <v>0</v>
      </c>
      <c r="P16" s="199">
        <f t="shared" ref="P16:AM16" si="1">SUM(P14:P15)-P11</f>
        <v>0</v>
      </c>
      <c r="Q16" s="199">
        <f t="shared" si="1"/>
        <v>0</v>
      </c>
      <c r="R16" s="199">
        <f t="shared" si="1"/>
        <v>0</v>
      </c>
      <c r="S16" s="199">
        <f t="shared" si="1"/>
        <v>0</v>
      </c>
      <c r="T16" s="199">
        <f t="shared" si="1"/>
        <v>0</v>
      </c>
      <c r="U16" s="199">
        <f t="shared" si="1"/>
        <v>0</v>
      </c>
      <c r="V16" s="199">
        <f t="shared" si="1"/>
        <v>0</v>
      </c>
      <c r="W16" s="199">
        <f t="shared" si="1"/>
        <v>0</v>
      </c>
      <c r="X16" s="199">
        <f t="shared" si="1"/>
        <v>0</v>
      </c>
      <c r="Y16" s="199">
        <f t="shared" si="1"/>
        <v>0</v>
      </c>
      <c r="Z16" s="199">
        <f t="shared" si="1"/>
        <v>0</v>
      </c>
      <c r="AA16" s="199">
        <f t="shared" si="1"/>
        <v>0</v>
      </c>
      <c r="AB16" s="199">
        <f t="shared" si="1"/>
        <v>0</v>
      </c>
      <c r="AC16" s="199">
        <f t="shared" si="1"/>
        <v>0</v>
      </c>
      <c r="AD16" s="199">
        <f t="shared" si="1"/>
        <v>0</v>
      </c>
      <c r="AE16" s="199">
        <f t="shared" si="1"/>
        <v>0</v>
      </c>
      <c r="AF16" s="199">
        <f t="shared" si="1"/>
        <v>0</v>
      </c>
      <c r="AG16" s="199">
        <f t="shared" si="1"/>
        <v>0</v>
      </c>
      <c r="AH16" s="199">
        <f t="shared" si="1"/>
        <v>0</v>
      </c>
      <c r="AI16" s="199">
        <f t="shared" si="1"/>
        <v>0</v>
      </c>
      <c r="AJ16" s="199">
        <f t="shared" si="1"/>
        <v>0</v>
      </c>
      <c r="AK16" s="199">
        <f t="shared" si="1"/>
        <v>0</v>
      </c>
      <c r="AL16" s="199">
        <f t="shared" si="1"/>
        <v>0</v>
      </c>
      <c r="AM16" s="199">
        <f t="shared" si="1"/>
        <v>0</v>
      </c>
      <c r="AP16" s="199"/>
      <c r="AQ16" s="11">
        <f>SUM(AB16:AM16)</f>
        <v>0</v>
      </c>
      <c r="AS16" s="198"/>
    </row>
    <row r="17" spans="2:65" x14ac:dyDescent="0.4"/>
    <row r="18" spans="2:65" x14ac:dyDescent="0.4">
      <c r="B18" s="200" t="s">
        <v>124</v>
      </c>
      <c r="C18" s="201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4"/>
      <c r="AO18" s="204"/>
      <c r="AP18" s="204"/>
      <c r="AQ18" s="204"/>
      <c r="AR18" s="204"/>
      <c r="AS18" s="202"/>
      <c r="AT18" s="202"/>
    </row>
    <row r="19" spans="2:65" x14ac:dyDescent="0.4"/>
    <row r="20" spans="2:65" x14ac:dyDescent="0.4">
      <c r="B20" s="183" t="s">
        <v>125</v>
      </c>
      <c r="C20" s="184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205" t="s">
        <v>313</v>
      </c>
      <c r="AT20" s="183"/>
    </row>
    <row r="21" spans="2:65" x14ac:dyDescent="0.4">
      <c r="B21" s="155" t="s">
        <v>126</v>
      </c>
      <c r="D21" s="206">
        <v>420544</v>
      </c>
      <c r="E21" s="206">
        <v>409435</v>
      </c>
      <c r="F21" s="206">
        <v>358125</v>
      </c>
      <c r="G21" s="206">
        <v>382960</v>
      </c>
      <c r="H21" s="248">
        <f>[1]TRR_Projections!Z9</f>
        <v>431332</v>
      </c>
      <c r="I21" s="248">
        <f>[1]TRR_Projections!AA9</f>
        <v>362543</v>
      </c>
      <c r="J21" s="248">
        <f>[1]TRR_Projections!AB9</f>
        <v>375751</v>
      </c>
      <c r="K21" s="248">
        <f>[1]TRR_Projections!AC9</f>
        <v>382353</v>
      </c>
      <c r="L21" s="248">
        <f>[1]TRR_Projections!AD9</f>
        <v>395758</v>
      </c>
      <c r="M21" s="248">
        <f>[1]TRR_Projections!AE9</f>
        <v>419696</v>
      </c>
      <c r="N21" s="248">
        <f>[1]TRR_Projections!AF9</f>
        <v>423997</v>
      </c>
      <c r="O21" s="248">
        <f>[1]TRR_Projections!AG9</f>
        <v>450076</v>
      </c>
      <c r="P21" s="248">
        <f>[1]TRR_Projections!AH9</f>
        <v>444157</v>
      </c>
      <c r="Q21" s="248">
        <f>[1]TRR_Projections!AI9</f>
        <v>466827</v>
      </c>
      <c r="R21" s="248">
        <f>[1]TRR_Projections!AJ9</f>
        <v>340206</v>
      </c>
      <c r="S21" s="248">
        <f>[1]TRR_Projections!AK9</f>
        <v>453729</v>
      </c>
      <c r="T21" s="248">
        <f>[1]TRR_Projections!AL9</f>
        <v>474801</v>
      </c>
      <c r="U21" s="248">
        <f>[1]TRR_Projections!AM9</f>
        <v>423513</v>
      </c>
      <c r="V21" s="248">
        <f>[1]TRR_Projections!AN9</f>
        <v>464349</v>
      </c>
      <c r="W21" s="248">
        <f>[1]TRR_Projections!AO9</f>
        <v>447180.03987626272</v>
      </c>
      <c r="X21" s="248">
        <f>[1]TRR_Projections!AP9</f>
        <v>447180.03987626272</v>
      </c>
      <c r="Y21" s="248">
        <f>[1]TRR_Projections!AQ9</f>
        <v>447180.03987626272</v>
      </c>
      <c r="Z21" s="248">
        <f>[1]TRR_Projections!AR9</f>
        <v>447180.03987626272</v>
      </c>
      <c r="AA21" s="248">
        <f>[1]TRR_Projections!AS9</f>
        <v>447180.03987626272</v>
      </c>
      <c r="AB21" s="248">
        <f>[1]TRR_Projections!AT9</f>
        <v>447180.03987626272</v>
      </c>
      <c r="AC21" s="248">
        <f>[1]TRR_Projections!AU9</f>
        <v>447180.03987626272</v>
      </c>
      <c r="AD21" s="248">
        <f>[1]TRR_Projections!AV9</f>
        <v>447180.03987626272</v>
      </c>
      <c r="AE21" s="248">
        <f>[1]TRR_Projections!AW9</f>
        <v>447180.03987626272</v>
      </c>
      <c r="AF21" s="248">
        <f>[1]TRR_Projections!AX9</f>
        <v>447180.03987626272</v>
      </c>
      <c r="AG21" s="248">
        <f>[1]TRR_Projections!AY9</f>
        <v>447180.03987626272</v>
      </c>
      <c r="AH21" s="248">
        <f>[1]TRR_Projections!AZ9</f>
        <v>447180.03987626272</v>
      </c>
      <c r="AI21" s="248">
        <f>[1]TRR_Projections!BA9</f>
        <v>447180.03987626272</v>
      </c>
      <c r="AJ21" s="248">
        <f>[1]TRR_Projections!BB9</f>
        <v>447180.03987626272</v>
      </c>
      <c r="AK21" s="248">
        <f>[1]TRR_Projections!BC9</f>
        <v>447180.03987626272</v>
      </c>
      <c r="AL21" s="248">
        <f>[1]TRR_Projections!BD9</f>
        <v>447180.03987626272</v>
      </c>
      <c r="AM21" s="248">
        <f>[1]TRR_Projections!BE9</f>
        <v>447180.03987626272</v>
      </c>
      <c r="AO21" s="11">
        <f>SUM(P21:AA21)</f>
        <v>5303482.1993813133</v>
      </c>
      <c r="AQ21" s="11">
        <f>SUM(AB21:AM21)</f>
        <v>5366160.4785151528</v>
      </c>
      <c r="AS21" s="245">
        <f>SUM(H21:AM21)</f>
        <v>13911148.677896477</v>
      </c>
      <c r="AT21" s="1" t="s">
        <v>118</v>
      </c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</row>
    <row r="22" spans="2:65" x14ac:dyDescent="0.4">
      <c r="AS22" s="245"/>
    </row>
    <row r="23" spans="2:65" x14ac:dyDescent="0.4">
      <c r="B23" s="183" t="s">
        <v>127</v>
      </c>
      <c r="C23" s="184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205" t="s">
        <v>314</v>
      </c>
      <c r="AT23" s="183"/>
    </row>
    <row r="24" spans="2:65" x14ac:dyDescent="0.4">
      <c r="B24" s="155" t="s">
        <v>86</v>
      </c>
      <c r="D24" s="206">
        <v>57534</v>
      </c>
      <c r="E24" s="206">
        <v>52597</v>
      </c>
      <c r="F24" s="206">
        <v>47037</v>
      </c>
      <c r="G24" s="206">
        <v>49616</v>
      </c>
      <c r="H24" s="206">
        <v>59093</v>
      </c>
      <c r="I24" s="206">
        <v>48459</v>
      </c>
      <c r="J24" s="206">
        <v>49929</v>
      </c>
      <c r="K24" s="206">
        <v>47494</v>
      </c>
      <c r="L24" s="206">
        <v>47241</v>
      </c>
      <c r="M24" s="206">
        <v>47522</v>
      </c>
      <c r="N24" s="206">
        <v>47557</v>
      </c>
      <c r="O24" s="206">
        <v>49689</v>
      </c>
      <c r="P24" s="206">
        <v>47307</v>
      </c>
      <c r="Q24" s="206">
        <v>49343</v>
      </c>
      <c r="R24" s="206">
        <v>34367</v>
      </c>
      <c r="S24" s="206">
        <v>47086</v>
      </c>
      <c r="T24" s="55">
        <f>AVERAGE($H24:$S24)</f>
        <v>47923.916666666664</v>
      </c>
      <c r="U24" s="55">
        <f t="shared" ref="U24:AM27" si="2">AVERAGE($H24:$S24)</f>
        <v>47923.916666666664</v>
      </c>
      <c r="V24" s="55">
        <f t="shared" si="2"/>
        <v>47923.916666666664</v>
      </c>
      <c r="W24" s="55">
        <f t="shared" si="2"/>
        <v>47923.916666666664</v>
      </c>
      <c r="X24" s="55">
        <f t="shared" si="2"/>
        <v>47923.916666666664</v>
      </c>
      <c r="Y24" s="55">
        <f t="shared" si="2"/>
        <v>47923.916666666664</v>
      </c>
      <c r="Z24" s="55">
        <f t="shared" si="2"/>
        <v>47923.916666666664</v>
      </c>
      <c r="AA24" s="55">
        <f t="shared" si="2"/>
        <v>47923.916666666664</v>
      </c>
      <c r="AB24" s="55">
        <f t="shared" si="2"/>
        <v>47923.916666666664</v>
      </c>
      <c r="AC24" s="55">
        <f t="shared" si="2"/>
        <v>47923.916666666664</v>
      </c>
      <c r="AD24" s="55">
        <f t="shared" si="2"/>
        <v>47923.916666666664</v>
      </c>
      <c r="AE24" s="55">
        <f t="shared" si="2"/>
        <v>47923.916666666664</v>
      </c>
      <c r="AF24" s="55">
        <f t="shared" si="2"/>
        <v>47923.916666666664</v>
      </c>
      <c r="AG24" s="55">
        <f t="shared" si="2"/>
        <v>47923.916666666664</v>
      </c>
      <c r="AH24" s="55">
        <f t="shared" si="2"/>
        <v>47923.916666666664</v>
      </c>
      <c r="AI24" s="55">
        <f t="shared" si="2"/>
        <v>47923.916666666664</v>
      </c>
      <c r="AJ24" s="55">
        <f t="shared" si="2"/>
        <v>47923.916666666664</v>
      </c>
      <c r="AK24" s="55">
        <f t="shared" si="2"/>
        <v>47923.916666666664</v>
      </c>
      <c r="AL24" s="55">
        <f t="shared" si="2"/>
        <v>47923.916666666664</v>
      </c>
      <c r="AM24" s="55">
        <f t="shared" si="2"/>
        <v>47923.916666666664</v>
      </c>
      <c r="AO24" s="11">
        <f>SUM(P24:AA24)</f>
        <v>561494.33333333337</v>
      </c>
      <c r="AQ24" s="11">
        <f>SUM(AB24:AM24)</f>
        <v>575087</v>
      </c>
      <c r="AS24" s="11"/>
      <c r="AT24" s="1" t="s">
        <v>128</v>
      </c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</row>
    <row r="25" spans="2:65" x14ac:dyDescent="0.4">
      <c r="B25" s="155" t="s">
        <v>88</v>
      </c>
      <c r="D25" s="206">
        <v>124561</v>
      </c>
      <c r="E25" s="206">
        <v>118464</v>
      </c>
      <c r="F25" s="206">
        <v>114459</v>
      </c>
      <c r="G25" s="206">
        <v>115086</v>
      </c>
      <c r="H25" s="206">
        <v>121240</v>
      </c>
      <c r="I25" s="206">
        <v>109977</v>
      </c>
      <c r="J25" s="206">
        <v>105559</v>
      </c>
      <c r="K25" s="206">
        <v>103127</v>
      </c>
      <c r="L25" s="206">
        <v>120137</v>
      </c>
      <c r="M25" s="206">
        <v>106380</v>
      </c>
      <c r="N25" s="206">
        <v>112691</v>
      </c>
      <c r="O25" s="206">
        <v>113145</v>
      </c>
      <c r="P25" s="206">
        <v>111990</v>
      </c>
      <c r="Q25" s="206">
        <v>107777</v>
      </c>
      <c r="R25" s="206">
        <v>98283</v>
      </c>
      <c r="S25" s="206">
        <v>106611</v>
      </c>
      <c r="T25" s="55">
        <f t="shared" ref="T25:AI27" si="3">AVERAGE($H25:$S25)</f>
        <v>109743.08333333333</v>
      </c>
      <c r="U25" s="55">
        <f t="shared" si="3"/>
        <v>109743.08333333333</v>
      </c>
      <c r="V25" s="55">
        <f t="shared" si="3"/>
        <v>109743.08333333333</v>
      </c>
      <c r="W25" s="55">
        <f t="shared" si="3"/>
        <v>109743.08333333333</v>
      </c>
      <c r="X25" s="55">
        <f t="shared" si="3"/>
        <v>109743.08333333333</v>
      </c>
      <c r="Y25" s="55">
        <f t="shared" si="3"/>
        <v>109743.08333333333</v>
      </c>
      <c r="Z25" s="55">
        <f t="shared" si="3"/>
        <v>109743.08333333333</v>
      </c>
      <c r="AA25" s="55">
        <f t="shared" si="3"/>
        <v>109743.08333333333</v>
      </c>
      <c r="AB25" s="55">
        <f t="shared" si="3"/>
        <v>109743.08333333333</v>
      </c>
      <c r="AC25" s="55">
        <f t="shared" si="3"/>
        <v>109743.08333333333</v>
      </c>
      <c r="AD25" s="55">
        <f t="shared" si="3"/>
        <v>109743.08333333333</v>
      </c>
      <c r="AE25" s="55">
        <f t="shared" si="3"/>
        <v>109743.08333333333</v>
      </c>
      <c r="AF25" s="55">
        <f t="shared" si="3"/>
        <v>109743.08333333333</v>
      </c>
      <c r="AG25" s="55">
        <f t="shared" si="3"/>
        <v>109743.08333333333</v>
      </c>
      <c r="AH25" s="55">
        <f t="shared" si="3"/>
        <v>109743.08333333333</v>
      </c>
      <c r="AI25" s="55">
        <f t="shared" si="3"/>
        <v>109743.08333333333</v>
      </c>
      <c r="AJ25" s="55">
        <f t="shared" si="2"/>
        <v>109743.08333333333</v>
      </c>
      <c r="AK25" s="55">
        <f t="shared" si="2"/>
        <v>109743.08333333333</v>
      </c>
      <c r="AL25" s="55">
        <f t="shared" si="2"/>
        <v>109743.08333333333</v>
      </c>
      <c r="AM25" s="55">
        <f t="shared" si="2"/>
        <v>109743.08333333333</v>
      </c>
      <c r="AO25" s="11">
        <f t="shared" ref="AO25:AO27" si="4">SUM(P25:AA25)</f>
        <v>1302605.6666666667</v>
      </c>
      <c r="AQ25" s="11">
        <f t="shared" ref="AQ25:AQ27" si="5">SUM(AB25:AM25)</f>
        <v>1316917</v>
      </c>
      <c r="AS25" s="12"/>
      <c r="AT25" s="1" t="s">
        <v>128</v>
      </c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</row>
    <row r="26" spans="2:65" x14ac:dyDescent="0.4">
      <c r="B26" s="155" t="s">
        <v>91</v>
      </c>
      <c r="D26" s="206">
        <v>188234</v>
      </c>
      <c r="E26" s="206">
        <v>169899</v>
      </c>
      <c r="F26" s="206">
        <v>159529</v>
      </c>
      <c r="G26" s="206">
        <v>153934</v>
      </c>
      <c r="H26" s="206">
        <v>140562</v>
      </c>
      <c r="I26" s="206">
        <v>135320</v>
      </c>
      <c r="J26" s="206">
        <v>141288</v>
      </c>
      <c r="K26" s="206">
        <v>128264</v>
      </c>
      <c r="L26" s="206">
        <v>141544</v>
      </c>
      <c r="M26" s="206">
        <v>151644</v>
      </c>
      <c r="N26" s="206">
        <v>157139</v>
      </c>
      <c r="O26" s="206">
        <v>167773</v>
      </c>
      <c r="P26" s="206">
        <v>162033</v>
      </c>
      <c r="Q26" s="206">
        <v>181080</v>
      </c>
      <c r="R26" s="206">
        <v>131467</v>
      </c>
      <c r="S26" s="206">
        <v>139021</v>
      </c>
      <c r="T26" s="55">
        <f t="shared" si="3"/>
        <v>148094.58333333334</v>
      </c>
      <c r="U26" s="55">
        <f t="shared" si="2"/>
        <v>148094.58333333334</v>
      </c>
      <c r="V26" s="55">
        <f t="shared" si="2"/>
        <v>148094.58333333334</v>
      </c>
      <c r="W26" s="55">
        <f t="shared" si="2"/>
        <v>148094.58333333334</v>
      </c>
      <c r="X26" s="55">
        <f t="shared" si="2"/>
        <v>148094.58333333334</v>
      </c>
      <c r="Y26" s="55">
        <f t="shared" si="2"/>
        <v>148094.58333333334</v>
      </c>
      <c r="Z26" s="55">
        <f t="shared" si="2"/>
        <v>148094.58333333334</v>
      </c>
      <c r="AA26" s="55">
        <f t="shared" si="2"/>
        <v>148094.58333333334</v>
      </c>
      <c r="AB26" s="55">
        <f t="shared" si="2"/>
        <v>148094.58333333334</v>
      </c>
      <c r="AC26" s="55">
        <f t="shared" si="2"/>
        <v>148094.58333333334</v>
      </c>
      <c r="AD26" s="55">
        <f t="shared" si="2"/>
        <v>148094.58333333334</v>
      </c>
      <c r="AE26" s="55">
        <f t="shared" si="2"/>
        <v>148094.58333333334</v>
      </c>
      <c r="AF26" s="55">
        <f t="shared" si="2"/>
        <v>148094.58333333334</v>
      </c>
      <c r="AG26" s="55">
        <f t="shared" si="2"/>
        <v>148094.58333333334</v>
      </c>
      <c r="AH26" s="55">
        <f t="shared" si="2"/>
        <v>148094.58333333334</v>
      </c>
      <c r="AI26" s="55">
        <f t="shared" si="2"/>
        <v>148094.58333333334</v>
      </c>
      <c r="AJ26" s="55">
        <f t="shared" si="2"/>
        <v>148094.58333333334</v>
      </c>
      <c r="AK26" s="55">
        <f t="shared" si="2"/>
        <v>148094.58333333334</v>
      </c>
      <c r="AL26" s="55">
        <f t="shared" si="2"/>
        <v>148094.58333333334</v>
      </c>
      <c r="AM26" s="55">
        <f t="shared" si="2"/>
        <v>148094.58333333334</v>
      </c>
      <c r="AO26" s="11">
        <f t="shared" si="4"/>
        <v>1798357.6666666663</v>
      </c>
      <c r="AQ26" s="11">
        <f t="shared" si="5"/>
        <v>1777134.9999999998</v>
      </c>
      <c r="AS26" s="12"/>
      <c r="AT26" s="1" t="s">
        <v>128</v>
      </c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</row>
    <row r="27" spans="2:65" x14ac:dyDescent="0.4">
      <c r="B27" s="155" t="s">
        <v>129</v>
      </c>
      <c r="D27" s="206">
        <v>4606561</v>
      </c>
      <c r="E27" s="206">
        <v>4301915</v>
      </c>
      <c r="F27" s="206">
        <v>3983679</v>
      </c>
      <c r="G27" s="206">
        <v>4018382</v>
      </c>
      <c r="H27" s="206">
        <v>4204897</v>
      </c>
      <c r="I27" s="206">
        <v>3656723</v>
      </c>
      <c r="J27" s="206">
        <v>3705848</v>
      </c>
      <c r="K27" s="206">
        <v>3768623</v>
      </c>
      <c r="L27" s="206">
        <v>3942518</v>
      </c>
      <c r="M27" s="206">
        <v>4123420</v>
      </c>
      <c r="N27" s="206">
        <v>4307512</v>
      </c>
      <c r="O27" s="206">
        <v>4456512</v>
      </c>
      <c r="P27" s="206">
        <v>4324158</v>
      </c>
      <c r="Q27" s="206">
        <v>4440404</v>
      </c>
      <c r="R27" s="206">
        <v>3355146</v>
      </c>
      <c r="S27" s="206">
        <v>4051393</v>
      </c>
      <c r="T27" s="55">
        <f t="shared" si="3"/>
        <v>4028096.1666666665</v>
      </c>
      <c r="U27" s="55">
        <f t="shared" si="2"/>
        <v>4028096.1666666665</v>
      </c>
      <c r="V27" s="55">
        <f t="shared" si="2"/>
        <v>4028096.1666666665</v>
      </c>
      <c r="W27" s="55">
        <f t="shared" si="2"/>
        <v>4028096.1666666665</v>
      </c>
      <c r="X27" s="55">
        <f t="shared" si="2"/>
        <v>4028096.1666666665</v>
      </c>
      <c r="Y27" s="55">
        <f t="shared" si="2"/>
        <v>4028096.1666666665</v>
      </c>
      <c r="Z27" s="55">
        <f t="shared" si="2"/>
        <v>4028096.1666666665</v>
      </c>
      <c r="AA27" s="55">
        <f t="shared" si="2"/>
        <v>4028096.1666666665</v>
      </c>
      <c r="AB27" s="55">
        <f t="shared" si="2"/>
        <v>4028096.1666666665</v>
      </c>
      <c r="AC27" s="55">
        <f t="shared" si="2"/>
        <v>4028096.1666666665</v>
      </c>
      <c r="AD27" s="55">
        <f t="shared" si="2"/>
        <v>4028096.1666666665</v>
      </c>
      <c r="AE27" s="55">
        <f t="shared" si="2"/>
        <v>4028096.1666666665</v>
      </c>
      <c r="AF27" s="55">
        <f t="shared" si="2"/>
        <v>4028096.1666666665</v>
      </c>
      <c r="AG27" s="55">
        <f t="shared" si="2"/>
        <v>4028096.1666666665</v>
      </c>
      <c r="AH27" s="55">
        <f t="shared" si="2"/>
        <v>4028096.1666666665</v>
      </c>
      <c r="AI27" s="55">
        <f t="shared" si="2"/>
        <v>4028096.1666666665</v>
      </c>
      <c r="AJ27" s="55">
        <f t="shared" si="2"/>
        <v>4028096.1666666665</v>
      </c>
      <c r="AK27" s="55">
        <f t="shared" si="2"/>
        <v>4028096.1666666665</v>
      </c>
      <c r="AL27" s="55">
        <f t="shared" si="2"/>
        <v>4028096.1666666665</v>
      </c>
      <c r="AM27" s="55">
        <f t="shared" si="2"/>
        <v>4028096.1666666665</v>
      </c>
      <c r="AO27" s="11">
        <f t="shared" si="4"/>
        <v>48395870.333333328</v>
      </c>
      <c r="AQ27" s="11">
        <f t="shared" si="5"/>
        <v>48337153.999999993</v>
      </c>
      <c r="AS27" s="12"/>
      <c r="AT27" s="1" t="s">
        <v>128</v>
      </c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</row>
    <row r="28" spans="2:65" x14ac:dyDescent="0.4">
      <c r="B28" s="155"/>
      <c r="AS28" s="207"/>
    </row>
    <row r="29" spans="2:65" x14ac:dyDescent="0.4">
      <c r="B29" s="183" t="s">
        <v>130</v>
      </c>
      <c r="C29" s="184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205"/>
      <c r="AT29" s="183"/>
    </row>
    <row r="30" spans="2:65" x14ac:dyDescent="0.4">
      <c r="B30" s="155" t="str">
        <f>B24</f>
        <v>Senior Discount</v>
      </c>
      <c r="D30" s="208">
        <f>D$24*(1-'Assumptions and Inputs'!$C$104)</f>
        <v>43150.5</v>
      </c>
      <c r="E30" s="11">
        <f>E$24*(1-'Assumptions and Inputs'!$C$104)</f>
        <v>39447.75</v>
      </c>
      <c r="F30" s="11">
        <f>F$24*(1-'Assumptions and Inputs'!$C$104)</f>
        <v>35277.75</v>
      </c>
      <c r="G30" s="11">
        <f>G$24*(1-'Assumptions and Inputs'!$C$104)</f>
        <v>37212</v>
      </c>
      <c r="H30" s="11">
        <f>H$24*(1-'Assumptions and Inputs'!$C$104)</f>
        <v>44319.75</v>
      </c>
      <c r="I30" s="11">
        <f>I$24*(1-'Assumptions and Inputs'!$C$104)</f>
        <v>36344.25</v>
      </c>
      <c r="J30" s="11">
        <f>J$24*(1-'Assumptions and Inputs'!$C$104)</f>
        <v>37446.75</v>
      </c>
      <c r="K30" s="11">
        <f>K$24*(1-'Assumptions and Inputs'!$C$104)</f>
        <v>35620.5</v>
      </c>
      <c r="L30" s="11">
        <f>L$24*(1-'Assumptions and Inputs'!$C$104)</f>
        <v>35430.75</v>
      </c>
      <c r="M30" s="11">
        <f>M$24*(1-'Assumptions and Inputs'!$C$104)</f>
        <v>35641.5</v>
      </c>
      <c r="N30" s="11">
        <f>N$24*(1-'Assumptions and Inputs'!$C$104)</f>
        <v>35667.75</v>
      </c>
      <c r="O30" s="11">
        <f>O$24*(1-'Assumptions and Inputs'!$C$104)</f>
        <v>37266.75</v>
      </c>
      <c r="P30" s="11">
        <f>P$24*(1-'Assumptions and Inputs'!$C$104)</f>
        <v>35480.25</v>
      </c>
      <c r="Q30" s="11">
        <f>Q$24*(1-'Assumptions and Inputs'!$C$104)</f>
        <v>37007.25</v>
      </c>
      <c r="R30" s="11">
        <f>R$24*(1-'Assumptions and Inputs'!$C$104)</f>
        <v>25775.25</v>
      </c>
      <c r="S30" s="11">
        <f>S$24*(1-'Assumptions and Inputs'!$C$104)</f>
        <v>35314.5</v>
      </c>
      <c r="T30" s="11">
        <f>T$24*(1-'Assumptions and Inputs'!$C$104)</f>
        <v>35942.9375</v>
      </c>
      <c r="U30" s="11">
        <f>U$24*(1-'Assumptions and Inputs'!$C$104)</f>
        <v>35942.9375</v>
      </c>
      <c r="V30" s="11">
        <f>V$24*(1-'Assumptions and Inputs'!$C$104)</f>
        <v>35942.9375</v>
      </c>
      <c r="W30" s="11">
        <f>W$24*(1-'Assumptions and Inputs'!$C$104)</f>
        <v>35942.9375</v>
      </c>
      <c r="X30" s="11">
        <f>X$24*(1-'Assumptions and Inputs'!$C$104)</f>
        <v>35942.9375</v>
      </c>
      <c r="Y30" s="11">
        <f>Y$24*(1-'Assumptions and Inputs'!$C$104)</f>
        <v>35942.9375</v>
      </c>
      <c r="Z30" s="11">
        <f>Z$24*(1-'Assumptions and Inputs'!$C$104)</f>
        <v>35942.9375</v>
      </c>
      <c r="AA30" s="11">
        <f>AA$24*(1-'Assumptions and Inputs'!$C$104)</f>
        <v>35942.9375</v>
      </c>
      <c r="AB30" s="11">
        <f>AB$24*(1-'Assumptions and Inputs'!$C$104)</f>
        <v>35942.9375</v>
      </c>
      <c r="AC30" s="11">
        <f>AC$24*(1-'Assumptions and Inputs'!$C$104)</f>
        <v>35942.9375</v>
      </c>
      <c r="AD30" s="11">
        <f>AD$24*(1-'Assumptions and Inputs'!$C$104)</f>
        <v>35942.9375</v>
      </c>
      <c r="AE30" s="11">
        <f>AE$24*(1-'Assumptions and Inputs'!$C$104)</f>
        <v>35942.9375</v>
      </c>
      <c r="AF30" s="11">
        <f>AF$24*(1-'Assumptions and Inputs'!$C$104)</f>
        <v>35942.9375</v>
      </c>
      <c r="AG30" s="11">
        <f>AG$24*(1-'Assumptions and Inputs'!$C$104)</f>
        <v>35942.9375</v>
      </c>
      <c r="AH30" s="11">
        <f>AH$24*(1-'Assumptions and Inputs'!$C$104)</f>
        <v>35942.9375</v>
      </c>
      <c r="AI30" s="11">
        <f>AI$24*(1-'Assumptions and Inputs'!$C$104)</f>
        <v>35942.9375</v>
      </c>
      <c r="AJ30" s="11">
        <f>AJ$24*(1-'Assumptions and Inputs'!$C$104)</f>
        <v>35942.9375</v>
      </c>
      <c r="AK30" s="11">
        <f>AK$24*(1-'Assumptions and Inputs'!$C$104)</f>
        <v>35942.9375</v>
      </c>
      <c r="AL30" s="11">
        <f>AL$24*(1-'Assumptions and Inputs'!$C$104)</f>
        <v>35942.9375</v>
      </c>
      <c r="AM30" s="11">
        <f>AM$24*(1-'Assumptions and Inputs'!$C$104)</f>
        <v>35942.9375</v>
      </c>
      <c r="AN30" s="1"/>
      <c r="AO30" s="11">
        <f>AO$24*(1-'Assumptions and Inputs'!$C$104)</f>
        <v>421120.75</v>
      </c>
      <c r="AQ30" s="11">
        <f>SUM(AB30:AM30)</f>
        <v>431315.25</v>
      </c>
    </row>
    <row r="31" spans="2:65" x14ac:dyDescent="0.4">
      <c r="B31" s="155" t="str">
        <f t="shared" ref="B31:B33" si="6">B25</f>
        <v>PHA Discount</v>
      </c>
      <c r="D31" s="208">
        <f>D$25*(1-'Assumptions and Inputs'!$C$105)</f>
        <v>118332.95</v>
      </c>
      <c r="E31" s="11">
        <f>E$25*(1-'Assumptions and Inputs'!$C$105)</f>
        <v>112540.79999999999</v>
      </c>
      <c r="F31" s="11">
        <f>F$25*(1-'Assumptions and Inputs'!$C$105)</f>
        <v>108736.04999999999</v>
      </c>
      <c r="G31" s="11">
        <f>G$25*(1-'Assumptions and Inputs'!$C$105)</f>
        <v>109331.7</v>
      </c>
      <c r="H31" s="11">
        <f>H$25*(1-'Assumptions and Inputs'!$C$105)</f>
        <v>115178</v>
      </c>
      <c r="I31" s="11">
        <f>I$25*(1-'Assumptions and Inputs'!$C$105)</f>
        <v>104478.15</v>
      </c>
      <c r="J31" s="11">
        <f>J$25*(1-'Assumptions and Inputs'!$C$105)</f>
        <v>100281.04999999999</v>
      </c>
      <c r="K31" s="11">
        <f>K$25*(1-'Assumptions and Inputs'!$C$105)</f>
        <v>97970.65</v>
      </c>
      <c r="L31" s="11">
        <f>L$25*(1-'Assumptions and Inputs'!$C$105)</f>
        <v>114130.15</v>
      </c>
      <c r="M31" s="11">
        <f>M$25*(1-'Assumptions and Inputs'!$C$105)</f>
        <v>101061</v>
      </c>
      <c r="N31" s="11">
        <f>N$25*(1-'Assumptions and Inputs'!$C$105)</f>
        <v>107056.45</v>
      </c>
      <c r="O31" s="11">
        <f>O$25*(1-'Assumptions and Inputs'!$C$105)</f>
        <v>107487.75</v>
      </c>
      <c r="P31" s="11">
        <f>P$25*(1-'Assumptions and Inputs'!$C$105)</f>
        <v>106390.5</v>
      </c>
      <c r="Q31" s="11">
        <f>Q$25*(1-'Assumptions and Inputs'!$C$105)</f>
        <v>102388.15</v>
      </c>
      <c r="R31" s="11">
        <f>R$25*(1-'Assumptions and Inputs'!$C$105)</f>
        <v>93368.849999999991</v>
      </c>
      <c r="S31" s="11">
        <f>S$25*(1-'Assumptions and Inputs'!$C$105)</f>
        <v>101280.45</v>
      </c>
      <c r="T31" s="11">
        <f>T$25*(1-'Assumptions and Inputs'!$C$105)</f>
        <v>104255.92916666665</v>
      </c>
      <c r="U31" s="11">
        <f>U$25*(1-'Assumptions and Inputs'!$C$105)</f>
        <v>104255.92916666665</v>
      </c>
      <c r="V31" s="11">
        <f>V$25*(1-'Assumptions and Inputs'!$C$105)</f>
        <v>104255.92916666665</v>
      </c>
      <c r="W31" s="11">
        <f>W$25*(1-'Assumptions and Inputs'!$C$105)</f>
        <v>104255.92916666665</v>
      </c>
      <c r="X31" s="11">
        <f>X$25*(1-'Assumptions and Inputs'!$C$105)</f>
        <v>104255.92916666665</v>
      </c>
      <c r="Y31" s="11">
        <f>Y$25*(1-'Assumptions and Inputs'!$C$105)</f>
        <v>104255.92916666665</v>
      </c>
      <c r="Z31" s="11">
        <f>Z$25*(1-'Assumptions and Inputs'!$C$105)</f>
        <v>104255.92916666665</v>
      </c>
      <c r="AA31" s="11">
        <f>AA$25*(1-'Assumptions and Inputs'!$C$105)</f>
        <v>104255.92916666665</v>
      </c>
      <c r="AB31" s="11">
        <f>AB$25*(1-'Assumptions and Inputs'!$C$105)</f>
        <v>104255.92916666665</v>
      </c>
      <c r="AC31" s="11">
        <f>AC$25*(1-'Assumptions and Inputs'!$C$105)</f>
        <v>104255.92916666665</v>
      </c>
      <c r="AD31" s="11">
        <f>AD$25*(1-'Assumptions and Inputs'!$C$105)</f>
        <v>104255.92916666665</v>
      </c>
      <c r="AE31" s="11">
        <f>AE$25*(1-'Assumptions and Inputs'!$C$105)</f>
        <v>104255.92916666665</v>
      </c>
      <c r="AF31" s="11">
        <f>AF$25*(1-'Assumptions and Inputs'!$C$105)</f>
        <v>104255.92916666665</v>
      </c>
      <c r="AG31" s="11">
        <f>AG$25*(1-'Assumptions and Inputs'!$C$105)</f>
        <v>104255.92916666665</v>
      </c>
      <c r="AH31" s="11">
        <f>AH$25*(1-'Assumptions and Inputs'!$C$105)</f>
        <v>104255.92916666665</v>
      </c>
      <c r="AI31" s="11">
        <f>AI$25*(1-'Assumptions and Inputs'!$C$105)</f>
        <v>104255.92916666665</v>
      </c>
      <c r="AJ31" s="11">
        <f>AJ$25*(1-'Assumptions and Inputs'!$C$105)</f>
        <v>104255.92916666665</v>
      </c>
      <c r="AK31" s="11">
        <f>AK$25*(1-'Assumptions and Inputs'!$C$105)</f>
        <v>104255.92916666665</v>
      </c>
      <c r="AL31" s="11">
        <f>AL$25*(1-'Assumptions and Inputs'!$C$105)</f>
        <v>104255.92916666665</v>
      </c>
      <c r="AM31" s="11">
        <f>AM$25*(1-'Assumptions and Inputs'!$C$105)</f>
        <v>104255.92916666665</v>
      </c>
      <c r="AN31" s="1"/>
      <c r="AO31" s="11">
        <f>AO$25*(1-'Assumptions and Inputs'!$C$105)</f>
        <v>1237475.3833333333</v>
      </c>
      <c r="AQ31" s="11">
        <f t="shared" ref="AQ31:AQ33" si="7">SUM(AB31:AM31)</f>
        <v>1251071.1500000001</v>
      </c>
    </row>
    <row r="32" spans="2:65" x14ac:dyDescent="0.4">
      <c r="B32" s="155" t="str">
        <f t="shared" si="6"/>
        <v>Non-PHA Discount (Other discount)</v>
      </c>
      <c r="D32" s="208">
        <f>D$26*(1-'Assumptions and Inputs'!$C$106)</f>
        <v>141175.5</v>
      </c>
      <c r="E32" s="11">
        <f>E$26*(1-'Assumptions and Inputs'!$C$106)</f>
        <v>127424.25</v>
      </c>
      <c r="F32" s="11">
        <f>F$26*(1-'Assumptions and Inputs'!$C$106)</f>
        <v>119646.75</v>
      </c>
      <c r="G32" s="11">
        <f>G$26*(1-'Assumptions and Inputs'!$C$106)</f>
        <v>115450.5</v>
      </c>
      <c r="H32" s="11">
        <f>H$26*(1-'Assumptions and Inputs'!$C$106)</f>
        <v>105421.5</v>
      </c>
      <c r="I32" s="11">
        <f>I$26*(1-'Assumptions and Inputs'!$C$106)</f>
        <v>101490</v>
      </c>
      <c r="J32" s="11">
        <f>J$26*(1-'Assumptions and Inputs'!$C$106)</f>
        <v>105966</v>
      </c>
      <c r="K32" s="11">
        <f>K$26*(1-'Assumptions and Inputs'!$C$106)</f>
        <v>96198</v>
      </c>
      <c r="L32" s="11">
        <f>L$26*(1-'Assumptions and Inputs'!$C$106)</f>
        <v>106158</v>
      </c>
      <c r="M32" s="11">
        <f>M$26*(1-'Assumptions and Inputs'!$C$106)</f>
        <v>113733</v>
      </c>
      <c r="N32" s="11">
        <f>N$26*(1-'Assumptions and Inputs'!$C$106)</f>
        <v>117854.25</v>
      </c>
      <c r="O32" s="11">
        <f>O$26*(1-'Assumptions and Inputs'!$C$106)</f>
        <v>125829.75</v>
      </c>
      <c r="P32" s="11">
        <f>P$26*(1-'Assumptions and Inputs'!$C$106)</f>
        <v>121524.75</v>
      </c>
      <c r="Q32" s="11">
        <f>Q$26*(1-'Assumptions and Inputs'!$C$106)</f>
        <v>135810</v>
      </c>
      <c r="R32" s="11">
        <f>R$26*(1-'Assumptions and Inputs'!$C$106)</f>
        <v>98600.25</v>
      </c>
      <c r="S32" s="11">
        <f>S$26*(1-'Assumptions and Inputs'!$C$106)</f>
        <v>104265.75</v>
      </c>
      <c r="T32" s="11">
        <f>T$26*(1-'Assumptions and Inputs'!$C$106)</f>
        <v>111070.9375</v>
      </c>
      <c r="U32" s="11">
        <f>U$26*(1-'Assumptions and Inputs'!$C$106)</f>
        <v>111070.9375</v>
      </c>
      <c r="V32" s="11">
        <f>V$26*(1-'Assumptions and Inputs'!$C$106)</f>
        <v>111070.9375</v>
      </c>
      <c r="W32" s="11">
        <f>W$26*(1-'Assumptions and Inputs'!$C$106)</f>
        <v>111070.9375</v>
      </c>
      <c r="X32" s="11">
        <f>X$26*(1-'Assumptions and Inputs'!$C$106)</f>
        <v>111070.9375</v>
      </c>
      <c r="Y32" s="11">
        <f>Y$26*(1-'Assumptions and Inputs'!$C$106)</f>
        <v>111070.9375</v>
      </c>
      <c r="Z32" s="11">
        <f>Z$26*(1-'Assumptions and Inputs'!$C$106)</f>
        <v>111070.9375</v>
      </c>
      <c r="AA32" s="11">
        <f>AA$26*(1-'Assumptions and Inputs'!$C$106)</f>
        <v>111070.9375</v>
      </c>
      <c r="AB32" s="11">
        <f>AB$26*(1-'Assumptions and Inputs'!$C$106)</f>
        <v>111070.9375</v>
      </c>
      <c r="AC32" s="11">
        <f>AC$26*(1-'Assumptions and Inputs'!$C$106)</f>
        <v>111070.9375</v>
      </c>
      <c r="AD32" s="11">
        <f>AD$26*(1-'Assumptions and Inputs'!$C$106)</f>
        <v>111070.9375</v>
      </c>
      <c r="AE32" s="11">
        <f>AE$26*(1-'Assumptions and Inputs'!$C$106)</f>
        <v>111070.9375</v>
      </c>
      <c r="AF32" s="11">
        <f>AF$26*(1-'Assumptions and Inputs'!$C$106)</f>
        <v>111070.9375</v>
      </c>
      <c r="AG32" s="11">
        <f>AG$26*(1-'Assumptions and Inputs'!$C$106)</f>
        <v>111070.9375</v>
      </c>
      <c r="AH32" s="11">
        <f>AH$26*(1-'Assumptions and Inputs'!$C$106)</f>
        <v>111070.9375</v>
      </c>
      <c r="AI32" s="11">
        <f>AI$26*(1-'Assumptions and Inputs'!$C$106)</f>
        <v>111070.9375</v>
      </c>
      <c r="AJ32" s="11">
        <f>AJ$26*(1-'Assumptions and Inputs'!$C$106)</f>
        <v>111070.9375</v>
      </c>
      <c r="AK32" s="11">
        <f>AK$26*(1-'Assumptions and Inputs'!$C$106)</f>
        <v>111070.9375</v>
      </c>
      <c r="AL32" s="11">
        <f>AL$26*(1-'Assumptions and Inputs'!$C$106)</f>
        <v>111070.9375</v>
      </c>
      <c r="AM32" s="11">
        <f>AM$26*(1-'Assumptions and Inputs'!$C$106)</f>
        <v>111070.9375</v>
      </c>
      <c r="AN32" s="1"/>
      <c r="AO32" s="11">
        <f>AO$26*(1-'Assumptions and Inputs'!$C$106)</f>
        <v>1348768.2499999998</v>
      </c>
      <c r="AQ32" s="11">
        <f t="shared" si="7"/>
        <v>1332851.25</v>
      </c>
    </row>
    <row r="33" spans="2:65" x14ac:dyDescent="0.4">
      <c r="B33" s="155" t="str">
        <f t="shared" si="6"/>
        <v>No Additional Discount</v>
      </c>
      <c r="D33" s="208">
        <f>D27</f>
        <v>4606561</v>
      </c>
      <c r="E33" s="11">
        <f t="shared" ref="E33:AO33" si="8">E27</f>
        <v>4301915</v>
      </c>
      <c r="F33" s="11">
        <f t="shared" si="8"/>
        <v>3983679</v>
      </c>
      <c r="G33" s="11">
        <f t="shared" si="8"/>
        <v>4018382</v>
      </c>
      <c r="H33" s="11">
        <f t="shared" si="8"/>
        <v>4204897</v>
      </c>
      <c r="I33" s="11">
        <f t="shared" si="8"/>
        <v>3656723</v>
      </c>
      <c r="J33" s="11">
        <f t="shared" si="8"/>
        <v>3705848</v>
      </c>
      <c r="K33" s="11">
        <f t="shared" si="8"/>
        <v>3768623</v>
      </c>
      <c r="L33" s="11">
        <f t="shared" si="8"/>
        <v>3942518</v>
      </c>
      <c r="M33" s="11">
        <f t="shared" si="8"/>
        <v>4123420</v>
      </c>
      <c r="N33" s="11">
        <f t="shared" si="8"/>
        <v>4307512</v>
      </c>
      <c r="O33" s="11">
        <f t="shared" si="8"/>
        <v>4456512</v>
      </c>
      <c r="P33" s="11">
        <f t="shared" si="8"/>
        <v>4324158</v>
      </c>
      <c r="Q33" s="11">
        <f t="shared" si="8"/>
        <v>4440404</v>
      </c>
      <c r="R33" s="11">
        <f t="shared" si="8"/>
        <v>3355146</v>
      </c>
      <c r="S33" s="11">
        <f t="shared" si="8"/>
        <v>4051393</v>
      </c>
      <c r="T33" s="11">
        <f t="shared" si="8"/>
        <v>4028096.1666666665</v>
      </c>
      <c r="U33" s="11">
        <f t="shared" si="8"/>
        <v>4028096.1666666665</v>
      </c>
      <c r="V33" s="11">
        <f t="shared" si="8"/>
        <v>4028096.1666666665</v>
      </c>
      <c r="W33" s="11">
        <f t="shared" si="8"/>
        <v>4028096.1666666665</v>
      </c>
      <c r="X33" s="11">
        <f t="shared" si="8"/>
        <v>4028096.1666666665</v>
      </c>
      <c r="Y33" s="11">
        <f t="shared" si="8"/>
        <v>4028096.1666666665</v>
      </c>
      <c r="Z33" s="11">
        <f t="shared" si="8"/>
        <v>4028096.1666666665</v>
      </c>
      <c r="AA33" s="11">
        <f t="shared" si="8"/>
        <v>4028096.1666666665</v>
      </c>
      <c r="AB33" s="11">
        <f t="shared" ref="AB33:AM33" si="9">AB27</f>
        <v>4028096.1666666665</v>
      </c>
      <c r="AC33" s="11">
        <f t="shared" si="9"/>
        <v>4028096.1666666665</v>
      </c>
      <c r="AD33" s="11">
        <f t="shared" si="9"/>
        <v>4028096.1666666665</v>
      </c>
      <c r="AE33" s="11">
        <f t="shared" si="9"/>
        <v>4028096.1666666665</v>
      </c>
      <c r="AF33" s="11">
        <f t="shared" si="9"/>
        <v>4028096.1666666665</v>
      </c>
      <c r="AG33" s="11">
        <f t="shared" si="9"/>
        <v>4028096.1666666665</v>
      </c>
      <c r="AH33" s="11">
        <f t="shared" si="9"/>
        <v>4028096.1666666665</v>
      </c>
      <c r="AI33" s="11">
        <f t="shared" si="9"/>
        <v>4028096.1666666665</v>
      </c>
      <c r="AJ33" s="11">
        <f t="shared" si="9"/>
        <v>4028096.1666666665</v>
      </c>
      <c r="AK33" s="11">
        <f t="shared" si="9"/>
        <v>4028096.1666666665</v>
      </c>
      <c r="AL33" s="11">
        <f t="shared" si="9"/>
        <v>4028096.1666666665</v>
      </c>
      <c r="AM33" s="11">
        <f t="shared" si="9"/>
        <v>4028096.1666666665</v>
      </c>
      <c r="AN33" s="55"/>
      <c r="AO33" s="11">
        <f t="shared" si="8"/>
        <v>48395870.333333328</v>
      </c>
      <c r="AQ33" s="11">
        <f t="shared" si="7"/>
        <v>48337153.999999993</v>
      </c>
    </row>
    <row r="34" spans="2:65" x14ac:dyDescent="0.4">
      <c r="B34" s="155"/>
      <c r="D34" s="209"/>
      <c r="AS34" s="207"/>
    </row>
    <row r="35" spans="2:65" x14ac:dyDescent="0.4">
      <c r="B35" s="210" t="s">
        <v>125</v>
      </c>
      <c r="C35" s="188"/>
      <c r="D35" s="211">
        <f t="shared" ref="D35:O35" si="10">SUM(D21:D21)</f>
        <v>420544</v>
      </c>
      <c r="E35" s="55">
        <f t="shared" si="10"/>
        <v>409435</v>
      </c>
      <c r="F35" s="55">
        <f t="shared" si="10"/>
        <v>358125</v>
      </c>
      <c r="G35" s="55">
        <f t="shared" si="10"/>
        <v>382960</v>
      </c>
      <c r="H35" s="55">
        <f t="shared" si="10"/>
        <v>431332</v>
      </c>
      <c r="I35" s="55">
        <f t="shared" si="10"/>
        <v>362543</v>
      </c>
      <c r="J35" s="55">
        <f t="shared" si="10"/>
        <v>375751</v>
      </c>
      <c r="K35" s="55">
        <f t="shared" si="10"/>
        <v>382353</v>
      </c>
      <c r="L35" s="55">
        <f t="shared" si="10"/>
        <v>395758</v>
      </c>
      <c r="M35" s="55">
        <f t="shared" si="10"/>
        <v>419696</v>
      </c>
      <c r="N35" s="55">
        <f t="shared" si="10"/>
        <v>423997</v>
      </c>
      <c r="O35" s="55">
        <f t="shared" si="10"/>
        <v>450076</v>
      </c>
      <c r="P35" s="55">
        <f t="shared" ref="P35:AA35" si="11">SUM(P21:P21)</f>
        <v>444157</v>
      </c>
      <c r="Q35" s="55">
        <f t="shared" si="11"/>
        <v>466827</v>
      </c>
      <c r="R35" s="55">
        <f t="shared" si="11"/>
        <v>340206</v>
      </c>
      <c r="S35" s="55">
        <f t="shared" si="11"/>
        <v>453729</v>
      </c>
      <c r="T35" s="55">
        <f t="shared" si="11"/>
        <v>474801</v>
      </c>
      <c r="U35" s="55">
        <f t="shared" si="11"/>
        <v>423513</v>
      </c>
      <c r="V35" s="55">
        <f t="shared" si="11"/>
        <v>464349</v>
      </c>
      <c r="W35" s="55">
        <f t="shared" si="11"/>
        <v>447180.03987626272</v>
      </c>
      <c r="X35" s="55">
        <f t="shared" si="11"/>
        <v>447180.03987626272</v>
      </c>
      <c r="Y35" s="55">
        <f t="shared" si="11"/>
        <v>447180.03987626272</v>
      </c>
      <c r="Z35" s="55">
        <f t="shared" si="11"/>
        <v>447180.03987626272</v>
      </c>
      <c r="AA35" s="55">
        <f t="shared" si="11"/>
        <v>447180.03987626272</v>
      </c>
      <c r="AB35" s="55">
        <f t="shared" ref="AB35:AM35" si="12">SUM(AB21:AB21)</f>
        <v>447180.03987626272</v>
      </c>
      <c r="AC35" s="55">
        <f t="shared" si="12"/>
        <v>447180.03987626272</v>
      </c>
      <c r="AD35" s="55">
        <f t="shared" si="12"/>
        <v>447180.03987626272</v>
      </c>
      <c r="AE35" s="55">
        <f t="shared" si="12"/>
        <v>447180.03987626272</v>
      </c>
      <c r="AF35" s="55">
        <f t="shared" si="12"/>
        <v>447180.03987626272</v>
      </c>
      <c r="AG35" s="55">
        <f t="shared" si="12"/>
        <v>447180.03987626272</v>
      </c>
      <c r="AH35" s="55">
        <f t="shared" si="12"/>
        <v>447180.03987626272</v>
      </c>
      <c r="AI35" s="55">
        <f t="shared" si="12"/>
        <v>447180.03987626272</v>
      </c>
      <c r="AJ35" s="55">
        <f t="shared" si="12"/>
        <v>447180.03987626272</v>
      </c>
      <c r="AK35" s="55">
        <f t="shared" si="12"/>
        <v>447180.03987626272</v>
      </c>
      <c r="AL35" s="55">
        <f t="shared" si="12"/>
        <v>447180.03987626272</v>
      </c>
      <c r="AM35" s="55">
        <f t="shared" si="12"/>
        <v>447180.03987626272</v>
      </c>
      <c r="AO35" s="11">
        <f t="shared" ref="AO35:AO38" si="13">SUM(P35:AA35)</f>
        <v>5303482.1993813133</v>
      </c>
      <c r="AQ35" s="11">
        <f t="shared" ref="AQ35:AQ38" si="14">SUM(AB35:AM35)</f>
        <v>5366160.4785151528</v>
      </c>
      <c r="AS35" s="190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</row>
    <row r="36" spans="2:65" x14ac:dyDescent="0.4">
      <c r="B36" s="210" t="s">
        <v>127</v>
      </c>
      <c r="C36" s="212"/>
      <c r="D36" s="211">
        <f>SUM(D30:D33)</f>
        <v>4909219.95</v>
      </c>
      <c r="E36" s="55">
        <f t="shared" ref="E36:AA36" si="15">SUM(E30:E33)</f>
        <v>4581327.8</v>
      </c>
      <c r="F36" s="55">
        <f t="shared" si="15"/>
        <v>4247339.55</v>
      </c>
      <c r="G36" s="55">
        <f t="shared" si="15"/>
        <v>4280376.2</v>
      </c>
      <c r="H36" s="55">
        <f t="shared" si="15"/>
        <v>4469816.25</v>
      </c>
      <c r="I36" s="55">
        <f t="shared" si="15"/>
        <v>3899035.4</v>
      </c>
      <c r="J36" s="55">
        <f t="shared" si="15"/>
        <v>3949541.8</v>
      </c>
      <c r="K36" s="55">
        <f t="shared" si="15"/>
        <v>3998412.15</v>
      </c>
      <c r="L36" s="55">
        <f t="shared" si="15"/>
        <v>4198236.9000000004</v>
      </c>
      <c r="M36" s="55">
        <f t="shared" si="15"/>
        <v>4373855.5</v>
      </c>
      <c r="N36" s="55">
        <f t="shared" si="15"/>
        <v>4568090.45</v>
      </c>
      <c r="O36" s="55">
        <f t="shared" si="15"/>
        <v>4727096.25</v>
      </c>
      <c r="P36" s="55">
        <f t="shared" si="15"/>
        <v>4587553.5</v>
      </c>
      <c r="Q36" s="55">
        <f t="shared" si="15"/>
        <v>4715609.4000000004</v>
      </c>
      <c r="R36" s="55">
        <f t="shared" si="15"/>
        <v>3572890.35</v>
      </c>
      <c r="S36" s="55">
        <f t="shared" si="15"/>
        <v>4292253.7</v>
      </c>
      <c r="T36" s="55">
        <f t="shared" si="15"/>
        <v>4279365.9708333332</v>
      </c>
      <c r="U36" s="55">
        <f t="shared" si="15"/>
        <v>4279365.9708333332</v>
      </c>
      <c r="V36" s="55">
        <f t="shared" si="15"/>
        <v>4279365.9708333332</v>
      </c>
      <c r="W36" s="55">
        <f t="shared" si="15"/>
        <v>4279365.9708333332</v>
      </c>
      <c r="X36" s="55">
        <f t="shared" si="15"/>
        <v>4279365.9708333332</v>
      </c>
      <c r="Y36" s="55">
        <f t="shared" si="15"/>
        <v>4279365.9708333332</v>
      </c>
      <c r="Z36" s="55">
        <f t="shared" si="15"/>
        <v>4279365.9708333332</v>
      </c>
      <c r="AA36" s="55">
        <f t="shared" si="15"/>
        <v>4279365.9708333332</v>
      </c>
      <c r="AB36" s="55">
        <f t="shared" ref="AB36:AM36" si="16">SUM(AB30:AB33)</f>
        <v>4279365.9708333332</v>
      </c>
      <c r="AC36" s="55">
        <f t="shared" si="16"/>
        <v>4279365.9708333332</v>
      </c>
      <c r="AD36" s="55">
        <f t="shared" si="16"/>
        <v>4279365.9708333332</v>
      </c>
      <c r="AE36" s="55">
        <f t="shared" si="16"/>
        <v>4279365.9708333332</v>
      </c>
      <c r="AF36" s="55">
        <f t="shared" si="16"/>
        <v>4279365.9708333332</v>
      </c>
      <c r="AG36" s="55">
        <f t="shared" si="16"/>
        <v>4279365.9708333332</v>
      </c>
      <c r="AH36" s="55">
        <f t="shared" si="16"/>
        <v>4279365.9708333332</v>
      </c>
      <c r="AI36" s="55">
        <f t="shared" si="16"/>
        <v>4279365.9708333332</v>
      </c>
      <c r="AJ36" s="55">
        <f t="shared" si="16"/>
        <v>4279365.9708333332</v>
      </c>
      <c r="AK36" s="55">
        <f t="shared" si="16"/>
        <v>4279365.9708333332</v>
      </c>
      <c r="AL36" s="55">
        <f t="shared" si="16"/>
        <v>4279365.9708333332</v>
      </c>
      <c r="AM36" s="55">
        <f t="shared" si="16"/>
        <v>4279365.9708333332</v>
      </c>
      <c r="AO36" s="11">
        <f t="shared" si="13"/>
        <v>51403234.716666654</v>
      </c>
      <c r="AQ36" s="11">
        <f t="shared" si="14"/>
        <v>51352391.649999984</v>
      </c>
      <c r="AS36" s="213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</row>
    <row r="37" spans="2:65" x14ac:dyDescent="0.4">
      <c r="B37" s="210"/>
      <c r="D37" s="211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</row>
    <row r="38" spans="2:65" x14ac:dyDescent="0.4">
      <c r="B38" s="35" t="s">
        <v>131</v>
      </c>
      <c r="D38" s="211">
        <f t="shared" ref="D38:O38" si="17">SUM(D35:D36)</f>
        <v>5329763.95</v>
      </c>
      <c r="E38" s="55">
        <f t="shared" si="17"/>
        <v>4990762.8</v>
      </c>
      <c r="F38" s="55">
        <f t="shared" si="17"/>
        <v>4605464.55</v>
      </c>
      <c r="G38" s="55">
        <f t="shared" si="17"/>
        <v>4663336.2</v>
      </c>
      <c r="H38" s="55">
        <f t="shared" si="17"/>
        <v>4901148.25</v>
      </c>
      <c r="I38" s="55">
        <f t="shared" si="17"/>
        <v>4261578.4000000004</v>
      </c>
      <c r="J38" s="55">
        <f t="shared" si="17"/>
        <v>4325292.8</v>
      </c>
      <c r="K38" s="55">
        <f t="shared" si="17"/>
        <v>4380765.1500000004</v>
      </c>
      <c r="L38" s="55">
        <f t="shared" si="17"/>
        <v>4593994.9000000004</v>
      </c>
      <c r="M38" s="55">
        <f t="shared" si="17"/>
        <v>4793551.5</v>
      </c>
      <c r="N38" s="55">
        <f t="shared" si="17"/>
        <v>4992087.45</v>
      </c>
      <c r="O38" s="55">
        <f t="shared" si="17"/>
        <v>5177172.25</v>
      </c>
      <c r="P38" s="55">
        <f t="shared" ref="P38:AA38" si="18">SUM(P35:P36)</f>
        <v>5031710.5</v>
      </c>
      <c r="Q38" s="55">
        <f t="shared" si="18"/>
        <v>5182436.4000000004</v>
      </c>
      <c r="R38" s="55">
        <f t="shared" si="18"/>
        <v>3913096.35</v>
      </c>
      <c r="S38" s="55">
        <f t="shared" si="18"/>
        <v>4745982.7</v>
      </c>
      <c r="T38" s="55">
        <f t="shared" si="18"/>
        <v>4754166.9708333332</v>
      </c>
      <c r="U38" s="55">
        <f t="shared" si="18"/>
        <v>4702878.9708333332</v>
      </c>
      <c r="V38" s="55">
        <f t="shared" si="18"/>
        <v>4743714.9708333332</v>
      </c>
      <c r="W38" s="55">
        <f t="shared" si="18"/>
        <v>4726546.0107095959</v>
      </c>
      <c r="X38" s="55">
        <f t="shared" si="18"/>
        <v>4726546.0107095959</v>
      </c>
      <c r="Y38" s="55">
        <f t="shared" si="18"/>
        <v>4726546.0107095959</v>
      </c>
      <c r="Z38" s="55">
        <f t="shared" si="18"/>
        <v>4726546.0107095959</v>
      </c>
      <c r="AA38" s="55">
        <f t="shared" si="18"/>
        <v>4726546.0107095959</v>
      </c>
      <c r="AB38" s="55">
        <f t="shared" ref="AB38:AM38" si="19">SUM(AB35:AB36)</f>
        <v>4726546.0107095959</v>
      </c>
      <c r="AC38" s="55">
        <f t="shared" si="19"/>
        <v>4726546.0107095959</v>
      </c>
      <c r="AD38" s="55">
        <f t="shared" si="19"/>
        <v>4726546.0107095959</v>
      </c>
      <c r="AE38" s="55">
        <f t="shared" si="19"/>
        <v>4726546.0107095959</v>
      </c>
      <c r="AF38" s="55">
        <f t="shared" si="19"/>
        <v>4726546.0107095959</v>
      </c>
      <c r="AG38" s="55">
        <f t="shared" si="19"/>
        <v>4726546.0107095959</v>
      </c>
      <c r="AH38" s="55">
        <f t="shared" si="19"/>
        <v>4726546.0107095959</v>
      </c>
      <c r="AI38" s="55">
        <f t="shared" si="19"/>
        <v>4726546.0107095959</v>
      </c>
      <c r="AJ38" s="55">
        <f t="shared" si="19"/>
        <v>4726546.0107095959</v>
      </c>
      <c r="AK38" s="55">
        <f t="shared" si="19"/>
        <v>4726546.0107095959</v>
      </c>
      <c r="AL38" s="55">
        <f t="shared" si="19"/>
        <v>4726546.0107095959</v>
      </c>
      <c r="AM38" s="55">
        <f t="shared" si="19"/>
        <v>4726546.0107095959</v>
      </c>
      <c r="AO38" s="11">
        <f t="shared" si="13"/>
        <v>56706716.91604799</v>
      </c>
      <c r="AQ38" s="11">
        <f t="shared" si="14"/>
        <v>56718552.128515162</v>
      </c>
    </row>
    <row r="39" spans="2:65" x14ac:dyDescent="0.4">
      <c r="B39" s="35"/>
      <c r="D39" s="211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2:65" x14ac:dyDescent="0.4">
      <c r="B40" s="35" t="s">
        <v>132</v>
      </c>
      <c r="D40" s="211">
        <f t="shared" ref="D40:O40" si="20">D36</f>
        <v>4909219.95</v>
      </c>
      <c r="E40" s="55">
        <f t="shared" si="20"/>
        <v>4581327.8</v>
      </c>
      <c r="F40" s="55">
        <f t="shared" si="20"/>
        <v>4247339.55</v>
      </c>
      <c r="G40" s="55">
        <f t="shared" si="20"/>
        <v>4280376.2</v>
      </c>
      <c r="H40" s="55">
        <f t="shared" si="20"/>
        <v>4469816.25</v>
      </c>
      <c r="I40" s="55">
        <f t="shared" si="20"/>
        <v>3899035.4</v>
      </c>
      <c r="J40" s="55">
        <f t="shared" si="20"/>
        <v>3949541.8</v>
      </c>
      <c r="K40" s="55">
        <f t="shared" si="20"/>
        <v>3998412.15</v>
      </c>
      <c r="L40" s="55">
        <f t="shared" si="20"/>
        <v>4198236.9000000004</v>
      </c>
      <c r="M40" s="55">
        <f t="shared" si="20"/>
        <v>4373855.5</v>
      </c>
      <c r="N40" s="55">
        <f t="shared" si="20"/>
        <v>4568090.45</v>
      </c>
      <c r="O40" s="55">
        <f t="shared" si="20"/>
        <v>4727096.25</v>
      </c>
      <c r="P40" s="55">
        <f t="shared" ref="P40:AA40" si="21">P36</f>
        <v>4587553.5</v>
      </c>
      <c r="Q40" s="55">
        <f t="shared" si="21"/>
        <v>4715609.4000000004</v>
      </c>
      <c r="R40" s="55">
        <f t="shared" si="21"/>
        <v>3572890.35</v>
      </c>
      <c r="S40" s="55">
        <f t="shared" si="21"/>
        <v>4292253.7</v>
      </c>
      <c r="T40" s="55">
        <f t="shared" si="21"/>
        <v>4279365.9708333332</v>
      </c>
      <c r="U40" s="55">
        <f t="shared" si="21"/>
        <v>4279365.9708333332</v>
      </c>
      <c r="V40" s="55">
        <f t="shared" si="21"/>
        <v>4279365.9708333332</v>
      </c>
      <c r="W40" s="55">
        <f t="shared" si="21"/>
        <v>4279365.9708333332</v>
      </c>
      <c r="X40" s="55">
        <f t="shared" si="21"/>
        <v>4279365.9708333332</v>
      </c>
      <c r="Y40" s="55">
        <f t="shared" si="21"/>
        <v>4279365.9708333332</v>
      </c>
      <c r="Z40" s="55">
        <f t="shared" si="21"/>
        <v>4279365.9708333332</v>
      </c>
      <c r="AA40" s="55">
        <f t="shared" si="21"/>
        <v>4279365.9708333332</v>
      </c>
      <c r="AB40" s="55">
        <f t="shared" ref="AB40:AM40" si="22">AB36</f>
        <v>4279365.9708333332</v>
      </c>
      <c r="AC40" s="55">
        <f t="shared" si="22"/>
        <v>4279365.9708333332</v>
      </c>
      <c r="AD40" s="55">
        <f t="shared" si="22"/>
        <v>4279365.9708333332</v>
      </c>
      <c r="AE40" s="55">
        <f t="shared" si="22"/>
        <v>4279365.9708333332</v>
      </c>
      <c r="AF40" s="55">
        <f t="shared" si="22"/>
        <v>4279365.9708333332</v>
      </c>
      <c r="AG40" s="55">
        <f t="shared" si="22"/>
        <v>4279365.9708333332</v>
      </c>
      <c r="AH40" s="55">
        <f t="shared" si="22"/>
        <v>4279365.9708333332</v>
      </c>
      <c r="AI40" s="55">
        <f t="shared" si="22"/>
        <v>4279365.9708333332</v>
      </c>
      <c r="AJ40" s="55">
        <f t="shared" si="22"/>
        <v>4279365.9708333332</v>
      </c>
      <c r="AK40" s="55">
        <f t="shared" si="22"/>
        <v>4279365.9708333332</v>
      </c>
      <c r="AL40" s="55">
        <f t="shared" si="22"/>
        <v>4279365.9708333332</v>
      </c>
      <c r="AM40" s="55">
        <f t="shared" si="22"/>
        <v>4279365.9708333332</v>
      </c>
      <c r="AO40" s="11">
        <f t="shared" ref="AO40" si="23">SUM(P40:AA40)</f>
        <v>51403234.716666654</v>
      </c>
      <c r="AQ40" s="11">
        <f>SUM(AB40:AM40)</f>
        <v>51352391.649999984</v>
      </c>
      <c r="AZ40" s="55"/>
      <c r="BA40" s="55"/>
      <c r="BB40" s="55"/>
      <c r="BC40" s="55"/>
      <c r="BD40" s="55"/>
    </row>
    <row r="41" spans="2:65" x14ac:dyDescent="0.4">
      <c r="B41" s="3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Z41" s="9"/>
      <c r="BA41" s="9"/>
      <c r="BB41" s="9"/>
      <c r="BC41" s="9"/>
      <c r="BD41" s="9"/>
      <c r="BH41" s="9"/>
      <c r="BI41" s="11"/>
    </row>
    <row r="42" spans="2:65" x14ac:dyDescent="0.4">
      <c r="D42" s="55"/>
      <c r="E42" s="55"/>
      <c r="F42" s="55"/>
      <c r="G42" s="55"/>
      <c r="H42" s="55"/>
    </row>
    <row r="43" spans="2:65" x14ac:dyDescent="0.4">
      <c r="B43" s="214" t="s">
        <v>133</v>
      </c>
      <c r="C43" s="215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8"/>
      <c r="AO43" s="218"/>
      <c r="AP43" s="218"/>
      <c r="AQ43" s="218"/>
      <c r="AR43" s="218"/>
      <c r="AS43" s="216"/>
      <c r="AT43" s="216"/>
    </row>
    <row r="44" spans="2:65" x14ac:dyDescent="0.4"/>
    <row r="45" spans="2:65" x14ac:dyDescent="0.4">
      <c r="B45" s="183" t="s">
        <v>125</v>
      </c>
      <c r="C45" s="184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3"/>
      <c r="AS45" s="205" t="s">
        <v>315</v>
      </c>
      <c r="AT45" s="183"/>
    </row>
    <row r="46" spans="2:65" x14ac:dyDescent="0.4">
      <c r="B46" s="155" t="s">
        <v>125</v>
      </c>
      <c r="D46" s="206">
        <v>420198</v>
      </c>
      <c r="E46" s="206">
        <v>409059</v>
      </c>
      <c r="F46" s="206">
        <v>357784</v>
      </c>
      <c r="G46" s="206">
        <v>382625</v>
      </c>
      <c r="H46" s="248">
        <f>[1]TRR_Projections!Z11</f>
        <v>431025</v>
      </c>
      <c r="I46" s="248">
        <f>[1]TRR_Projections!AA11</f>
        <v>362258</v>
      </c>
      <c r="J46" s="248">
        <f>[1]TRR_Projections!AB11</f>
        <v>375462</v>
      </c>
      <c r="K46" s="248">
        <f>[1]TRR_Projections!AC11</f>
        <v>382075</v>
      </c>
      <c r="L46" s="248">
        <f>[1]TRR_Projections!AD11</f>
        <v>395427</v>
      </c>
      <c r="M46" s="248">
        <f>[1]TRR_Projections!AE11</f>
        <v>419359</v>
      </c>
      <c r="N46" s="248">
        <f>[1]TRR_Projections!AF11</f>
        <v>423626</v>
      </c>
      <c r="O46" s="248">
        <f>[1]TRR_Projections!AG11</f>
        <v>449771</v>
      </c>
      <c r="P46" s="248">
        <f>[1]TRR_Projections!AH11</f>
        <v>443876</v>
      </c>
      <c r="Q46" s="248">
        <f>[1]TRR_Projections!AI11</f>
        <v>466528</v>
      </c>
      <c r="R46" s="248">
        <f>[1]TRR_Projections!AJ11</f>
        <v>339938</v>
      </c>
      <c r="S46" s="248">
        <f>[1]TRR_Projections!AK11</f>
        <v>453388</v>
      </c>
      <c r="T46" s="248">
        <f>[1]TRR_Projections!AL11</f>
        <v>474423</v>
      </c>
      <c r="U46" s="248">
        <f>[1]TRR_Projections!AM11</f>
        <v>423187</v>
      </c>
      <c r="V46" s="248">
        <f>[1]TRR_Projections!AN11</f>
        <v>463972</v>
      </c>
      <c r="W46" s="248">
        <f>[1]TRR_Projections!AO11</f>
        <v>447180.03987626272</v>
      </c>
      <c r="X46" s="248">
        <f>[1]TRR_Projections!AP11</f>
        <v>447180.03987626272</v>
      </c>
      <c r="Y46" s="248">
        <f>[1]TRR_Projections!AQ11</f>
        <v>447180.03987626272</v>
      </c>
      <c r="Z46" s="248">
        <f>[1]TRR_Projections!AR11</f>
        <v>447180.03987626272</v>
      </c>
      <c r="AA46" s="248">
        <f>[1]TRR_Projections!AS11</f>
        <v>447180.03987626272</v>
      </c>
      <c r="AB46" s="248">
        <f>[1]TRR_Projections!AT11</f>
        <v>447180.03987626272</v>
      </c>
      <c r="AC46" s="248">
        <f>[1]TRR_Projections!AU11</f>
        <v>447180.03987626272</v>
      </c>
      <c r="AD46" s="248">
        <f>[1]TRR_Projections!AV11</f>
        <v>447180.03987626272</v>
      </c>
      <c r="AE46" s="248">
        <f>[1]TRR_Projections!AW11</f>
        <v>447180.03987626272</v>
      </c>
      <c r="AF46" s="248">
        <f>[1]TRR_Projections!AX11</f>
        <v>447180.03987626272</v>
      </c>
      <c r="AG46" s="248">
        <f>[1]TRR_Projections!AY11</f>
        <v>447180.03987626272</v>
      </c>
      <c r="AH46" s="248">
        <f>[1]TRR_Projections!AZ11</f>
        <v>447180.03987626272</v>
      </c>
      <c r="AI46" s="248">
        <f>[1]TRR_Projections!BA11</f>
        <v>447180.03987626272</v>
      </c>
      <c r="AJ46" s="248">
        <f>[1]TRR_Projections!BB11</f>
        <v>447180.03987626272</v>
      </c>
      <c r="AK46" s="248">
        <f>[1]TRR_Projections!BC11</f>
        <v>447180.03987626272</v>
      </c>
      <c r="AL46" s="248">
        <f>[1]TRR_Projections!BD11</f>
        <v>447180.03987626272</v>
      </c>
      <c r="AM46" s="248">
        <f>[1]TRR_Projections!BE11</f>
        <v>447180.03987626272</v>
      </c>
      <c r="AO46" s="11">
        <f t="shared" ref="AO46" si="24">SUM(P46:AA46)</f>
        <v>5301212.1993813133</v>
      </c>
      <c r="AQ46" s="11">
        <f t="shared" ref="AQ46" si="25">SUM(AB46:AM46)</f>
        <v>5366160.4785151528</v>
      </c>
      <c r="AS46" s="245">
        <f>SUM(H46:AM46)</f>
        <v>13906375.677896477</v>
      </c>
      <c r="AT46" s="1" t="s">
        <v>118</v>
      </c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</row>
    <row r="47" spans="2:65" x14ac:dyDescent="0.4"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S47" s="245"/>
    </row>
    <row r="48" spans="2:65" x14ac:dyDescent="0.4">
      <c r="B48" s="183" t="s">
        <v>127</v>
      </c>
      <c r="C48" s="184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3"/>
      <c r="AS48" s="205" t="s">
        <v>316</v>
      </c>
      <c r="AT48" s="183"/>
    </row>
    <row r="49" spans="2:61" x14ac:dyDescent="0.4">
      <c r="B49" s="155" t="s">
        <v>86</v>
      </c>
      <c r="D49" s="206">
        <v>57492</v>
      </c>
      <c r="E49" s="206">
        <v>52566</v>
      </c>
      <c r="F49" s="206">
        <v>46996</v>
      </c>
      <c r="G49" s="206">
        <v>49358</v>
      </c>
      <c r="H49" s="206">
        <v>59062</v>
      </c>
      <c r="I49" s="206">
        <v>48427</v>
      </c>
      <c r="J49" s="206">
        <v>49880</v>
      </c>
      <c r="K49" s="206">
        <v>47466</v>
      </c>
      <c r="L49" s="206">
        <v>47208</v>
      </c>
      <c r="M49" s="206">
        <v>47485</v>
      </c>
      <c r="N49" s="206">
        <v>47519</v>
      </c>
      <c r="O49" s="206">
        <v>49640</v>
      </c>
      <c r="P49" s="206">
        <v>47240</v>
      </c>
      <c r="Q49" s="206">
        <v>49276</v>
      </c>
      <c r="R49" s="206">
        <v>34334</v>
      </c>
      <c r="S49" s="206">
        <v>47051</v>
      </c>
      <c r="T49" s="55">
        <f>AVERAGE($H49:$S49)</f>
        <v>47882.333333333336</v>
      </c>
      <c r="U49" s="55">
        <f t="shared" ref="U49:AM51" si="26">AVERAGE($H49:$S49)</f>
        <v>47882.333333333336</v>
      </c>
      <c r="V49" s="55">
        <f t="shared" si="26"/>
        <v>47882.333333333336</v>
      </c>
      <c r="W49" s="55">
        <f t="shared" si="26"/>
        <v>47882.333333333336</v>
      </c>
      <c r="X49" s="55">
        <f t="shared" si="26"/>
        <v>47882.333333333336</v>
      </c>
      <c r="Y49" s="55">
        <f t="shared" si="26"/>
        <v>47882.333333333336</v>
      </c>
      <c r="Z49" s="55">
        <f t="shared" si="26"/>
        <v>47882.333333333336</v>
      </c>
      <c r="AA49" s="55">
        <f t="shared" si="26"/>
        <v>47882.333333333336</v>
      </c>
      <c r="AB49" s="55">
        <f t="shared" si="26"/>
        <v>47882.333333333336</v>
      </c>
      <c r="AC49" s="55">
        <f t="shared" si="26"/>
        <v>47882.333333333336</v>
      </c>
      <c r="AD49" s="55">
        <f t="shared" si="26"/>
        <v>47882.333333333336</v>
      </c>
      <c r="AE49" s="55">
        <f t="shared" si="26"/>
        <v>47882.333333333336</v>
      </c>
      <c r="AF49" s="55">
        <f t="shared" si="26"/>
        <v>47882.333333333336</v>
      </c>
      <c r="AG49" s="55">
        <f t="shared" si="26"/>
        <v>47882.333333333336</v>
      </c>
      <c r="AH49" s="55">
        <f t="shared" si="26"/>
        <v>47882.333333333336</v>
      </c>
      <c r="AI49" s="55">
        <f t="shared" si="26"/>
        <v>47882.333333333336</v>
      </c>
      <c r="AJ49" s="55">
        <f t="shared" si="26"/>
        <v>47882.333333333336</v>
      </c>
      <c r="AK49" s="55">
        <f t="shared" si="26"/>
        <v>47882.333333333336</v>
      </c>
      <c r="AL49" s="55">
        <f t="shared" si="26"/>
        <v>47882.333333333336</v>
      </c>
      <c r="AM49" s="55">
        <f t="shared" si="26"/>
        <v>47882.333333333336</v>
      </c>
      <c r="AN49" s="55"/>
      <c r="AO49" s="11">
        <f>SUM(P49:AA49)</f>
        <v>560959.66666666663</v>
      </c>
      <c r="AQ49" s="11">
        <f t="shared" ref="AQ49:AQ52" si="27">SUM(AB49:AM49)</f>
        <v>574588</v>
      </c>
      <c r="AT49" s="1" t="s">
        <v>128</v>
      </c>
      <c r="AZ49" s="55"/>
      <c r="BA49" s="55"/>
      <c r="BB49" s="55"/>
      <c r="BD49" s="55"/>
    </row>
    <row r="50" spans="2:61" x14ac:dyDescent="0.4">
      <c r="B50" s="155" t="s">
        <v>88</v>
      </c>
      <c r="D50" s="206">
        <v>124482</v>
      </c>
      <c r="E50" s="206">
        <v>118425</v>
      </c>
      <c r="F50" s="206">
        <v>114421</v>
      </c>
      <c r="G50" s="206">
        <v>115054</v>
      </c>
      <c r="H50" s="206">
        <v>121204</v>
      </c>
      <c r="I50" s="206">
        <v>109935</v>
      </c>
      <c r="J50" s="206">
        <v>105516</v>
      </c>
      <c r="K50" s="206">
        <v>103076</v>
      </c>
      <c r="L50" s="206">
        <v>120074</v>
      </c>
      <c r="M50" s="206">
        <v>106299</v>
      </c>
      <c r="N50" s="206">
        <v>112615</v>
      </c>
      <c r="O50" s="206">
        <v>113065</v>
      </c>
      <c r="P50" s="206">
        <v>111914</v>
      </c>
      <c r="Q50" s="206">
        <v>107701</v>
      </c>
      <c r="R50" s="206">
        <v>98204</v>
      </c>
      <c r="S50" s="206">
        <v>106537</v>
      </c>
      <c r="T50" s="55">
        <f>AVERAGE($H50:$S50)</f>
        <v>109678.33333333333</v>
      </c>
      <c r="U50" s="55">
        <f t="shared" si="26"/>
        <v>109678.33333333333</v>
      </c>
      <c r="V50" s="55">
        <f t="shared" si="26"/>
        <v>109678.33333333333</v>
      </c>
      <c r="W50" s="55">
        <f t="shared" si="26"/>
        <v>109678.33333333333</v>
      </c>
      <c r="X50" s="55">
        <f t="shared" si="26"/>
        <v>109678.33333333333</v>
      </c>
      <c r="Y50" s="55">
        <f t="shared" si="26"/>
        <v>109678.33333333333</v>
      </c>
      <c r="Z50" s="55">
        <f t="shared" si="26"/>
        <v>109678.33333333333</v>
      </c>
      <c r="AA50" s="55">
        <f t="shared" si="26"/>
        <v>109678.33333333333</v>
      </c>
      <c r="AB50" s="55">
        <f t="shared" si="26"/>
        <v>109678.33333333333</v>
      </c>
      <c r="AC50" s="55">
        <f t="shared" si="26"/>
        <v>109678.33333333333</v>
      </c>
      <c r="AD50" s="55">
        <f t="shared" si="26"/>
        <v>109678.33333333333</v>
      </c>
      <c r="AE50" s="55">
        <f t="shared" si="26"/>
        <v>109678.33333333333</v>
      </c>
      <c r="AF50" s="55">
        <f t="shared" si="26"/>
        <v>109678.33333333333</v>
      </c>
      <c r="AG50" s="55">
        <f t="shared" si="26"/>
        <v>109678.33333333333</v>
      </c>
      <c r="AH50" s="55">
        <f t="shared" si="26"/>
        <v>109678.33333333333</v>
      </c>
      <c r="AI50" s="55">
        <f t="shared" si="26"/>
        <v>109678.33333333333</v>
      </c>
      <c r="AJ50" s="55">
        <f t="shared" si="26"/>
        <v>109678.33333333333</v>
      </c>
      <c r="AK50" s="55">
        <f t="shared" si="26"/>
        <v>109678.33333333333</v>
      </c>
      <c r="AL50" s="55">
        <f t="shared" si="26"/>
        <v>109678.33333333333</v>
      </c>
      <c r="AM50" s="55">
        <f t="shared" si="26"/>
        <v>109678.33333333333</v>
      </c>
      <c r="AN50" s="55"/>
      <c r="AO50" s="11">
        <f>SUM(P50:AA50)</f>
        <v>1301782.6666666667</v>
      </c>
      <c r="AQ50" s="11">
        <f t="shared" si="27"/>
        <v>1316140</v>
      </c>
      <c r="AT50" s="1" t="s">
        <v>128</v>
      </c>
      <c r="AZ50" s="55"/>
      <c r="BA50" s="55"/>
      <c r="BB50" s="55"/>
      <c r="BD50" s="55"/>
    </row>
    <row r="51" spans="2:61" x14ac:dyDescent="0.4">
      <c r="B51" s="155" t="s">
        <v>91</v>
      </c>
      <c r="D51" s="206">
        <v>187071</v>
      </c>
      <c r="E51" s="206">
        <v>166072</v>
      </c>
      <c r="F51" s="206">
        <v>158850</v>
      </c>
      <c r="G51" s="206">
        <v>153506</v>
      </c>
      <c r="H51" s="206">
        <v>140047</v>
      </c>
      <c r="I51" s="206">
        <v>134746</v>
      </c>
      <c r="J51" s="206">
        <v>140696</v>
      </c>
      <c r="K51" s="206">
        <v>127647</v>
      </c>
      <c r="L51" s="206">
        <v>140608</v>
      </c>
      <c r="M51" s="206">
        <v>150750</v>
      </c>
      <c r="N51" s="206">
        <v>155946</v>
      </c>
      <c r="O51" s="206">
        <v>166612</v>
      </c>
      <c r="P51" s="206">
        <v>161087</v>
      </c>
      <c r="Q51" s="206">
        <v>177711</v>
      </c>
      <c r="R51" s="206">
        <v>130613</v>
      </c>
      <c r="S51" s="206">
        <v>138255</v>
      </c>
      <c r="T51" s="55">
        <f>AVERAGE($H51:$S51)</f>
        <v>147059.83333333334</v>
      </c>
      <c r="U51" s="55">
        <f t="shared" si="26"/>
        <v>147059.83333333334</v>
      </c>
      <c r="V51" s="55">
        <f t="shared" si="26"/>
        <v>147059.83333333334</v>
      </c>
      <c r="W51" s="55">
        <f t="shared" si="26"/>
        <v>147059.83333333334</v>
      </c>
      <c r="X51" s="55">
        <f t="shared" si="26"/>
        <v>147059.83333333334</v>
      </c>
      <c r="Y51" s="55">
        <f t="shared" si="26"/>
        <v>147059.83333333334</v>
      </c>
      <c r="Z51" s="55">
        <f t="shared" si="26"/>
        <v>147059.83333333334</v>
      </c>
      <c r="AA51" s="55">
        <f t="shared" si="26"/>
        <v>147059.83333333334</v>
      </c>
      <c r="AB51" s="55">
        <f t="shared" si="26"/>
        <v>147059.83333333334</v>
      </c>
      <c r="AC51" s="55">
        <f t="shared" si="26"/>
        <v>147059.83333333334</v>
      </c>
      <c r="AD51" s="55">
        <f t="shared" si="26"/>
        <v>147059.83333333334</v>
      </c>
      <c r="AE51" s="55">
        <f t="shared" si="26"/>
        <v>147059.83333333334</v>
      </c>
      <c r="AF51" s="55">
        <f t="shared" si="26"/>
        <v>147059.83333333334</v>
      </c>
      <c r="AG51" s="55">
        <f t="shared" si="26"/>
        <v>147059.83333333334</v>
      </c>
      <c r="AH51" s="55">
        <f t="shared" si="26"/>
        <v>147059.83333333334</v>
      </c>
      <c r="AI51" s="55">
        <f t="shared" si="26"/>
        <v>147059.83333333334</v>
      </c>
      <c r="AJ51" s="55">
        <f t="shared" si="26"/>
        <v>147059.83333333334</v>
      </c>
      <c r="AK51" s="55">
        <f t="shared" si="26"/>
        <v>147059.83333333334</v>
      </c>
      <c r="AL51" s="55">
        <f t="shared" si="26"/>
        <v>147059.83333333334</v>
      </c>
      <c r="AM51" s="55">
        <f t="shared" si="26"/>
        <v>147059.83333333334</v>
      </c>
      <c r="AN51" s="55"/>
      <c r="AO51" s="11">
        <f>SUM(P51:AA51)</f>
        <v>1784144.6666666663</v>
      </c>
      <c r="AQ51" s="11">
        <f t="shared" si="27"/>
        <v>1764717.9999999998</v>
      </c>
      <c r="AT51" s="1" t="s">
        <v>128</v>
      </c>
      <c r="AZ51" s="55"/>
      <c r="BA51" s="55"/>
      <c r="BB51" s="55"/>
      <c r="BD51" s="55"/>
    </row>
    <row r="52" spans="2:61" x14ac:dyDescent="0.4">
      <c r="B52" s="155" t="s">
        <v>129</v>
      </c>
      <c r="D52" s="206">
        <v>4308515</v>
      </c>
      <c r="E52" s="206">
        <v>4030241</v>
      </c>
      <c r="F52" s="206">
        <v>3749907</v>
      </c>
      <c r="G52" s="206">
        <v>3805145</v>
      </c>
      <c r="H52" s="206">
        <v>3982176</v>
      </c>
      <c r="I52" s="206">
        <v>3499562</v>
      </c>
      <c r="J52" s="206">
        <v>3487132</v>
      </c>
      <c r="K52" s="206">
        <v>3580867</v>
      </c>
      <c r="L52" s="206">
        <v>3702734</v>
      </c>
      <c r="M52" s="206">
        <v>3879586</v>
      </c>
      <c r="N52" s="206">
        <v>4015717</v>
      </c>
      <c r="O52" s="206">
        <v>4163784</v>
      </c>
      <c r="P52" s="206">
        <v>4045984</v>
      </c>
      <c r="Q52" s="206">
        <v>4168231</v>
      </c>
      <c r="R52" s="206">
        <v>3149891</v>
      </c>
      <c r="S52" s="206">
        <v>3868382</v>
      </c>
      <c r="T52" s="55">
        <f>AVERAGE($H52:$S52)</f>
        <v>3795337.1666666665</v>
      </c>
      <c r="U52" s="55">
        <f t="shared" ref="U52:AM52" si="28">AVERAGE($H52:$S52)</f>
        <v>3795337.1666666665</v>
      </c>
      <c r="V52" s="55">
        <f t="shared" si="28"/>
        <v>3795337.1666666665</v>
      </c>
      <c r="W52" s="55">
        <f t="shared" si="28"/>
        <v>3795337.1666666665</v>
      </c>
      <c r="X52" s="55">
        <f t="shared" si="28"/>
        <v>3795337.1666666665</v>
      </c>
      <c r="Y52" s="55">
        <f t="shared" si="28"/>
        <v>3795337.1666666665</v>
      </c>
      <c r="Z52" s="55">
        <f t="shared" si="28"/>
        <v>3795337.1666666665</v>
      </c>
      <c r="AA52" s="55">
        <f t="shared" si="28"/>
        <v>3795337.1666666665</v>
      </c>
      <c r="AB52" s="55">
        <f t="shared" si="28"/>
        <v>3795337.1666666665</v>
      </c>
      <c r="AC52" s="55">
        <f t="shared" si="28"/>
        <v>3795337.1666666665</v>
      </c>
      <c r="AD52" s="55">
        <f t="shared" si="28"/>
        <v>3795337.1666666665</v>
      </c>
      <c r="AE52" s="55">
        <f t="shared" si="28"/>
        <v>3795337.1666666665</v>
      </c>
      <c r="AF52" s="55">
        <f t="shared" si="28"/>
        <v>3795337.1666666665</v>
      </c>
      <c r="AG52" s="55">
        <f t="shared" si="28"/>
        <v>3795337.1666666665</v>
      </c>
      <c r="AH52" s="55">
        <f t="shared" si="28"/>
        <v>3795337.1666666665</v>
      </c>
      <c r="AI52" s="55">
        <f t="shared" si="28"/>
        <v>3795337.1666666665</v>
      </c>
      <c r="AJ52" s="55">
        <f t="shared" si="28"/>
        <v>3795337.1666666665</v>
      </c>
      <c r="AK52" s="55">
        <f t="shared" si="28"/>
        <v>3795337.1666666665</v>
      </c>
      <c r="AL52" s="55">
        <f t="shared" si="28"/>
        <v>3795337.1666666665</v>
      </c>
      <c r="AM52" s="55">
        <f t="shared" si="28"/>
        <v>3795337.1666666665</v>
      </c>
      <c r="AO52" s="11">
        <f t="shared" ref="AO52" si="29">SUM(P52:AA52)</f>
        <v>45595185.333333328</v>
      </c>
      <c r="AQ52" s="11">
        <f t="shared" si="27"/>
        <v>45544045.999999993</v>
      </c>
      <c r="AT52" s="1" t="s">
        <v>134</v>
      </c>
      <c r="AZ52" s="55"/>
      <c r="BA52" s="55"/>
      <c r="BB52" s="55"/>
      <c r="BD52" s="55"/>
    </row>
    <row r="53" spans="2:61" x14ac:dyDescent="0.4">
      <c r="B53" s="155"/>
    </row>
    <row r="54" spans="2:61" x14ac:dyDescent="0.4">
      <c r="B54" s="183" t="s">
        <v>130</v>
      </c>
      <c r="C54" s="184"/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  <c r="AK54" s="183"/>
      <c r="AL54" s="183"/>
      <c r="AM54" s="183"/>
      <c r="AN54" s="183"/>
      <c r="AO54" s="183"/>
      <c r="AP54" s="183"/>
      <c r="AQ54" s="183"/>
      <c r="AR54" s="183"/>
      <c r="AS54" s="205"/>
      <c r="AT54" s="183"/>
    </row>
    <row r="55" spans="2:61" x14ac:dyDescent="0.4">
      <c r="B55" s="155" t="str">
        <f>B49</f>
        <v>Senior Discount</v>
      </c>
      <c r="D55" s="208">
        <f>D$49*(1-'Assumptions and Inputs'!$C$104)</f>
        <v>43119</v>
      </c>
      <c r="E55" s="11">
        <f>E$49*(1-'Assumptions and Inputs'!$C$104)</f>
        <v>39424.5</v>
      </c>
      <c r="F55" s="11">
        <f>F$49*(1-'Assumptions and Inputs'!$C$104)</f>
        <v>35247</v>
      </c>
      <c r="G55" s="11">
        <f>G$49*(1-'Assumptions and Inputs'!$C$104)</f>
        <v>37018.5</v>
      </c>
      <c r="H55" s="11">
        <f>H$49*(1-'Assumptions and Inputs'!$C$104)</f>
        <v>44296.5</v>
      </c>
      <c r="I55" s="11">
        <f>I$49*(1-'Assumptions and Inputs'!$C$104)</f>
        <v>36320.25</v>
      </c>
      <c r="J55" s="11">
        <f>J$49*(1-'Assumptions and Inputs'!$C$104)</f>
        <v>37410</v>
      </c>
      <c r="K55" s="11">
        <f>K$49*(1-'Assumptions and Inputs'!$C$104)</f>
        <v>35599.5</v>
      </c>
      <c r="L55" s="11">
        <f>L$49*(1-'Assumptions and Inputs'!$C$104)</f>
        <v>35406</v>
      </c>
      <c r="M55" s="11">
        <f>M$49*(1-'Assumptions and Inputs'!$C$104)</f>
        <v>35613.75</v>
      </c>
      <c r="N55" s="11">
        <f>N$49*(1-'Assumptions and Inputs'!$C$104)</f>
        <v>35639.25</v>
      </c>
      <c r="O55" s="11">
        <f>O$49*(1-'Assumptions and Inputs'!$C$104)</f>
        <v>37230</v>
      </c>
      <c r="P55" s="11">
        <f>P$49*(1-'Assumptions and Inputs'!$C$104)</f>
        <v>35430</v>
      </c>
      <c r="Q55" s="11">
        <f>Q$49*(1-'Assumptions and Inputs'!$C$104)</f>
        <v>36957</v>
      </c>
      <c r="R55" s="11">
        <f>R$49*(1-'Assumptions and Inputs'!$C$104)</f>
        <v>25750.5</v>
      </c>
      <c r="S55" s="11">
        <f>S$49*(1-'Assumptions and Inputs'!$C$104)</f>
        <v>35288.25</v>
      </c>
      <c r="T55" s="11">
        <f>T$49*(1-'Assumptions and Inputs'!$C$104)</f>
        <v>35911.75</v>
      </c>
      <c r="U55" s="11">
        <f>U$49*(1-'Assumptions and Inputs'!$C$104)</f>
        <v>35911.75</v>
      </c>
      <c r="V55" s="11">
        <f>V$49*(1-'Assumptions and Inputs'!$C$104)</f>
        <v>35911.75</v>
      </c>
      <c r="W55" s="11">
        <f>W$49*(1-'Assumptions and Inputs'!$C$104)</f>
        <v>35911.75</v>
      </c>
      <c r="X55" s="11">
        <f>X$49*(1-'Assumptions and Inputs'!$C$104)</f>
        <v>35911.75</v>
      </c>
      <c r="Y55" s="11">
        <f>Y$49*(1-'Assumptions and Inputs'!$C$104)</f>
        <v>35911.75</v>
      </c>
      <c r="Z55" s="11">
        <f>Z$49*(1-'Assumptions and Inputs'!$C$104)</f>
        <v>35911.75</v>
      </c>
      <c r="AA55" s="11">
        <f>AA$49*(1-'Assumptions and Inputs'!$C$104)</f>
        <v>35911.75</v>
      </c>
      <c r="AB55" s="11">
        <f>AB$49*(1-'Assumptions and Inputs'!$C$104)</f>
        <v>35911.75</v>
      </c>
      <c r="AC55" s="11">
        <f>AC$49*(1-'Assumptions and Inputs'!$C$104)</f>
        <v>35911.75</v>
      </c>
      <c r="AD55" s="11">
        <f>AD$49*(1-'Assumptions and Inputs'!$C$104)</f>
        <v>35911.75</v>
      </c>
      <c r="AE55" s="11">
        <f>AE$49*(1-'Assumptions and Inputs'!$C$104)</f>
        <v>35911.75</v>
      </c>
      <c r="AF55" s="11">
        <f>AF$49*(1-'Assumptions and Inputs'!$C$104)</f>
        <v>35911.75</v>
      </c>
      <c r="AG55" s="11">
        <f>AG$49*(1-'Assumptions and Inputs'!$C$104)</f>
        <v>35911.75</v>
      </c>
      <c r="AH55" s="11">
        <f>AH$49*(1-'Assumptions and Inputs'!$C$104)</f>
        <v>35911.75</v>
      </c>
      <c r="AI55" s="11">
        <f>AI$49*(1-'Assumptions and Inputs'!$C$104)</f>
        <v>35911.75</v>
      </c>
      <c r="AJ55" s="11">
        <f>AJ$49*(1-'Assumptions and Inputs'!$C$104)</f>
        <v>35911.75</v>
      </c>
      <c r="AK55" s="11">
        <f>AK$49*(1-'Assumptions and Inputs'!$C$104)</f>
        <v>35911.75</v>
      </c>
      <c r="AL55" s="11">
        <f>AL$49*(1-'Assumptions and Inputs'!$C$104)</f>
        <v>35911.75</v>
      </c>
      <c r="AM55" s="11">
        <f>AM$49*(1-'Assumptions and Inputs'!$C$104)</f>
        <v>35911.75</v>
      </c>
      <c r="AN55" s="1"/>
      <c r="AO55" s="11">
        <f>AO$49*(1-'Assumptions and Inputs'!$C$104)</f>
        <v>420719.75</v>
      </c>
      <c r="AQ55" s="11">
        <f t="shared" ref="AQ55:AQ58" si="30">SUM(AB55:AM55)</f>
        <v>430941</v>
      </c>
    </row>
    <row r="56" spans="2:61" x14ac:dyDescent="0.4">
      <c r="B56" s="155" t="str">
        <f t="shared" ref="B56:B58" si="31">B50</f>
        <v>PHA Discount</v>
      </c>
      <c r="D56" s="208">
        <f>D$50*(1-'Assumptions and Inputs'!$C$105)</f>
        <v>118257.9</v>
      </c>
      <c r="E56" s="11">
        <f>E$50*(1-'Assumptions and Inputs'!$C$105)</f>
        <v>112503.75</v>
      </c>
      <c r="F56" s="11">
        <f>F$50*(1-'Assumptions and Inputs'!$C$105)</f>
        <v>108699.95</v>
      </c>
      <c r="G56" s="11">
        <f>G$50*(1-'Assumptions and Inputs'!$C$105)</f>
        <v>109301.29999999999</v>
      </c>
      <c r="H56" s="11">
        <f>H$50*(1-'Assumptions and Inputs'!$C$105)</f>
        <v>115143.79999999999</v>
      </c>
      <c r="I56" s="11">
        <f>I$50*(1-'Assumptions and Inputs'!$C$105)</f>
        <v>104438.25</v>
      </c>
      <c r="J56" s="11">
        <f>J$50*(1-'Assumptions and Inputs'!$C$105)</f>
        <v>100240.2</v>
      </c>
      <c r="K56" s="11">
        <f>K$50*(1-'Assumptions and Inputs'!$C$105)</f>
        <v>97922.2</v>
      </c>
      <c r="L56" s="11">
        <f>L$50*(1-'Assumptions and Inputs'!$C$105)</f>
        <v>114070.29999999999</v>
      </c>
      <c r="M56" s="11">
        <f>M$50*(1-'Assumptions and Inputs'!$C$105)</f>
        <v>100984.04999999999</v>
      </c>
      <c r="N56" s="11">
        <f>N$50*(1-'Assumptions and Inputs'!$C$105)</f>
        <v>106984.25</v>
      </c>
      <c r="O56" s="11">
        <f>O$50*(1-'Assumptions and Inputs'!$C$105)</f>
        <v>107411.75</v>
      </c>
      <c r="P56" s="11">
        <f>P$50*(1-'Assumptions and Inputs'!$C$105)</f>
        <v>106318.29999999999</v>
      </c>
      <c r="Q56" s="11">
        <f>Q$50*(1-'Assumptions and Inputs'!$C$105)</f>
        <v>102315.95</v>
      </c>
      <c r="R56" s="11">
        <f>R$50*(1-'Assumptions and Inputs'!$C$105)</f>
        <v>93293.8</v>
      </c>
      <c r="S56" s="11">
        <f>S$50*(1-'Assumptions and Inputs'!$C$105)</f>
        <v>101210.15</v>
      </c>
      <c r="T56" s="11">
        <f>T$50*(1-'Assumptions and Inputs'!$C$105)</f>
        <v>104194.41666666666</v>
      </c>
      <c r="U56" s="11">
        <f>U$50*(1-'Assumptions and Inputs'!$C$105)</f>
        <v>104194.41666666666</v>
      </c>
      <c r="V56" s="11">
        <f>V$50*(1-'Assumptions and Inputs'!$C$105)</f>
        <v>104194.41666666666</v>
      </c>
      <c r="W56" s="11">
        <f>W$50*(1-'Assumptions and Inputs'!$C$105)</f>
        <v>104194.41666666666</v>
      </c>
      <c r="X56" s="11">
        <f>X$50*(1-'Assumptions and Inputs'!$C$105)</f>
        <v>104194.41666666666</v>
      </c>
      <c r="Y56" s="11">
        <f>Y$50*(1-'Assumptions and Inputs'!$C$105)</f>
        <v>104194.41666666666</v>
      </c>
      <c r="Z56" s="11">
        <f>Z$50*(1-'Assumptions and Inputs'!$C$105)</f>
        <v>104194.41666666666</v>
      </c>
      <c r="AA56" s="11">
        <f>AA$50*(1-'Assumptions and Inputs'!$C$105)</f>
        <v>104194.41666666666</v>
      </c>
      <c r="AB56" s="11">
        <f>AB$50*(1-'Assumptions and Inputs'!$C$105)</f>
        <v>104194.41666666666</v>
      </c>
      <c r="AC56" s="11">
        <f>AC$50*(1-'Assumptions and Inputs'!$C$105)</f>
        <v>104194.41666666666</v>
      </c>
      <c r="AD56" s="11">
        <f>AD$50*(1-'Assumptions and Inputs'!$C$105)</f>
        <v>104194.41666666666</v>
      </c>
      <c r="AE56" s="11">
        <f>AE$50*(1-'Assumptions and Inputs'!$C$105)</f>
        <v>104194.41666666666</v>
      </c>
      <c r="AF56" s="11">
        <f>AF$50*(1-'Assumptions and Inputs'!$C$105)</f>
        <v>104194.41666666666</v>
      </c>
      <c r="AG56" s="11">
        <f>AG$50*(1-'Assumptions and Inputs'!$C$105)</f>
        <v>104194.41666666666</v>
      </c>
      <c r="AH56" s="11">
        <f>AH$50*(1-'Assumptions and Inputs'!$C$105)</f>
        <v>104194.41666666666</v>
      </c>
      <c r="AI56" s="11">
        <f>AI$50*(1-'Assumptions and Inputs'!$C$105)</f>
        <v>104194.41666666666</v>
      </c>
      <c r="AJ56" s="11">
        <f>AJ$50*(1-'Assumptions and Inputs'!$C$105)</f>
        <v>104194.41666666666</v>
      </c>
      <c r="AK56" s="11">
        <f>AK$50*(1-'Assumptions and Inputs'!$C$105)</f>
        <v>104194.41666666666</v>
      </c>
      <c r="AL56" s="11">
        <f>AL$50*(1-'Assumptions and Inputs'!$C$105)</f>
        <v>104194.41666666666</v>
      </c>
      <c r="AM56" s="11">
        <f>AM$50*(1-'Assumptions and Inputs'!$C$105)</f>
        <v>104194.41666666666</v>
      </c>
      <c r="AN56" s="1"/>
      <c r="AO56" s="11">
        <f>AO$50*(1-'Assumptions and Inputs'!$C$105)</f>
        <v>1236693.5333333334</v>
      </c>
      <c r="AQ56" s="11">
        <f t="shared" si="30"/>
        <v>1250332.9999999998</v>
      </c>
    </row>
    <row r="57" spans="2:61" x14ac:dyDescent="0.4">
      <c r="B57" s="155" t="str">
        <f t="shared" si="31"/>
        <v>Non-PHA Discount (Other discount)</v>
      </c>
      <c r="D57" s="208">
        <f>D$51*(1-'Assumptions and Inputs'!$C$106)</f>
        <v>140303.25</v>
      </c>
      <c r="E57" s="11">
        <f>E$51*(1-'Assumptions and Inputs'!$C$106)</f>
        <v>124554</v>
      </c>
      <c r="F57" s="11">
        <f>F$51*(1-'Assumptions and Inputs'!$C$106)</f>
        <v>119137.5</v>
      </c>
      <c r="G57" s="11">
        <f>G$51*(1-'Assumptions and Inputs'!$C$106)</f>
        <v>115129.5</v>
      </c>
      <c r="H57" s="11">
        <f>H$51*(1-'Assumptions and Inputs'!$C$106)</f>
        <v>105035.25</v>
      </c>
      <c r="I57" s="11">
        <f>I$51*(1-'Assumptions and Inputs'!$C$106)</f>
        <v>101059.5</v>
      </c>
      <c r="J57" s="11">
        <f>J$51*(1-'Assumptions and Inputs'!$C$106)</f>
        <v>105522</v>
      </c>
      <c r="K57" s="11">
        <f>K$51*(1-'Assumptions and Inputs'!$C$106)</f>
        <v>95735.25</v>
      </c>
      <c r="L57" s="11">
        <f>L$51*(1-'Assumptions and Inputs'!$C$106)</f>
        <v>105456</v>
      </c>
      <c r="M57" s="11">
        <f>M$51*(1-'Assumptions and Inputs'!$C$106)</f>
        <v>113062.5</v>
      </c>
      <c r="N57" s="11">
        <f>N$51*(1-'Assumptions and Inputs'!$C$106)</f>
        <v>116959.5</v>
      </c>
      <c r="O57" s="11">
        <f>O$51*(1-'Assumptions and Inputs'!$C$106)</f>
        <v>124959</v>
      </c>
      <c r="P57" s="11">
        <f>P$51*(1-'Assumptions and Inputs'!$C$106)</f>
        <v>120815.25</v>
      </c>
      <c r="Q57" s="11">
        <f>Q$51*(1-'Assumptions and Inputs'!$C$106)</f>
        <v>133283.25</v>
      </c>
      <c r="R57" s="11">
        <f>R$51*(1-'Assumptions and Inputs'!$C$106)</f>
        <v>97959.75</v>
      </c>
      <c r="S57" s="11">
        <f>S$51*(1-'Assumptions and Inputs'!$C$106)</f>
        <v>103691.25</v>
      </c>
      <c r="T57" s="11">
        <f>T$51*(1-'Assumptions and Inputs'!$C$106)</f>
        <v>110294.875</v>
      </c>
      <c r="U57" s="11">
        <f>U$51*(1-'Assumptions and Inputs'!$C$106)</f>
        <v>110294.875</v>
      </c>
      <c r="V57" s="11">
        <f>V$51*(1-'Assumptions and Inputs'!$C$106)</f>
        <v>110294.875</v>
      </c>
      <c r="W57" s="11">
        <f>W$51*(1-'Assumptions and Inputs'!$C$106)</f>
        <v>110294.875</v>
      </c>
      <c r="X57" s="11">
        <f>X$51*(1-'Assumptions and Inputs'!$C$106)</f>
        <v>110294.875</v>
      </c>
      <c r="Y57" s="11">
        <f>Y$51*(1-'Assumptions and Inputs'!$C$106)</f>
        <v>110294.875</v>
      </c>
      <c r="Z57" s="11">
        <f>Z$51*(1-'Assumptions and Inputs'!$C$106)</f>
        <v>110294.875</v>
      </c>
      <c r="AA57" s="11">
        <f>AA$51*(1-'Assumptions and Inputs'!$C$106)</f>
        <v>110294.875</v>
      </c>
      <c r="AB57" s="11">
        <f>AB$51*(1-'Assumptions and Inputs'!$C$106)</f>
        <v>110294.875</v>
      </c>
      <c r="AC57" s="11">
        <f>AC$51*(1-'Assumptions and Inputs'!$C$106)</f>
        <v>110294.875</v>
      </c>
      <c r="AD57" s="11">
        <f>AD$51*(1-'Assumptions and Inputs'!$C$106)</f>
        <v>110294.875</v>
      </c>
      <c r="AE57" s="11">
        <f>AE$51*(1-'Assumptions and Inputs'!$C$106)</f>
        <v>110294.875</v>
      </c>
      <c r="AF57" s="11">
        <f>AF$51*(1-'Assumptions and Inputs'!$C$106)</f>
        <v>110294.875</v>
      </c>
      <c r="AG57" s="11">
        <f>AG$51*(1-'Assumptions and Inputs'!$C$106)</f>
        <v>110294.875</v>
      </c>
      <c r="AH57" s="11">
        <f>AH$51*(1-'Assumptions and Inputs'!$C$106)</f>
        <v>110294.875</v>
      </c>
      <c r="AI57" s="11">
        <f>AI$51*(1-'Assumptions and Inputs'!$C$106)</f>
        <v>110294.875</v>
      </c>
      <c r="AJ57" s="11">
        <f>AJ$51*(1-'Assumptions and Inputs'!$C$106)</f>
        <v>110294.875</v>
      </c>
      <c r="AK57" s="11">
        <f>AK$51*(1-'Assumptions and Inputs'!$C$106)</f>
        <v>110294.875</v>
      </c>
      <c r="AL57" s="11">
        <f>AL$51*(1-'Assumptions and Inputs'!$C$106)</f>
        <v>110294.875</v>
      </c>
      <c r="AM57" s="11">
        <f>AM$51*(1-'Assumptions and Inputs'!$C$106)</f>
        <v>110294.875</v>
      </c>
      <c r="AN57" s="1"/>
      <c r="AO57" s="11">
        <f>AO$51*(1-'Assumptions and Inputs'!$C$106)</f>
        <v>1338108.4999999998</v>
      </c>
      <c r="AQ57" s="11">
        <f t="shared" si="30"/>
        <v>1323538.5</v>
      </c>
    </row>
    <row r="58" spans="2:61" x14ac:dyDescent="0.4">
      <c r="B58" s="155" t="str">
        <f t="shared" si="31"/>
        <v>No Additional Discount</v>
      </c>
      <c r="D58" s="208">
        <f>D52</f>
        <v>4308515</v>
      </c>
      <c r="E58" s="11">
        <f t="shared" ref="E58:AA58" si="32">E52</f>
        <v>4030241</v>
      </c>
      <c r="F58" s="11">
        <f t="shared" si="32"/>
        <v>3749907</v>
      </c>
      <c r="G58" s="11">
        <f t="shared" si="32"/>
        <v>3805145</v>
      </c>
      <c r="H58" s="11">
        <f t="shared" si="32"/>
        <v>3982176</v>
      </c>
      <c r="I58" s="11">
        <f t="shared" si="32"/>
        <v>3499562</v>
      </c>
      <c r="J58" s="11">
        <f t="shared" si="32"/>
        <v>3487132</v>
      </c>
      <c r="K58" s="11">
        <f t="shared" si="32"/>
        <v>3580867</v>
      </c>
      <c r="L58" s="11">
        <f t="shared" si="32"/>
        <v>3702734</v>
      </c>
      <c r="M58" s="11">
        <f t="shared" si="32"/>
        <v>3879586</v>
      </c>
      <c r="N58" s="11">
        <f t="shared" si="32"/>
        <v>4015717</v>
      </c>
      <c r="O58" s="11">
        <f t="shared" si="32"/>
        <v>4163784</v>
      </c>
      <c r="P58" s="11">
        <f t="shared" si="32"/>
        <v>4045984</v>
      </c>
      <c r="Q58" s="11">
        <f t="shared" si="32"/>
        <v>4168231</v>
      </c>
      <c r="R58" s="11">
        <f t="shared" si="32"/>
        <v>3149891</v>
      </c>
      <c r="S58" s="11">
        <f t="shared" si="32"/>
        <v>3868382</v>
      </c>
      <c r="T58" s="11">
        <f t="shared" si="32"/>
        <v>3795337.1666666665</v>
      </c>
      <c r="U58" s="11">
        <f t="shared" si="32"/>
        <v>3795337.1666666665</v>
      </c>
      <c r="V58" s="11">
        <f t="shared" si="32"/>
        <v>3795337.1666666665</v>
      </c>
      <c r="W58" s="11">
        <f t="shared" si="32"/>
        <v>3795337.1666666665</v>
      </c>
      <c r="X58" s="11">
        <f t="shared" si="32"/>
        <v>3795337.1666666665</v>
      </c>
      <c r="Y58" s="11">
        <f t="shared" si="32"/>
        <v>3795337.1666666665</v>
      </c>
      <c r="Z58" s="11">
        <f t="shared" si="32"/>
        <v>3795337.1666666665</v>
      </c>
      <c r="AA58" s="11">
        <f t="shared" si="32"/>
        <v>3795337.1666666665</v>
      </c>
      <c r="AB58" s="11">
        <f t="shared" ref="AB58:AM58" si="33">AB52</f>
        <v>3795337.1666666665</v>
      </c>
      <c r="AC58" s="11">
        <f t="shared" si="33"/>
        <v>3795337.1666666665</v>
      </c>
      <c r="AD58" s="11">
        <f t="shared" si="33"/>
        <v>3795337.1666666665</v>
      </c>
      <c r="AE58" s="11">
        <f t="shared" si="33"/>
        <v>3795337.1666666665</v>
      </c>
      <c r="AF58" s="11">
        <f t="shared" si="33"/>
        <v>3795337.1666666665</v>
      </c>
      <c r="AG58" s="11">
        <f t="shared" si="33"/>
        <v>3795337.1666666665</v>
      </c>
      <c r="AH58" s="11">
        <f t="shared" si="33"/>
        <v>3795337.1666666665</v>
      </c>
      <c r="AI58" s="11">
        <f t="shared" si="33"/>
        <v>3795337.1666666665</v>
      </c>
      <c r="AJ58" s="11">
        <f t="shared" si="33"/>
        <v>3795337.1666666665</v>
      </c>
      <c r="AK58" s="11">
        <f t="shared" si="33"/>
        <v>3795337.1666666665</v>
      </c>
      <c r="AL58" s="11">
        <f t="shared" si="33"/>
        <v>3795337.1666666665</v>
      </c>
      <c r="AM58" s="11">
        <f t="shared" si="33"/>
        <v>3795337.1666666665</v>
      </c>
      <c r="AN58" s="55"/>
      <c r="AO58" s="11">
        <f t="shared" ref="AO58" si="34">AO52</f>
        <v>45595185.333333328</v>
      </c>
      <c r="AQ58" s="11">
        <f t="shared" si="30"/>
        <v>45544045.999999993</v>
      </c>
    </row>
    <row r="59" spans="2:61" x14ac:dyDescent="0.4">
      <c r="B59" s="155"/>
      <c r="D59" s="209"/>
    </row>
    <row r="60" spans="2:61" x14ac:dyDescent="0.4">
      <c r="B60" s="210" t="s">
        <v>125</v>
      </c>
      <c r="C60" s="188"/>
      <c r="D60" s="211">
        <f t="shared" ref="D60:AA60" si="35">SUM(D46:D46)</f>
        <v>420198</v>
      </c>
      <c r="E60" s="55">
        <f t="shared" si="35"/>
        <v>409059</v>
      </c>
      <c r="F60" s="55">
        <f t="shared" si="35"/>
        <v>357784</v>
      </c>
      <c r="G60" s="55">
        <f t="shared" si="35"/>
        <v>382625</v>
      </c>
      <c r="H60" s="55">
        <f t="shared" si="35"/>
        <v>431025</v>
      </c>
      <c r="I60" s="55">
        <f t="shared" si="35"/>
        <v>362258</v>
      </c>
      <c r="J60" s="55">
        <f t="shared" si="35"/>
        <v>375462</v>
      </c>
      <c r="K60" s="55">
        <f t="shared" si="35"/>
        <v>382075</v>
      </c>
      <c r="L60" s="55">
        <f t="shared" si="35"/>
        <v>395427</v>
      </c>
      <c r="M60" s="55">
        <f t="shared" si="35"/>
        <v>419359</v>
      </c>
      <c r="N60" s="55">
        <f t="shared" si="35"/>
        <v>423626</v>
      </c>
      <c r="O60" s="55">
        <f t="shared" si="35"/>
        <v>449771</v>
      </c>
      <c r="P60" s="55">
        <f t="shared" si="35"/>
        <v>443876</v>
      </c>
      <c r="Q60" s="55">
        <f t="shared" si="35"/>
        <v>466528</v>
      </c>
      <c r="R60" s="55">
        <f t="shared" si="35"/>
        <v>339938</v>
      </c>
      <c r="S60" s="55">
        <f t="shared" si="35"/>
        <v>453388</v>
      </c>
      <c r="T60" s="55">
        <f t="shared" si="35"/>
        <v>474423</v>
      </c>
      <c r="U60" s="55">
        <f t="shared" si="35"/>
        <v>423187</v>
      </c>
      <c r="V60" s="55">
        <f t="shared" si="35"/>
        <v>463972</v>
      </c>
      <c r="W60" s="55">
        <f t="shared" si="35"/>
        <v>447180.03987626272</v>
      </c>
      <c r="X60" s="55">
        <f t="shared" si="35"/>
        <v>447180.03987626272</v>
      </c>
      <c r="Y60" s="55">
        <f t="shared" si="35"/>
        <v>447180.03987626272</v>
      </c>
      <c r="Z60" s="55">
        <f t="shared" si="35"/>
        <v>447180.03987626272</v>
      </c>
      <c r="AA60" s="55">
        <f t="shared" si="35"/>
        <v>447180.03987626272</v>
      </c>
      <c r="AB60" s="55">
        <f t="shared" ref="AB60:AM60" si="36">SUM(AB46:AB46)</f>
        <v>447180.03987626272</v>
      </c>
      <c r="AC60" s="55">
        <f t="shared" si="36"/>
        <v>447180.03987626272</v>
      </c>
      <c r="AD60" s="55">
        <f t="shared" si="36"/>
        <v>447180.03987626272</v>
      </c>
      <c r="AE60" s="55">
        <f t="shared" si="36"/>
        <v>447180.03987626272</v>
      </c>
      <c r="AF60" s="55">
        <f t="shared" si="36"/>
        <v>447180.03987626272</v>
      </c>
      <c r="AG60" s="55">
        <f t="shared" si="36"/>
        <v>447180.03987626272</v>
      </c>
      <c r="AH60" s="55">
        <f t="shared" si="36"/>
        <v>447180.03987626272</v>
      </c>
      <c r="AI60" s="55">
        <f t="shared" si="36"/>
        <v>447180.03987626272</v>
      </c>
      <c r="AJ60" s="55">
        <f t="shared" si="36"/>
        <v>447180.03987626272</v>
      </c>
      <c r="AK60" s="55">
        <f t="shared" si="36"/>
        <v>447180.03987626272</v>
      </c>
      <c r="AL60" s="55">
        <f t="shared" si="36"/>
        <v>447180.03987626272</v>
      </c>
      <c r="AM60" s="55">
        <f t="shared" si="36"/>
        <v>447180.03987626272</v>
      </c>
      <c r="AO60" s="11">
        <f t="shared" ref="AO60:AO61" si="37">SUM(P60:AA60)</f>
        <v>5301212.1993813133</v>
      </c>
      <c r="AQ60" s="11">
        <f t="shared" ref="AQ60:AQ61" si="38">SUM(AB60:AM60)</f>
        <v>5366160.4785151528</v>
      </c>
      <c r="AS60" s="190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</row>
    <row r="61" spans="2:61" x14ac:dyDescent="0.4">
      <c r="B61" s="210" t="s">
        <v>127</v>
      </c>
      <c r="C61" s="212"/>
      <c r="D61" s="211">
        <f>SUM(D55:D58)</f>
        <v>4610195.1500000004</v>
      </c>
      <c r="E61" s="55">
        <f t="shared" ref="E61:AA61" si="39">SUM(E55:E58)</f>
        <v>4306723.25</v>
      </c>
      <c r="F61" s="55">
        <f t="shared" si="39"/>
        <v>4012991.45</v>
      </c>
      <c r="G61" s="55">
        <f t="shared" si="39"/>
        <v>4066594.3</v>
      </c>
      <c r="H61" s="55">
        <f t="shared" si="39"/>
        <v>4246651.55</v>
      </c>
      <c r="I61" s="55">
        <f t="shared" si="39"/>
        <v>3741380</v>
      </c>
      <c r="J61" s="55">
        <f t="shared" si="39"/>
        <v>3730304.2</v>
      </c>
      <c r="K61" s="55">
        <f t="shared" si="39"/>
        <v>3810123.95</v>
      </c>
      <c r="L61" s="55">
        <f t="shared" si="39"/>
        <v>3957666.3</v>
      </c>
      <c r="M61" s="55">
        <f t="shared" si="39"/>
        <v>4129246.3</v>
      </c>
      <c r="N61" s="55">
        <f t="shared" si="39"/>
        <v>4275300</v>
      </c>
      <c r="O61" s="55">
        <f t="shared" si="39"/>
        <v>4433384.75</v>
      </c>
      <c r="P61" s="55">
        <f t="shared" si="39"/>
        <v>4308547.55</v>
      </c>
      <c r="Q61" s="55">
        <f t="shared" si="39"/>
        <v>4440787.2</v>
      </c>
      <c r="R61" s="55">
        <f t="shared" si="39"/>
        <v>3366895.05</v>
      </c>
      <c r="S61" s="55">
        <f t="shared" si="39"/>
        <v>4108571.65</v>
      </c>
      <c r="T61" s="55">
        <f t="shared" si="39"/>
        <v>4045738.208333333</v>
      </c>
      <c r="U61" s="55">
        <f t="shared" si="39"/>
        <v>4045738.208333333</v>
      </c>
      <c r="V61" s="55">
        <f t="shared" si="39"/>
        <v>4045738.208333333</v>
      </c>
      <c r="W61" s="55">
        <f t="shared" si="39"/>
        <v>4045738.208333333</v>
      </c>
      <c r="X61" s="55">
        <f t="shared" si="39"/>
        <v>4045738.208333333</v>
      </c>
      <c r="Y61" s="55">
        <f t="shared" si="39"/>
        <v>4045738.208333333</v>
      </c>
      <c r="Z61" s="55">
        <f t="shared" si="39"/>
        <v>4045738.208333333</v>
      </c>
      <c r="AA61" s="55">
        <f t="shared" si="39"/>
        <v>4045738.208333333</v>
      </c>
      <c r="AB61" s="55">
        <f t="shared" ref="AB61:AM61" si="40">SUM(AB55:AB58)</f>
        <v>4045738.208333333</v>
      </c>
      <c r="AC61" s="55">
        <f t="shared" si="40"/>
        <v>4045738.208333333</v>
      </c>
      <c r="AD61" s="55">
        <f t="shared" si="40"/>
        <v>4045738.208333333</v>
      </c>
      <c r="AE61" s="55">
        <f t="shared" si="40"/>
        <v>4045738.208333333</v>
      </c>
      <c r="AF61" s="55">
        <f t="shared" si="40"/>
        <v>4045738.208333333</v>
      </c>
      <c r="AG61" s="55">
        <f t="shared" si="40"/>
        <v>4045738.208333333</v>
      </c>
      <c r="AH61" s="55">
        <f t="shared" si="40"/>
        <v>4045738.208333333</v>
      </c>
      <c r="AI61" s="55">
        <f t="shared" si="40"/>
        <v>4045738.208333333</v>
      </c>
      <c r="AJ61" s="55">
        <f t="shared" si="40"/>
        <v>4045738.208333333</v>
      </c>
      <c r="AK61" s="55">
        <f t="shared" si="40"/>
        <v>4045738.208333333</v>
      </c>
      <c r="AL61" s="55">
        <f t="shared" si="40"/>
        <v>4045738.208333333</v>
      </c>
      <c r="AM61" s="55">
        <f t="shared" si="40"/>
        <v>4045738.208333333</v>
      </c>
      <c r="AO61" s="11">
        <f t="shared" si="37"/>
        <v>48590707.116666675</v>
      </c>
      <c r="AQ61" s="11">
        <f t="shared" si="38"/>
        <v>48548858.5</v>
      </c>
      <c r="AS61" s="213"/>
      <c r="AX61" s="55"/>
      <c r="AY61" s="55"/>
      <c r="AZ61" s="55"/>
      <c r="BA61" s="55"/>
      <c r="BB61" s="55"/>
      <c r="BC61" s="55"/>
      <c r="BD61" s="55"/>
    </row>
    <row r="62" spans="2:61" x14ac:dyDescent="0.4">
      <c r="B62" s="210"/>
      <c r="D62" s="211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</row>
    <row r="63" spans="2:61" x14ac:dyDescent="0.4">
      <c r="B63" s="35" t="s">
        <v>131</v>
      </c>
      <c r="C63" s="212"/>
      <c r="D63" s="211">
        <f t="shared" ref="D63:O63" si="41">SUM(D60:D61)</f>
        <v>5030393.1500000004</v>
      </c>
      <c r="E63" s="55">
        <f t="shared" si="41"/>
        <v>4715782.25</v>
      </c>
      <c r="F63" s="55">
        <f t="shared" si="41"/>
        <v>4370775.45</v>
      </c>
      <c r="G63" s="55">
        <f t="shared" si="41"/>
        <v>4449219.3</v>
      </c>
      <c r="H63" s="55">
        <f t="shared" si="41"/>
        <v>4677676.55</v>
      </c>
      <c r="I63" s="55">
        <f t="shared" si="41"/>
        <v>4103638</v>
      </c>
      <c r="J63" s="55">
        <f t="shared" si="41"/>
        <v>4105766.2</v>
      </c>
      <c r="K63" s="55">
        <f t="shared" si="41"/>
        <v>4192198.95</v>
      </c>
      <c r="L63" s="55">
        <f t="shared" si="41"/>
        <v>4353093.3</v>
      </c>
      <c r="M63" s="55">
        <f t="shared" si="41"/>
        <v>4548605.3</v>
      </c>
      <c r="N63" s="55">
        <f t="shared" si="41"/>
        <v>4698926</v>
      </c>
      <c r="O63" s="55">
        <f t="shared" si="41"/>
        <v>4883155.75</v>
      </c>
      <c r="P63" s="55">
        <f t="shared" ref="P63:AA63" si="42">SUM(P60:P61)</f>
        <v>4752423.55</v>
      </c>
      <c r="Q63" s="55">
        <f t="shared" si="42"/>
        <v>4907315.2000000002</v>
      </c>
      <c r="R63" s="55">
        <f t="shared" si="42"/>
        <v>3706833.05</v>
      </c>
      <c r="S63" s="55">
        <f t="shared" si="42"/>
        <v>4561959.6500000004</v>
      </c>
      <c r="T63" s="55">
        <f t="shared" si="42"/>
        <v>4520161.208333333</v>
      </c>
      <c r="U63" s="55">
        <f t="shared" si="42"/>
        <v>4468925.208333333</v>
      </c>
      <c r="V63" s="55">
        <f t="shared" si="42"/>
        <v>4509710.208333333</v>
      </c>
      <c r="W63" s="55">
        <f t="shared" si="42"/>
        <v>4492918.2482095957</v>
      </c>
      <c r="X63" s="55">
        <f t="shared" si="42"/>
        <v>4492918.2482095957</v>
      </c>
      <c r="Y63" s="55">
        <f t="shared" si="42"/>
        <v>4492918.2482095957</v>
      </c>
      <c r="Z63" s="55">
        <f t="shared" si="42"/>
        <v>4492918.2482095957</v>
      </c>
      <c r="AA63" s="55">
        <f t="shared" si="42"/>
        <v>4492918.2482095957</v>
      </c>
      <c r="AB63" s="55">
        <f t="shared" ref="AB63:AM63" si="43">SUM(AB60:AB61)</f>
        <v>4492918.2482095957</v>
      </c>
      <c r="AC63" s="55">
        <f t="shared" si="43"/>
        <v>4492918.2482095957</v>
      </c>
      <c r="AD63" s="55">
        <f t="shared" si="43"/>
        <v>4492918.2482095957</v>
      </c>
      <c r="AE63" s="55">
        <f t="shared" si="43"/>
        <v>4492918.2482095957</v>
      </c>
      <c r="AF63" s="55">
        <f t="shared" si="43"/>
        <v>4492918.2482095957</v>
      </c>
      <c r="AG63" s="55">
        <f t="shared" si="43"/>
        <v>4492918.2482095957</v>
      </c>
      <c r="AH63" s="55">
        <f t="shared" si="43"/>
        <v>4492918.2482095957</v>
      </c>
      <c r="AI63" s="55">
        <f t="shared" si="43"/>
        <v>4492918.2482095957</v>
      </c>
      <c r="AJ63" s="55">
        <f t="shared" si="43"/>
        <v>4492918.2482095957</v>
      </c>
      <c r="AK63" s="55">
        <f t="shared" si="43"/>
        <v>4492918.2482095957</v>
      </c>
      <c r="AL63" s="55">
        <f t="shared" si="43"/>
        <v>4492918.2482095957</v>
      </c>
      <c r="AM63" s="55">
        <f t="shared" si="43"/>
        <v>4492918.2482095957</v>
      </c>
      <c r="AO63" s="11">
        <f t="shared" ref="AO63" si="44">SUM(P63:AA63)</f>
        <v>53891919.316047981</v>
      </c>
      <c r="AQ63" s="11">
        <f t="shared" ref="AQ63" si="45">SUM(AB63:AM63)</f>
        <v>53915018.978515148</v>
      </c>
      <c r="AS63" s="213"/>
    </row>
    <row r="64" spans="2:61" x14ac:dyDescent="0.4">
      <c r="D64" s="209"/>
    </row>
    <row r="65" spans="2:61" x14ac:dyDescent="0.4">
      <c r="B65" s="35" t="s">
        <v>132</v>
      </c>
      <c r="D65" s="211">
        <f t="shared" ref="D65:O65" si="46">D61</f>
        <v>4610195.1500000004</v>
      </c>
      <c r="E65" s="55">
        <f t="shared" si="46"/>
        <v>4306723.25</v>
      </c>
      <c r="F65" s="55">
        <f t="shared" si="46"/>
        <v>4012991.45</v>
      </c>
      <c r="G65" s="55">
        <f t="shared" si="46"/>
        <v>4066594.3</v>
      </c>
      <c r="H65" s="55">
        <f>H61</f>
        <v>4246651.55</v>
      </c>
      <c r="I65" s="55">
        <f t="shared" si="46"/>
        <v>3741380</v>
      </c>
      <c r="J65" s="55">
        <f t="shared" si="46"/>
        <v>3730304.2</v>
      </c>
      <c r="K65" s="55">
        <f t="shared" si="46"/>
        <v>3810123.95</v>
      </c>
      <c r="L65" s="55">
        <f t="shared" si="46"/>
        <v>3957666.3</v>
      </c>
      <c r="M65" s="55">
        <f t="shared" si="46"/>
        <v>4129246.3</v>
      </c>
      <c r="N65" s="55">
        <f t="shared" si="46"/>
        <v>4275300</v>
      </c>
      <c r="O65" s="55">
        <f t="shared" si="46"/>
        <v>4433384.75</v>
      </c>
      <c r="P65" s="55">
        <f t="shared" ref="P65:AA65" si="47">P61</f>
        <v>4308547.55</v>
      </c>
      <c r="Q65" s="55">
        <f t="shared" si="47"/>
        <v>4440787.2</v>
      </c>
      <c r="R65" s="55">
        <f t="shared" si="47"/>
        <v>3366895.05</v>
      </c>
      <c r="S65" s="55">
        <f t="shared" si="47"/>
        <v>4108571.65</v>
      </c>
      <c r="T65" s="55">
        <f t="shared" si="47"/>
        <v>4045738.208333333</v>
      </c>
      <c r="U65" s="55">
        <f t="shared" si="47"/>
        <v>4045738.208333333</v>
      </c>
      <c r="V65" s="55">
        <f t="shared" si="47"/>
        <v>4045738.208333333</v>
      </c>
      <c r="W65" s="55">
        <f t="shared" si="47"/>
        <v>4045738.208333333</v>
      </c>
      <c r="X65" s="55">
        <f t="shared" si="47"/>
        <v>4045738.208333333</v>
      </c>
      <c r="Y65" s="55">
        <f t="shared" si="47"/>
        <v>4045738.208333333</v>
      </c>
      <c r="Z65" s="55">
        <f t="shared" si="47"/>
        <v>4045738.208333333</v>
      </c>
      <c r="AA65" s="55">
        <f t="shared" si="47"/>
        <v>4045738.208333333</v>
      </c>
      <c r="AB65" s="55">
        <f t="shared" ref="AB65:AM65" si="48">AB61</f>
        <v>4045738.208333333</v>
      </c>
      <c r="AC65" s="55">
        <f t="shared" si="48"/>
        <v>4045738.208333333</v>
      </c>
      <c r="AD65" s="55">
        <f t="shared" si="48"/>
        <v>4045738.208333333</v>
      </c>
      <c r="AE65" s="55">
        <f t="shared" si="48"/>
        <v>4045738.208333333</v>
      </c>
      <c r="AF65" s="55">
        <f t="shared" si="48"/>
        <v>4045738.208333333</v>
      </c>
      <c r="AG65" s="55">
        <f t="shared" si="48"/>
        <v>4045738.208333333</v>
      </c>
      <c r="AH65" s="55">
        <f t="shared" si="48"/>
        <v>4045738.208333333</v>
      </c>
      <c r="AI65" s="55">
        <f t="shared" si="48"/>
        <v>4045738.208333333</v>
      </c>
      <c r="AJ65" s="55">
        <f t="shared" si="48"/>
        <v>4045738.208333333</v>
      </c>
      <c r="AK65" s="55">
        <f t="shared" si="48"/>
        <v>4045738.208333333</v>
      </c>
      <c r="AL65" s="55">
        <f t="shared" si="48"/>
        <v>4045738.208333333</v>
      </c>
      <c r="AM65" s="55">
        <f t="shared" si="48"/>
        <v>4045738.208333333</v>
      </c>
      <c r="AO65" s="11">
        <f t="shared" ref="AO65" si="49">SUM(P65:AA65)</f>
        <v>48590707.116666675</v>
      </c>
      <c r="AQ65" s="11">
        <f>SUM(AB65:AM65)</f>
        <v>48548858.5</v>
      </c>
      <c r="AZ65" s="55"/>
      <c r="BA65" s="55"/>
      <c r="BD65" s="55"/>
    </row>
    <row r="66" spans="2:61" x14ac:dyDescent="0.4">
      <c r="AZ66" s="9"/>
      <c r="BA66" s="9"/>
      <c r="BB66" s="9"/>
      <c r="BC66" s="9"/>
      <c r="BD66" s="9"/>
      <c r="BH66" s="9"/>
      <c r="BI66" s="11"/>
    </row>
    <row r="67" spans="2:61" x14ac:dyDescent="0.4"/>
    <row r="68" spans="2:61" x14ac:dyDescent="0.4"/>
    <row r="69" spans="2:61" x14ac:dyDescent="0.4"/>
    <row r="70" spans="2:61" x14ac:dyDescent="0.4"/>
    <row r="71" spans="2:61" x14ac:dyDescent="0.4"/>
    <row r="72" spans="2:61" x14ac:dyDescent="0.4"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</row>
    <row r="73" spans="2:61" x14ac:dyDescent="0.4"/>
    <row r="74" spans="2:61" x14ac:dyDescent="0.4"/>
    <row r="75" spans="2:61" x14ac:dyDescent="0.4"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</row>
    <row r="76" spans="2:61" x14ac:dyDescent="0.4"/>
    <row r="77" spans="2:61" x14ac:dyDescent="0.4"/>
    <row r="78" spans="2:61" x14ac:dyDescent="0.4"/>
    <row r="79" spans="2:61" x14ac:dyDescent="0.4"/>
    <row r="80" spans="2:61" x14ac:dyDescent="0.4"/>
    <row r="81" spans="11:39" x14ac:dyDescent="0.4"/>
    <row r="82" spans="11:39" x14ac:dyDescent="0.4"/>
    <row r="83" spans="11:39" x14ac:dyDescent="0.4"/>
    <row r="84" spans="11:39" x14ac:dyDescent="0.4"/>
    <row r="85" spans="11:39" x14ac:dyDescent="0.4"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</row>
    <row r="86" spans="11:39" x14ac:dyDescent="0.4"/>
    <row r="87" spans="11:39" x14ac:dyDescent="0.4"/>
    <row r="88" spans="11:39" x14ac:dyDescent="0.4"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</row>
    <row r="89" spans="11:39" x14ac:dyDescent="0.4"/>
    <row r="90" spans="11:39" x14ac:dyDescent="0.4"/>
    <row r="91" spans="11:39" x14ac:dyDescent="0.4"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</row>
    <row r="92" spans="11:39" x14ac:dyDescent="0.4"/>
    <row r="93" spans="11:39" x14ac:dyDescent="0.4">
      <c r="K93" s="55"/>
      <c r="L93" s="55"/>
      <c r="M93" s="55"/>
      <c r="N93" s="55"/>
      <c r="O93" s="55"/>
      <c r="P93" s="55"/>
      <c r="Q93" s="55"/>
      <c r="R93" s="55"/>
      <c r="S93" s="55"/>
    </row>
    <row r="94" spans="11:39" x14ac:dyDescent="0.4"/>
    <row r="95" spans="11:39" x14ac:dyDescent="0.4"/>
    <row r="96" spans="11:39" x14ac:dyDescent="0.4">
      <c r="K96" s="55"/>
      <c r="L96" s="55"/>
      <c r="M96" s="55"/>
      <c r="N96" s="55"/>
      <c r="O96" s="55"/>
      <c r="P96" s="55"/>
      <c r="Q96" s="55"/>
      <c r="R96" s="55"/>
      <c r="S96" s="55"/>
    </row>
    <row r="97" spans="11:19" x14ac:dyDescent="0.4">
      <c r="K97" s="55"/>
      <c r="L97" s="55"/>
      <c r="M97" s="55"/>
      <c r="N97" s="55"/>
      <c r="O97" s="55"/>
      <c r="P97" s="55"/>
      <c r="Q97" s="55"/>
      <c r="R97" s="55"/>
      <c r="S97" s="55"/>
    </row>
    <row r="98" spans="11:19" x14ac:dyDescent="0.4">
      <c r="K98" s="55"/>
      <c r="L98" s="55"/>
      <c r="M98" s="55"/>
      <c r="N98" s="55"/>
      <c r="O98" s="55"/>
      <c r="P98" s="55"/>
      <c r="Q98" s="55"/>
      <c r="R98" s="55"/>
      <c r="S98" s="55"/>
    </row>
    <row r="99" spans="11:19" x14ac:dyDescent="0.4">
      <c r="K99" s="55"/>
      <c r="L99" s="55"/>
      <c r="M99" s="55"/>
      <c r="N99" s="55"/>
      <c r="O99" s="55"/>
      <c r="P99" s="55"/>
      <c r="Q99" s="55"/>
      <c r="R99" s="55"/>
      <c r="S99" s="55"/>
    </row>
    <row r="100" spans="11:19" x14ac:dyDescent="0.4"/>
    <row r="101" spans="11:19" x14ac:dyDescent="0.4"/>
    <row r="102" spans="11:19" x14ac:dyDescent="0.4"/>
    <row r="103" spans="11:19" x14ac:dyDescent="0.4">
      <c r="K103" s="55"/>
      <c r="L103" s="55"/>
      <c r="M103" s="55"/>
      <c r="N103" s="55"/>
      <c r="O103" s="55"/>
      <c r="P103" s="55"/>
      <c r="Q103" s="55"/>
      <c r="R103" s="55"/>
      <c r="S103" s="55"/>
    </row>
    <row r="104" spans="11:19" x14ac:dyDescent="0.4"/>
    <row r="105" spans="11:19" x14ac:dyDescent="0.4"/>
    <row r="106" spans="11:19" x14ac:dyDescent="0.4">
      <c r="K106" s="55"/>
      <c r="L106" s="55"/>
      <c r="M106" s="55"/>
      <c r="N106" s="55"/>
      <c r="O106" s="55"/>
      <c r="P106" s="55"/>
      <c r="Q106" s="55"/>
      <c r="R106" s="55"/>
      <c r="S106" s="55"/>
    </row>
    <row r="107" spans="11:19" x14ac:dyDescent="0.4">
      <c r="K107" s="55"/>
      <c r="L107" s="55"/>
      <c r="M107" s="55"/>
      <c r="N107" s="55"/>
      <c r="O107" s="55"/>
      <c r="P107" s="55"/>
      <c r="Q107" s="55"/>
      <c r="R107" s="55"/>
      <c r="S107" s="55"/>
    </row>
    <row r="108" spans="11:19" x14ac:dyDescent="0.4">
      <c r="K108" s="55"/>
      <c r="L108" s="55"/>
      <c r="M108" s="55"/>
      <c r="N108" s="55"/>
      <c r="O108" s="55"/>
      <c r="P108" s="55"/>
      <c r="Q108" s="55"/>
      <c r="R108" s="55"/>
      <c r="S108" s="55"/>
    </row>
    <row r="109" spans="11:19" x14ac:dyDescent="0.4">
      <c r="K109" s="55"/>
      <c r="L109" s="55"/>
      <c r="M109" s="55"/>
      <c r="N109" s="55"/>
      <c r="O109" s="55"/>
      <c r="P109" s="55"/>
      <c r="Q109" s="55"/>
      <c r="R109" s="55"/>
      <c r="S109" s="55"/>
    </row>
    <row r="110" spans="11:19" x14ac:dyDescent="0.4"/>
    <row r="111" spans="11:19" x14ac:dyDescent="0.4"/>
    <row r="112" spans="11:19" x14ac:dyDescent="0.4"/>
    <row r="113" x14ac:dyDescent="0.4"/>
    <row r="114" x14ac:dyDescent="0.4"/>
    <row r="115" x14ac:dyDescent="0.4"/>
    <row r="116" x14ac:dyDescent="0.4"/>
    <row r="117" x14ac:dyDescent="0.4"/>
    <row r="118" x14ac:dyDescent="0.4"/>
    <row r="119" x14ac:dyDescent="0.4"/>
    <row r="120" x14ac:dyDescent="0.4"/>
    <row r="121" x14ac:dyDescent="0.4"/>
    <row r="122" x14ac:dyDescent="0.4"/>
    <row r="123" x14ac:dyDescent="0.4"/>
    <row r="124" x14ac:dyDescent="0.4"/>
    <row r="125" x14ac:dyDescent="0.4"/>
    <row r="126" x14ac:dyDescent="0.4"/>
    <row r="127" x14ac:dyDescent="0.4"/>
    <row r="128" x14ac:dyDescent="0.4"/>
    <row r="129" x14ac:dyDescent="0.4"/>
    <row r="130" x14ac:dyDescent="0.4"/>
    <row r="131" x14ac:dyDescent="0.4"/>
    <row r="132" x14ac:dyDescent="0.4"/>
    <row r="133" x14ac:dyDescent="0.4"/>
  </sheetData>
  <mergeCells count="7">
    <mergeCell ref="D2:G2"/>
    <mergeCell ref="H2:S2"/>
    <mergeCell ref="T2:AD2"/>
    <mergeCell ref="P1:AA1"/>
    <mergeCell ref="AB1:AM1"/>
    <mergeCell ref="AE2:AM2"/>
    <mergeCell ref="D1:O1"/>
  </mergeCells>
  <phoneticPr fontId="5" type="noConversion"/>
  <pageMargins left="0.5" right="0.5" top="0.75" bottom="0.75" header="0.3" footer="0.3"/>
  <pageSetup scale="50" orientation="landscape" r:id="rId1"/>
  <headerFooter>
    <oddFooter>&amp;L&amp;F&amp;C&amp;A - &amp;P&amp;R&amp;D</oddFooter>
  </headerFooter>
  <colBreaks count="2" manualBreakCount="2">
    <brk id="3" max="64" man="1"/>
    <brk id="15" max="64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4" tint="-0.249977111117893"/>
    <pageSetUpPr fitToPage="1"/>
  </sheetPr>
  <dimension ref="B2:K32"/>
  <sheetViews>
    <sheetView zoomScale="140" zoomScaleNormal="140" workbookViewId="0">
      <selection activeCell="O48" sqref="O48"/>
    </sheetView>
  </sheetViews>
  <sheetFormatPr defaultColWidth="4.90625" defaultRowHeight="15.5" x14ac:dyDescent="0.4"/>
  <cols>
    <col min="1" max="2" width="9.26953125" style="1" customWidth="1"/>
    <col min="3" max="3" width="1.54296875" style="2" customWidth="1"/>
    <col min="4" max="4" width="63.90625" style="1" customWidth="1"/>
    <col min="5" max="5" width="20.54296875" style="1" customWidth="1"/>
    <col min="6" max="6" width="2.54296875" style="1" customWidth="1"/>
    <col min="7" max="7" width="20.54296875" style="1" customWidth="1"/>
    <col min="8" max="8" width="8.54296875" style="1" customWidth="1"/>
    <col min="9" max="9" width="2.54296875" style="1" customWidth="1"/>
    <col min="10" max="10" width="20.54296875" style="1" customWidth="1"/>
    <col min="11" max="11" width="7.7265625" style="1" customWidth="1"/>
    <col min="12" max="13" width="9.26953125" style="1" customWidth="1"/>
    <col min="14" max="16384" width="4.90625" style="1"/>
  </cols>
  <sheetData>
    <row r="2" spans="2:11" x14ac:dyDescent="0.4">
      <c r="B2" s="348" t="s">
        <v>30</v>
      </c>
      <c r="C2" s="348"/>
      <c r="D2" s="348"/>
      <c r="E2" s="348"/>
      <c r="F2" s="348"/>
      <c r="G2" s="348"/>
      <c r="H2" s="348"/>
      <c r="I2" s="348"/>
      <c r="J2" s="348"/>
      <c r="K2" s="348"/>
    </row>
    <row r="3" spans="2:11" x14ac:dyDescent="0.4">
      <c r="B3" s="249" t="s">
        <v>318</v>
      </c>
      <c r="C3" s="249"/>
      <c r="D3" s="249"/>
      <c r="E3" s="249"/>
      <c r="F3" s="249"/>
      <c r="G3" s="249"/>
      <c r="H3" s="249"/>
      <c r="I3" s="249"/>
      <c r="J3" s="249"/>
      <c r="K3" s="249"/>
    </row>
    <row r="4" spans="2:11" x14ac:dyDescent="0.4">
      <c r="B4" s="250"/>
      <c r="C4" s="251"/>
      <c r="D4" s="252"/>
      <c r="E4" s="250"/>
      <c r="F4" s="253"/>
      <c r="G4" s="253"/>
      <c r="H4" s="253"/>
      <c r="I4" s="253"/>
      <c r="J4" s="253"/>
      <c r="K4" s="253"/>
    </row>
    <row r="5" spans="2:11" ht="5.15" customHeight="1" x14ac:dyDescent="0.45">
      <c r="B5" s="250"/>
      <c r="C5" s="251"/>
      <c r="D5" s="250"/>
      <c r="E5" s="250"/>
      <c r="F5" s="250"/>
      <c r="G5" s="260"/>
      <c r="H5" s="260"/>
      <c r="I5" s="261"/>
      <c r="J5" s="260"/>
      <c r="K5" s="260"/>
    </row>
    <row r="6" spans="2:11" ht="17" x14ac:dyDescent="0.45">
      <c r="B6" s="250"/>
      <c r="C6" s="251"/>
      <c r="D6" s="250"/>
      <c r="E6" s="260" t="s">
        <v>135</v>
      </c>
      <c r="F6" s="250"/>
      <c r="G6" s="346" t="s">
        <v>136</v>
      </c>
      <c r="H6" s="346"/>
      <c r="I6" s="261"/>
      <c r="J6" s="346" t="s">
        <v>137</v>
      </c>
      <c r="K6" s="346"/>
    </row>
    <row r="7" spans="2:11" ht="5.15" customHeight="1" x14ac:dyDescent="0.45">
      <c r="B7" s="250"/>
      <c r="C7" s="251"/>
      <c r="D7" s="250"/>
      <c r="E7" s="250"/>
      <c r="F7" s="250"/>
      <c r="G7" s="260"/>
      <c r="H7" s="260"/>
      <c r="I7" s="261"/>
      <c r="J7" s="260"/>
      <c r="K7" s="260"/>
    </row>
    <row r="8" spans="2:11" x14ac:dyDescent="0.4">
      <c r="B8" s="250"/>
      <c r="C8" s="251"/>
      <c r="D8" s="250"/>
      <c r="E8" s="262" t="s">
        <v>138</v>
      </c>
      <c r="F8" s="250"/>
      <c r="G8" s="347" t="s">
        <v>138</v>
      </c>
      <c r="H8" s="347"/>
      <c r="I8" s="262"/>
      <c r="J8" s="347" t="s">
        <v>138</v>
      </c>
      <c r="K8" s="347"/>
    </row>
    <row r="9" spans="2:11" x14ac:dyDescent="0.4">
      <c r="B9" s="263" t="s">
        <v>139</v>
      </c>
      <c r="C9" s="264"/>
      <c r="D9" s="265" t="s">
        <v>319</v>
      </c>
      <c r="E9" s="266">
        <f>G9+J9</f>
        <v>47276080.975337833</v>
      </c>
      <c r="F9" s="265"/>
      <c r="G9" s="254">
        <f>'C-Factor LKM-2'!$G$8</f>
        <v>20328714.819395266</v>
      </c>
      <c r="H9" s="255"/>
      <c r="I9" s="255"/>
      <c r="J9" s="254">
        <f>'C-Factor LKM-2'!$H$8</f>
        <v>26947366.155942563</v>
      </c>
      <c r="K9" s="255"/>
    </row>
    <row r="10" spans="2:11" x14ac:dyDescent="0.4">
      <c r="B10" s="267"/>
      <c r="C10" s="251"/>
      <c r="D10" s="250"/>
      <c r="E10" s="250"/>
      <c r="F10" s="250"/>
      <c r="G10" s="250"/>
      <c r="H10" s="255"/>
      <c r="I10" s="255"/>
      <c r="J10" s="250"/>
      <c r="K10" s="255"/>
    </row>
    <row r="11" spans="2:11" x14ac:dyDescent="0.4">
      <c r="B11" s="263" t="s">
        <v>140</v>
      </c>
      <c r="C11" s="264"/>
      <c r="D11" s="265" t="s">
        <v>320</v>
      </c>
      <c r="E11" s="266">
        <f>G11+J11</f>
        <v>-10525726.168035382</v>
      </c>
      <c r="F11" s="266"/>
      <c r="G11" s="254">
        <f>'E-Factor LKM-3'!J28</f>
        <v>-4567191.4360356843</v>
      </c>
      <c r="H11" s="256"/>
      <c r="I11" s="256"/>
      <c r="J11" s="254">
        <f>'E-Factor LKM-3'!J67</f>
        <v>-5958534.7319996981</v>
      </c>
      <c r="K11" s="255"/>
    </row>
    <row r="12" spans="2:11" x14ac:dyDescent="0.4">
      <c r="B12" s="263"/>
      <c r="C12" s="264"/>
      <c r="D12" s="250"/>
      <c r="E12" s="257"/>
      <c r="F12" s="257"/>
      <c r="G12" s="257"/>
      <c r="H12" s="256"/>
      <c r="I12" s="256"/>
      <c r="J12" s="257"/>
      <c r="K12" s="255"/>
    </row>
    <row r="13" spans="2:11" x14ac:dyDescent="0.4">
      <c r="B13" s="263" t="s">
        <v>141</v>
      </c>
      <c r="C13" s="264"/>
      <c r="D13" s="265" t="s">
        <v>321</v>
      </c>
      <c r="E13" s="266">
        <f>G13+J13</f>
        <v>-176345.90022839641</v>
      </c>
      <c r="F13" s="268"/>
      <c r="G13" s="254">
        <f>'I-Factor LKM-5'!$H$27</f>
        <v>-76834.115139204077</v>
      </c>
      <c r="H13" s="256"/>
      <c r="I13" s="256"/>
      <c r="J13" s="254">
        <f>'I-Factor LKM-5'!$H$64</f>
        <v>-99511.785089192315</v>
      </c>
      <c r="K13" s="255"/>
    </row>
    <row r="14" spans="2:11" x14ac:dyDescent="0.4">
      <c r="B14" s="267"/>
      <c r="C14" s="251"/>
      <c r="D14" s="250"/>
      <c r="E14" s="257"/>
      <c r="F14" s="257"/>
      <c r="G14" s="257"/>
      <c r="H14" s="269"/>
      <c r="I14" s="269"/>
      <c r="J14" s="257"/>
      <c r="K14" s="270"/>
    </row>
    <row r="15" spans="2:11" x14ac:dyDescent="0.4">
      <c r="B15" s="263" t="s">
        <v>142</v>
      </c>
      <c r="C15" s="264"/>
      <c r="D15" s="271" t="s">
        <v>322</v>
      </c>
      <c r="E15" s="257">
        <f>G15+J15</f>
        <v>57978153.043601602</v>
      </c>
      <c r="F15" s="257"/>
      <c r="G15" s="257">
        <f>(G9)-(G11+G13)</f>
        <v>24972740.370570153</v>
      </c>
      <c r="H15" s="269"/>
      <c r="I15" s="269"/>
      <c r="J15" s="257">
        <f>(J9)-(J11+J13)</f>
        <v>33005412.673031453</v>
      </c>
      <c r="K15" s="270"/>
    </row>
    <row r="16" spans="2:11" x14ac:dyDescent="0.4">
      <c r="B16" s="267"/>
      <c r="C16" s="251"/>
      <c r="D16" s="250"/>
      <c r="E16" s="250"/>
      <c r="F16" s="250"/>
      <c r="G16" s="250"/>
      <c r="H16" s="270"/>
      <c r="I16" s="270"/>
      <c r="J16" s="250"/>
      <c r="K16" s="270"/>
    </row>
    <row r="17" spans="2:11" x14ac:dyDescent="0.4">
      <c r="B17" s="263" t="s">
        <v>143</v>
      </c>
      <c r="C17" s="264"/>
      <c r="D17" s="265" t="s">
        <v>323</v>
      </c>
      <c r="E17" s="265"/>
      <c r="F17" s="265"/>
      <c r="G17" s="258">
        <f>Customer!$AQ$40/'Assumptions and Inputs'!$C$21</f>
        <v>5135239.1649999982</v>
      </c>
      <c r="H17" s="270"/>
      <c r="I17" s="270"/>
      <c r="J17" s="258">
        <f>Customer!$AQ$65/'Assumptions and Inputs'!$C$21</f>
        <v>4854885.8499999996</v>
      </c>
      <c r="K17" s="270"/>
    </row>
    <row r="18" spans="2:11" x14ac:dyDescent="0.4">
      <c r="B18" s="267"/>
      <c r="C18" s="251"/>
      <c r="D18" s="250"/>
      <c r="E18" s="250"/>
      <c r="F18" s="250"/>
      <c r="G18" s="250"/>
      <c r="H18" s="250"/>
      <c r="I18" s="250"/>
      <c r="J18" s="250"/>
      <c r="K18" s="250"/>
    </row>
    <row r="19" spans="2:11" x14ac:dyDescent="0.4">
      <c r="B19" s="263" t="s">
        <v>144</v>
      </c>
      <c r="C19" s="272"/>
      <c r="D19" s="259" t="s">
        <v>324</v>
      </c>
      <c r="E19" s="259"/>
      <c r="F19" s="259"/>
      <c r="G19" s="273">
        <f>ROUND(G15/G17, 2)</f>
        <v>4.8600000000000003</v>
      </c>
      <c r="H19" s="274" t="s">
        <v>145</v>
      </c>
      <c r="I19" s="274"/>
      <c r="J19" s="273">
        <f>ROUND(J15/J17, 2)</f>
        <v>6.8</v>
      </c>
      <c r="K19" s="274" t="s">
        <v>145</v>
      </c>
    </row>
    <row r="20" spans="2:11" x14ac:dyDescent="0.4">
      <c r="B20" s="250"/>
      <c r="C20" s="251"/>
      <c r="D20" s="250"/>
      <c r="E20" s="250"/>
      <c r="F20" s="250"/>
      <c r="G20" s="275"/>
      <c r="H20" s="274"/>
      <c r="I20" s="274"/>
      <c r="J20" s="275"/>
      <c r="K20" s="274"/>
    </row>
    <row r="22" spans="2:11" hidden="1" x14ac:dyDescent="0.4">
      <c r="B22" s="8" t="s">
        <v>146</v>
      </c>
      <c r="C22" s="219" t="s">
        <v>147</v>
      </c>
      <c r="D22" s="220" t="s">
        <v>148</v>
      </c>
      <c r="G22" s="9"/>
      <c r="H22" s="10"/>
      <c r="J22" s="9"/>
    </row>
    <row r="23" spans="2:11" hidden="1" x14ac:dyDescent="0.4">
      <c r="B23" s="8"/>
      <c r="C23" s="219" t="s">
        <v>149</v>
      </c>
      <c r="D23" s="220" t="s">
        <v>150</v>
      </c>
      <c r="G23" s="11"/>
      <c r="J23" s="12"/>
    </row>
    <row r="24" spans="2:11" hidden="1" x14ac:dyDescent="0.4">
      <c r="B24" s="8"/>
      <c r="C24" s="219" t="s">
        <v>151</v>
      </c>
      <c r="D24" s="220" t="str">
        <f>"Simple Annual Interest on Net Over/Under Collection for the Most Recent Period.  Refer to Tables 4-W and 4-WW for further information.  Interest rate of "&amp;FIXED('Assumptions and Inputs'!C56*100,2,TRUE)&amp;"% as of "&amp;TEXT('Assumptions and Inputs'!$C$57,"MMMM DD, YYYY")&amp;"."</f>
        <v>Simple Annual Interest on Net Over/Under Collection for the Most Recent Period.  Refer to Tables 4-W and 4-WW for further information.  Interest rate of 3.47% as of January 02, 2026.</v>
      </c>
      <c r="G24" s="11"/>
      <c r="J24" s="11"/>
    </row>
    <row r="25" spans="2:11" hidden="1" x14ac:dyDescent="0.4">
      <c r="B25" s="8"/>
      <c r="C25" s="219" t="s">
        <v>152</v>
      </c>
      <c r="D25" s="220" t="s">
        <v>153</v>
      </c>
    </row>
    <row r="26" spans="2:11" hidden="1" x14ac:dyDescent="0.4">
      <c r="B26" s="8"/>
      <c r="C26" s="219" t="s">
        <v>154</v>
      </c>
      <c r="D26" s="220" t="str">
        <f>"Estimated water and sewer sales for Non-TAP Customers for the Next Rate Period based upon the average monthly Non-TAP sales volume for the 12 month period of January 2025 to"</f>
        <v>Estimated water and sewer sales for Non-TAP Customers for the Next Rate Period based upon the average monthly Non-TAP sales volume for the 12 month period of January 2025 to</v>
      </c>
    </row>
    <row r="27" spans="2:11" hidden="1" x14ac:dyDescent="0.4">
      <c r="B27" s="8"/>
      <c r="C27" s="219"/>
      <c r="D27" s="220" t="str">
        <f>"December 2025.  Next Rate Period is assumed to be "&amp;TEXT('Assumptions and Inputs'!C65,"MMMM DD, YYYY")&amp;" to "&amp;TEXT('Assumptions and Inputs'!C67,"MMMM DD, YYYY")&amp;"."</f>
        <v>December 2025.  Next Rate Period is assumed to be September 01, 2026 to August 31, 2027.</v>
      </c>
    </row>
    <row r="28" spans="2:11" hidden="1" x14ac:dyDescent="0.4">
      <c r="B28" s="8"/>
      <c r="C28" s="219" t="s">
        <v>155</v>
      </c>
      <c r="D28" s="220" t="s">
        <v>156</v>
      </c>
    </row>
    <row r="29" spans="2:11" x14ac:dyDescent="0.4">
      <c r="B29" s="8"/>
      <c r="C29" s="13"/>
      <c r="D29" s="8"/>
    </row>
    <row r="30" spans="2:11" x14ac:dyDescent="0.4">
      <c r="D30" s="14"/>
      <c r="E30" s="15"/>
    </row>
    <row r="31" spans="2:11" x14ac:dyDescent="0.4">
      <c r="D31" s="17"/>
      <c r="E31" s="15"/>
    </row>
    <row r="32" spans="2:11" ht="17.5" customHeight="1" x14ac:dyDescent="0.4">
      <c r="D32" s="17"/>
      <c r="E32" s="15"/>
      <c r="G32" s="16"/>
      <c r="H32" s="6"/>
      <c r="I32" s="6"/>
      <c r="J32" s="16"/>
    </row>
  </sheetData>
  <mergeCells count="5">
    <mergeCell ref="G6:H6"/>
    <mergeCell ref="G8:H8"/>
    <mergeCell ref="J6:K6"/>
    <mergeCell ref="J8:K8"/>
    <mergeCell ref="B2:K2"/>
  </mergeCells>
  <printOptions horizontalCentered="1"/>
  <pageMargins left="0.7" right="0.7" top="0.75" bottom="0.75" header="0.3" footer="0.3"/>
  <pageSetup scale="77" orientation="landscape" r:id="rId1"/>
  <headerFooter>
    <oddHeader xml:space="preserve">&amp;R2026 TAP-R Rate Procceding
Schedule LKM-TAP-1
</oddHeader>
  </headerFooter>
  <ignoredErrors>
    <ignoredError sqref="B9 B11 B13 B15 B17 B1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4" tint="-0.249977111117893"/>
    <pageSetUpPr fitToPage="1"/>
  </sheetPr>
  <dimension ref="A1:O30"/>
  <sheetViews>
    <sheetView showGridLines="0" zoomScale="140" zoomScaleNormal="140" workbookViewId="0">
      <selection activeCell="O48" sqref="O48"/>
    </sheetView>
  </sheetViews>
  <sheetFormatPr defaultColWidth="0" defaultRowHeight="15.5" zeroHeight="1" x14ac:dyDescent="0.4"/>
  <cols>
    <col min="1" max="2" width="9.26953125" style="1" customWidth="1"/>
    <col min="3" max="3" width="36" style="1" customWidth="1"/>
    <col min="4" max="4" width="8.7265625" style="1" customWidth="1"/>
    <col min="5" max="5" width="18" style="1" customWidth="1"/>
    <col min="6" max="6" width="5.54296875" style="1" customWidth="1"/>
    <col min="7" max="8" width="18" style="1" customWidth="1"/>
    <col min="9" max="11" width="10.54296875" style="1" customWidth="1"/>
    <col min="12" max="15" width="9.26953125" style="1" customWidth="1"/>
    <col min="16" max="16384" width="9.26953125" style="1" hidden="1"/>
  </cols>
  <sheetData>
    <row r="1" spans="2:13" x14ac:dyDescent="0.4"/>
    <row r="2" spans="2:13" x14ac:dyDescent="0.4">
      <c r="B2" s="252" t="s">
        <v>30</v>
      </c>
      <c r="C2" s="252"/>
      <c r="D2" s="252"/>
      <c r="E2" s="252"/>
      <c r="F2" s="252"/>
      <c r="G2" s="252"/>
      <c r="H2" s="252"/>
      <c r="I2"/>
      <c r="J2"/>
      <c r="K2"/>
    </row>
    <row r="3" spans="2:13" x14ac:dyDescent="0.4">
      <c r="B3" s="252" t="s">
        <v>326</v>
      </c>
      <c r="C3" s="252"/>
      <c r="D3" s="252"/>
      <c r="E3" s="252"/>
      <c r="F3" s="252"/>
      <c r="G3" s="252"/>
      <c r="H3" s="252"/>
      <c r="I3"/>
      <c r="J3"/>
      <c r="K3"/>
    </row>
    <row r="4" spans="2:13" x14ac:dyDescent="0.4">
      <c r="C4" s="4"/>
      <c r="D4" s="4"/>
      <c r="E4" s="4"/>
      <c r="F4" s="4"/>
      <c r="G4" s="4"/>
      <c r="H4" s="4"/>
    </row>
    <row r="5" spans="2:13" x14ac:dyDescent="0.4">
      <c r="B5" s="279" t="s">
        <v>157</v>
      </c>
      <c r="C5" s="280" t="str">
        <f>TEXT('Assumptions and Inputs'!C65,"MMMM DD, YYYY")&amp;" through "&amp;TEXT('Assumptions and Inputs'!C67,"MMMM DD, YYYY")</f>
        <v>September 01, 2026 through August 31, 2027</v>
      </c>
      <c r="D5" s="250"/>
      <c r="E5" s="250"/>
      <c r="F5" s="250"/>
      <c r="G5" s="262" t="s">
        <v>136</v>
      </c>
      <c r="H5" s="262" t="s">
        <v>137</v>
      </c>
      <c r="I5" s="250"/>
      <c r="J5" s="250"/>
      <c r="K5" s="281"/>
    </row>
    <row r="6" spans="2:13" x14ac:dyDescent="0.4">
      <c r="B6" s="250"/>
      <c r="C6" s="281"/>
      <c r="D6" s="250"/>
      <c r="E6" s="250"/>
      <c r="F6" s="250"/>
      <c r="G6" s="276">
        <v>0.43</v>
      </c>
      <c r="H6" s="276">
        <v>0.56999999999999995</v>
      </c>
      <c r="I6" s="250"/>
      <c r="J6" s="250"/>
      <c r="K6" s="281"/>
    </row>
    <row r="7" spans="2:13" ht="5.15" customHeight="1" x14ac:dyDescent="0.4">
      <c r="B7" s="250"/>
      <c r="C7" s="281"/>
      <c r="D7" s="250"/>
      <c r="E7" s="250"/>
      <c r="F7" s="250"/>
      <c r="G7" s="277"/>
      <c r="H7" s="277"/>
      <c r="I7" s="250"/>
      <c r="J7" s="250"/>
      <c r="K7" s="281"/>
    </row>
    <row r="8" spans="2:13" x14ac:dyDescent="0.4">
      <c r="B8" s="263" t="s">
        <v>139</v>
      </c>
      <c r="C8" s="282" t="s">
        <v>325</v>
      </c>
      <c r="D8" s="250"/>
      <c r="E8" s="278">
        <f>[2]TRR_Summary!$G$13</f>
        <v>47276080.975337833</v>
      </c>
      <c r="F8" s="278"/>
      <c r="G8" s="278">
        <f>E8*$G$6</f>
        <v>20328714.819395266</v>
      </c>
      <c r="H8" s="278">
        <f>E8*$H$6</f>
        <v>26947366.155942563</v>
      </c>
      <c r="I8" s="283"/>
      <c r="J8" s="250"/>
      <c r="K8" s="250"/>
      <c r="M8" s="20"/>
    </row>
    <row r="9" spans="2:13" x14ac:dyDescent="0.4">
      <c r="B9" s="267"/>
      <c r="C9" s="282"/>
      <c r="D9" s="250"/>
      <c r="E9" s="257"/>
      <c r="F9" s="250"/>
      <c r="G9" s="250"/>
      <c r="H9" s="250"/>
      <c r="I9" s="250"/>
      <c r="J9" s="250"/>
      <c r="K9" s="250"/>
    </row>
    <row r="10" spans="2:13" hidden="1" x14ac:dyDescent="0.4">
      <c r="B10" s="51" t="s">
        <v>146</v>
      </c>
      <c r="C10" s="51"/>
    </row>
    <row r="11" spans="2:13" hidden="1" x14ac:dyDescent="0.4">
      <c r="B11" s="219" t="s">
        <v>147</v>
      </c>
      <c r="C11" s="221" t="str">
        <f>"Projected TAP Billing Loss based upon the Projected Average Monthly Number of TAP Participants of "&amp;FIXED('Assumptions and Inputs'!$C13,0,FALSE)&amp;" and the Average TAP Discount per Participant of $"&amp;FIXED('Assumptions and Inputs'!$C$9,2,TRUE)&amp;". "</f>
        <v xml:space="preserve">Projected TAP Billing Loss based upon the Projected Average Monthly Number of TAP Participants of 68,405 and the Average TAP Discount per Participant of $59.47. </v>
      </c>
    </row>
    <row r="12" spans="2:13" hidden="1" x14ac:dyDescent="0.4">
      <c r="B12" s="219" t="s">
        <v>149</v>
      </c>
      <c r="C12" s="221" t="str">
        <f>"Allocation between Water and Wastewater per "&amp;TEXT('Assumptions and Inputs'!F38,)&amp;" Section 10.1(a)(i) and Section 10.1(a)(ii)."</f>
        <v>Allocation between Water and Wastewater per PWD Regulations - Rates and Charges Effective September 1, 2025 Section 10.1(a)(i) and Section 10.1(a)(ii).</v>
      </c>
    </row>
    <row r="13" spans="2:13" x14ac:dyDescent="0.4">
      <c r="C13" s="8"/>
    </row>
    <row r="14" spans="2:13" x14ac:dyDescent="0.4"/>
    <row r="15" spans="2:13" x14ac:dyDescent="0.4">
      <c r="E15" s="20"/>
    </row>
    <row r="16" spans="2:13" x14ac:dyDescent="0.4"/>
    <row r="17" spans="3:3" x14ac:dyDescent="0.4"/>
    <row r="18" spans="3:3" x14ac:dyDescent="0.4"/>
    <row r="19" spans="3:3" x14ac:dyDescent="0.4">
      <c r="C19" s="21"/>
    </row>
    <row r="20" spans="3:3" x14ac:dyDescent="0.4">
      <c r="C20" s="21"/>
    </row>
    <row r="21" spans="3:3" x14ac:dyDescent="0.4"/>
    <row r="22" spans="3:3" x14ac:dyDescent="0.4"/>
    <row r="23" spans="3:3" x14ac:dyDescent="0.4"/>
    <row r="24" spans="3:3" x14ac:dyDescent="0.4"/>
    <row r="25" spans="3:3" x14ac:dyDescent="0.4"/>
    <row r="26" spans="3:3" x14ac:dyDescent="0.4"/>
    <row r="27" spans="3:3" x14ac:dyDescent="0.4"/>
    <row r="28" spans="3:3" x14ac:dyDescent="0.4"/>
    <row r="29" spans="3:3" x14ac:dyDescent="0.4"/>
    <row r="30" spans="3:3" x14ac:dyDescent="0.4"/>
  </sheetData>
  <printOptions horizontalCentered="1"/>
  <pageMargins left="0.7" right="0.7" top="1.75" bottom="0.75" header="0.3" footer="0.3"/>
  <pageSetup scale="98" orientation="landscape" r:id="rId1"/>
  <headerFooter>
    <oddHeader xml:space="preserve">&amp;R2026 TAP-R Rate Procceding
Schedule LKM-TAP-2
</oddHeader>
  </headerFooter>
  <ignoredErrors>
    <ignoredError sqref="B8" numberStoredAsText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4" tint="-0.249977111117893"/>
    <pageSetUpPr fitToPage="1"/>
  </sheetPr>
  <dimension ref="A1:AC98"/>
  <sheetViews>
    <sheetView zoomScaleNormal="100" workbookViewId="0">
      <selection activeCell="O48" sqref="O48"/>
    </sheetView>
  </sheetViews>
  <sheetFormatPr defaultColWidth="9.26953125" defaultRowHeight="15.5" zeroHeight="1" x14ac:dyDescent="0.4"/>
  <cols>
    <col min="1" max="1" width="5.54296875" style="1" customWidth="1"/>
    <col min="2" max="2" width="9.453125" style="1" customWidth="1"/>
    <col min="3" max="3" width="17.81640625" style="1" customWidth="1"/>
    <col min="4" max="4" width="15.54296875" style="1" customWidth="1"/>
    <col min="5" max="8" width="20.54296875" style="1" customWidth="1"/>
    <col min="9" max="9" width="25.54296875" style="1" customWidth="1"/>
    <col min="10" max="10" width="20.54296875" style="1" customWidth="1"/>
    <col min="11" max="11" width="9.26953125" style="1" customWidth="1"/>
    <col min="12" max="12" width="13.7265625" style="1" bestFit="1" customWidth="1"/>
    <col min="13" max="13" width="15.453125" style="1" customWidth="1"/>
    <col min="14" max="14" width="15.54296875" style="1" customWidth="1"/>
    <col min="15" max="15" width="17.54296875" style="1" customWidth="1"/>
    <col min="16" max="17" width="15.54296875" style="1" customWidth="1"/>
    <col min="18" max="18" width="15.453125" style="1" bestFit="1" customWidth="1"/>
    <col min="19" max="19" width="14.7265625" style="1" customWidth="1"/>
    <col min="20" max="20" width="9.26953125" style="1"/>
    <col min="21" max="21" width="15.54296875" style="1" customWidth="1"/>
    <col min="22" max="22" width="12.7265625" style="1" customWidth="1"/>
    <col min="23" max="23" width="9.26953125" style="1"/>
    <col min="24" max="24" width="14.26953125" style="1" customWidth="1"/>
    <col min="25" max="25" width="12.26953125" style="1" customWidth="1"/>
    <col min="26" max="27" width="9.26953125" style="1"/>
    <col min="28" max="28" width="15.26953125" style="1" customWidth="1"/>
    <col min="29" max="29" width="12.7265625" style="1" customWidth="1"/>
    <col min="30" max="16384" width="9.26953125" style="1"/>
  </cols>
  <sheetData>
    <row r="1" spans="1:29" x14ac:dyDescent="0.4"/>
    <row r="2" spans="1:29" x14ac:dyDescent="0.4">
      <c r="B2" s="18" t="s">
        <v>30</v>
      </c>
      <c r="C2" s="19"/>
      <c r="D2" s="19"/>
      <c r="E2" s="19"/>
      <c r="F2" s="19"/>
      <c r="G2" s="19"/>
      <c r="H2" s="19"/>
      <c r="I2" s="19"/>
      <c r="J2" s="19"/>
    </row>
    <row r="3" spans="1:29" x14ac:dyDescent="0.4">
      <c r="B3" s="18" t="s">
        <v>327</v>
      </c>
      <c r="C3" s="19"/>
      <c r="D3" s="19"/>
      <c r="E3" s="19"/>
      <c r="F3" s="19"/>
      <c r="G3" s="19"/>
      <c r="H3" s="19"/>
      <c r="I3" s="19"/>
      <c r="J3" s="19"/>
    </row>
    <row r="4" spans="1:29" ht="5.15" customHeight="1" x14ac:dyDescent="0.4"/>
    <row r="5" spans="1:29" x14ac:dyDescent="0.4">
      <c r="B5" s="295" t="s">
        <v>158</v>
      </c>
      <c r="C5" s="298" t="s">
        <v>159</v>
      </c>
      <c r="D5" s="298" t="s">
        <v>160</v>
      </c>
      <c r="E5" s="298" t="s">
        <v>161</v>
      </c>
      <c r="F5" s="298" t="s">
        <v>162</v>
      </c>
      <c r="G5" s="298" t="s">
        <v>163</v>
      </c>
      <c r="H5" s="298" t="s">
        <v>164</v>
      </c>
      <c r="I5" s="298" t="s">
        <v>165</v>
      </c>
      <c r="J5" s="298" t="s">
        <v>166</v>
      </c>
    </row>
    <row r="6" spans="1:29" x14ac:dyDescent="0.4">
      <c r="B6" s="296" t="s">
        <v>157</v>
      </c>
      <c r="C6" s="299" t="s">
        <v>167</v>
      </c>
      <c r="D6" s="299" t="s">
        <v>168</v>
      </c>
      <c r="E6" s="299" t="s">
        <v>169</v>
      </c>
      <c r="F6" s="299" t="s">
        <v>167</v>
      </c>
      <c r="G6" s="299" t="s">
        <v>168</v>
      </c>
      <c r="H6" s="299" t="s">
        <v>170</v>
      </c>
      <c r="I6" s="299" t="s">
        <v>171</v>
      </c>
      <c r="J6" s="299" t="s">
        <v>172</v>
      </c>
    </row>
    <row r="7" spans="1:29" x14ac:dyDescent="0.4">
      <c r="B7" s="296"/>
      <c r="C7" s="299" t="s">
        <v>173</v>
      </c>
      <c r="D7" s="299" t="s">
        <v>174</v>
      </c>
      <c r="E7" s="299" t="s">
        <v>175</v>
      </c>
      <c r="F7" s="299" t="s">
        <v>173</v>
      </c>
      <c r="G7" s="299" t="s">
        <v>174</v>
      </c>
      <c r="H7" s="299"/>
      <c r="I7" s="299" t="s">
        <v>176</v>
      </c>
      <c r="J7" s="299"/>
    </row>
    <row r="8" spans="1:29" x14ac:dyDescent="0.4">
      <c r="B8" s="296"/>
      <c r="C8" s="300"/>
      <c r="D8" s="300"/>
      <c r="E8" s="300">
        <f>'Assumptions and Inputs'!$C$32</f>
        <v>3.59</v>
      </c>
      <c r="F8" s="300">
        <f>'Assumptions and Inputs'!$C$38</f>
        <v>0.96930000000000005</v>
      </c>
      <c r="G8" s="300"/>
      <c r="H8" s="300">
        <f>'Assumptions and Inputs'!$C$32</f>
        <v>3.59</v>
      </c>
      <c r="I8" s="300">
        <f>'Assumptions and Inputs'!$C$38</f>
        <v>0.96930000000000005</v>
      </c>
      <c r="J8" s="300"/>
      <c r="Q8" s="6"/>
      <c r="R8" s="6"/>
    </row>
    <row r="9" spans="1:29" x14ac:dyDescent="0.4">
      <c r="B9" s="297"/>
      <c r="C9" s="301" t="s">
        <v>139</v>
      </c>
      <c r="D9" s="301" t="s">
        <v>140</v>
      </c>
      <c r="E9" s="301" t="str">
        <f>"(3) = (2) * $ "&amp;FIXED(E8,3,)&amp;"/Mcf"</f>
        <v>(3) = (2) * $ 3.590/Mcf</v>
      </c>
      <c r="F9" s="301" t="str">
        <f>"(4) = [(1) - (3)]* "&amp;FIXED(F8,4,)&amp;""</f>
        <v>(4) = [(1) - (3)]* 0.9693</v>
      </c>
      <c r="G9" s="301" t="s">
        <v>143</v>
      </c>
      <c r="H9" s="301" t="str">
        <f>"(6) = (5) * $ "&amp;FIXED(H8,3,)&amp;"/Mcf"</f>
        <v>(6) = (5) * $ 3.590/Mcf</v>
      </c>
      <c r="I9" s="301" t="str">
        <f>"(7) = (6) * "&amp;FIXED(F8,4,)&amp;""</f>
        <v>(7) = (6) * 0.9693</v>
      </c>
      <c r="J9" s="301" t="s">
        <v>177</v>
      </c>
      <c r="R9" s="9"/>
    </row>
    <row r="10" spans="1:29" x14ac:dyDescent="0.4">
      <c r="B10" s="302"/>
      <c r="C10" s="303"/>
      <c r="D10" s="303"/>
      <c r="E10" s="303"/>
      <c r="F10" s="303"/>
      <c r="G10" s="303"/>
      <c r="H10" s="303"/>
      <c r="I10" s="304" t="s">
        <v>178</v>
      </c>
      <c r="J10" s="305">
        <f>'Assumptions and Inputs'!$C$83+'Assumptions and Inputs'!$C$87</f>
        <v>-3616542</v>
      </c>
      <c r="K10" s="35"/>
      <c r="Q10" s="7"/>
      <c r="R10" s="7"/>
      <c r="X10" s="7"/>
    </row>
    <row r="11" spans="1:29" x14ac:dyDescent="0.4">
      <c r="A11" s="2" t="s">
        <v>179</v>
      </c>
      <c r="B11" s="306">
        <v>45901</v>
      </c>
      <c r="C11" s="307">
        <f>Customer!P$11*'Assumptions and Inputs'!$C$40</f>
        <v>1718770.2860000001</v>
      </c>
      <c r="D11" s="308">
        <f>Customer!P$35/'Assumptions and Inputs'!$C$21</f>
        <v>44415.7</v>
      </c>
      <c r="E11" s="307">
        <f>ROUND($E$8*D11, 0)</f>
        <v>159452</v>
      </c>
      <c r="F11" s="307">
        <f t="shared" ref="F11:F22" si="0">(C11-E11)*$F$8</f>
        <v>1511447.2146198002</v>
      </c>
      <c r="G11" s="308">
        <f>Customer!P$40/'Assumptions and Inputs'!$C$21</f>
        <v>458755.35</v>
      </c>
      <c r="H11" s="309">
        <f t="shared" ref="H11:H21" si="1">ROUND($H$8*G11, 0)</f>
        <v>1646932</v>
      </c>
      <c r="I11" s="309">
        <f>H11*$I$8</f>
        <v>1596371.1876000001</v>
      </c>
      <c r="J11" s="307">
        <f t="shared" ref="J11:J22" si="2">I11-F11</f>
        <v>84923.972980199847</v>
      </c>
      <c r="M11" s="6"/>
      <c r="N11" s="6"/>
      <c r="O11" s="6"/>
      <c r="Q11" s="6"/>
      <c r="R11" s="6"/>
      <c r="S11" s="7"/>
      <c r="T11" s="20"/>
      <c r="U11" s="7"/>
      <c r="V11" s="6"/>
      <c r="X11" s="7"/>
      <c r="Y11" s="6"/>
      <c r="AB11" s="7"/>
      <c r="AC11" s="6"/>
    </row>
    <row r="12" spans="1:29" x14ac:dyDescent="0.4">
      <c r="A12" s="2" t="s">
        <v>179</v>
      </c>
      <c r="B12" s="306">
        <v>45931</v>
      </c>
      <c r="C12" s="309">
        <f>Customer!Q$11*'Assumptions and Inputs'!$C$40</f>
        <v>1954674.3317999998</v>
      </c>
      <c r="D12" s="308">
        <f>Customer!Q$35/'Assumptions and Inputs'!$C$21</f>
        <v>46682.7</v>
      </c>
      <c r="E12" s="309">
        <f t="shared" ref="E12:E20" si="3">ROUND($E$8*D12, 0)</f>
        <v>167591</v>
      </c>
      <c r="F12" s="309">
        <f t="shared" si="0"/>
        <v>1732219.87351374</v>
      </c>
      <c r="G12" s="308">
        <f>Customer!Q$40/'Assumptions and Inputs'!$C$21</f>
        <v>471560.94000000006</v>
      </c>
      <c r="H12" s="309">
        <f t="shared" si="1"/>
        <v>1692904</v>
      </c>
      <c r="I12" s="309">
        <f t="shared" ref="I12:I20" si="4">H12*$I$8</f>
        <v>1640931.8472000002</v>
      </c>
      <c r="J12" s="307">
        <f t="shared" si="2"/>
        <v>-91288.026313739829</v>
      </c>
      <c r="M12" s="6"/>
      <c r="N12" s="6"/>
      <c r="O12" s="6"/>
      <c r="Q12" s="6"/>
      <c r="R12" s="6"/>
      <c r="S12" s="7"/>
      <c r="U12" s="7"/>
      <c r="V12" s="6"/>
      <c r="X12" s="7"/>
      <c r="Y12" s="6"/>
      <c r="AB12" s="7"/>
      <c r="AC12" s="6"/>
    </row>
    <row r="13" spans="1:29" x14ac:dyDescent="0.4">
      <c r="A13" s="2" t="s">
        <v>179</v>
      </c>
      <c r="B13" s="306">
        <v>45962</v>
      </c>
      <c r="C13" s="307">
        <f>Customer!R$11*'Assumptions and Inputs'!$C$40</f>
        <v>1411639.2169999999</v>
      </c>
      <c r="D13" s="308">
        <f>Customer!R$35/'Assumptions and Inputs'!$C$21</f>
        <v>34020.6</v>
      </c>
      <c r="E13" s="307">
        <f t="shared" si="3"/>
        <v>122134</v>
      </c>
      <c r="F13" s="307">
        <f t="shared" si="0"/>
        <v>1249917.4068380999</v>
      </c>
      <c r="G13" s="308">
        <f>Customer!R$40/'Assumptions and Inputs'!$C$21</f>
        <v>357289.03500000003</v>
      </c>
      <c r="H13" s="309">
        <f t="shared" si="1"/>
        <v>1282668</v>
      </c>
      <c r="I13" s="309">
        <f t="shared" si="4"/>
        <v>1243290.0924</v>
      </c>
      <c r="J13" s="307">
        <f t="shared" si="2"/>
        <v>-6627.3144380999729</v>
      </c>
      <c r="M13" s="6"/>
      <c r="N13" s="6"/>
      <c r="O13" s="6"/>
      <c r="Q13" s="6"/>
      <c r="R13" s="6"/>
      <c r="S13" s="7"/>
      <c r="U13" s="7"/>
      <c r="V13" s="6"/>
      <c r="X13" s="7"/>
      <c r="Y13" s="6"/>
      <c r="AB13" s="7"/>
      <c r="AC13" s="6"/>
    </row>
    <row r="14" spans="1:29" x14ac:dyDescent="0.4">
      <c r="A14" s="2" t="s">
        <v>179</v>
      </c>
      <c r="B14" s="306">
        <v>45992</v>
      </c>
      <c r="C14" s="309">
        <f>Customer!S$11*'Assumptions and Inputs'!$C$40</f>
        <v>1885992.5516999997</v>
      </c>
      <c r="D14" s="308">
        <f>Customer!S$35/'Assumptions and Inputs'!$C$21</f>
        <v>45372.9</v>
      </c>
      <c r="E14" s="309">
        <f t="shared" si="3"/>
        <v>162889</v>
      </c>
      <c r="F14" s="309">
        <f t="shared" si="0"/>
        <v>1670204.2726628098</v>
      </c>
      <c r="G14" s="308">
        <f>Customer!S$40/'Assumptions and Inputs'!$C$21</f>
        <v>429225.37</v>
      </c>
      <c r="H14" s="309">
        <f t="shared" si="1"/>
        <v>1540919</v>
      </c>
      <c r="I14" s="309">
        <f t="shared" si="4"/>
        <v>1493612.7867000001</v>
      </c>
      <c r="J14" s="307">
        <f t="shared" si="2"/>
        <v>-176591.48596280976</v>
      </c>
      <c r="M14" s="6"/>
      <c r="N14" s="6"/>
      <c r="O14" s="6"/>
      <c r="Q14" s="6"/>
      <c r="R14" s="6"/>
      <c r="S14" s="7"/>
      <c r="U14" s="7"/>
      <c r="V14" s="6"/>
      <c r="X14" s="7"/>
      <c r="Y14" s="6"/>
      <c r="AB14" s="7"/>
      <c r="AC14" s="6"/>
    </row>
    <row r="15" spans="1:29" x14ac:dyDescent="0.4">
      <c r="A15" s="2" t="s">
        <v>180</v>
      </c>
      <c r="B15" s="306">
        <v>46023</v>
      </c>
      <c r="C15" s="307">
        <f>Customer!T$11*'Assumptions and Inputs'!$C$40</f>
        <v>1637847.2560186237</v>
      </c>
      <c r="D15" s="308">
        <f>Customer!T$35/'Assumptions and Inputs'!$C$21</f>
        <v>47480.1</v>
      </c>
      <c r="E15" s="307">
        <f t="shared" si="3"/>
        <v>170454</v>
      </c>
      <c r="F15" s="307">
        <f t="shared" si="0"/>
        <v>1422344.283058852</v>
      </c>
      <c r="G15" s="308">
        <f>Customer!T$40/'Assumptions and Inputs'!$C$21</f>
        <v>427936.5970833333</v>
      </c>
      <c r="H15" s="309">
        <f t="shared" si="1"/>
        <v>1536292</v>
      </c>
      <c r="I15" s="309">
        <f t="shared" si="4"/>
        <v>1489127.8356000001</v>
      </c>
      <c r="J15" s="307">
        <f t="shared" si="2"/>
        <v>66783.55254114815</v>
      </c>
      <c r="M15" s="6"/>
      <c r="N15" s="6"/>
      <c r="O15" s="6"/>
      <c r="Q15" s="6"/>
      <c r="R15" s="6"/>
      <c r="S15" s="7"/>
      <c r="U15" s="7"/>
      <c r="V15" s="6"/>
      <c r="X15" s="7"/>
      <c r="Y15" s="6"/>
      <c r="AB15" s="7"/>
      <c r="AC15" s="6"/>
    </row>
    <row r="16" spans="1:29" x14ac:dyDescent="0.4">
      <c r="A16" s="2" t="s">
        <v>180</v>
      </c>
      <c r="B16" s="306">
        <v>46054</v>
      </c>
      <c r="C16" s="309">
        <f>Customer!U$11*'Assumptions and Inputs'!$C$40</f>
        <v>1641941.8741586702</v>
      </c>
      <c r="D16" s="308">
        <f>Customer!U$35/'Assumptions and Inputs'!$C$21</f>
        <v>42351.3</v>
      </c>
      <c r="E16" s="309">
        <f t="shared" si="3"/>
        <v>152041</v>
      </c>
      <c r="F16" s="309">
        <f t="shared" si="0"/>
        <v>1444160.9173219991</v>
      </c>
      <c r="G16" s="308">
        <f>Customer!U$40/'Assumptions and Inputs'!$C$21</f>
        <v>427936.5970833333</v>
      </c>
      <c r="H16" s="309">
        <f t="shared" si="1"/>
        <v>1536292</v>
      </c>
      <c r="I16" s="309">
        <f t="shared" si="4"/>
        <v>1489127.8356000001</v>
      </c>
      <c r="J16" s="307">
        <f t="shared" si="2"/>
        <v>44966.918278001016</v>
      </c>
      <c r="M16" s="6"/>
      <c r="N16" s="6"/>
      <c r="O16" s="6"/>
      <c r="Q16" s="6"/>
      <c r="R16" s="6"/>
      <c r="S16" s="7"/>
      <c r="U16" s="7"/>
      <c r="V16" s="6"/>
      <c r="X16" s="7"/>
      <c r="Y16" s="6"/>
      <c r="AB16" s="7"/>
      <c r="AC16" s="6"/>
    </row>
    <row r="17" spans="1:29" x14ac:dyDescent="0.4">
      <c r="A17" s="2" t="s">
        <v>180</v>
      </c>
      <c r="B17" s="306">
        <v>46082</v>
      </c>
      <c r="C17" s="307">
        <f>Customer!V$11*'Assumptions and Inputs'!$C$40</f>
        <v>1646046.7288440668</v>
      </c>
      <c r="D17" s="308">
        <f>Customer!V$35/'Assumptions and Inputs'!$C$21</f>
        <v>46434.9</v>
      </c>
      <c r="E17" s="307">
        <f t="shared" si="3"/>
        <v>166701</v>
      </c>
      <c r="F17" s="307">
        <f t="shared" si="0"/>
        <v>1433929.8149685541</v>
      </c>
      <c r="G17" s="308">
        <f>Customer!V$40/'Assumptions and Inputs'!$C$21</f>
        <v>427936.5970833333</v>
      </c>
      <c r="H17" s="309">
        <f t="shared" si="1"/>
        <v>1536292</v>
      </c>
      <c r="I17" s="309">
        <f t="shared" si="4"/>
        <v>1489127.8356000001</v>
      </c>
      <c r="J17" s="307">
        <f t="shared" si="2"/>
        <v>55198.020631446037</v>
      </c>
      <c r="M17" s="6"/>
      <c r="N17" s="6"/>
      <c r="O17" s="6"/>
      <c r="Q17" s="6"/>
      <c r="R17" s="6"/>
      <c r="S17" s="7"/>
      <c r="U17" s="7"/>
      <c r="V17" s="6"/>
      <c r="X17" s="7"/>
      <c r="Y17" s="6"/>
      <c r="AB17" s="7"/>
      <c r="AC17" s="6"/>
    </row>
    <row r="18" spans="1:29" x14ac:dyDescent="0.4">
      <c r="A18" s="2" t="s">
        <v>180</v>
      </c>
      <c r="B18" s="306">
        <v>46113</v>
      </c>
      <c r="C18" s="309">
        <f>Customer!W$11*'Assumptions and Inputs'!$C$40</f>
        <v>1650161.8456661769</v>
      </c>
      <c r="D18" s="308">
        <f>Customer!W$35/'Assumptions and Inputs'!$C$21</f>
        <v>44718.003987626274</v>
      </c>
      <c r="E18" s="309">
        <f t="shared" si="3"/>
        <v>160538</v>
      </c>
      <c r="F18" s="309">
        <f t="shared" si="0"/>
        <v>1443892.3936042252</v>
      </c>
      <c r="G18" s="308">
        <f>Customer!W$40/'Assumptions and Inputs'!$C$21</f>
        <v>427936.5970833333</v>
      </c>
      <c r="H18" s="309">
        <f t="shared" si="1"/>
        <v>1536292</v>
      </c>
      <c r="I18" s="309">
        <f t="shared" si="4"/>
        <v>1489127.8356000001</v>
      </c>
      <c r="J18" s="307">
        <f t="shared" si="2"/>
        <v>45235.441995774861</v>
      </c>
      <c r="M18" s="6"/>
      <c r="N18" s="6"/>
      <c r="O18" s="6"/>
      <c r="Q18" s="6"/>
      <c r="R18" s="6"/>
      <c r="S18" s="7"/>
      <c r="U18" s="7"/>
      <c r="V18" s="6"/>
      <c r="X18" s="7"/>
      <c r="Y18" s="6"/>
      <c r="AB18" s="7"/>
      <c r="AC18" s="6"/>
    </row>
    <row r="19" spans="1:29" x14ac:dyDescent="0.4">
      <c r="A19" s="2" t="s">
        <v>180</v>
      </c>
      <c r="B19" s="306">
        <v>46143</v>
      </c>
      <c r="C19" s="307">
        <f>Customer!X$11*'Assumptions and Inputs'!$C$40</f>
        <v>1654287.2502803425</v>
      </c>
      <c r="D19" s="308">
        <f>Customer!X$35/'Assumptions and Inputs'!$C$21</f>
        <v>44718.003987626274</v>
      </c>
      <c r="E19" s="307">
        <f t="shared" si="3"/>
        <v>160538</v>
      </c>
      <c r="F19" s="307">
        <f t="shared" si="0"/>
        <v>1447891.1482967362</v>
      </c>
      <c r="G19" s="308">
        <f>Customer!X$40/'Assumptions and Inputs'!$C$21</f>
        <v>427936.5970833333</v>
      </c>
      <c r="H19" s="309">
        <f t="shared" si="1"/>
        <v>1536292</v>
      </c>
      <c r="I19" s="309">
        <f t="shared" si="4"/>
        <v>1489127.8356000001</v>
      </c>
      <c r="J19" s="307">
        <f t="shared" si="2"/>
        <v>41236.687303263927</v>
      </c>
      <c r="M19" s="6"/>
      <c r="N19" s="6"/>
      <c r="O19" s="6"/>
      <c r="Q19" s="6"/>
      <c r="R19" s="6"/>
      <c r="S19" s="7"/>
      <c r="U19" s="7"/>
      <c r="V19" s="6"/>
      <c r="X19" s="7"/>
      <c r="Y19" s="6"/>
      <c r="AB19" s="7"/>
      <c r="AC19" s="6"/>
    </row>
    <row r="20" spans="1:29" x14ac:dyDescent="0.4">
      <c r="A20" s="2" t="s">
        <v>180</v>
      </c>
      <c r="B20" s="306">
        <v>46174</v>
      </c>
      <c r="C20" s="309">
        <f>Customer!Y$11*'Assumptions and Inputs'!$C$40</f>
        <v>1658422.9684060432</v>
      </c>
      <c r="D20" s="308">
        <f>Customer!Y$35/'Assumptions and Inputs'!$C$21</f>
        <v>44718.003987626274</v>
      </c>
      <c r="E20" s="309">
        <f t="shared" si="3"/>
        <v>160538</v>
      </c>
      <c r="F20" s="309">
        <f t="shared" si="0"/>
        <v>1451899.8998759778</v>
      </c>
      <c r="G20" s="308">
        <f>Customer!Y$40/'Assumptions and Inputs'!$C$21</f>
        <v>427936.5970833333</v>
      </c>
      <c r="H20" s="309">
        <f t="shared" si="1"/>
        <v>1536292</v>
      </c>
      <c r="I20" s="309">
        <f t="shared" si="4"/>
        <v>1489127.8356000001</v>
      </c>
      <c r="J20" s="307">
        <f t="shared" si="2"/>
        <v>37227.935724022333</v>
      </c>
      <c r="M20" s="6"/>
      <c r="N20" s="6"/>
      <c r="O20" s="6"/>
      <c r="Q20" s="6"/>
      <c r="R20" s="6"/>
      <c r="S20" s="7"/>
      <c r="U20" s="7"/>
      <c r="V20" s="6"/>
      <c r="X20" s="7"/>
      <c r="Y20" s="6"/>
      <c r="AB20" s="7"/>
      <c r="AC20" s="6"/>
    </row>
    <row r="21" spans="1:29" x14ac:dyDescent="0.4">
      <c r="A21" s="2" t="s">
        <v>180</v>
      </c>
      <c r="B21" s="306">
        <v>46204</v>
      </c>
      <c r="C21" s="307">
        <f>Customer!Z$11*'Assumptions and Inputs'!$C$40</f>
        <v>1662569.0258270584</v>
      </c>
      <c r="D21" s="308">
        <f>Customer!Z$35/'Assumptions and Inputs'!$C$21</f>
        <v>44718.003987626274</v>
      </c>
      <c r="E21" s="307">
        <f t="shared" ref="E21" si="5">ROUND($E$8*D21, 0)</f>
        <v>160538</v>
      </c>
      <c r="F21" s="307">
        <f t="shared" si="0"/>
        <v>1455918.6733341678</v>
      </c>
      <c r="G21" s="308">
        <f>Customer!Z$40/'Assumptions and Inputs'!$C$21</f>
        <v>427936.5970833333</v>
      </c>
      <c r="H21" s="309">
        <f t="shared" si="1"/>
        <v>1536292</v>
      </c>
      <c r="I21" s="309">
        <f t="shared" ref="I21" si="6">H21*$I$8</f>
        <v>1489127.8356000001</v>
      </c>
      <c r="J21" s="307">
        <f t="shared" si="2"/>
        <v>33209.162265832303</v>
      </c>
      <c r="M21" s="6"/>
      <c r="N21" s="6"/>
      <c r="O21" s="6"/>
      <c r="Q21" s="6"/>
      <c r="R21" s="6"/>
      <c r="S21" s="7"/>
      <c r="U21" s="7"/>
      <c r="V21" s="6"/>
      <c r="X21" s="7"/>
      <c r="Y21" s="6"/>
      <c r="AB21" s="7"/>
      <c r="AC21" s="6"/>
    </row>
    <row r="22" spans="1:29" x14ac:dyDescent="0.4">
      <c r="A22" s="2" t="s">
        <v>180</v>
      </c>
      <c r="B22" s="306">
        <v>46235</v>
      </c>
      <c r="C22" s="309">
        <f>Customer!AA$11*'Assumptions and Inputs'!$C$40</f>
        <v>1666725.4483916261</v>
      </c>
      <c r="D22" s="308">
        <f>Customer!AA$35/'Assumptions and Inputs'!$C$21</f>
        <v>44718.003987626274</v>
      </c>
      <c r="E22" s="309">
        <f>ROUND($E$8*D22, 0)</f>
        <v>160538</v>
      </c>
      <c r="F22" s="309">
        <f t="shared" si="0"/>
        <v>1459947.4937260032</v>
      </c>
      <c r="G22" s="308">
        <f>Customer!AA$40/'Assumptions and Inputs'!$C$21</f>
        <v>427936.5970833333</v>
      </c>
      <c r="H22" s="309">
        <f>ROUND($H$8*G22, 0)</f>
        <v>1536292</v>
      </c>
      <c r="I22" s="309">
        <f>H22*$I$8</f>
        <v>1489127.8356000001</v>
      </c>
      <c r="J22" s="307">
        <f t="shared" si="2"/>
        <v>29180.341873996891</v>
      </c>
      <c r="M22" s="6"/>
      <c r="N22" s="6"/>
      <c r="O22" s="6"/>
      <c r="Q22" s="6"/>
      <c r="R22" s="6"/>
      <c r="S22" s="7"/>
      <c r="U22" s="7"/>
      <c r="V22" s="6"/>
      <c r="X22" s="7"/>
      <c r="Y22" s="6"/>
      <c r="AB22" s="7"/>
      <c r="AC22" s="6"/>
    </row>
    <row r="23" spans="1:29" ht="5.15" customHeight="1" x14ac:dyDescent="0.4">
      <c r="B23" s="303"/>
      <c r="C23" s="303"/>
      <c r="D23" s="303"/>
      <c r="E23" s="303"/>
      <c r="F23" s="303"/>
      <c r="G23" s="303"/>
      <c r="H23" s="303"/>
      <c r="I23" s="303"/>
      <c r="J23" s="303"/>
      <c r="M23" s="6"/>
      <c r="N23" s="6"/>
      <c r="O23" s="6"/>
    </row>
    <row r="24" spans="1:29" x14ac:dyDescent="0.4">
      <c r="B24" s="302" t="s">
        <v>131</v>
      </c>
      <c r="C24" s="309">
        <f>SUM(C11:C22)</f>
        <v>20189078.784092609</v>
      </c>
      <c r="D24" s="308">
        <f t="shared" ref="D24:H24" si="7">SUM(D11:D22)</f>
        <v>530348.2199381314</v>
      </c>
      <c r="E24" s="309">
        <f t="shared" si="7"/>
        <v>1903952</v>
      </c>
      <c r="F24" s="309">
        <f t="shared" si="7"/>
        <v>17723773.391820967</v>
      </c>
      <c r="G24" s="308">
        <f t="shared" si="7"/>
        <v>5140323.4716666667</v>
      </c>
      <c r="H24" s="309">
        <f t="shared" si="7"/>
        <v>18453759</v>
      </c>
      <c r="I24" s="309">
        <f>SUM(I11:I22)</f>
        <v>17887228.598700002</v>
      </c>
      <c r="J24" s="307">
        <f>SUM(J10:J22)</f>
        <v>-3453086.7931209644</v>
      </c>
      <c r="L24" s="20"/>
      <c r="M24" s="6"/>
      <c r="N24" s="6"/>
      <c r="O24" s="6"/>
    </row>
    <row r="25" spans="1:29" ht="5.15" customHeight="1" x14ac:dyDescent="0.4">
      <c r="B25" s="259"/>
      <c r="C25" s="286"/>
      <c r="D25" s="287"/>
      <c r="E25" s="286"/>
      <c r="F25" s="286"/>
      <c r="G25" s="287"/>
      <c r="H25" s="286"/>
      <c r="I25" s="286"/>
      <c r="J25" s="257"/>
      <c r="M25" s="6"/>
      <c r="N25" s="6"/>
      <c r="O25" s="6"/>
    </row>
    <row r="26" spans="1:29" x14ac:dyDescent="0.4">
      <c r="B26" s="259"/>
      <c r="C26" s="286"/>
      <c r="D26" s="287"/>
      <c r="E26" s="286"/>
      <c r="F26" s="286"/>
      <c r="G26" s="287"/>
      <c r="H26" s="286"/>
      <c r="I26" s="288" t="s">
        <v>181</v>
      </c>
      <c r="J26" s="257">
        <f>'E-Factor PRIOR LKM-4'!U101</f>
        <v>-1114104.6429147199</v>
      </c>
      <c r="K26" s="48" t="s">
        <v>182</v>
      </c>
      <c r="M26" s="6"/>
      <c r="N26" s="6"/>
      <c r="O26" s="6"/>
      <c r="V26" s="7"/>
      <c r="Y26" s="7"/>
      <c r="AC26" s="7"/>
    </row>
    <row r="27" spans="1:29" x14ac:dyDescent="0.4">
      <c r="B27" s="250"/>
      <c r="C27" s="257"/>
      <c r="D27" s="250"/>
      <c r="E27" s="250"/>
      <c r="F27" s="286"/>
      <c r="G27" s="294"/>
      <c r="H27" s="290"/>
      <c r="I27" s="250"/>
      <c r="J27" s="250"/>
      <c r="V27" s="7"/>
      <c r="AC27" s="7"/>
    </row>
    <row r="28" spans="1:29" x14ac:dyDescent="0.4">
      <c r="B28" s="250"/>
      <c r="C28" s="250"/>
      <c r="D28" s="250"/>
      <c r="E28" s="250"/>
      <c r="F28" s="250"/>
      <c r="G28" s="250"/>
      <c r="H28" s="250"/>
      <c r="I28" s="291" t="s">
        <v>184</v>
      </c>
      <c r="J28" s="292">
        <f>J24+J26</f>
        <v>-4567191.4360356843</v>
      </c>
      <c r="K28" s="48" t="s">
        <v>185</v>
      </c>
    </row>
    <row r="29" spans="1:29" hidden="1" x14ac:dyDescent="0.4">
      <c r="B29" s="1" t="s">
        <v>183</v>
      </c>
      <c r="G29" s="12"/>
      <c r="I29" s="284"/>
      <c r="J29" s="285"/>
      <c r="K29" s="48"/>
    </row>
    <row r="30" spans="1:29" hidden="1" x14ac:dyDescent="0.4">
      <c r="B30" s="222" t="s">
        <v>186</v>
      </c>
    </row>
    <row r="31" spans="1:29" hidden="1" x14ac:dyDescent="0.4">
      <c r="B31" s="222"/>
    </row>
    <row r="32" spans="1:29" hidden="1" x14ac:dyDescent="0.4">
      <c r="B32" s="222" t="s">
        <v>187</v>
      </c>
      <c r="J32" s="20"/>
    </row>
    <row r="33" spans="2:18" hidden="1" x14ac:dyDescent="0.4">
      <c r="B33" s="222" t="str">
        <f>"(1) - TAP Actual Discounts reflect water's "&amp;FIXED('Assumptions and Inputs'!$C$40*100, 1, 0)&amp;"% allocated portion of the Total TAP Discount."</f>
        <v>(1) - TAP Actual Discounts reflect water's 43.0% allocated portion of the Total TAP Discount.</v>
      </c>
    </row>
    <row r="34" spans="2:18" hidden="1" x14ac:dyDescent="0.4">
      <c r="B34" s="222" t="s">
        <v>299</v>
      </c>
    </row>
    <row r="35" spans="2:18" hidden="1" x14ac:dyDescent="0.4">
      <c r="B35" s="222" t="str">
        <f>"(3) &amp; (6) - Water TAP-R Rates per "&amp;TEXT('Assumptions and Inputs'!F32,)&amp;" "&amp;TEXT('Assumptions and Inputs'!G32,)&amp;"."</f>
        <v>(3) &amp; (6) - Water TAP-R Rates per PWD Regulations - Rates and Charges Effective September 1, 2025 Section 10.3(a)(1).</v>
      </c>
    </row>
    <row r="36" spans="2:18" hidden="1" x14ac:dyDescent="0.4">
      <c r="B36" s="222" t="str">
        <f>"(4) &amp; (7) - Adjusted for system-wide collection factor in accordance with "&amp;TEXT('Assumptions and Inputs'!F38,)&amp;" "&amp;TEXT('Assumptions and Inputs'!G38,)&amp;"."</f>
        <v>(4) &amp; (7) - Adjusted for system-wide collection factor in accordance with PWD Regulations - Rates and Charges Effective September 1, 2025 Section 10.1(b)(3).</v>
      </c>
    </row>
    <row r="37" spans="2:18" hidden="1" x14ac:dyDescent="0.4">
      <c r="B37" s="222" t="str">
        <f>"(5) - Estimated Non-TAP water sales volumes for "&amp;TEXT('Assumptions and Inputs'!C73,"MMMM YYYY")&amp;" through "&amp;TEXT('Assumptions and Inputs'!C75,"MMMM YYYY")&amp;" are based upon average sales for prior 12 month period."</f>
        <v>(5) - Estimated Non-TAP water sales volumes for January 2026 through August 2026 are based upon average sales for prior 12 month period.</v>
      </c>
    </row>
    <row r="38" spans="2:18" hidden="1" x14ac:dyDescent="0.4">
      <c r="B38" s="222" t="s">
        <v>276</v>
      </c>
    </row>
    <row r="39" spans="2:18" x14ac:dyDescent="0.4">
      <c r="B39" s="51"/>
    </row>
    <row r="40" spans="2:18" x14ac:dyDescent="0.4">
      <c r="B40" s="51"/>
    </row>
    <row r="41" spans="2:18" x14ac:dyDescent="0.4">
      <c r="B41" s="18" t="s">
        <v>30</v>
      </c>
      <c r="C41" s="19"/>
      <c r="D41" s="19"/>
      <c r="E41" s="19"/>
      <c r="F41" s="19"/>
      <c r="G41" s="19"/>
      <c r="H41" s="19"/>
      <c r="I41" s="19"/>
      <c r="J41" s="19"/>
    </row>
    <row r="42" spans="2:18" x14ac:dyDescent="0.4">
      <c r="B42" s="18" t="s">
        <v>327</v>
      </c>
      <c r="C42" s="19"/>
      <c r="D42" s="19"/>
      <c r="E42" s="19"/>
      <c r="F42" s="19"/>
      <c r="G42" s="19"/>
      <c r="H42" s="19"/>
      <c r="I42" s="19"/>
      <c r="J42" s="19"/>
    </row>
    <row r="43" spans="2:18" ht="5.15" customHeight="1" x14ac:dyDescent="0.4"/>
    <row r="44" spans="2:18" x14ac:dyDescent="0.4">
      <c r="B44" s="295" t="s">
        <v>158</v>
      </c>
      <c r="C44" s="298" t="s">
        <v>159</v>
      </c>
      <c r="D44" s="298" t="s">
        <v>188</v>
      </c>
      <c r="E44" s="298" t="s">
        <v>161</v>
      </c>
      <c r="F44" s="298" t="s">
        <v>162</v>
      </c>
      <c r="G44" s="298" t="s">
        <v>163</v>
      </c>
      <c r="H44" s="298" t="s">
        <v>164</v>
      </c>
      <c r="I44" s="298" t="s">
        <v>165</v>
      </c>
      <c r="J44" s="298" t="s">
        <v>166</v>
      </c>
    </row>
    <row r="45" spans="2:18" x14ac:dyDescent="0.4">
      <c r="B45" s="296" t="s">
        <v>157</v>
      </c>
      <c r="C45" s="299" t="s">
        <v>167</v>
      </c>
      <c r="D45" s="299" t="s">
        <v>189</v>
      </c>
      <c r="E45" s="299" t="s">
        <v>169</v>
      </c>
      <c r="F45" s="299" t="s">
        <v>167</v>
      </c>
      <c r="G45" s="299" t="s">
        <v>189</v>
      </c>
      <c r="H45" s="299" t="s">
        <v>170</v>
      </c>
      <c r="I45" s="299" t="s">
        <v>171</v>
      </c>
      <c r="J45" s="299" t="s">
        <v>172</v>
      </c>
    </row>
    <row r="46" spans="2:18" x14ac:dyDescent="0.4">
      <c r="B46" s="296"/>
      <c r="C46" s="299" t="s">
        <v>173</v>
      </c>
      <c r="D46" s="299" t="s">
        <v>126</v>
      </c>
      <c r="E46" s="299" t="s">
        <v>175</v>
      </c>
      <c r="F46" s="299" t="s">
        <v>173</v>
      </c>
      <c r="G46" s="299" t="s">
        <v>174</v>
      </c>
      <c r="H46" s="299"/>
      <c r="I46" s="299" t="s">
        <v>176</v>
      </c>
      <c r="J46" s="299"/>
    </row>
    <row r="47" spans="2:18" x14ac:dyDescent="0.4">
      <c r="B47" s="296"/>
      <c r="C47" s="300"/>
      <c r="D47" s="300" t="s">
        <v>174</v>
      </c>
      <c r="E47" s="300">
        <f>'Assumptions and Inputs'!$C$34</f>
        <v>5.07</v>
      </c>
      <c r="F47" s="300">
        <f>'Assumptions and Inputs'!$C$38</f>
        <v>0.96930000000000005</v>
      </c>
      <c r="G47" s="300"/>
      <c r="H47" s="300">
        <f>'Assumptions and Inputs'!$C$34</f>
        <v>5.07</v>
      </c>
      <c r="I47" s="300">
        <f>'Assumptions and Inputs'!$C$38</f>
        <v>0.96930000000000005</v>
      </c>
      <c r="J47" s="300"/>
      <c r="Q47" s="6"/>
      <c r="R47" s="6"/>
    </row>
    <row r="48" spans="2:18" x14ac:dyDescent="0.4">
      <c r="B48" s="297"/>
      <c r="C48" s="301" t="s">
        <v>139</v>
      </c>
      <c r="D48" s="301" t="s">
        <v>140</v>
      </c>
      <c r="E48" s="301" t="str">
        <f>"(3) = (2) * $ "&amp;FIXED(E47,3,)&amp;"/Mcf"</f>
        <v>(3) = (2) * $ 5.070/Mcf</v>
      </c>
      <c r="F48" s="301" t="str">
        <f>"(4) = [(1) - (3)]* "&amp;FIXED(F47,4,)&amp;""</f>
        <v>(4) = [(1) - (3)]* 0.9693</v>
      </c>
      <c r="G48" s="301" t="s">
        <v>143</v>
      </c>
      <c r="H48" s="301" t="str">
        <f>"(6) = (5) * $ "&amp;FIXED(H47,3,)&amp;"/Mcf"</f>
        <v>(6) = (5) * $ 5.070/Mcf</v>
      </c>
      <c r="I48" s="301" t="str">
        <f>"(7) = (6) * "&amp;FIXED(F47,4,)&amp;""</f>
        <v>(7) = (6) * 0.9693</v>
      </c>
      <c r="J48" s="301" t="s">
        <v>177</v>
      </c>
      <c r="R48" s="9"/>
    </row>
    <row r="49" spans="1:29" x14ac:dyDescent="0.4">
      <c r="B49" s="302"/>
      <c r="C49" s="303"/>
      <c r="D49" s="303"/>
      <c r="E49" s="303"/>
      <c r="F49" s="303"/>
      <c r="G49" s="303"/>
      <c r="H49" s="303"/>
      <c r="I49" s="304" t="s">
        <v>178</v>
      </c>
      <c r="J49" s="305">
        <f>'Assumptions and Inputs'!$C$84+'Assumptions and Inputs'!$C$88</f>
        <v>-4955115</v>
      </c>
      <c r="K49" s="35"/>
      <c r="Q49" s="7"/>
      <c r="R49" s="7"/>
      <c r="X49" s="7"/>
    </row>
    <row r="50" spans="1:29" x14ac:dyDescent="0.4">
      <c r="A50" s="2" t="s">
        <v>179</v>
      </c>
      <c r="B50" s="306">
        <f t="shared" ref="B50:B61" si="8">B11</f>
        <v>45901</v>
      </c>
      <c r="C50" s="307">
        <f>Customer!P$11*'Assumptions and Inputs'!$C$42</f>
        <v>2278369.9139999999</v>
      </c>
      <c r="D50" s="308">
        <f>Customer!P$60/'Assumptions and Inputs'!$C$21</f>
        <v>44387.6</v>
      </c>
      <c r="E50" s="307">
        <f>ROUND($E$47*D50, 0)</f>
        <v>225045</v>
      </c>
      <c r="F50" s="307">
        <f>(C50-E50)*$F$47</f>
        <v>1990287.8391402001</v>
      </c>
      <c r="G50" s="308">
        <f>Customer!P$65/'Assumptions and Inputs'!$C$21</f>
        <v>430854.755</v>
      </c>
      <c r="H50" s="309">
        <f>ROUND($H$47*G50, 0)</f>
        <v>2184434</v>
      </c>
      <c r="I50" s="309">
        <f>H50*$I$47</f>
        <v>2117371.8762000003</v>
      </c>
      <c r="J50" s="307">
        <f>I50-F50</f>
        <v>127084.03705980023</v>
      </c>
      <c r="M50" s="6"/>
      <c r="N50" s="6"/>
      <c r="O50" s="6"/>
      <c r="Q50" s="6"/>
      <c r="R50" s="6"/>
      <c r="S50" s="7"/>
      <c r="U50" s="7"/>
      <c r="V50" s="6"/>
      <c r="X50" s="7"/>
      <c r="Y50" s="6"/>
      <c r="AB50" s="7"/>
      <c r="AC50" s="6"/>
    </row>
    <row r="51" spans="1:29" x14ac:dyDescent="0.4">
      <c r="A51" s="2" t="s">
        <v>179</v>
      </c>
      <c r="B51" s="306">
        <f t="shared" si="8"/>
        <v>45931</v>
      </c>
      <c r="C51" s="309">
        <f>Customer!Q$11*'Assumptions and Inputs'!$C$42</f>
        <v>2591079.9281999995</v>
      </c>
      <c r="D51" s="308">
        <f>Customer!Q$60/'Assumptions and Inputs'!$C$21</f>
        <v>46652.800000000003</v>
      </c>
      <c r="E51" s="309">
        <f t="shared" ref="E51:E60" si="9">ROUND($E$47*D51, 0)</f>
        <v>236530</v>
      </c>
      <c r="F51" s="309">
        <f t="shared" ref="F51:F59" si="10">(C51-E51)*$F$47</f>
        <v>2282265.2454042598</v>
      </c>
      <c r="G51" s="308">
        <f>Customer!Q$65/'Assumptions and Inputs'!$C$21</f>
        <v>444078.72000000003</v>
      </c>
      <c r="H51" s="309">
        <f t="shared" ref="H51:H59" si="11">ROUND($H$47*G51, 0)</f>
        <v>2251479</v>
      </c>
      <c r="I51" s="309">
        <f t="shared" ref="I51:I59" si="12">H51*$I$47</f>
        <v>2182358.5947000002</v>
      </c>
      <c r="J51" s="307">
        <f t="shared" ref="J51:J59" si="13">I51-F51</f>
        <v>-99906.650704259519</v>
      </c>
      <c r="M51" s="6"/>
      <c r="N51" s="6"/>
      <c r="O51" s="6"/>
      <c r="Q51" s="6"/>
      <c r="R51" s="6"/>
      <c r="S51" s="7"/>
      <c r="U51" s="7"/>
      <c r="V51" s="6"/>
      <c r="X51" s="7"/>
      <c r="Y51" s="6"/>
      <c r="AB51" s="7"/>
      <c r="AC51" s="6"/>
    </row>
    <row r="52" spans="1:29" x14ac:dyDescent="0.4">
      <c r="A52" s="2" t="s">
        <v>179</v>
      </c>
      <c r="B52" s="306">
        <f t="shared" si="8"/>
        <v>45962</v>
      </c>
      <c r="C52" s="307">
        <f>Customer!R$11*'Assumptions and Inputs'!$C$42</f>
        <v>1871242.6829999997</v>
      </c>
      <c r="D52" s="308">
        <f>Customer!R$60/'Assumptions and Inputs'!$C$21</f>
        <v>33993.800000000003</v>
      </c>
      <c r="E52" s="307">
        <f t="shared" si="9"/>
        <v>172349</v>
      </c>
      <c r="F52" s="307">
        <f t="shared" si="10"/>
        <v>1646737.6469318997</v>
      </c>
      <c r="G52" s="308">
        <f>Customer!R$65/'Assumptions and Inputs'!$C$21</f>
        <v>336689.505</v>
      </c>
      <c r="H52" s="309">
        <f t="shared" si="11"/>
        <v>1707016</v>
      </c>
      <c r="I52" s="309">
        <f t="shared" si="12"/>
        <v>1654610.6088</v>
      </c>
      <c r="J52" s="307">
        <f t="shared" si="13"/>
        <v>7872.961868100334</v>
      </c>
      <c r="M52" s="6"/>
      <c r="N52" s="6"/>
      <c r="O52" s="6"/>
      <c r="Q52" s="6"/>
      <c r="R52" s="6"/>
      <c r="S52" s="7"/>
      <c r="U52" s="7"/>
      <c r="V52" s="6"/>
      <c r="X52" s="7"/>
      <c r="Y52" s="6"/>
      <c r="AB52" s="7"/>
      <c r="AC52" s="6"/>
    </row>
    <row r="53" spans="1:29" x14ac:dyDescent="0.4">
      <c r="A53" s="2" t="s">
        <v>179</v>
      </c>
      <c r="B53" s="306">
        <f t="shared" si="8"/>
        <v>45992</v>
      </c>
      <c r="C53" s="309">
        <f>Customer!S$11*'Assumptions and Inputs'!$C$42</f>
        <v>2500036.6382999993</v>
      </c>
      <c r="D53" s="308">
        <f>Customer!S$60/'Assumptions and Inputs'!$C$21</f>
        <v>45338.8</v>
      </c>
      <c r="E53" s="309">
        <f t="shared" si="9"/>
        <v>229868</v>
      </c>
      <c r="F53" s="309">
        <f t="shared" si="10"/>
        <v>2200474.4611041895</v>
      </c>
      <c r="G53" s="308">
        <f>Customer!S$65/'Assumptions and Inputs'!$C$21</f>
        <v>410857.16499999998</v>
      </c>
      <c r="H53" s="309">
        <f t="shared" si="11"/>
        <v>2083046</v>
      </c>
      <c r="I53" s="309">
        <f t="shared" si="12"/>
        <v>2019096.4878</v>
      </c>
      <c r="J53" s="307">
        <f t="shared" si="13"/>
        <v>-181377.97330418951</v>
      </c>
      <c r="M53" s="6"/>
      <c r="N53" s="6"/>
      <c r="O53" s="6"/>
      <c r="Q53" s="6"/>
      <c r="R53" s="6"/>
      <c r="S53" s="7"/>
      <c r="U53" s="7"/>
      <c r="V53" s="6"/>
      <c r="X53" s="7"/>
      <c r="Y53" s="6"/>
      <c r="AB53" s="7"/>
      <c r="AC53" s="6"/>
    </row>
    <row r="54" spans="1:29" x14ac:dyDescent="0.4">
      <c r="A54" s="2" t="s">
        <v>179</v>
      </c>
      <c r="B54" s="306">
        <f t="shared" si="8"/>
        <v>46023</v>
      </c>
      <c r="C54" s="307">
        <f>Customer!T$11*'Assumptions and Inputs'!$C$42</f>
        <v>2171099.8510014312</v>
      </c>
      <c r="D54" s="308">
        <f>Customer!T$60/'Assumptions and Inputs'!$C$21</f>
        <v>47442.3</v>
      </c>
      <c r="E54" s="307">
        <f t="shared" si="9"/>
        <v>240532</v>
      </c>
      <c r="F54" s="307">
        <f t="shared" si="10"/>
        <v>1871299.4179756874</v>
      </c>
      <c r="G54" s="308">
        <f>Customer!T$65/'Assumptions and Inputs'!$C$21</f>
        <v>404573.8208333333</v>
      </c>
      <c r="H54" s="309">
        <f t="shared" si="11"/>
        <v>2051189</v>
      </c>
      <c r="I54" s="309">
        <f t="shared" si="12"/>
        <v>1988217.4977000002</v>
      </c>
      <c r="J54" s="307">
        <f t="shared" si="13"/>
        <v>116918.07972431276</v>
      </c>
      <c r="M54" s="6"/>
      <c r="N54" s="6"/>
      <c r="O54" s="6"/>
      <c r="Q54" s="6"/>
      <c r="R54" s="6"/>
      <c r="S54" s="7"/>
      <c r="U54" s="7"/>
      <c r="V54" s="6"/>
      <c r="X54" s="7"/>
      <c r="Y54" s="6"/>
      <c r="AB54" s="7"/>
      <c r="AC54" s="6"/>
    </row>
    <row r="55" spans="1:29" x14ac:dyDescent="0.4">
      <c r="A55" s="2" t="s">
        <v>179</v>
      </c>
      <c r="B55" s="306">
        <f t="shared" si="8"/>
        <v>46054</v>
      </c>
      <c r="C55" s="309">
        <f>Customer!U$11*'Assumptions and Inputs'!$C$42</f>
        <v>2176527.6006289348</v>
      </c>
      <c r="D55" s="308">
        <f>Customer!U$60/'Assumptions and Inputs'!$C$21</f>
        <v>42318.7</v>
      </c>
      <c r="E55" s="309">
        <f t="shared" si="9"/>
        <v>214556</v>
      </c>
      <c r="F55" s="309">
        <f t="shared" si="10"/>
        <v>1901739.0724896267</v>
      </c>
      <c r="G55" s="308">
        <f>Customer!U$65/'Assumptions and Inputs'!$C$21</f>
        <v>404573.8208333333</v>
      </c>
      <c r="H55" s="309">
        <f t="shared" si="11"/>
        <v>2051189</v>
      </c>
      <c r="I55" s="309">
        <f t="shared" si="12"/>
        <v>1988217.4977000002</v>
      </c>
      <c r="J55" s="307">
        <f t="shared" si="13"/>
        <v>86478.425210373476</v>
      </c>
      <c r="M55" s="6"/>
      <c r="N55" s="6"/>
      <c r="O55" s="6"/>
      <c r="Q55" s="6"/>
      <c r="R55" s="6"/>
      <c r="S55" s="7"/>
      <c r="U55" s="7"/>
      <c r="V55" s="6"/>
      <c r="X55" s="7"/>
      <c r="Y55" s="6"/>
      <c r="AB55" s="7"/>
      <c r="AC55" s="6"/>
    </row>
    <row r="56" spans="1:29" x14ac:dyDescent="0.4">
      <c r="A56" s="2" t="s">
        <v>179</v>
      </c>
      <c r="B56" s="306">
        <f t="shared" si="8"/>
        <v>46082</v>
      </c>
      <c r="C56" s="307">
        <f>Customer!V$11*'Assumptions and Inputs'!$C$42</f>
        <v>2181968.919630507</v>
      </c>
      <c r="D56" s="308">
        <f>Customer!V$60/'Assumptions and Inputs'!$C$21</f>
        <v>46397.2</v>
      </c>
      <c r="E56" s="307">
        <f t="shared" si="9"/>
        <v>235234</v>
      </c>
      <c r="F56" s="307">
        <f t="shared" si="10"/>
        <v>1886970.1575978505</v>
      </c>
      <c r="G56" s="308">
        <f>Customer!V$65/'Assumptions and Inputs'!$C$21</f>
        <v>404573.8208333333</v>
      </c>
      <c r="H56" s="309">
        <f t="shared" si="11"/>
        <v>2051189</v>
      </c>
      <c r="I56" s="309">
        <f t="shared" si="12"/>
        <v>1988217.4977000002</v>
      </c>
      <c r="J56" s="307">
        <f t="shared" si="13"/>
        <v>101247.34010214964</v>
      </c>
      <c r="M56" s="6"/>
      <c r="N56" s="6"/>
      <c r="O56" s="6"/>
      <c r="Q56" s="6"/>
      <c r="R56" s="6"/>
      <c r="S56" s="7"/>
      <c r="U56" s="7"/>
      <c r="V56" s="6"/>
      <c r="X56" s="7"/>
      <c r="Y56" s="6"/>
      <c r="AB56" s="7"/>
      <c r="AC56" s="6"/>
    </row>
    <row r="57" spans="1:29" x14ac:dyDescent="0.4">
      <c r="A57" s="2" t="s">
        <v>180</v>
      </c>
      <c r="B57" s="306">
        <f t="shared" si="8"/>
        <v>46113</v>
      </c>
      <c r="C57" s="309">
        <f>Customer!W$11*'Assumptions and Inputs'!$C$42</f>
        <v>2187423.8419295833</v>
      </c>
      <c r="D57" s="308">
        <f>Customer!W$60/'Assumptions and Inputs'!$C$21</f>
        <v>44718.003987626274</v>
      </c>
      <c r="E57" s="309">
        <f t="shared" si="9"/>
        <v>226720</v>
      </c>
      <c r="F57" s="309">
        <f t="shared" si="10"/>
        <v>1900510.2339823453</v>
      </c>
      <c r="G57" s="308">
        <f>Customer!W$65/'Assumptions and Inputs'!$C$21</f>
        <v>404573.8208333333</v>
      </c>
      <c r="H57" s="309">
        <f t="shared" si="11"/>
        <v>2051189</v>
      </c>
      <c r="I57" s="309">
        <f t="shared" si="12"/>
        <v>1988217.4977000002</v>
      </c>
      <c r="J57" s="307">
        <f t="shared" si="13"/>
        <v>87707.26371765486</v>
      </c>
      <c r="M57" s="6"/>
      <c r="N57" s="6"/>
      <c r="O57" s="6"/>
      <c r="Q57" s="6"/>
      <c r="R57" s="6"/>
      <c r="S57" s="7"/>
      <c r="U57" s="7"/>
      <c r="V57" s="6"/>
      <c r="X57" s="7"/>
      <c r="Y57" s="6"/>
      <c r="AB57" s="7"/>
      <c r="AC57" s="6"/>
    </row>
    <row r="58" spans="1:29" x14ac:dyDescent="0.4">
      <c r="A58" s="2" t="s">
        <v>180</v>
      </c>
      <c r="B58" s="306">
        <f t="shared" si="8"/>
        <v>46143</v>
      </c>
      <c r="C58" s="307">
        <f>Customer!X$11*'Assumptions and Inputs'!$C$42</f>
        <v>2192892.4015344074</v>
      </c>
      <c r="D58" s="308">
        <f>Customer!X$60/'Assumptions and Inputs'!$C$21</f>
        <v>44718.003987626274</v>
      </c>
      <c r="E58" s="307">
        <f t="shared" si="9"/>
        <v>226720</v>
      </c>
      <c r="F58" s="307">
        <f t="shared" si="10"/>
        <v>1905810.9088073012</v>
      </c>
      <c r="G58" s="308">
        <f>Customer!X$65/'Assumptions and Inputs'!$C$21</f>
        <v>404573.8208333333</v>
      </c>
      <c r="H58" s="309">
        <f t="shared" si="11"/>
        <v>2051189</v>
      </c>
      <c r="I58" s="309">
        <f t="shared" si="12"/>
        <v>1988217.4977000002</v>
      </c>
      <c r="J58" s="307">
        <f t="shared" si="13"/>
        <v>82406.588892698986</v>
      </c>
      <c r="M58" s="6"/>
      <c r="N58" s="6"/>
      <c r="O58" s="6"/>
      <c r="Q58" s="6"/>
      <c r="R58" s="6"/>
      <c r="S58" s="7"/>
      <c r="U58" s="7"/>
      <c r="V58" s="6"/>
      <c r="X58" s="7"/>
      <c r="Y58" s="6"/>
      <c r="AB58" s="7"/>
      <c r="AC58" s="6"/>
    </row>
    <row r="59" spans="1:29" x14ac:dyDescent="0.4">
      <c r="A59" s="2" t="s">
        <v>180</v>
      </c>
      <c r="B59" s="306">
        <f t="shared" si="8"/>
        <v>46174</v>
      </c>
      <c r="C59" s="309">
        <f>Customer!Y$11*'Assumptions and Inputs'!$C$42</f>
        <v>2198374.6325382432</v>
      </c>
      <c r="D59" s="308">
        <f>Customer!Y$60/'Assumptions and Inputs'!$C$21</f>
        <v>44718.003987626274</v>
      </c>
      <c r="E59" s="309">
        <f t="shared" si="9"/>
        <v>226720</v>
      </c>
      <c r="F59" s="309">
        <f t="shared" si="10"/>
        <v>1911124.8353193193</v>
      </c>
      <c r="G59" s="308">
        <f>Customer!Y$65/'Assumptions and Inputs'!$C$21</f>
        <v>404573.8208333333</v>
      </c>
      <c r="H59" s="309">
        <f t="shared" si="11"/>
        <v>2051189</v>
      </c>
      <c r="I59" s="309">
        <f t="shared" si="12"/>
        <v>1988217.4977000002</v>
      </c>
      <c r="J59" s="307">
        <f t="shared" si="13"/>
        <v>77092.662380680908</v>
      </c>
      <c r="M59" s="6"/>
      <c r="N59" s="6"/>
      <c r="O59" s="6"/>
      <c r="Q59" s="6"/>
      <c r="R59" s="6"/>
      <c r="S59" s="7"/>
      <c r="U59" s="7"/>
      <c r="V59" s="6"/>
      <c r="X59" s="7"/>
      <c r="Y59" s="6"/>
      <c r="AB59" s="7"/>
      <c r="AC59" s="6"/>
    </row>
    <row r="60" spans="1:29" x14ac:dyDescent="0.4">
      <c r="A60" s="2" t="s">
        <v>180</v>
      </c>
      <c r="B60" s="306">
        <f t="shared" si="8"/>
        <v>46204</v>
      </c>
      <c r="C60" s="307">
        <f>Customer!Z$11*'Assumptions and Inputs'!$C$42</f>
        <v>2203870.5691195889</v>
      </c>
      <c r="D60" s="308">
        <f>Customer!Z$60/'Assumptions and Inputs'!$C$21</f>
        <v>44718.003987626274</v>
      </c>
      <c r="E60" s="307">
        <f t="shared" si="9"/>
        <v>226720</v>
      </c>
      <c r="F60" s="307">
        <f t="shared" ref="F60" si="14">(C60-E60)*$F$47</f>
        <v>1916452.0466476176</v>
      </c>
      <c r="G60" s="308">
        <f>Customer!Z$65/'Assumptions and Inputs'!$C$21</f>
        <v>404573.8208333333</v>
      </c>
      <c r="H60" s="309">
        <f t="shared" ref="H60" si="15">ROUND($H$47*G60, 0)</f>
        <v>2051189</v>
      </c>
      <c r="I60" s="309">
        <f t="shared" ref="I60" si="16">H60*$I$47</f>
        <v>1988217.4977000002</v>
      </c>
      <c r="J60" s="307">
        <f t="shared" ref="J60" si="17">I60-F60</f>
        <v>71765.451052382588</v>
      </c>
      <c r="M60" s="6"/>
      <c r="N60" s="6"/>
      <c r="O60" s="6"/>
      <c r="Q60" s="6"/>
      <c r="R60" s="6"/>
      <c r="S60" s="7"/>
      <c r="U60" s="7"/>
      <c r="V60" s="6"/>
      <c r="X60" s="7"/>
      <c r="Y60" s="6"/>
      <c r="AB60" s="7"/>
      <c r="AC60" s="6"/>
    </row>
    <row r="61" spans="1:29" x14ac:dyDescent="0.4">
      <c r="A61" s="2" t="s">
        <v>180</v>
      </c>
      <c r="B61" s="306">
        <f t="shared" si="8"/>
        <v>46235</v>
      </c>
      <c r="C61" s="309">
        <f>Customer!AA$11*'Assumptions and Inputs'!$C$42</f>
        <v>2209380.2455423879</v>
      </c>
      <c r="D61" s="308">
        <f>Customer!AA$60/'Assumptions and Inputs'!$C$21</f>
        <v>44718.003987626274</v>
      </c>
      <c r="E61" s="309">
        <f>ROUND($E$47*D61, 0)</f>
        <v>226720</v>
      </c>
      <c r="F61" s="309">
        <f>(C61-E61)*$F$47</f>
        <v>1921792.5760042367</v>
      </c>
      <c r="G61" s="308">
        <f>Customer!AA$65/'Assumptions and Inputs'!$C$21</f>
        <v>404573.8208333333</v>
      </c>
      <c r="H61" s="309">
        <f>ROUND($H$47*G61, 0)</f>
        <v>2051189</v>
      </c>
      <c r="I61" s="309">
        <f>H61*$I$47</f>
        <v>1988217.4977000002</v>
      </c>
      <c r="J61" s="307">
        <f>I61-F61</f>
        <v>66424.921695763478</v>
      </c>
      <c r="M61" s="6"/>
      <c r="N61" s="6"/>
      <c r="O61" s="6"/>
      <c r="Q61" s="6"/>
      <c r="R61" s="6"/>
      <c r="S61" s="7"/>
      <c r="U61" s="7"/>
      <c r="V61" s="6"/>
      <c r="X61" s="7"/>
      <c r="Y61" s="6"/>
      <c r="AB61" s="7"/>
      <c r="AC61" s="6"/>
    </row>
    <row r="62" spans="1:29" ht="5.15" customHeight="1" x14ac:dyDescent="0.4">
      <c r="B62" s="303"/>
      <c r="C62" s="303"/>
      <c r="D62" s="303"/>
      <c r="E62" s="303"/>
      <c r="F62" s="303"/>
      <c r="G62" s="303"/>
      <c r="H62" s="303"/>
      <c r="I62" s="303"/>
      <c r="J62" s="303"/>
      <c r="M62" s="6"/>
      <c r="N62" s="6"/>
      <c r="O62" s="6"/>
    </row>
    <row r="63" spans="1:29" x14ac:dyDescent="0.4">
      <c r="B63" s="302" t="s">
        <v>131</v>
      </c>
      <c r="C63" s="309">
        <f>SUM(C50:C61)</f>
        <v>26762267.225425083</v>
      </c>
      <c r="D63" s="308">
        <f t="shared" ref="D63:H63" si="18">SUM(D50:D61)</f>
        <v>530121.2199381314</v>
      </c>
      <c r="E63" s="309">
        <f t="shared" si="18"/>
        <v>2687714</v>
      </c>
      <c r="F63" s="309">
        <f t="shared" si="18"/>
        <v>23335464.441404536</v>
      </c>
      <c r="G63" s="308">
        <f t="shared" si="18"/>
        <v>4859070.711666666</v>
      </c>
      <c r="H63" s="309">
        <f t="shared" si="18"/>
        <v>24635487</v>
      </c>
      <c r="I63" s="309">
        <f>SUM(I50:I61)</f>
        <v>23879177.549099997</v>
      </c>
      <c r="J63" s="307">
        <f>SUM(J49:J61)</f>
        <v>-4411401.8923045304</v>
      </c>
      <c r="L63" s="20"/>
      <c r="M63" s="6"/>
      <c r="N63" s="6"/>
      <c r="O63" s="6"/>
    </row>
    <row r="64" spans="1:29" ht="5.15" customHeight="1" x14ac:dyDescent="0.4">
      <c r="B64" s="35"/>
      <c r="C64" s="45"/>
      <c r="D64" s="46"/>
      <c r="E64" s="45"/>
      <c r="F64" s="45"/>
      <c r="G64" s="46"/>
      <c r="H64" s="45"/>
      <c r="I64" s="45"/>
      <c r="J64" s="20"/>
      <c r="M64" s="6"/>
      <c r="N64" s="6"/>
      <c r="O64" s="6"/>
    </row>
    <row r="65" spans="2:29" x14ac:dyDescent="0.4">
      <c r="B65" s="259"/>
      <c r="C65" s="286"/>
      <c r="D65" s="287"/>
      <c r="E65" s="286"/>
      <c r="F65" s="286"/>
      <c r="G65" s="287"/>
      <c r="H65" s="286"/>
      <c r="I65" s="288" t="s">
        <v>181</v>
      </c>
      <c r="J65" s="257">
        <f>'E-Factor PRIOR LKM-4'!U141</f>
        <v>-1547132.8396951677</v>
      </c>
      <c r="K65" s="48" t="s">
        <v>190</v>
      </c>
      <c r="M65" s="6"/>
      <c r="N65" s="6"/>
      <c r="O65" s="6"/>
      <c r="V65" s="7"/>
      <c r="Y65" s="7"/>
      <c r="AC65" s="7"/>
    </row>
    <row r="66" spans="2:29" x14ac:dyDescent="0.4">
      <c r="B66" s="250"/>
      <c r="C66" s="257"/>
      <c r="D66" s="250"/>
      <c r="E66" s="250"/>
      <c r="F66" s="286"/>
      <c r="G66" s="294"/>
      <c r="H66" s="290"/>
      <c r="I66" s="250"/>
      <c r="J66" s="250"/>
      <c r="N66" s="6"/>
      <c r="V66" s="6"/>
      <c r="AC66" s="6"/>
    </row>
    <row r="67" spans="2:29" x14ac:dyDescent="0.4">
      <c r="B67" s="250"/>
      <c r="C67" s="250"/>
      <c r="D67" s="250"/>
      <c r="E67" s="250"/>
      <c r="F67" s="250"/>
      <c r="G67" s="250"/>
      <c r="H67" s="250"/>
      <c r="I67" s="291" t="s">
        <v>184</v>
      </c>
      <c r="J67" s="292">
        <f>J63+J65</f>
        <v>-5958534.7319996981</v>
      </c>
      <c r="K67" s="48" t="s">
        <v>185</v>
      </c>
    </row>
    <row r="68" spans="2:29" hidden="1" x14ac:dyDescent="0.4">
      <c r="B68" s="1" t="s">
        <v>183</v>
      </c>
      <c r="I68" s="284"/>
      <c r="J68" s="285"/>
      <c r="K68" s="48"/>
    </row>
    <row r="69" spans="2:29" hidden="1" x14ac:dyDescent="0.4">
      <c r="B69" s="222" t="s">
        <v>186</v>
      </c>
    </row>
    <row r="70" spans="2:29" hidden="1" x14ac:dyDescent="0.4">
      <c r="B70" s="222"/>
    </row>
    <row r="71" spans="2:29" hidden="1" x14ac:dyDescent="0.4">
      <c r="B71" s="222" t="s">
        <v>187</v>
      </c>
      <c r="J71" s="20"/>
    </row>
    <row r="72" spans="2:29" hidden="1" x14ac:dyDescent="0.4">
      <c r="B72" s="222" t="str">
        <f>"(1) - TAP Actual Discounts reflects water's "&amp;FIXED('Assumptions and Inputs'!$C$42*100, 1, 0)&amp;"% allocated portion of the Total TAP Discount."</f>
        <v>(1) - TAP Actual Discounts reflects water's 57.0% allocated portion of the Total TAP Discount.</v>
      </c>
      <c r="J72" s="20">
        <f>+J67+J28</f>
        <v>-10525726.168035382</v>
      </c>
    </row>
    <row r="73" spans="2:29" hidden="1" x14ac:dyDescent="0.4">
      <c r="B73" s="222" t="s">
        <v>299</v>
      </c>
    </row>
    <row r="74" spans="2:29" hidden="1" x14ac:dyDescent="0.4">
      <c r="B74" s="222" t="str">
        <f>"(3) &amp; (6) - Sewer TAP-R Rates per "&amp;TEXT('Assumptions and Inputs'!F34,)&amp;" "&amp;TEXT('Assumptions and Inputs'!G34,)&amp;"."</f>
        <v>(3) &amp; (6) - Sewer TAP-R Rates per PWD Regulations - Rates and Charges Effective September 1, 2025 Section 10.3(b)(1).</v>
      </c>
    </row>
    <row r="75" spans="2:29" hidden="1" x14ac:dyDescent="0.4">
      <c r="B75" s="222" t="str">
        <f>"(4) &amp; (7) - Adjusted for system-wide collection factor in accordance with "&amp;TEXT('Assumptions and Inputs'!F38,)&amp;" "&amp;TEXT('Assumptions and Inputs'!G38,)&amp;"."</f>
        <v>(4) &amp; (7) - Adjusted for system-wide collection factor in accordance with PWD Regulations - Rates and Charges Effective September 1, 2025 Section 10.1(b)(3).</v>
      </c>
      <c r="K75" s="8"/>
    </row>
    <row r="76" spans="2:29" hidden="1" x14ac:dyDescent="0.4">
      <c r="B76" s="222" t="str">
        <f>"(5) - Estimated Non-TAP water sales volumes for "&amp;TEXT('Assumptions and Inputs'!C73,"MMMM YYYY")&amp;" through "&amp;TEXT('Assumptions and Inputs'!C75,"MMMM YYYY")&amp;" are based upon average sales for prior 12 month period."</f>
        <v>(5) - Estimated Non-TAP water sales volumes for January 2026 through August 2026 are based upon average sales for prior 12 month period.</v>
      </c>
    </row>
    <row r="77" spans="2:29" hidden="1" x14ac:dyDescent="0.4">
      <c r="B77" s="222" t="s">
        <v>277</v>
      </c>
    </row>
    <row r="78" spans="2:29" x14ac:dyDescent="0.4">
      <c r="B78" s="51"/>
    </row>
    <row r="79" spans="2:29" x14ac:dyDescent="0.4"/>
    <row r="80" spans="2:29" x14ac:dyDescent="0.4"/>
    <row r="81" spans="2:10" x14ac:dyDescent="0.4">
      <c r="C81" s="20"/>
    </row>
    <row r="82" spans="2:10" x14ac:dyDescent="0.4">
      <c r="C82" s="20"/>
    </row>
    <row r="83" spans="2:10" x14ac:dyDescent="0.4">
      <c r="B83" s="54"/>
      <c r="C83" s="20"/>
      <c r="D83" s="7"/>
      <c r="E83" s="7"/>
    </row>
    <row r="84" spans="2:10" x14ac:dyDescent="0.4">
      <c r="B84" s="54"/>
      <c r="C84" s="20"/>
      <c r="D84" s="7"/>
      <c r="E84" s="7"/>
      <c r="F84" s="20"/>
      <c r="G84" s="55"/>
      <c r="H84" s="55"/>
      <c r="I84" s="55"/>
      <c r="J84" s="20"/>
    </row>
    <row r="85" spans="2:10" x14ac:dyDescent="0.4">
      <c r="B85" s="54"/>
      <c r="C85" s="20"/>
      <c r="D85" s="7"/>
      <c r="E85" s="7"/>
      <c r="F85" s="20"/>
      <c r="G85" s="55"/>
      <c r="H85" s="55"/>
      <c r="I85" s="55"/>
      <c r="J85" s="20"/>
    </row>
    <row r="86" spans="2:10" x14ac:dyDescent="0.4">
      <c r="B86" s="54"/>
      <c r="C86" s="20"/>
      <c r="D86" s="7"/>
      <c r="E86" s="7"/>
      <c r="F86" s="20"/>
    </row>
    <row r="87" spans="2:10" x14ac:dyDescent="0.4">
      <c r="B87" s="54"/>
      <c r="C87" s="20"/>
      <c r="D87" s="7"/>
      <c r="E87" s="7"/>
      <c r="F87" s="20"/>
    </row>
    <row r="88" spans="2:10" x14ac:dyDescent="0.4">
      <c r="B88" s="54"/>
      <c r="C88" s="20"/>
      <c r="D88" s="7"/>
      <c r="E88" s="7"/>
      <c r="F88" s="20"/>
      <c r="G88" s="56"/>
      <c r="H88" s="20"/>
      <c r="I88" s="20"/>
      <c r="J88" s="20"/>
    </row>
    <row r="89" spans="2:10" x14ac:dyDescent="0.4">
      <c r="B89" s="54"/>
      <c r="C89" s="20"/>
      <c r="D89" s="7"/>
      <c r="E89" s="7"/>
      <c r="F89" s="20"/>
      <c r="G89" s="56"/>
      <c r="H89" s="20"/>
      <c r="I89" s="20"/>
      <c r="J89" s="20"/>
    </row>
    <row r="90" spans="2:10" x14ac:dyDescent="0.4">
      <c r="B90" s="54"/>
      <c r="C90" s="20"/>
      <c r="D90" s="7"/>
      <c r="E90" s="7"/>
    </row>
    <row r="91" spans="2:10" x14ac:dyDescent="0.4">
      <c r="B91" s="54"/>
      <c r="C91" s="20"/>
      <c r="D91" s="7"/>
      <c r="E91" s="7"/>
    </row>
    <row r="92" spans="2:10" x14ac:dyDescent="0.4">
      <c r="B92" s="54"/>
      <c r="C92" s="20"/>
      <c r="D92" s="7"/>
      <c r="E92" s="7"/>
    </row>
    <row r="93" spans="2:10" x14ac:dyDescent="0.4">
      <c r="B93" s="54"/>
      <c r="C93" s="20"/>
      <c r="D93" s="7"/>
      <c r="E93" s="7"/>
    </row>
    <row r="94" spans="2:10" x14ac:dyDescent="0.4">
      <c r="C94" s="20"/>
    </row>
    <row r="95" spans="2:10" x14ac:dyDescent="0.4"/>
    <row r="96" spans="2:10" x14ac:dyDescent="0.4"/>
    <row r="97" x14ac:dyDescent="0.4"/>
    <row r="98" x14ac:dyDescent="0.4"/>
  </sheetData>
  <printOptions horizontalCentered="1"/>
  <pageMargins left="0.7" right="0.7" top="0.75" bottom="0.75" header="0.3" footer="0.3"/>
  <pageSetup scale="61" orientation="landscape" r:id="rId1"/>
  <headerFooter>
    <oddHeader xml:space="preserve">&amp;R2026 TAP-R Rate Procceding
Schedule LKM-TAP-3
</oddHeader>
  </headerFooter>
  <ignoredErrors>
    <ignoredError sqref="C9:D9 G9 C48:D48 G4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9484E-A7F5-4914-B9CB-952DFFFA3433}">
  <sheetPr codeName="Sheet8">
    <tabColor theme="4" tint="-0.249977111117893"/>
    <pageSetUpPr fitToPage="1"/>
  </sheetPr>
  <dimension ref="A1:Y175"/>
  <sheetViews>
    <sheetView tabSelected="1" zoomScale="80" zoomScaleNormal="80" workbookViewId="0">
      <selection activeCell="O48" sqref="O48"/>
    </sheetView>
  </sheetViews>
  <sheetFormatPr defaultColWidth="9.26953125" defaultRowHeight="15.5" zeroHeight="1" x14ac:dyDescent="0.4"/>
  <cols>
    <col min="1" max="1" width="9.26953125" style="1" customWidth="1"/>
    <col min="2" max="2" width="9.453125" style="1" customWidth="1"/>
    <col min="3" max="3" width="17.26953125" style="1" customWidth="1"/>
    <col min="4" max="4" width="15.54296875" style="1" customWidth="1"/>
    <col min="5" max="8" width="20.54296875" style="1" customWidth="1"/>
    <col min="9" max="9" width="24.26953125" style="1" customWidth="1"/>
    <col min="10" max="10" width="20.54296875" style="1" customWidth="1"/>
    <col min="11" max="11" width="3.453125" style="1" customWidth="1"/>
    <col min="12" max="12" width="22.26953125" style="1" customWidth="1"/>
    <col min="13" max="13" width="15.453125" style="1" customWidth="1"/>
    <col min="14" max="14" width="18.7265625" style="1" customWidth="1"/>
    <col min="15" max="15" width="21" style="1" bestFit="1" customWidth="1"/>
    <col min="16" max="16" width="14.54296875" style="1" customWidth="1"/>
    <col min="17" max="17" width="19.54296875" style="1" customWidth="1"/>
    <col min="18" max="18" width="25.54296875" style="1" customWidth="1"/>
    <col min="19" max="19" width="15.54296875" style="1" customWidth="1"/>
    <col min="20" max="20" width="2.26953125" style="1" customWidth="1"/>
    <col min="21" max="21" width="17.7265625" style="1" customWidth="1"/>
    <col min="22" max="16384" width="9.26953125" style="1"/>
  </cols>
  <sheetData>
    <row r="1" spans="1:13" x14ac:dyDescent="0.4"/>
    <row r="2" spans="1:13" x14ac:dyDescent="0.4">
      <c r="B2" s="252" t="str">
        <f>B77</f>
        <v xml:space="preserve">Philadelphia Water Department 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</row>
    <row r="3" spans="1:13" ht="16" thickBot="1" x14ac:dyDescent="0.45">
      <c r="B3" s="252" t="s">
        <v>328</v>
      </c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</row>
    <row r="4" spans="1:13" ht="16" thickBot="1" x14ac:dyDescent="0.45">
      <c r="B4" s="250"/>
      <c r="C4" s="315" t="str">
        <f>C79</f>
        <v>Prior Reconciliation Period with Updated Actuals</v>
      </c>
      <c r="D4" s="316"/>
      <c r="E4" s="316"/>
      <c r="F4" s="316"/>
      <c r="G4" s="316"/>
      <c r="H4" s="316"/>
      <c r="I4" s="316"/>
      <c r="J4" s="317"/>
      <c r="K4" s="250"/>
      <c r="L4" s="318" t="s">
        <v>191</v>
      </c>
      <c r="M4" s="319" t="s">
        <v>192</v>
      </c>
    </row>
    <row r="5" spans="1:13" x14ac:dyDescent="0.4">
      <c r="B5" s="298" t="str">
        <f>B80</f>
        <v>Billing</v>
      </c>
      <c r="C5" s="298" t="str">
        <f>C80</f>
        <v>Total Actual TAP</v>
      </c>
      <c r="D5" s="298" t="str">
        <f t="shared" ref="D5:J5" si="0">D80</f>
        <v>Billed TAP</v>
      </c>
      <c r="E5" s="298" t="str">
        <f t="shared" si="0"/>
        <v>Total TAP-R</v>
      </c>
      <c r="F5" s="298" t="str">
        <f t="shared" si="0"/>
        <v>Adjusted Actual TAP</v>
      </c>
      <c r="G5" s="298" t="str">
        <f t="shared" si="0"/>
        <v>Billed Non-TAP</v>
      </c>
      <c r="H5" s="298" t="str">
        <f t="shared" si="0"/>
        <v>TAP-R Billed</v>
      </c>
      <c r="I5" s="298" t="str">
        <f t="shared" si="0"/>
        <v>Estimated TAP-R</v>
      </c>
      <c r="J5" s="298" t="str">
        <f t="shared" si="0"/>
        <v>Over/(Under)</v>
      </c>
      <c r="L5" s="298" t="str">
        <f>S80</f>
        <v>Over/(Under)</v>
      </c>
      <c r="M5" s="298" t="str">
        <f>U80</f>
        <v xml:space="preserve">Delta </v>
      </c>
    </row>
    <row r="6" spans="1:13" x14ac:dyDescent="0.4">
      <c r="B6" s="299" t="str">
        <f>B81</f>
        <v>Period</v>
      </c>
      <c r="C6" s="299" t="str">
        <f>C81</f>
        <v>Discounts</v>
      </c>
      <c r="D6" s="299" t="str">
        <f t="shared" ref="D6:J6" si="1">D81</f>
        <v>Water Sales</v>
      </c>
      <c r="E6" s="299" t="str">
        <f t="shared" si="1"/>
        <v xml:space="preserve">Billed </v>
      </c>
      <c r="F6" s="299" t="str">
        <f t="shared" si="1"/>
        <v>Discounts</v>
      </c>
      <c r="G6" s="299" t="str">
        <f t="shared" si="1"/>
        <v>Water Sales</v>
      </c>
      <c r="H6" s="299" t="str">
        <f t="shared" si="1"/>
        <v>Non-Tap Water Sales</v>
      </c>
      <c r="I6" s="299" t="str">
        <f t="shared" si="1"/>
        <v xml:space="preserve">Revenues </v>
      </c>
      <c r="J6" s="299" t="str">
        <f t="shared" si="1"/>
        <v>Collection</v>
      </c>
      <c r="L6" s="299" t="str">
        <f>S81</f>
        <v>Collection</v>
      </c>
      <c r="M6" s="299"/>
    </row>
    <row r="7" spans="1:13" x14ac:dyDescent="0.4">
      <c r="B7" s="299"/>
      <c r="C7" s="299" t="str">
        <f>C82</f>
        <v xml:space="preserve">(Credits) </v>
      </c>
      <c r="D7" s="299" t="str">
        <f>D82</f>
        <v>(Mcf)</v>
      </c>
      <c r="E7" s="299" t="str">
        <f>E82</f>
        <v>to TAP Participants</v>
      </c>
      <c r="F7" s="299" t="str">
        <f>F82</f>
        <v xml:space="preserve">(Credits) </v>
      </c>
      <c r="G7" s="299" t="str">
        <f>G82</f>
        <v>(Mcf)</v>
      </c>
      <c r="H7" s="299"/>
      <c r="I7" s="299" t="str">
        <f>I82</f>
        <v>Experienced</v>
      </c>
      <c r="J7" s="299"/>
      <c r="L7" s="299"/>
      <c r="M7" s="299"/>
    </row>
    <row r="8" spans="1:13" x14ac:dyDescent="0.4">
      <c r="B8" s="299"/>
      <c r="C8" s="299"/>
      <c r="D8" s="299"/>
      <c r="E8" s="299">
        <f>E83</f>
        <v>3.08</v>
      </c>
      <c r="F8" s="299">
        <f>F83</f>
        <v>0.96989999999999998</v>
      </c>
      <c r="G8" s="299"/>
      <c r="H8" s="299"/>
      <c r="I8" s="299">
        <f>I83</f>
        <v>0.96989999999999998</v>
      </c>
      <c r="J8" s="299"/>
      <c r="L8" s="299"/>
      <c r="M8" s="299"/>
    </row>
    <row r="9" spans="1:13" x14ac:dyDescent="0.4">
      <c r="B9" s="310"/>
      <c r="C9" s="310" t="str">
        <f>C84</f>
        <v>(1)</v>
      </c>
      <c r="D9" s="310" t="str">
        <f t="shared" ref="D9:J9" si="2">D84</f>
        <v>(2)</v>
      </c>
      <c r="E9" s="310" t="str">
        <f t="shared" si="2"/>
        <v>(3) = (2) * $ 3.080/Mcf</v>
      </c>
      <c r="F9" s="310" t="str">
        <f t="shared" si="2"/>
        <v>(4) = [(1) - (3)]* 0.9699</v>
      </c>
      <c r="G9" s="310" t="str">
        <f t="shared" si="2"/>
        <v>(5)</v>
      </c>
      <c r="H9" s="310" t="str">
        <f t="shared" si="2"/>
        <v>(6) = (5) * $ 3.080/Mcf</v>
      </c>
      <c r="I9" s="310" t="str">
        <f t="shared" si="2"/>
        <v>(7) = (6) * 0.9699</v>
      </c>
      <c r="J9" s="310" t="str">
        <f t="shared" si="2"/>
        <v>(8) = (7) - (4)</v>
      </c>
      <c r="L9" s="310" t="s">
        <v>193</v>
      </c>
      <c r="M9" s="310" t="s">
        <v>194</v>
      </c>
    </row>
    <row r="10" spans="1:13" x14ac:dyDescent="0.4">
      <c r="B10" s="311"/>
      <c r="C10" s="312"/>
      <c r="D10" s="312"/>
      <c r="E10" s="312"/>
      <c r="F10" s="312"/>
      <c r="G10" s="312"/>
      <c r="H10" s="312"/>
      <c r="I10" s="313" t="s">
        <v>178</v>
      </c>
      <c r="J10" s="314">
        <f>J85</f>
        <v>-5189621.9748253832</v>
      </c>
      <c r="L10" s="314">
        <f>S85</f>
        <v>-5189621.9748253832</v>
      </c>
      <c r="M10" s="312"/>
    </row>
    <row r="11" spans="1:13" x14ac:dyDescent="0.4">
      <c r="A11" s="61"/>
      <c r="B11" s="306">
        <f t="shared" ref="B11:B20" si="3">B86</f>
        <v>45536</v>
      </c>
      <c r="C11" s="307">
        <f t="shared" ref="C11:J11" si="4">C86</f>
        <v>1337049.6888000001</v>
      </c>
      <c r="D11" s="308">
        <f t="shared" si="4"/>
        <v>42054.400000000001</v>
      </c>
      <c r="E11" s="309">
        <f t="shared" si="4"/>
        <v>129528</v>
      </c>
      <c r="F11" s="307">
        <f t="shared" si="4"/>
        <v>1171175.2859671202</v>
      </c>
      <c r="G11" s="308">
        <f t="shared" si="4"/>
        <v>490921.995</v>
      </c>
      <c r="H11" s="309">
        <f t="shared" si="4"/>
        <v>1512039.7446000001</v>
      </c>
      <c r="I11" s="309">
        <f t="shared" si="4"/>
        <v>1466527.34828754</v>
      </c>
      <c r="J11" s="307">
        <f t="shared" si="4"/>
        <v>295352.06232041982</v>
      </c>
      <c r="L11" s="307">
        <f>S86</f>
        <v>295352.3100328797</v>
      </c>
      <c r="M11" s="307">
        <f>J11-L11</f>
        <v>-0.24771245988085866</v>
      </c>
    </row>
    <row r="12" spans="1:13" x14ac:dyDescent="0.4">
      <c r="A12" s="61"/>
      <c r="B12" s="306">
        <f t="shared" si="3"/>
        <v>45566</v>
      </c>
      <c r="C12" s="309">
        <f t="shared" ref="C12:J12" si="5">C87</f>
        <v>1423248.9221999999</v>
      </c>
      <c r="D12" s="308">
        <f t="shared" si="5"/>
        <v>40943.5</v>
      </c>
      <c r="E12" s="309">
        <f t="shared" si="5"/>
        <v>126106</v>
      </c>
      <c r="F12" s="309">
        <f t="shared" si="5"/>
        <v>1258098.9202417799</v>
      </c>
      <c r="G12" s="308">
        <f t="shared" si="5"/>
        <v>458132.77999999997</v>
      </c>
      <c r="H12" s="309">
        <f t="shared" si="5"/>
        <v>1411048.9623999998</v>
      </c>
      <c r="I12" s="309">
        <f t="shared" si="5"/>
        <v>1368576.3886317599</v>
      </c>
      <c r="J12" s="307">
        <f t="shared" si="5"/>
        <v>110477.46838998003</v>
      </c>
      <c r="L12" s="307">
        <f t="shared" ref="L12:L20" si="6">S87</f>
        <v>110477.50485822</v>
      </c>
      <c r="M12" s="307">
        <f t="shared" ref="M12:M21" si="7">J12-L12</f>
        <v>-3.6468239966779947E-2</v>
      </c>
    </row>
    <row r="13" spans="1:13" x14ac:dyDescent="0.4">
      <c r="A13" s="61"/>
      <c r="B13" s="306">
        <f t="shared" si="3"/>
        <v>45597</v>
      </c>
      <c r="C13" s="307">
        <f t="shared" ref="C13:J13" si="8">C88</f>
        <v>1251489.0906</v>
      </c>
      <c r="D13" s="308">
        <f t="shared" si="8"/>
        <v>35812.5</v>
      </c>
      <c r="E13" s="307">
        <f t="shared" si="8"/>
        <v>110303</v>
      </c>
      <c r="F13" s="307">
        <f t="shared" si="8"/>
        <v>1106836.3892729399</v>
      </c>
      <c r="G13" s="308">
        <f t="shared" si="8"/>
        <v>424733.95499999996</v>
      </c>
      <c r="H13" s="309">
        <f t="shared" si="8"/>
        <v>1308180.5813999998</v>
      </c>
      <c r="I13" s="309">
        <f t="shared" si="8"/>
        <v>1268804.3458998597</v>
      </c>
      <c r="J13" s="307">
        <f t="shared" si="8"/>
        <v>161967.9566269198</v>
      </c>
      <c r="L13" s="307">
        <f t="shared" si="6"/>
        <v>161968.36262706015</v>
      </c>
      <c r="M13" s="307">
        <f t="shared" si="7"/>
        <v>-0.40600014035589993</v>
      </c>
    </row>
    <row r="14" spans="1:13" x14ac:dyDescent="0.4">
      <c r="A14" s="61"/>
      <c r="B14" s="306">
        <f t="shared" si="3"/>
        <v>45627</v>
      </c>
      <c r="C14" s="309">
        <f t="shared" ref="C14:J14" si="9">C89</f>
        <v>1337359.4892</v>
      </c>
      <c r="D14" s="308">
        <f t="shared" si="9"/>
        <v>38296</v>
      </c>
      <c r="E14" s="309">
        <f t="shared" si="9"/>
        <v>117952</v>
      </c>
      <c r="F14" s="309">
        <f t="shared" si="9"/>
        <v>1182703.32377508</v>
      </c>
      <c r="G14" s="308">
        <f t="shared" si="9"/>
        <v>428037.62</v>
      </c>
      <c r="H14" s="309">
        <f t="shared" si="9"/>
        <v>1318355.8696000001</v>
      </c>
      <c r="I14" s="309">
        <f t="shared" si="9"/>
        <v>1278673.3579250402</v>
      </c>
      <c r="J14" s="307">
        <f t="shared" si="9"/>
        <v>95970.034149960149</v>
      </c>
      <c r="L14" s="307">
        <f t="shared" si="6"/>
        <v>95970.160624919925</v>
      </c>
      <c r="M14" s="307">
        <f t="shared" si="7"/>
        <v>-0.12647495977580547</v>
      </c>
    </row>
    <row r="15" spans="1:13" x14ac:dyDescent="0.4">
      <c r="A15" s="61"/>
      <c r="B15" s="306">
        <f t="shared" si="3"/>
        <v>45658</v>
      </c>
      <c r="C15" s="307">
        <f t="shared" ref="C15:J15" si="10">C90</f>
        <v>1531584.6756</v>
      </c>
      <c r="D15" s="308">
        <f t="shared" si="10"/>
        <v>43133.2</v>
      </c>
      <c r="E15" s="307">
        <f t="shared" si="10"/>
        <v>132850</v>
      </c>
      <c r="F15" s="307">
        <f t="shared" si="10"/>
        <v>1356632.76186444</v>
      </c>
      <c r="G15" s="308">
        <f t="shared" si="10"/>
        <v>446981.625</v>
      </c>
      <c r="H15" s="309">
        <f t="shared" si="10"/>
        <v>1376703.405</v>
      </c>
      <c r="I15" s="309">
        <f t="shared" si="10"/>
        <v>1335264.6325095</v>
      </c>
      <c r="J15" s="307">
        <f t="shared" si="10"/>
        <v>-21368.129354940029</v>
      </c>
      <c r="L15" s="307">
        <f t="shared" si="6"/>
        <v>-20838.956764439587</v>
      </c>
      <c r="M15" s="307">
        <f t="shared" si="7"/>
        <v>-529.17259050044231</v>
      </c>
    </row>
    <row r="16" spans="1:13" x14ac:dyDescent="0.4">
      <c r="A16" s="61"/>
      <c r="B16" s="306">
        <f t="shared" si="3"/>
        <v>45689</v>
      </c>
      <c r="C16" s="309">
        <f t="shared" ref="C16:J16" si="11">C91</f>
        <v>1257332.6136</v>
      </c>
      <c r="D16" s="308">
        <f t="shared" si="11"/>
        <v>36254.300000000003</v>
      </c>
      <c r="E16" s="309">
        <f t="shared" si="11"/>
        <v>111663</v>
      </c>
      <c r="F16" s="309">
        <f t="shared" si="11"/>
        <v>1111184.95823064</v>
      </c>
      <c r="G16" s="308">
        <f t="shared" si="11"/>
        <v>389903.54</v>
      </c>
      <c r="H16" s="309">
        <f t="shared" si="11"/>
        <v>1200902.9032000001</v>
      </c>
      <c r="I16" s="309">
        <f t="shared" si="11"/>
        <v>1164755.7258136801</v>
      </c>
      <c r="J16" s="307">
        <f t="shared" si="11"/>
        <v>53570.767583040055</v>
      </c>
      <c r="L16" s="307">
        <f t="shared" si="6"/>
        <v>54048.052269359818</v>
      </c>
      <c r="M16" s="307">
        <f t="shared" si="7"/>
        <v>-477.28468631976284</v>
      </c>
    </row>
    <row r="17" spans="1:14" x14ac:dyDescent="0.4">
      <c r="A17" s="61"/>
      <c r="B17" s="306">
        <f t="shared" si="3"/>
        <v>45717</v>
      </c>
      <c r="C17" s="307">
        <f t="shared" ref="C17:J17" si="12">C92</f>
        <v>1295615.7731999999</v>
      </c>
      <c r="D17" s="308">
        <f t="shared" si="12"/>
        <v>37575.1</v>
      </c>
      <c r="E17" s="307">
        <f t="shared" si="12"/>
        <v>115731</v>
      </c>
      <c r="F17" s="307">
        <f t="shared" si="12"/>
        <v>1144370.2415266798</v>
      </c>
      <c r="G17" s="308">
        <f t="shared" si="12"/>
        <v>394954.18</v>
      </c>
      <c r="H17" s="309">
        <f t="shared" si="12"/>
        <v>1216458.8744000001</v>
      </c>
      <c r="I17" s="309">
        <f t="shared" si="12"/>
        <v>1179843.4622805601</v>
      </c>
      <c r="J17" s="307">
        <f t="shared" si="12"/>
        <v>35473.220753880218</v>
      </c>
      <c r="L17" s="307">
        <f t="shared" si="6"/>
        <v>36461.67067332007</v>
      </c>
      <c r="M17" s="307">
        <f t="shared" si="7"/>
        <v>-988.44991943985224</v>
      </c>
    </row>
    <row r="18" spans="1:14" x14ac:dyDescent="0.4">
      <c r="A18" s="61"/>
      <c r="B18" s="306">
        <f t="shared" si="3"/>
        <v>45748</v>
      </c>
      <c r="C18" s="309">
        <f t="shared" ref="C18:J18" si="13">C93</f>
        <v>1313903.8122</v>
      </c>
      <c r="D18" s="308">
        <f t="shared" si="13"/>
        <v>38235.300000000003</v>
      </c>
      <c r="E18" s="309">
        <f t="shared" si="13"/>
        <v>117765</v>
      </c>
      <c r="F18" s="309">
        <f t="shared" si="13"/>
        <v>1160135.0339527801</v>
      </c>
      <c r="G18" s="308">
        <f t="shared" si="13"/>
        <v>399841.21499999997</v>
      </c>
      <c r="H18" s="309">
        <f t="shared" si="13"/>
        <v>1231510.9421999999</v>
      </c>
      <c r="I18" s="309">
        <f t="shared" si="13"/>
        <v>1194442.4628397799</v>
      </c>
      <c r="J18" s="307">
        <f t="shared" si="13"/>
        <v>34307.428886999842</v>
      </c>
      <c r="L18" s="307">
        <f t="shared" si="6"/>
        <v>254369.90961173177</v>
      </c>
      <c r="M18" s="307">
        <f t="shared" si="7"/>
        <v>-220062.48072473193</v>
      </c>
    </row>
    <row r="19" spans="1:14" x14ac:dyDescent="0.4">
      <c r="A19" s="61"/>
      <c r="B19" s="306">
        <f t="shared" si="3"/>
        <v>45778</v>
      </c>
      <c r="C19" s="307">
        <f t="shared" ref="C19:J19" si="14">C94</f>
        <v>1362364.1094000002</v>
      </c>
      <c r="D19" s="308">
        <f t="shared" si="14"/>
        <v>39575.800000000003</v>
      </c>
      <c r="E19" s="307">
        <f t="shared" si="14"/>
        <v>121893</v>
      </c>
      <c r="F19" s="307">
        <f t="shared" si="14"/>
        <v>1203132.9290070601</v>
      </c>
      <c r="G19" s="308">
        <f t="shared" si="14"/>
        <v>419823.69000000006</v>
      </c>
      <c r="H19" s="309">
        <f t="shared" si="14"/>
        <v>1293056.9652000002</v>
      </c>
      <c r="I19" s="309">
        <f t="shared" si="14"/>
        <v>1254135.9505474803</v>
      </c>
      <c r="J19" s="307">
        <f t="shared" si="14"/>
        <v>51003.02154042013</v>
      </c>
      <c r="L19" s="307">
        <f t="shared" si="6"/>
        <v>254369.90961173177</v>
      </c>
      <c r="M19" s="307">
        <f t="shared" si="7"/>
        <v>-203366.88807131164</v>
      </c>
    </row>
    <row r="20" spans="1:14" x14ac:dyDescent="0.4">
      <c r="A20" s="61"/>
      <c r="B20" s="306">
        <f t="shared" si="3"/>
        <v>45809</v>
      </c>
      <c r="C20" s="309">
        <f t="shared" ref="C20:J20" si="15">C95</f>
        <v>1464473.2493999999</v>
      </c>
      <c r="D20" s="308">
        <f t="shared" si="15"/>
        <v>41969.599999999999</v>
      </c>
      <c r="E20" s="309">
        <f t="shared" si="15"/>
        <v>129266</v>
      </c>
      <c r="F20" s="309">
        <f t="shared" si="15"/>
        <v>1295017.5111930599</v>
      </c>
      <c r="G20" s="308">
        <f t="shared" si="15"/>
        <v>437385.55</v>
      </c>
      <c r="H20" s="309">
        <f t="shared" si="15"/>
        <v>1347147.4939999999</v>
      </c>
      <c r="I20" s="309">
        <f t="shared" si="15"/>
        <v>1306598.3544305998</v>
      </c>
      <c r="J20" s="307">
        <f t="shared" si="15"/>
        <v>11580.843237539986</v>
      </c>
      <c r="L20" s="307">
        <f t="shared" si="6"/>
        <v>254369.90961173177</v>
      </c>
      <c r="M20" s="307">
        <f t="shared" si="7"/>
        <v>-242789.06637419178</v>
      </c>
    </row>
    <row r="21" spans="1:14" x14ac:dyDescent="0.4">
      <c r="A21" s="61"/>
      <c r="B21" s="306">
        <f>B96</f>
        <v>45839</v>
      </c>
      <c r="C21" s="307">
        <f t="shared" ref="C21:J22" si="16">C96</f>
        <v>1481190.5723999999</v>
      </c>
      <c r="D21" s="308">
        <f t="shared" si="16"/>
        <v>42399.7</v>
      </c>
      <c r="E21" s="307">
        <f t="shared" si="16"/>
        <v>130591</v>
      </c>
      <c r="F21" s="307">
        <f t="shared" si="16"/>
        <v>1309946.5252707598</v>
      </c>
      <c r="G21" s="308">
        <f t="shared" si="16"/>
        <v>456809.04500000004</v>
      </c>
      <c r="H21" s="309">
        <f t="shared" si="16"/>
        <v>1406971.8586000002</v>
      </c>
      <c r="I21" s="309">
        <f t="shared" si="16"/>
        <v>1364622.0056561402</v>
      </c>
      <c r="J21" s="307">
        <f t="shared" si="16"/>
        <v>54675.480385380331</v>
      </c>
      <c r="L21" s="307">
        <f>S96</f>
        <v>254369.90961173177</v>
      </c>
      <c r="M21" s="307">
        <f t="shared" si="7"/>
        <v>-199694.42922635144</v>
      </c>
    </row>
    <row r="22" spans="1:14" x14ac:dyDescent="0.4">
      <c r="A22" s="61"/>
      <c r="B22" s="306">
        <f>B97</f>
        <v>45870</v>
      </c>
      <c r="C22" s="309">
        <f t="shared" si="16"/>
        <v>1586141.1216</v>
      </c>
      <c r="D22" s="308">
        <f t="shared" si="16"/>
        <v>45007.6</v>
      </c>
      <c r="E22" s="309">
        <f t="shared" si="16"/>
        <v>138623</v>
      </c>
      <c r="F22" s="309">
        <f t="shared" si="16"/>
        <v>1403947.8261398398</v>
      </c>
      <c r="G22" s="308">
        <f t="shared" si="16"/>
        <v>472709.625</v>
      </c>
      <c r="H22" s="309">
        <f t="shared" si="16"/>
        <v>1455945.645</v>
      </c>
      <c r="I22" s="309">
        <f t="shared" si="16"/>
        <v>1412121.6810854999</v>
      </c>
      <c r="J22" s="307">
        <f t="shared" si="16"/>
        <v>8173.8549456601031</v>
      </c>
      <c r="L22" s="307">
        <f>S97</f>
        <v>254369.90961173177</v>
      </c>
      <c r="M22" s="307">
        <f t="shared" ref="M22" si="17">J22-L22</f>
        <v>-246196.05466607166</v>
      </c>
    </row>
    <row r="23" spans="1:14" ht="5.15" customHeight="1" x14ac:dyDescent="0.4">
      <c r="B23" s="303"/>
      <c r="C23" s="303"/>
      <c r="D23" s="303"/>
      <c r="E23" s="303"/>
      <c r="F23" s="303"/>
      <c r="G23" s="303"/>
      <c r="H23" s="303"/>
      <c r="I23" s="303"/>
      <c r="J23" s="303"/>
      <c r="L23" s="303"/>
      <c r="M23" s="303"/>
    </row>
    <row r="24" spans="1:14" x14ac:dyDescent="0.4">
      <c r="B24" s="302" t="s">
        <v>131</v>
      </c>
      <c r="C24" s="309">
        <f>SUM(C11:C22)</f>
        <v>16641753.1182</v>
      </c>
      <c r="D24" s="308">
        <f t="shared" ref="D24:I24" si="18">SUM(D11:D22)</f>
        <v>481256.99999999988</v>
      </c>
      <c r="E24" s="309">
        <f t="shared" si="18"/>
        <v>1482271</v>
      </c>
      <c r="F24" s="309">
        <f t="shared" si="18"/>
        <v>14703181.706442179</v>
      </c>
      <c r="G24" s="308">
        <f t="shared" si="18"/>
        <v>5220234.82</v>
      </c>
      <c r="H24" s="309">
        <f t="shared" si="18"/>
        <v>16078323.245599998</v>
      </c>
      <c r="I24" s="309">
        <f t="shared" si="18"/>
        <v>15594365.71590744</v>
      </c>
      <c r="J24" s="307">
        <f>SUM(J10:J22)</f>
        <v>-4298437.9653601237</v>
      </c>
      <c r="L24" s="307">
        <f>SUM(L10:L22)</f>
        <v>-3184333.3224454038</v>
      </c>
      <c r="M24" s="307">
        <f>SUM(M11:M22)</f>
        <v>-1114104.6429147185</v>
      </c>
    </row>
    <row r="25" spans="1:14" x14ac:dyDescent="0.4">
      <c r="B25" s="250"/>
      <c r="C25" s="250"/>
      <c r="D25" s="250"/>
      <c r="E25" s="250"/>
      <c r="F25" s="286"/>
      <c r="G25" s="289"/>
      <c r="H25" s="250"/>
      <c r="I25" s="250"/>
      <c r="J25" s="250"/>
      <c r="L25" s="250"/>
      <c r="M25" s="250"/>
    </row>
    <row r="26" spans="1:14" x14ac:dyDescent="0.4">
      <c r="B26" s="250"/>
      <c r="C26" s="250"/>
      <c r="D26" s="250"/>
      <c r="E26" s="250"/>
      <c r="F26" s="250"/>
      <c r="G26" s="250"/>
      <c r="H26" s="250"/>
      <c r="I26" s="291" t="s">
        <v>195</v>
      </c>
      <c r="J26" s="292">
        <f>J24</f>
        <v>-4298437.9653601237</v>
      </c>
      <c r="L26" s="320">
        <f>L24</f>
        <v>-3184333.3224454038</v>
      </c>
      <c r="M26" s="320">
        <f>J26-L26</f>
        <v>-1114104.6429147199</v>
      </c>
      <c r="N26" s="65" t="s">
        <v>181</v>
      </c>
    </row>
    <row r="27" spans="1:14" x14ac:dyDescent="0.4">
      <c r="B27" s="250"/>
      <c r="C27" s="250"/>
      <c r="D27" s="250"/>
      <c r="E27" s="250"/>
      <c r="F27" s="250"/>
      <c r="G27" s="250"/>
      <c r="H27" s="250"/>
      <c r="I27" s="259"/>
      <c r="J27" s="293"/>
      <c r="L27" s="293"/>
      <c r="M27" s="293"/>
      <c r="N27" s="65"/>
    </row>
    <row r="28" spans="1:14" x14ac:dyDescent="0.4">
      <c r="B28" s="250"/>
      <c r="C28" s="250"/>
      <c r="D28" s="250"/>
      <c r="E28" s="250"/>
      <c r="F28" s="250"/>
      <c r="G28" s="250"/>
      <c r="H28" s="250"/>
      <c r="I28" s="259"/>
      <c r="J28" s="293"/>
      <c r="L28" s="293"/>
      <c r="M28" s="293"/>
      <c r="N28" s="65"/>
    </row>
    <row r="29" spans="1:14" x14ac:dyDescent="0.4">
      <c r="N29" s="1" t="s">
        <v>196</v>
      </c>
    </row>
    <row r="30" spans="1:14" hidden="1" x14ac:dyDescent="0.4">
      <c r="B30" s="1" t="s">
        <v>183</v>
      </c>
    </row>
    <row r="31" spans="1:14" hidden="1" x14ac:dyDescent="0.4">
      <c r="B31" s="222" t="str">
        <f>"(1) - TAP Actual Discounts reflect water's "&amp;FIXED('Assumptions and Inputs'!$C$47*100, 1, 0)&amp;"% allocated portion of the Total TAP Discount."</f>
        <v>(1) - TAP Actual Discounts reflect water's 42.0% allocated portion of the Total TAP Discount.</v>
      </c>
    </row>
    <row r="32" spans="1:14" hidden="1" x14ac:dyDescent="0.4">
      <c r="B32" s="222" t="s">
        <v>300</v>
      </c>
    </row>
    <row r="33" spans="2:13" hidden="1" x14ac:dyDescent="0.4">
      <c r="B33" s="222" t="str">
        <f>"(3) &amp; (6) - Water TAP-R Rates per "&amp;TEXT('Assumptions and Inputs'!F27,)&amp;" "&amp;TEXT('Assumptions and Inputs'!G27,)&amp;"."</f>
        <v>(3) &amp; (6) - Water TAP-R Rates per PWD Regulations - Rates and Charges Effective September 1, 2024 Section 10.3(a)(1).</v>
      </c>
    </row>
    <row r="34" spans="2:13" hidden="1" x14ac:dyDescent="0.4">
      <c r="B34" s="222" t="str">
        <f>"(4) &amp; (7) - Adjusted for system-wide collection factor in accordance with "&amp;'Assumptions and Inputs'!F45&amp;" "&amp;'Assumptions and Inputs'!G45&amp;"."</f>
        <v>(4) &amp; (7) - Adjusted for system-wide collection factor in accordance with PWD Regulations - Rates and Charges Effective September 1, 2024 Section 10.1(b)(3).</v>
      </c>
    </row>
    <row r="35" spans="2:13" hidden="1" x14ac:dyDescent="0.4">
      <c r="B35" s="223" t="s">
        <v>271</v>
      </c>
    </row>
    <row r="36" spans="2:13" hidden="1" x14ac:dyDescent="0.4">
      <c r="B36" s="223" t="s">
        <v>197</v>
      </c>
    </row>
    <row r="37" spans="2:13" hidden="1" x14ac:dyDescent="0.4">
      <c r="B37" s="223" t="str">
        <f>"(9) - Over/(Under) Collection for "&amp;TEXT(B11,"MMMM YYYY")&amp;" to "&amp;TEXT(B22,"MMMM YYYY")&amp;" as calculated during the prior TAP-R Reconciliation Determination."</f>
        <v>(9) - Over/(Under) Collection for September 2024 to August 2025 as calculated during the prior TAP-R Reconciliation Determination.</v>
      </c>
    </row>
    <row r="38" spans="2:13" hidden="1" x14ac:dyDescent="0.4">
      <c r="B38" s="223" t="s">
        <v>198</v>
      </c>
    </row>
    <row r="39" spans="2:13" x14ac:dyDescent="0.4"/>
    <row r="40" spans="2:13" x14ac:dyDescent="0.4">
      <c r="B40" s="252" t="str">
        <f>B117</f>
        <v xml:space="preserve">Philadelphia Water Department </v>
      </c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</row>
    <row r="41" spans="2:13" ht="16" thickBot="1" x14ac:dyDescent="0.45">
      <c r="B41" s="252" t="s">
        <v>329</v>
      </c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</row>
    <row r="42" spans="2:13" ht="16" thickBot="1" x14ac:dyDescent="0.45">
      <c r="B42" s="250"/>
      <c r="C42" s="252" t="str">
        <f>C119</f>
        <v>Prior Reconciliation Period with Updated Actuals</v>
      </c>
      <c r="D42" s="252"/>
      <c r="E42" s="252"/>
      <c r="F42" s="252"/>
      <c r="G42" s="252"/>
      <c r="H42" s="252"/>
      <c r="I42" s="252"/>
      <c r="J42" s="252"/>
      <c r="L42" s="318" t="str">
        <f>L4</f>
        <v>Original Estimates</v>
      </c>
      <c r="M42" s="319" t="s">
        <v>192</v>
      </c>
    </row>
    <row r="43" spans="2:13" x14ac:dyDescent="0.4">
      <c r="B43" s="298" t="str">
        <f>B120</f>
        <v>Billing</v>
      </c>
      <c r="C43" s="298" t="str">
        <f>C120</f>
        <v>Total Actual TAP</v>
      </c>
      <c r="D43" s="298" t="str">
        <f t="shared" ref="D43:J44" si="19">D120</f>
        <v>Billed</v>
      </c>
      <c r="E43" s="298" t="str">
        <f t="shared" si="19"/>
        <v>Total TAP-R</v>
      </c>
      <c r="F43" s="298" t="str">
        <f t="shared" si="19"/>
        <v>Adjusted Actual TAP</v>
      </c>
      <c r="G43" s="298" t="str">
        <f t="shared" si="19"/>
        <v>Billed Non-TAP</v>
      </c>
      <c r="H43" s="298" t="str">
        <f t="shared" si="19"/>
        <v>TAP-R Billed</v>
      </c>
      <c r="I43" s="298" t="str">
        <f t="shared" si="19"/>
        <v>Estimated TAP-R</v>
      </c>
      <c r="J43" s="298" t="str">
        <f t="shared" si="19"/>
        <v>Over/(Under)</v>
      </c>
      <c r="L43" s="298" t="str">
        <f>S120</f>
        <v>Over/(Under)</v>
      </c>
      <c r="M43" s="298" t="str">
        <f>U80</f>
        <v xml:space="preserve">Delta </v>
      </c>
    </row>
    <row r="44" spans="2:13" x14ac:dyDescent="0.4">
      <c r="B44" s="299" t="str">
        <f>B121</f>
        <v>Period</v>
      </c>
      <c r="C44" s="299" t="str">
        <f>C121</f>
        <v>Discounts</v>
      </c>
      <c r="D44" s="299" t="str">
        <f t="shared" si="19"/>
        <v>Sewer Volume</v>
      </c>
      <c r="E44" s="299" t="str">
        <f t="shared" si="19"/>
        <v xml:space="preserve">Billed </v>
      </c>
      <c r="F44" s="299" t="str">
        <f t="shared" si="19"/>
        <v>Discounts</v>
      </c>
      <c r="G44" s="299" t="str">
        <f t="shared" si="19"/>
        <v>Sewer Volume</v>
      </c>
      <c r="H44" s="299" t="str">
        <f t="shared" si="19"/>
        <v>Non-Tap Water Sales</v>
      </c>
      <c r="I44" s="299" t="str">
        <f t="shared" si="19"/>
        <v xml:space="preserve">Revenues </v>
      </c>
      <c r="J44" s="299" t="str">
        <f t="shared" si="19"/>
        <v>Collection</v>
      </c>
      <c r="L44" s="299" t="str">
        <f>S121</f>
        <v>Collection</v>
      </c>
      <c r="M44" s="299"/>
    </row>
    <row r="45" spans="2:13" x14ac:dyDescent="0.4">
      <c r="B45" s="299"/>
      <c r="C45" s="299" t="str">
        <f>C122</f>
        <v xml:space="preserve">(Credits) </v>
      </c>
      <c r="D45" s="299" t="str">
        <f>D122</f>
        <v>TAP Participants</v>
      </c>
      <c r="E45" s="299" t="str">
        <f>E122</f>
        <v>to TAP Participants</v>
      </c>
      <c r="F45" s="299" t="str">
        <f>F122</f>
        <v xml:space="preserve">(Credits) </v>
      </c>
      <c r="G45" s="299" t="str">
        <f>G122</f>
        <v>(Mcf)</v>
      </c>
      <c r="H45" s="299"/>
      <c r="I45" s="299" t="str">
        <f>I122</f>
        <v>Experienced</v>
      </c>
      <c r="J45" s="299"/>
      <c r="L45" s="299"/>
      <c r="M45" s="299"/>
    </row>
    <row r="46" spans="2:13" x14ac:dyDescent="0.4">
      <c r="B46" s="299"/>
      <c r="C46" s="299"/>
      <c r="D46" s="299" t="str">
        <f t="shared" ref="D46:F47" si="20">D123</f>
        <v>(Mcf)</v>
      </c>
      <c r="E46" s="299">
        <f t="shared" si="20"/>
        <v>4.4000000000000004</v>
      </c>
      <c r="F46" s="299">
        <f t="shared" si="20"/>
        <v>0.96989999999999998</v>
      </c>
      <c r="G46" s="299"/>
      <c r="H46" s="299">
        <f>H123</f>
        <v>4.4000000000000004</v>
      </c>
      <c r="I46" s="299">
        <f>I123</f>
        <v>0.96989999999999998</v>
      </c>
      <c r="J46" s="299"/>
      <c r="L46" s="299"/>
      <c r="M46" s="299"/>
    </row>
    <row r="47" spans="2:13" x14ac:dyDescent="0.4">
      <c r="B47" s="310"/>
      <c r="C47" s="310" t="str">
        <f>C124</f>
        <v>(1)</v>
      </c>
      <c r="D47" s="310" t="str">
        <f t="shared" si="20"/>
        <v>(2)</v>
      </c>
      <c r="E47" s="310" t="str">
        <f t="shared" si="20"/>
        <v>(3) = (2) * $ 4.400/Mcf</v>
      </c>
      <c r="F47" s="310" t="str">
        <f t="shared" si="20"/>
        <v>(4) = [(1) - (3)]* 0.9699</v>
      </c>
      <c r="G47" s="310" t="str">
        <f>G124</f>
        <v>(5)</v>
      </c>
      <c r="H47" s="310" t="str">
        <f>H124</f>
        <v>(6) = (5) * $ 4.400/Mcf</v>
      </c>
      <c r="I47" s="310" t="str">
        <f>I124</f>
        <v>(7) = (6) * 0.9699</v>
      </c>
      <c r="J47" s="310" t="str">
        <f>J124</f>
        <v>(8) = (7) - (4)</v>
      </c>
      <c r="L47" s="310" t="s">
        <v>193</v>
      </c>
      <c r="M47" s="310" t="s">
        <v>194</v>
      </c>
    </row>
    <row r="48" spans="2:13" x14ac:dyDescent="0.4">
      <c r="B48" s="311"/>
      <c r="C48" s="312"/>
      <c r="D48" s="312"/>
      <c r="E48" s="312"/>
      <c r="F48" s="312"/>
      <c r="G48" s="312"/>
      <c r="H48" s="312"/>
      <c r="I48" s="313" t="s">
        <v>178</v>
      </c>
      <c r="J48" s="314">
        <f>J125</f>
        <v>-6713205.8875230234</v>
      </c>
      <c r="L48" s="314">
        <f>S125</f>
        <v>-6713205.8875230234</v>
      </c>
      <c r="M48" s="312"/>
    </row>
    <row r="49" spans="2:14" x14ac:dyDescent="0.4">
      <c r="B49" s="306">
        <f t="shared" ref="B49:J49" si="21">B126</f>
        <v>45536</v>
      </c>
      <c r="C49" s="307">
        <f t="shared" si="21"/>
        <v>1846401.9512</v>
      </c>
      <c r="D49" s="308">
        <f t="shared" si="21"/>
        <v>42019.8</v>
      </c>
      <c r="E49" s="309">
        <f t="shared" si="21"/>
        <v>184887.12000000002</v>
      </c>
      <c r="F49" s="307">
        <f t="shared" si="21"/>
        <v>1611503.2347808799</v>
      </c>
      <c r="G49" s="308">
        <f t="shared" si="21"/>
        <v>461019.51500000001</v>
      </c>
      <c r="H49" s="309">
        <f t="shared" si="21"/>
        <v>2028486</v>
      </c>
      <c r="I49" s="309">
        <f t="shared" si="21"/>
        <v>1967428.5714</v>
      </c>
      <c r="J49" s="307">
        <f t="shared" si="21"/>
        <v>355925.33661912009</v>
      </c>
      <c r="L49" s="307">
        <f t="shared" ref="L49:L59" si="22">S126</f>
        <v>355925.22023112001</v>
      </c>
      <c r="M49" s="307">
        <f>J49-L49</f>
        <v>0.11638800008222461</v>
      </c>
    </row>
    <row r="50" spans="2:14" x14ac:dyDescent="0.4">
      <c r="B50" s="306">
        <f t="shared" ref="B50:J50" si="23">B127</f>
        <v>45566</v>
      </c>
      <c r="C50" s="309">
        <f t="shared" si="23"/>
        <v>1965438.9878</v>
      </c>
      <c r="D50" s="308">
        <f t="shared" si="23"/>
        <v>40905.9</v>
      </c>
      <c r="E50" s="309">
        <f t="shared" si="23"/>
        <v>179985.96000000002</v>
      </c>
      <c r="F50" s="309">
        <f t="shared" si="23"/>
        <v>1731710.89166322</v>
      </c>
      <c r="G50" s="308">
        <f t="shared" si="23"/>
        <v>430672.32500000001</v>
      </c>
      <c r="H50" s="309">
        <f t="shared" si="23"/>
        <v>1894958</v>
      </c>
      <c r="I50" s="309">
        <f t="shared" si="23"/>
        <v>1837919.7641999999</v>
      </c>
      <c r="J50" s="307">
        <f t="shared" si="23"/>
        <v>106208.87253677985</v>
      </c>
      <c r="L50" s="307">
        <f t="shared" si="22"/>
        <v>106208.9113327798</v>
      </c>
      <c r="M50" s="307">
        <f t="shared" ref="M50:M59" si="24">J50-L50</f>
        <v>-3.8795999949797988E-2</v>
      </c>
    </row>
    <row r="51" spans="2:14" x14ac:dyDescent="0.4">
      <c r="B51" s="306">
        <f t="shared" ref="B51:J51" si="25">B128</f>
        <v>45597</v>
      </c>
      <c r="C51" s="307">
        <f t="shared" si="25"/>
        <v>1728246.8393999999</v>
      </c>
      <c r="D51" s="308">
        <f t="shared" si="25"/>
        <v>35778.400000000001</v>
      </c>
      <c r="E51" s="307">
        <f t="shared" si="25"/>
        <v>157424.96000000002</v>
      </c>
      <c r="F51" s="307">
        <f t="shared" si="25"/>
        <v>1523540.14083006</v>
      </c>
      <c r="G51" s="308">
        <f t="shared" si="25"/>
        <v>401299.14500000002</v>
      </c>
      <c r="H51" s="309">
        <f t="shared" si="25"/>
        <v>1765716</v>
      </c>
      <c r="I51" s="309">
        <f t="shared" si="25"/>
        <v>1712567.9483999999</v>
      </c>
      <c r="J51" s="307">
        <f t="shared" si="25"/>
        <v>189027.80756993988</v>
      </c>
      <c r="L51" s="307">
        <f t="shared" si="22"/>
        <v>189027.84636594006</v>
      </c>
      <c r="M51" s="307">
        <f t="shared" si="24"/>
        <v>-3.8796000182628632E-2</v>
      </c>
    </row>
    <row r="52" spans="2:14" x14ac:dyDescent="0.4">
      <c r="B52" s="306">
        <f t="shared" ref="B52:J52" si="26">B129</f>
        <v>45627</v>
      </c>
      <c r="C52" s="309">
        <f t="shared" si="26"/>
        <v>1846829.7708000001</v>
      </c>
      <c r="D52" s="308">
        <f t="shared" si="26"/>
        <v>38262.5</v>
      </c>
      <c r="E52" s="309">
        <f t="shared" si="26"/>
        <v>168355</v>
      </c>
      <c r="F52" s="309">
        <f t="shared" si="26"/>
        <v>1627952.68019892</v>
      </c>
      <c r="G52" s="308">
        <f t="shared" si="26"/>
        <v>406659.43</v>
      </c>
      <c r="H52" s="309">
        <f t="shared" si="26"/>
        <v>1789301</v>
      </c>
      <c r="I52" s="309">
        <f t="shared" si="26"/>
        <v>1735443.0399</v>
      </c>
      <c r="J52" s="307">
        <f t="shared" si="26"/>
        <v>107490.35970108001</v>
      </c>
      <c r="L52" s="307">
        <f t="shared" si="22"/>
        <v>107490.35970108001</v>
      </c>
      <c r="M52" s="307">
        <f t="shared" si="24"/>
        <v>0</v>
      </c>
    </row>
    <row r="53" spans="2:14" x14ac:dyDescent="0.4">
      <c r="B53" s="306">
        <f t="shared" ref="B53:J53" si="27">B130</f>
        <v>45658</v>
      </c>
      <c r="C53" s="307">
        <f t="shared" si="27"/>
        <v>2115045.5044</v>
      </c>
      <c r="D53" s="308">
        <f t="shared" si="27"/>
        <v>43102.5</v>
      </c>
      <c r="E53" s="307">
        <f t="shared" si="27"/>
        <v>189651.00000000003</v>
      </c>
      <c r="F53" s="307">
        <f t="shared" si="27"/>
        <v>1867440.1298175598</v>
      </c>
      <c r="G53" s="308">
        <f t="shared" si="27"/>
        <v>424665.15499999997</v>
      </c>
      <c r="H53" s="309">
        <f t="shared" si="27"/>
        <v>1868527</v>
      </c>
      <c r="I53" s="309">
        <f t="shared" si="27"/>
        <v>1812284.3373</v>
      </c>
      <c r="J53" s="307">
        <f t="shared" si="27"/>
        <v>-55155.792517559836</v>
      </c>
      <c r="L53" s="307">
        <f t="shared" si="22"/>
        <v>-54399.270517559489</v>
      </c>
      <c r="M53" s="307">
        <f t="shared" si="24"/>
        <v>-756.52200000034645</v>
      </c>
    </row>
    <row r="54" spans="2:14" x14ac:dyDescent="0.4">
      <c r="B54" s="306">
        <f t="shared" ref="B54:J54" si="28">B131</f>
        <v>45689</v>
      </c>
      <c r="C54" s="309">
        <f t="shared" si="28"/>
        <v>1736316.4664</v>
      </c>
      <c r="D54" s="308">
        <f t="shared" si="28"/>
        <v>36225.800000000003</v>
      </c>
      <c r="E54" s="309">
        <f t="shared" si="28"/>
        <v>159393.52000000002</v>
      </c>
      <c r="F54" s="309">
        <f t="shared" si="28"/>
        <v>1529457.56571336</v>
      </c>
      <c r="G54" s="308">
        <f t="shared" si="28"/>
        <v>374138</v>
      </c>
      <c r="H54" s="309">
        <f t="shared" si="28"/>
        <v>1646207</v>
      </c>
      <c r="I54" s="309">
        <f t="shared" si="28"/>
        <v>1596656.1693</v>
      </c>
      <c r="J54" s="307">
        <f t="shared" si="28"/>
        <v>67198.603586639976</v>
      </c>
      <c r="L54" s="307">
        <f t="shared" si="22"/>
        <v>67880.908838639967</v>
      </c>
      <c r="M54" s="307">
        <f t="shared" si="24"/>
        <v>-682.30525199999101</v>
      </c>
    </row>
    <row r="55" spans="2:14" x14ac:dyDescent="0.4">
      <c r="B55" s="306">
        <f t="shared" ref="B55:J55" si="29">B132</f>
        <v>45717</v>
      </c>
      <c r="C55" s="307">
        <f t="shared" si="29"/>
        <v>1789183.6867999998</v>
      </c>
      <c r="D55" s="308">
        <f t="shared" si="29"/>
        <v>37546.199999999997</v>
      </c>
      <c r="E55" s="307">
        <f t="shared" si="29"/>
        <v>165203.28</v>
      </c>
      <c r="F55" s="307">
        <f t="shared" si="29"/>
        <v>1575098.5965553198</v>
      </c>
      <c r="G55" s="308">
        <f t="shared" si="29"/>
        <v>373030.42000000004</v>
      </c>
      <c r="H55" s="309">
        <f t="shared" si="29"/>
        <v>1641334</v>
      </c>
      <c r="I55" s="309">
        <f t="shared" si="29"/>
        <v>1591929.8466</v>
      </c>
      <c r="J55" s="307">
        <f t="shared" si="29"/>
        <v>16831.250044680201</v>
      </c>
      <c r="L55" s="307">
        <f t="shared" si="22"/>
        <v>18242.182972680312</v>
      </c>
      <c r="M55" s="307">
        <f t="shared" si="24"/>
        <v>-1410.9329280001111</v>
      </c>
    </row>
    <row r="56" spans="2:14" x14ac:dyDescent="0.4">
      <c r="B56" s="306">
        <f t="shared" ref="B56:J56" si="30">B133</f>
        <v>45748</v>
      </c>
      <c r="C56" s="309">
        <f t="shared" si="30"/>
        <v>1814438.5977999999</v>
      </c>
      <c r="D56" s="308">
        <f t="shared" si="30"/>
        <v>38207.5</v>
      </c>
      <c r="E56" s="309">
        <f t="shared" si="30"/>
        <v>168113</v>
      </c>
      <c r="F56" s="309">
        <f t="shared" si="30"/>
        <v>1596771.19730622</v>
      </c>
      <c r="G56" s="308">
        <f t="shared" si="30"/>
        <v>381012.39500000002</v>
      </c>
      <c r="H56" s="309">
        <f t="shared" si="30"/>
        <v>1676455</v>
      </c>
      <c r="I56" s="309">
        <f t="shared" si="30"/>
        <v>1625993.7045</v>
      </c>
      <c r="J56" s="307">
        <f t="shared" si="30"/>
        <v>29222.507193780039</v>
      </c>
      <c r="L56" s="307">
        <f>S133</f>
        <v>313400.63134953426</v>
      </c>
      <c r="M56" s="307">
        <f t="shared" si="24"/>
        <v>-284178.12415575422</v>
      </c>
    </row>
    <row r="57" spans="2:14" x14ac:dyDescent="0.4">
      <c r="B57" s="306">
        <f t="shared" ref="B57:J57" si="31">B134</f>
        <v>45778</v>
      </c>
      <c r="C57" s="307">
        <f t="shared" si="31"/>
        <v>1881359.9606000001</v>
      </c>
      <c r="D57" s="308">
        <f t="shared" si="31"/>
        <v>39542.699999999997</v>
      </c>
      <c r="E57" s="307">
        <f t="shared" si="31"/>
        <v>173987.88</v>
      </c>
      <c r="F57" s="307">
        <f t="shared" si="31"/>
        <v>1655980.1809739401</v>
      </c>
      <c r="G57" s="308">
        <f t="shared" si="31"/>
        <v>395766.63</v>
      </c>
      <c r="H57" s="309">
        <f t="shared" si="31"/>
        <v>1741373</v>
      </c>
      <c r="I57" s="309">
        <f t="shared" si="31"/>
        <v>1688957.6727</v>
      </c>
      <c r="J57" s="307">
        <f t="shared" si="31"/>
        <v>32977.491726059932</v>
      </c>
      <c r="L57" s="307">
        <f t="shared" si="22"/>
        <v>313400.63134953426</v>
      </c>
      <c r="M57" s="307">
        <f t="shared" si="24"/>
        <v>-280423.13962347433</v>
      </c>
    </row>
    <row r="58" spans="2:14" x14ac:dyDescent="0.4">
      <c r="B58" s="306">
        <f t="shared" ref="B58:J58" si="32">B135</f>
        <v>45809</v>
      </c>
      <c r="C58" s="309">
        <f t="shared" si="32"/>
        <v>2022367.8205999997</v>
      </c>
      <c r="D58" s="308">
        <f t="shared" si="32"/>
        <v>41935.9</v>
      </c>
      <c r="E58" s="309">
        <f t="shared" si="32"/>
        <v>184517.96000000002</v>
      </c>
      <c r="F58" s="309">
        <f t="shared" si="32"/>
        <v>1782530.5797959398</v>
      </c>
      <c r="G58" s="308">
        <f t="shared" si="32"/>
        <v>412924.63</v>
      </c>
      <c r="H58" s="309">
        <f t="shared" si="32"/>
        <v>1816868</v>
      </c>
      <c r="I58" s="309">
        <f t="shared" si="32"/>
        <v>1762180.2731999999</v>
      </c>
      <c r="J58" s="307">
        <f t="shared" si="32"/>
        <v>-20350.30659593991</v>
      </c>
      <c r="L58" s="307">
        <f t="shared" si="22"/>
        <v>313400.63134953426</v>
      </c>
      <c r="M58" s="307">
        <f t="shared" si="24"/>
        <v>-333750.93794547417</v>
      </c>
    </row>
    <row r="59" spans="2:14" x14ac:dyDescent="0.4">
      <c r="B59" s="306">
        <f t="shared" ref="B59:J60" si="33">B136</f>
        <v>45839</v>
      </c>
      <c r="C59" s="307">
        <f t="shared" si="33"/>
        <v>2045453.6476</v>
      </c>
      <c r="D59" s="308">
        <f t="shared" si="33"/>
        <v>42362.6</v>
      </c>
      <c r="E59" s="307">
        <f t="shared" si="33"/>
        <v>186395.44</v>
      </c>
      <c r="F59" s="307">
        <f t="shared" si="33"/>
        <v>1803100.55555124</v>
      </c>
      <c r="G59" s="308">
        <f t="shared" si="33"/>
        <v>427530</v>
      </c>
      <c r="H59" s="309">
        <f t="shared" si="33"/>
        <v>1881132</v>
      </c>
      <c r="I59" s="309">
        <f t="shared" si="33"/>
        <v>1824509.9268</v>
      </c>
      <c r="J59" s="307">
        <f t="shared" si="33"/>
        <v>21409.371248760028</v>
      </c>
      <c r="L59" s="307">
        <f t="shared" si="22"/>
        <v>313400.63134953426</v>
      </c>
      <c r="M59" s="307">
        <f t="shared" si="24"/>
        <v>-291991.26010077423</v>
      </c>
    </row>
    <row r="60" spans="2:14" x14ac:dyDescent="0.4">
      <c r="B60" s="306">
        <f t="shared" si="33"/>
        <v>45870</v>
      </c>
      <c r="C60" s="309">
        <f t="shared" si="33"/>
        <v>2190385.3583999998</v>
      </c>
      <c r="D60" s="308">
        <f t="shared" si="33"/>
        <v>44977.1</v>
      </c>
      <c r="E60" s="309">
        <f t="shared" si="33"/>
        <v>197899.24000000002</v>
      </c>
      <c r="F60" s="309">
        <f t="shared" si="33"/>
        <v>1932512.2862361597</v>
      </c>
      <c r="G60" s="308">
        <f t="shared" si="33"/>
        <v>443338.47499999998</v>
      </c>
      <c r="H60" s="309">
        <f t="shared" si="33"/>
        <v>1950689</v>
      </c>
      <c r="I60" s="309">
        <f t="shared" si="33"/>
        <v>1891973.2611</v>
      </c>
      <c r="J60" s="307">
        <f t="shared" si="33"/>
        <v>-40539.025136159733</v>
      </c>
      <c r="L60" s="307">
        <f t="shared" ref="L60" si="34">S137</f>
        <v>313400.63134953426</v>
      </c>
      <c r="M60" s="307">
        <f t="shared" ref="M60" si="35">J60-L60</f>
        <v>-353939.65648569399</v>
      </c>
    </row>
    <row r="61" spans="2:14" ht="5.15" customHeight="1" x14ac:dyDescent="0.4">
      <c r="B61" s="303"/>
      <c r="C61" s="303"/>
      <c r="D61" s="303"/>
      <c r="E61" s="303"/>
      <c r="F61" s="303"/>
      <c r="G61" s="303"/>
      <c r="H61" s="303"/>
      <c r="I61" s="303"/>
      <c r="J61" s="303"/>
      <c r="L61" s="303"/>
      <c r="M61" s="303"/>
    </row>
    <row r="62" spans="2:14" x14ac:dyDescent="0.4">
      <c r="B62" s="302" t="s">
        <v>131</v>
      </c>
      <c r="C62" s="309">
        <f>SUM(C49:C60)</f>
        <v>22981468.591799997</v>
      </c>
      <c r="D62" s="308">
        <f t="shared" ref="D62:I62" si="36">SUM(D49:D60)</f>
        <v>480866.9</v>
      </c>
      <c r="E62" s="309">
        <f t="shared" si="36"/>
        <v>2115814.3600000003</v>
      </c>
      <c r="F62" s="309">
        <f t="shared" si="36"/>
        <v>20237598.039422818</v>
      </c>
      <c r="G62" s="308">
        <f t="shared" si="36"/>
        <v>4932056.1199999992</v>
      </c>
      <c r="H62" s="309">
        <f t="shared" si="36"/>
        <v>21701046</v>
      </c>
      <c r="I62" s="309">
        <f t="shared" si="36"/>
        <v>21047844.515400004</v>
      </c>
      <c r="J62" s="307">
        <f>SUM(J48:J60)</f>
        <v>-5902959.411545842</v>
      </c>
      <c r="L62" s="307">
        <f>SUM(L48:L60)</f>
        <v>-4355826.5718506742</v>
      </c>
      <c r="M62" s="307">
        <f>SUM(M49:M60)</f>
        <v>-1547132.8396951715</v>
      </c>
    </row>
    <row r="63" spans="2:14" x14ac:dyDescent="0.4">
      <c r="B63" s="250"/>
      <c r="C63" s="250"/>
      <c r="D63" s="250"/>
      <c r="E63" s="250"/>
      <c r="F63" s="286"/>
      <c r="G63" s="289"/>
      <c r="H63" s="250"/>
      <c r="I63" s="250"/>
      <c r="J63" s="250"/>
      <c r="L63" s="250"/>
      <c r="M63" s="250"/>
    </row>
    <row r="64" spans="2:14" x14ac:dyDescent="0.4">
      <c r="B64" s="250"/>
      <c r="C64" s="250"/>
      <c r="D64" s="250"/>
      <c r="E64" s="250"/>
      <c r="F64" s="250"/>
      <c r="G64" s="250"/>
      <c r="H64" s="250"/>
      <c r="I64" s="291" t="s">
        <v>195</v>
      </c>
      <c r="J64" s="292">
        <f>J62</f>
        <v>-5902959.411545842</v>
      </c>
      <c r="L64" s="320">
        <f>L62</f>
        <v>-4355826.5718506742</v>
      </c>
      <c r="M64" s="320">
        <f>J64-L64</f>
        <v>-1547132.8396951677</v>
      </c>
      <c r="N64" s="8" t="s">
        <v>199</v>
      </c>
    </row>
    <row r="65" spans="1:22" hidden="1" x14ac:dyDescent="0.4">
      <c r="B65" s="1" t="s">
        <v>183</v>
      </c>
      <c r="N65" s="1" t="s">
        <v>200</v>
      </c>
    </row>
    <row r="66" spans="1:22" hidden="1" x14ac:dyDescent="0.4">
      <c r="B66" s="222" t="str">
        <f>"(1) - TAP Actual Discounts reflects sewer's "&amp;FIXED('Assumptions and Inputs'!$C$49*100, 1, 0)&amp;"% allocated portion of the Total TAP Discount."</f>
        <v>(1) - TAP Actual Discounts reflects sewer's 58.0% allocated portion of the Total TAP Discount.</v>
      </c>
    </row>
    <row r="67" spans="1:22" hidden="1" x14ac:dyDescent="0.4">
      <c r="B67" s="222" t="s">
        <v>300</v>
      </c>
    </row>
    <row r="68" spans="1:22" hidden="1" x14ac:dyDescent="0.4">
      <c r="B68" s="222" t="str">
        <f>"(3) &amp; (6) - Sewer TAP-R Rates per PWD Regulations - Rates and Charges Effective "&amp;TEXT('Assumptions and Inputs'!F29,)&amp;" "&amp;TEXT('Assumptions and Inputs'!G29,)&amp;"."</f>
        <v>(3) &amp; (6) - Sewer TAP-R Rates per PWD Regulations - Rates and Charges Effective PWD Regulations - Rates and Charges Effective September 1, 2024 Section 10.3(b)(1).</v>
      </c>
    </row>
    <row r="69" spans="1:22" hidden="1" x14ac:dyDescent="0.4">
      <c r="B69" s="222" t="str">
        <f>"(4) &amp; (7) - Adjusted for system-wide collection factor in accordance with  "&amp;'Assumptions and Inputs'!F45&amp;" "&amp;'Assumptions and Inputs'!G45&amp;"."</f>
        <v>(4) &amp; (7) - Adjusted for system-wide collection factor in accordance with  PWD Regulations - Rates and Charges Effective September 1, 2024 Section 10.1(b)(3).</v>
      </c>
    </row>
    <row r="70" spans="1:22" hidden="1" x14ac:dyDescent="0.4">
      <c r="B70" s="222" t="str">
        <f>"(5) - Updated to reflect actual billed water sales volumes for April 2025 through August 2025."</f>
        <v>(5) - Updated to reflect actual billed water sales volumes for April 2025 through August 2025.</v>
      </c>
    </row>
    <row r="71" spans="1:22" hidden="1" x14ac:dyDescent="0.4">
      <c r="B71" s="223" t="s">
        <v>197</v>
      </c>
    </row>
    <row r="72" spans="1:22" hidden="1" x14ac:dyDescent="0.4">
      <c r="B72" s="223" t="str">
        <f>"(9) - Over/(Under) Collection for "&amp;TEXT(B49,"MMMM YYYY")&amp;" to "&amp;TEXT(B60,"MMMM YYYY")&amp;" as calculated during the prior TAP-R Reconciliation Determination."</f>
        <v>(9) - Over/(Under) Collection for September 2024 to August 2025 as calculated during the prior TAP-R Reconciliation Determination.</v>
      </c>
    </row>
    <row r="73" spans="1:22" hidden="1" x14ac:dyDescent="0.4">
      <c r="B73" s="223" t="s">
        <v>198</v>
      </c>
    </row>
    <row r="74" spans="1:22" x14ac:dyDescent="0.4">
      <c r="B74" s="66"/>
    </row>
    <row r="75" spans="1:22" x14ac:dyDescent="0.4">
      <c r="A75" s="67" t="s">
        <v>201</v>
      </c>
      <c r="B75" s="68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</row>
    <row r="76" spans="1:22" x14ac:dyDescent="0.4"/>
    <row r="77" spans="1:22" x14ac:dyDescent="0.4">
      <c r="B77" s="18" t="s">
        <v>30</v>
      </c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</row>
    <row r="78" spans="1:22" ht="16" thickBot="1" x14ac:dyDescent="0.45">
      <c r="B78" s="18" t="s">
        <v>202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</row>
    <row r="79" spans="1:22" ht="16" thickBot="1" x14ac:dyDescent="0.45">
      <c r="C79" s="57" t="s">
        <v>203</v>
      </c>
      <c r="D79" s="58"/>
      <c r="E79" s="58"/>
      <c r="F79" s="58"/>
      <c r="G79" s="58"/>
      <c r="H79" s="58"/>
      <c r="I79" s="58"/>
      <c r="J79" s="59"/>
      <c r="L79" s="70" t="s">
        <v>204</v>
      </c>
      <c r="M79" s="71"/>
      <c r="N79" s="71"/>
      <c r="O79" s="71"/>
      <c r="P79" s="71"/>
      <c r="Q79" s="71"/>
      <c r="R79" s="71"/>
      <c r="S79" s="72"/>
      <c r="U79" s="60" t="s">
        <v>192</v>
      </c>
    </row>
    <row r="80" spans="1:22" x14ac:dyDescent="0.4">
      <c r="B80" s="22" t="s">
        <v>158</v>
      </c>
      <c r="C80" s="23" t="s">
        <v>159</v>
      </c>
      <c r="D80" s="23" t="s">
        <v>160</v>
      </c>
      <c r="E80" s="23" t="s">
        <v>161</v>
      </c>
      <c r="F80" s="23" t="s">
        <v>162</v>
      </c>
      <c r="G80" s="23" t="s">
        <v>163</v>
      </c>
      <c r="H80" s="23" t="s">
        <v>164</v>
      </c>
      <c r="I80" s="23" t="s">
        <v>165</v>
      </c>
      <c r="J80" s="23" t="s">
        <v>166</v>
      </c>
      <c r="L80" s="22" t="s">
        <v>159</v>
      </c>
      <c r="M80" s="22" t="s">
        <v>160</v>
      </c>
      <c r="N80" s="22" t="s">
        <v>161</v>
      </c>
      <c r="O80" s="22" t="s">
        <v>162</v>
      </c>
      <c r="P80" s="22" t="s">
        <v>163</v>
      </c>
      <c r="Q80" s="22" t="s">
        <v>164</v>
      </c>
      <c r="R80" s="22" t="s">
        <v>165</v>
      </c>
      <c r="S80" s="23" t="s">
        <v>166</v>
      </c>
      <c r="U80" s="23" t="s">
        <v>205</v>
      </c>
    </row>
    <row r="81" spans="1:25" x14ac:dyDescent="0.4">
      <c r="B81" s="23" t="s">
        <v>157</v>
      </c>
      <c r="C81" s="23" t="s">
        <v>167</v>
      </c>
      <c r="D81" s="23" t="s">
        <v>168</v>
      </c>
      <c r="E81" s="23" t="s">
        <v>169</v>
      </c>
      <c r="F81" s="23" t="s">
        <v>167</v>
      </c>
      <c r="G81" s="23" t="s">
        <v>168</v>
      </c>
      <c r="H81" s="23" t="s">
        <v>170</v>
      </c>
      <c r="I81" s="23" t="s">
        <v>171</v>
      </c>
      <c r="J81" s="23" t="s">
        <v>172</v>
      </c>
      <c r="L81" s="23" t="s">
        <v>167</v>
      </c>
      <c r="M81" s="23" t="s">
        <v>168</v>
      </c>
      <c r="N81" s="23" t="s">
        <v>169</v>
      </c>
      <c r="O81" s="23" t="s">
        <v>167</v>
      </c>
      <c r="P81" s="23" t="s">
        <v>168</v>
      </c>
      <c r="Q81" s="23" t="s">
        <v>170</v>
      </c>
      <c r="R81" s="23" t="s">
        <v>171</v>
      </c>
      <c r="S81" s="23" t="s">
        <v>172</v>
      </c>
      <c r="U81" s="23" t="s">
        <v>206</v>
      </c>
    </row>
    <row r="82" spans="1:25" x14ac:dyDescent="0.4">
      <c r="B82" s="23"/>
      <c r="C82" s="23" t="s">
        <v>173</v>
      </c>
      <c r="D82" s="23" t="s">
        <v>174</v>
      </c>
      <c r="E82" s="23" t="s">
        <v>175</v>
      </c>
      <c r="F82" s="23" t="s">
        <v>173</v>
      </c>
      <c r="G82" s="23" t="s">
        <v>174</v>
      </c>
      <c r="H82" s="23"/>
      <c r="I82" s="23" t="s">
        <v>176</v>
      </c>
      <c r="J82" s="23"/>
      <c r="L82" s="23" t="s">
        <v>173</v>
      </c>
      <c r="M82" s="23" t="s">
        <v>174</v>
      </c>
      <c r="N82" s="23" t="s">
        <v>175</v>
      </c>
      <c r="O82" s="23" t="s">
        <v>173</v>
      </c>
      <c r="P82" s="23" t="s">
        <v>174</v>
      </c>
      <c r="Q82" s="23"/>
      <c r="R82" s="23" t="s">
        <v>176</v>
      </c>
      <c r="S82" s="23"/>
      <c r="U82" s="23"/>
    </row>
    <row r="83" spans="1:25" x14ac:dyDescent="0.4">
      <c r="B83" s="23"/>
      <c r="C83" s="24"/>
      <c r="D83" s="24"/>
      <c r="E83" s="25">
        <f>'Assumptions and Inputs'!$C$27</f>
        <v>3.08</v>
      </c>
      <c r="F83" s="26">
        <f>'Assumptions and Inputs'!$C$45</f>
        <v>0.96989999999999998</v>
      </c>
      <c r="G83" s="24"/>
      <c r="H83" s="25">
        <f>'Assumptions and Inputs'!$C$27</f>
        <v>3.08</v>
      </c>
      <c r="I83" s="26">
        <f>'Assumptions and Inputs'!$C$45</f>
        <v>0.96989999999999998</v>
      </c>
      <c r="J83" s="27"/>
      <c r="L83" s="24"/>
      <c r="M83" s="24"/>
      <c r="N83" s="25">
        <v>3.08</v>
      </c>
      <c r="O83" s="26">
        <v>0.96989999999999998</v>
      </c>
      <c r="P83" s="24"/>
      <c r="Q83" s="25">
        <v>3.08</v>
      </c>
      <c r="R83" s="26">
        <v>0.96989999999999998</v>
      </c>
      <c r="S83" s="27"/>
      <c r="U83" s="27"/>
    </row>
    <row r="84" spans="1:25" x14ac:dyDescent="0.4">
      <c r="B84" s="28"/>
      <c r="C84" s="29" t="s">
        <v>139</v>
      </c>
      <c r="D84" s="29" t="s">
        <v>140</v>
      </c>
      <c r="E84" s="29" t="str">
        <f>"(3) = (2) * $ "&amp;FIXED(E83,3,)&amp;"/Mcf"</f>
        <v>(3) = (2) * $ 3.080/Mcf</v>
      </c>
      <c r="F84" s="29" t="str">
        <f>"(4) = [(1) - (3)]* "&amp;FIXED(F83,4,)&amp;""</f>
        <v>(4) = [(1) - (3)]* 0.9699</v>
      </c>
      <c r="G84" s="29" t="s">
        <v>143</v>
      </c>
      <c r="H84" s="29" t="str">
        <f>"(6) = (5) * $ "&amp;FIXED(H83,3,)&amp;"/Mcf"</f>
        <v>(6) = (5) * $ 3.080/Mcf</v>
      </c>
      <c r="I84" s="30" t="str">
        <f>"(7) = (6) * "&amp;FIXED(F83,4,)&amp;""</f>
        <v>(7) = (6) * 0.9699</v>
      </c>
      <c r="J84" s="29" t="s">
        <v>177</v>
      </c>
      <c r="L84" s="29" t="s">
        <v>193</v>
      </c>
      <c r="M84" s="29" t="s">
        <v>301</v>
      </c>
      <c r="N84" s="29" t="s">
        <v>302</v>
      </c>
      <c r="O84" s="29" t="s">
        <v>303</v>
      </c>
      <c r="P84" s="29" t="s">
        <v>304</v>
      </c>
      <c r="Q84" s="29" t="s">
        <v>305</v>
      </c>
      <c r="R84" s="30" t="s">
        <v>306</v>
      </c>
      <c r="S84" s="29" t="s">
        <v>307</v>
      </c>
      <c r="U84" s="29" t="s">
        <v>207</v>
      </c>
    </row>
    <row r="85" spans="1:25" x14ac:dyDescent="0.4">
      <c r="B85" s="31"/>
      <c r="C85" s="32"/>
      <c r="D85" s="32"/>
      <c r="E85" s="32"/>
      <c r="F85" s="32"/>
      <c r="G85" s="32"/>
      <c r="H85" s="32"/>
      <c r="I85" s="33" t="s">
        <v>178</v>
      </c>
      <c r="J85" s="34">
        <v>-5189621.9748253832</v>
      </c>
      <c r="L85" s="32"/>
      <c r="M85" s="32"/>
      <c r="N85" s="32"/>
      <c r="O85" s="32"/>
      <c r="P85" s="32"/>
      <c r="Q85" s="32"/>
      <c r="R85" s="33" t="s">
        <v>178</v>
      </c>
      <c r="S85" s="34">
        <v>-5189621.9748253832</v>
      </c>
      <c r="U85" s="32"/>
      <c r="Y85" s="20"/>
    </row>
    <row r="86" spans="1:25" x14ac:dyDescent="0.4">
      <c r="A86" s="73">
        <v>1</v>
      </c>
      <c r="B86" s="36">
        <v>45536</v>
      </c>
      <c r="C86" s="37">
        <f>Customer!D$11*'Assumptions and Inputs'!$C$47</f>
        <v>1337049.6888000001</v>
      </c>
      <c r="D86" s="38">
        <f>Customer!D$35/'Assumptions and Inputs'!$C$21</f>
        <v>42054.400000000001</v>
      </c>
      <c r="E86" s="63">
        <f t="shared" ref="E86:E96" si="37">ROUND($E$83*D86, 0)</f>
        <v>129528</v>
      </c>
      <c r="F86" s="37">
        <f>(C86-E86)*$F$83</f>
        <v>1171175.2859671202</v>
      </c>
      <c r="G86" s="38">
        <f>Customer!D$40/'Assumptions and Inputs'!$C$21</f>
        <v>490921.995</v>
      </c>
      <c r="H86" s="63">
        <f>$H$83*G86</f>
        <v>1512039.7446000001</v>
      </c>
      <c r="I86" s="63">
        <f>H86*$I$83</f>
        <v>1466527.34828754</v>
      </c>
      <c r="J86" s="37">
        <f>I86-F86</f>
        <v>295352.06232041982</v>
      </c>
      <c r="L86" s="74">
        <v>1337049.6888000001</v>
      </c>
      <c r="M86" s="75">
        <v>42054.400000000001</v>
      </c>
      <c r="N86" s="76">
        <v>129528</v>
      </c>
      <c r="O86" s="74">
        <v>1171175.2859671202</v>
      </c>
      <c r="P86" s="75">
        <v>490921.995</v>
      </c>
      <c r="Q86" s="76">
        <v>1512040</v>
      </c>
      <c r="R86" s="76">
        <v>1466527.5959999999</v>
      </c>
      <c r="S86" s="74">
        <v>295352.3100328797</v>
      </c>
      <c r="U86" s="37">
        <f t="shared" ref="U86:U97" si="38">J86-S86</f>
        <v>-0.24771245988085866</v>
      </c>
    </row>
    <row r="87" spans="1:25" x14ac:dyDescent="0.4">
      <c r="A87" s="73">
        <v>2</v>
      </c>
      <c r="B87" s="40">
        <v>45566</v>
      </c>
      <c r="C87" s="41">
        <f>Customer!E$11*'Assumptions and Inputs'!$C$47</f>
        <v>1423248.9221999999</v>
      </c>
      <c r="D87" s="42">
        <f>Customer!E$35/'Assumptions and Inputs'!$C$21</f>
        <v>40943.5</v>
      </c>
      <c r="E87" s="47">
        <f t="shared" si="37"/>
        <v>126106</v>
      </c>
      <c r="F87" s="47">
        <f t="shared" ref="F87:F96" si="39">(C87-E87)*$F$83</f>
        <v>1258098.9202417799</v>
      </c>
      <c r="G87" s="42">
        <f>Customer!E$40/'Assumptions and Inputs'!$C$21</f>
        <v>458132.77999999997</v>
      </c>
      <c r="H87" s="47">
        <f t="shared" ref="H87:H95" si="40">$H$83*G87</f>
        <v>1411048.9623999998</v>
      </c>
      <c r="I87" s="47">
        <f t="shared" ref="I87:I96" si="41">H87*$I$83</f>
        <v>1368576.3886317599</v>
      </c>
      <c r="J87" s="43">
        <f t="shared" ref="J87:J96" si="42">I87-F87</f>
        <v>110477.46838998003</v>
      </c>
      <c r="L87" s="77">
        <v>1423248.9221999999</v>
      </c>
      <c r="M87" s="78">
        <v>40943.5</v>
      </c>
      <c r="N87" s="77">
        <v>126106</v>
      </c>
      <c r="O87" s="77">
        <v>1258098.9202417799</v>
      </c>
      <c r="P87" s="78">
        <v>458132.77999999997</v>
      </c>
      <c r="Q87" s="77">
        <v>1411049</v>
      </c>
      <c r="R87" s="77">
        <v>1368576.4250999999</v>
      </c>
      <c r="S87" s="79">
        <v>110477.50485822</v>
      </c>
      <c r="U87" s="43">
        <f t="shared" si="38"/>
        <v>-3.6468239966779947E-2</v>
      </c>
    </row>
    <row r="88" spans="1:25" x14ac:dyDescent="0.4">
      <c r="A88" s="73">
        <v>3</v>
      </c>
      <c r="B88" s="36">
        <v>45597</v>
      </c>
      <c r="C88" s="37">
        <f>Customer!F$11*'Assumptions and Inputs'!$C$47</f>
        <v>1251489.0906</v>
      </c>
      <c r="D88" s="38">
        <f>Customer!F$35/'Assumptions and Inputs'!$C$21</f>
        <v>35812.5</v>
      </c>
      <c r="E88" s="37">
        <f t="shared" si="37"/>
        <v>110303</v>
      </c>
      <c r="F88" s="37">
        <f t="shared" si="39"/>
        <v>1106836.3892729399</v>
      </c>
      <c r="G88" s="38">
        <f>Customer!F$40/'Assumptions and Inputs'!$C$21</f>
        <v>424733.95499999996</v>
      </c>
      <c r="H88" s="39">
        <f t="shared" si="40"/>
        <v>1308180.5813999998</v>
      </c>
      <c r="I88" s="39">
        <f t="shared" si="41"/>
        <v>1268804.3458998597</v>
      </c>
      <c r="J88" s="37">
        <f t="shared" si="42"/>
        <v>161967.9566269198</v>
      </c>
      <c r="L88" s="74">
        <v>1251489.0906</v>
      </c>
      <c r="M88" s="80">
        <v>35812.5</v>
      </c>
      <c r="N88" s="74">
        <v>110303</v>
      </c>
      <c r="O88" s="74">
        <v>1106836.3892729399</v>
      </c>
      <c r="P88" s="80">
        <v>424733.95499999996</v>
      </c>
      <c r="Q88" s="81">
        <v>1308181</v>
      </c>
      <c r="R88" s="81">
        <v>1268804.7519</v>
      </c>
      <c r="S88" s="74">
        <v>161968.36262706015</v>
      </c>
      <c r="U88" s="37">
        <f t="shared" si="38"/>
        <v>-0.40600014035589993</v>
      </c>
    </row>
    <row r="89" spans="1:25" x14ac:dyDescent="0.4">
      <c r="A89" s="73">
        <v>4</v>
      </c>
      <c r="B89" s="40">
        <v>45627</v>
      </c>
      <c r="C89" s="41">
        <f>Customer!G$11*'Assumptions and Inputs'!$C$47</f>
        <v>1337359.4892</v>
      </c>
      <c r="D89" s="42">
        <f>Customer!G$35/'Assumptions and Inputs'!$C$21</f>
        <v>38296</v>
      </c>
      <c r="E89" s="41">
        <f t="shared" si="37"/>
        <v>117952</v>
      </c>
      <c r="F89" s="41">
        <f t="shared" si="39"/>
        <v>1182703.32377508</v>
      </c>
      <c r="G89" s="42">
        <f>Customer!G$40/'Assumptions and Inputs'!$C$21</f>
        <v>428037.62</v>
      </c>
      <c r="H89" s="41">
        <f t="shared" si="40"/>
        <v>1318355.8696000001</v>
      </c>
      <c r="I89" s="41">
        <f t="shared" si="41"/>
        <v>1278673.3579250402</v>
      </c>
      <c r="J89" s="43">
        <f t="shared" si="42"/>
        <v>95970.034149960149</v>
      </c>
      <c r="L89" s="82">
        <v>1337359.4892</v>
      </c>
      <c r="M89" s="83">
        <v>38296</v>
      </c>
      <c r="N89" s="82">
        <v>117952</v>
      </c>
      <c r="O89" s="82">
        <v>1182703.32377508</v>
      </c>
      <c r="P89" s="83">
        <v>428037.62</v>
      </c>
      <c r="Q89" s="82">
        <v>1318356</v>
      </c>
      <c r="R89" s="82">
        <v>1278673.4844</v>
      </c>
      <c r="S89" s="79">
        <v>95970.160624919925</v>
      </c>
      <c r="U89" s="43">
        <f t="shared" si="38"/>
        <v>-0.12647495977580547</v>
      </c>
    </row>
    <row r="90" spans="1:25" x14ac:dyDescent="0.4">
      <c r="A90" s="73">
        <v>5</v>
      </c>
      <c r="B90" s="36">
        <v>45658</v>
      </c>
      <c r="C90" s="37">
        <f>Customer!H$11*'Assumptions and Inputs'!$C$47</f>
        <v>1531584.6756</v>
      </c>
      <c r="D90" s="38">
        <f>Customer!H$35/'Assumptions and Inputs'!$C$21</f>
        <v>43133.2</v>
      </c>
      <c r="E90" s="37">
        <f t="shared" si="37"/>
        <v>132850</v>
      </c>
      <c r="F90" s="37">
        <f t="shared" si="39"/>
        <v>1356632.76186444</v>
      </c>
      <c r="G90" s="38">
        <f>Customer!H$40/'Assumptions and Inputs'!$C$21</f>
        <v>446981.625</v>
      </c>
      <c r="H90" s="39">
        <f t="shared" si="40"/>
        <v>1376703.405</v>
      </c>
      <c r="I90" s="39">
        <f t="shared" si="41"/>
        <v>1335264.6325095</v>
      </c>
      <c r="J90" s="37">
        <f t="shared" si="42"/>
        <v>-21368.129354940029</v>
      </c>
      <c r="L90" s="74">
        <v>1531584.6755999997</v>
      </c>
      <c r="M90" s="80">
        <v>43310.400000000001</v>
      </c>
      <c r="N90" s="74">
        <v>133396</v>
      </c>
      <c r="O90" s="74">
        <v>1356103.1964644396</v>
      </c>
      <c r="P90" s="80">
        <v>446981.625</v>
      </c>
      <c r="Q90" s="81">
        <v>1376703</v>
      </c>
      <c r="R90" s="81">
        <v>1335264.2397</v>
      </c>
      <c r="S90" s="74">
        <v>-20838.956764439587</v>
      </c>
      <c r="U90" s="37">
        <f t="shared" si="38"/>
        <v>-529.17259050044231</v>
      </c>
    </row>
    <row r="91" spans="1:25" x14ac:dyDescent="0.4">
      <c r="A91" s="73">
        <v>6</v>
      </c>
      <c r="B91" s="40">
        <v>45689</v>
      </c>
      <c r="C91" s="41">
        <f>Customer!I$11*'Assumptions and Inputs'!$C$47</f>
        <v>1257332.6136</v>
      </c>
      <c r="D91" s="42">
        <f>Customer!I$35/'Assumptions and Inputs'!$C$21</f>
        <v>36254.300000000003</v>
      </c>
      <c r="E91" s="41">
        <f t="shared" si="37"/>
        <v>111663</v>
      </c>
      <c r="F91" s="41">
        <f t="shared" si="39"/>
        <v>1111184.95823064</v>
      </c>
      <c r="G91" s="42">
        <f>Customer!I$40/'Assumptions and Inputs'!$C$21</f>
        <v>389903.54</v>
      </c>
      <c r="H91" s="41">
        <f t="shared" si="40"/>
        <v>1200902.9032000001</v>
      </c>
      <c r="I91" s="41">
        <f t="shared" si="41"/>
        <v>1164755.7258136801</v>
      </c>
      <c r="J91" s="43">
        <f t="shared" si="42"/>
        <v>53570.767583040055</v>
      </c>
      <c r="L91" s="82">
        <v>1257332.6136</v>
      </c>
      <c r="M91" s="83">
        <v>36414.1</v>
      </c>
      <c r="N91" s="82">
        <v>112155</v>
      </c>
      <c r="O91" s="82">
        <v>1110707.7674306401</v>
      </c>
      <c r="P91" s="83">
        <v>389903.54</v>
      </c>
      <c r="Q91" s="82">
        <v>1200903</v>
      </c>
      <c r="R91" s="82">
        <v>1164755.8196999999</v>
      </c>
      <c r="S91" s="79">
        <v>54048.052269359818</v>
      </c>
      <c r="U91" s="43">
        <f t="shared" si="38"/>
        <v>-477.28468631976284</v>
      </c>
    </row>
    <row r="92" spans="1:25" x14ac:dyDescent="0.4">
      <c r="A92" s="73">
        <v>7</v>
      </c>
      <c r="B92" s="36">
        <v>45717</v>
      </c>
      <c r="C92" s="37">
        <f>Customer!J$11*'Assumptions and Inputs'!$C$47</f>
        <v>1295615.7731999999</v>
      </c>
      <c r="D92" s="38">
        <f>Customer!J$35/'Assumptions and Inputs'!$C$21</f>
        <v>37575.1</v>
      </c>
      <c r="E92" s="37">
        <f t="shared" si="37"/>
        <v>115731</v>
      </c>
      <c r="F92" s="37">
        <f t="shared" si="39"/>
        <v>1144370.2415266798</v>
      </c>
      <c r="G92" s="38">
        <f>Customer!J$40/'Assumptions and Inputs'!$C$21</f>
        <v>394954.18</v>
      </c>
      <c r="H92" s="39">
        <f t="shared" si="40"/>
        <v>1216458.8744000001</v>
      </c>
      <c r="I92" s="39">
        <f t="shared" si="41"/>
        <v>1179843.4622805601</v>
      </c>
      <c r="J92" s="37">
        <f t="shared" si="42"/>
        <v>35473.220753880218</v>
      </c>
      <c r="L92" s="74">
        <v>1295615.7731999999</v>
      </c>
      <c r="M92" s="80">
        <v>37905.699999999997</v>
      </c>
      <c r="N92" s="74">
        <v>116750</v>
      </c>
      <c r="O92" s="74">
        <v>1143381.91342668</v>
      </c>
      <c r="P92" s="80">
        <v>394954.18</v>
      </c>
      <c r="Q92" s="81">
        <v>1216459</v>
      </c>
      <c r="R92" s="81">
        <v>1179843.5841000001</v>
      </c>
      <c r="S92" s="74">
        <v>36461.67067332007</v>
      </c>
      <c r="U92" s="37">
        <f t="shared" si="38"/>
        <v>-988.44991943985224</v>
      </c>
    </row>
    <row r="93" spans="1:25" x14ac:dyDescent="0.4">
      <c r="A93" s="73">
        <v>8</v>
      </c>
      <c r="B93" s="40">
        <v>45748</v>
      </c>
      <c r="C93" s="41">
        <f>Customer!K$11*'Assumptions and Inputs'!$C$47</f>
        <v>1313903.8122</v>
      </c>
      <c r="D93" s="42">
        <f>Customer!K$35/'Assumptions and Inputs'!$C$21</f>
        <v>38235.300000000003</v>
      </c>
      <c r="E93" s="41">
        <f t="shared" si="37"/>
        <v>117765</v>
      </c>
      <c r="F93" s="41">
        <f t="shared" si="39"/>
        <v>1160135.0339527801</v>
      </c>
      <c r="G93" s="42">
        <f>Customer!K$40/'Assumptions and Inputs'!$C$21</f>
        <v>399841.21499999997</v>
      </c>
      <c r="H93" s="41">
        <f t="shared" si="40"/>
        <v>1231510.9421999999</v>
      </c>
      <c r="I93" s="41">
        <f t="shared" si="41"/>
        <v>1194442.4628397799</v>
      </c>
      <c r="J93" s="43">
        <f t="shared" si="42"/>
        <v>34307.428886999842</v>
      </c>
      <c r="L93" s="82">
        <v>1208752.9422499931</v>
      </c>
      <c r="M93" s="83">
        <v>38067.066666666455</v>
      </c>
      <c r="N93" s="82">
        <v>117247</v>
      </c>
      <c r="O93" s="82">
        <v>1058651.6133882683</v>
      </c>
      <c r="P93" s="83">
        <v>439535.74000000005</v>
      </c>
      <c r="Q93" s="82">
        <v>1353770</v>
      </c>
      <c r="R93" s="82">
        <v>1313021.523</v>
      </c>
      <c r="S93" s="79">
        <v>254369.90961173177</v>
      </c>
      <c r="U93" s="43">
        <f t="shared" si="38"/>
        <v>-220062.48072473193</v>
      </c>
    </row>
    <row r="94" spans="1:25" x14ac:dyDescent="0.4">
      <c r="A94" s="73">
        <v>9</v>
      </c>
      <c r="B94" s="36">
        <v>45778</v>
      </c>
      <c r="C94" s="37">
        <f>Customer!L$11*'Assumptions and Inputs'!$C$47</f>
        <v>1362364.1094000002</v>
      </c>
      <c r="D94" s="38">
        <f>Customer!L$35/'Assumptions and Inputs'!$C$21</f>
        <v>39575.800000000003</v>
      </c>
      <c r="E94" s="37">
        <f t="shared" si="37"/>
        <v>121893</v>
      </c>
      <c r="F94" s="37">
        <f t="shared" si="39"/>
        <v>1203132.9290070601</v>
      </c>
      <c r="G94" s="38">
        <f>Customer!L$40/'Assumptions and Inputs'!$C$21</f>
        <v>419823.69000000006</v>
      </c>
      <c r="H94" s="39">
        <f t="shared" si="40"/>
        <v>1293056.9652000002</v>
      </c>
      <c r="I94" s="39">
        <f t="shared" si="41"/>
        <v>1254135.9505474803</v>
      </c>
      <c r="J94" s="37">
        <f t="shared" si="42"/>
        <v>51003.02154042013</v>
      </c>
      <c r="L94" s="74">
        <v>1208752.9422499931</v>
      </c>
      <c r="M94" s="80">
        <v>38067.066666666455</v>
      </c>
      <c r="N94" s="74">
        <v>117247</v>
      </c>
      <c r="O94" s="74">
        <v>1058651.6133882683</v>
      </c>
      <c r="P94" s="80">
        <v>439535.74000000005</v>
      </c>
      <c r="Q94" s="81">
        <v>1353770</v>
      </c>
      <c r="R94" s="81">
        <v>1313021.523</v>
      </c>
      <c r="S94" s="74">
        <v>254369.90961173177</v>
      </c>
      <c r="U94" s="37">
        <f t="shared" si="38"/>
        <v>-203366.88807131164</v>
      </c>
    </row>
    <row r="95" spans="1:25" x14ac:dyDescent="0.4">
      <c r="A95" s="73">
        <v>10</v>
      </c>
      <c r="B95" s="40">
        <v>45809</v>
      </c>
      <c r="C95" s="41">
        <f>Customer!M$11*'Assumptions and Inputs'!$C$47</f>
        <v>1464473.2493999999</v>
      </c>
      <c r="D95" s="42">
        <f>Customer!M$35/'Assumptions and Inputs'!$C$21</f>
        <v>41969.599999999999</v>
      </c>
      <c r="E95" s="41">
        <f t="shared" si="37"/>
        <v>129266</v>
      </c>
      <c r="F95" s="41">
        <f t="shared" si="39"/>
        <v>1295017.5111930599</v>
      </c>
      <c r="G95" s="42">
        <f>Customer!M$40/'Assumptions and Inputs'!$C$21</f>
        <v>437385.55</v>
      </c>
      <c r="H95" s="41">
        <f t="shared" si="40"/>
        <v>1347147.4939999999</v>
      </c>
      <c r="I95" s="41">
        <f t="shared" si="41"/>
        <v>1306598.3544305998</v>
      </c>
      <c r="J95" s="43">
        <f t="shared" si="42"/>
        <v>11580.843237539986</v>
      </c>
      <c r="L95" s="82">
        <v>1208752.9422499931</v>
      </c>
      <c r="M95" s="83">
        <v>38067.066666666455</v>
      </c>
      <c r="N95" s="82">
        <v>117247</v>
      </c>
      <c r="O95" s="82">
        <v>1058651.6133882683</v>
      </c>
      <c r="P95" s="83">
        <v>439535.74000000005</v>
      </c>
      <c r="Q95" s="82">
        <v>1353770</v>
      </c>
      <c r="R95" s="82">
        <v>1313021.523</v>
      </c>
      <c r="S95" s="79">
        <v>254369.90961173177</v>
      </c>
      <c r="U95" s="43">
        <f t="shared" si="38"/>
        <v>-242789.06637419178</v>
      </c>
    </row>
    <row r="96" spans="1:25" x14ac:dyDescent="0.4">
      <c r="A96" s="73">
        <v>11</v>
      </c>
      <c r="B96" s="36">
        <v>45839</v>
      </c>
      <c r="C96" s="37">
        <f>Customer!N$11*'Assumptions and Inputs'!$C$47</f>
        <v>1481190.5723999999</v>
      </c>
      <c r="D96" s="38">
        <f>Customer!N$35/'Assumptions and Inputs'!$C$21</f>
        <v>42399.7</v>
      </c>
      <c r="E96" s="37">
        <f t="shared" si="37"/>
        <v>130591</v>
      </c>
      <c r="F96" s="37">
        <f t="shared" si="39"/>
        <v>1309946.5252707598</v>
      </c>
      <c r="G96" s="38">
        <f>Customer!N$40/'Assumptions and Inputs'!$C$21</f>
        <v>456809.04500000004</v>
      </c>
      <c r="H96" s="39">
        <f>$H$83*G96</f>
        <v>1406971.8586000002</v>
      </c>
      <c r="I96" s="39">
        <f t="shared" si="41"/>
        <v>1364622.0056561402</v>
      </c>
      <c r="J96" s="37">
        <f t="shared" si="42"/>
        <v>54675.480385380331</v>
      </c>
      <c r="L96" s="74">
        <v>1208752.9422499931</v>
      </c>
      <c r="M96" s="80">
        <v>38067.066666666455</v>
      </c>
      <c r="N96" s="74">
        <v>117247</v>
      </c>
      <c r="O96" s="74">
        <v>1058651.6133882683</v>
      </c>
      <c r="P96" s="80">
        <v>439535.74000000005</v>
      </c>
      <c r="Q96" s="81">
        <v>1353770</v>
      </c>
      <c r="R96" s="81">
        <v>1313021.523</v>
      </c>
      <c r="S96" s="74">
        <v>254369.90961173177</v>
      </c>
      <c r="U96" s="37">
        <f t="shared" si="38"/>
        <v>-199694.42922635144</v>
      </c>
    </row>
    <row r="97" spans="1:21" x14ac:dyDescent="0.4">
      <c r="A97" s="73">
        <v>12</v>
      </c>
      <c r="B97" s="40">
        <v>45870</v>
      </c>
      <c r="C97" s="41">
        <f>Customer!O$11*'Assumptions and Inputs'!$C$47</f>
        <v>1586141.1216</v>
      </c>
      <c r="D97" s="42">
        <f>Customer!O$35/'Assumptions and Inputs'!$C$21</f>
        <v>45007.6</v>
      </c>
      <c r="E97" s="41">
        <f>ROUND($E$83*D97, 0)</f>
        <v>138623</v>
      </c>
      <c r="F97" s="41">
        <f>(C97-E97)*$F$83</f>
        <v>1403947.8261398398</v>
      </c>
      <c r="G97" s="42">
        <f>Customer!O$40/'Assumptions and Inputs'!$C$21</f>
        <v>472709.625</v>
      </c>
      <c r="H97" s="41">
        <f>$H$83*G97</f>
        <v>1455945.645</v>
      </c>
      <c r="I97" s="41">
        <f t="shared" ref="I97" si="43">H97*$I$83</f>
        <v>1412121.6810854999</v>
      </c>
      <c r="J97" s="43">
        <f>I97-F97</f>
        <v>8173.8549456601031</v>
      </c>
      <c r="L97" s="82">
        <v>1208752.9422499931</v>
      </c>
      <c r="M97" s="83">
        <v>38067.066666666455</v>
      </c>
      <c r="N97" s="82">
        <v>117247</v>
      </c>
      <c r="O97" s="82">
        <v>1058651.6133882683</v>
      </c>
      <c r="P97" s="83">
        <v>439535.74000000005</v>
      </c>
      <c r="Q97" s="82">
        <v>1353770</v>
      </c>
      <c r="R97" s="82">
        <v>1313021.523</v>
      </c>
      <c r="S97" s="79">
        <v>254369.90961173177</v>
      </c>
      <c r="U97" s="43">
        <f t="shared" si="38"/>
        <v>-246196.05466607166</v>
      </c>
    </row>
    <row r="98" spans="1:21" ht="5.15" customHeight="1" x14ac:dyDescent="0.4">
      <c r="B98" s="84"/>
    </row>
    <row r="99" spans="1:21" x14ac:dyDescent="0.4">
      <c r="B99" s="44" t="s">
        <v>131</v>
      </c>
      <c r="C99" s="63">
        <f>SUM(C86:C97)</f>
        <v>16641753.1182</v>
      </c>
      <c r="D99" s="62">
        <f t="shared" ref="D99:I99" si="44">SUM(D86:D97)</f>
        <v>481256.99999999988</v>
      </c>
      <c r="E99" s="63">
        <f t="shared" si="44"/>
        <v>1482271</v>
      </c>
      <c r="F99" s="63">
        <f t="shared" si="44"/>
        <v>14703181.706442179</v>
      </c>
      <c r="G99" s="62">
        <f t="shared" si="44"/>
        <v>5220234.82</v>
      </c>
      <c r="H99" s="63">
        <f t="shared" si="44"/>
        <v>16078323.245599998</v>
      </c>
      <c r="I99" s="63">
        <f t="shared" si="44"/>
        <v>15594365.71590744</v>
      </c>
      <c r="J99" s="37">
        <f>SUM(J85:J97)</f>
        <v>-4298437.9653601237</v>
      </c>
      <c r="L99" s="63">
        <v>15477444.964449964</v>
      </c>
      <c r="M99" s="62">
        <v>465071.93333333236</v>
      </c>
      <c r="N99" s="63">
        <v>1432425</v>
      </c>
      <c r="O99" s="63">
        <v>13622264.863520021</v>
      </c>
      <c r="P99" s="62">
        <v>5231344.3950000014</v>
      </c>
      <c r="Q99" s="63">
        <v>16112541</v>
      </c>
      <c r="R99" s="63">
        <v>15627553.515899999</v>
      </c>
      <c r="S99" s="37">
        <v>-3184333.3224454038</v>
      </c>
      <c r="U99" s="37">
        <f>J99-S99</f>
        <v>-1114104.6429147199</v>
      </c>
    </row>
    <row r="100" spans="1:21" x14ac:dyDescent="0.4">
      <c r="F100" s="45"/>
      <c r="G100" s="12"/>
      <c r="J100" s="20"/>
      <c r="O100" s="45"/>
      <c r="P100" s="12"/>
    </row>
    <row r="101" spans="1:21" x14ac:dyDescent="0.4">
      <c r="B101" s="1" t="s">
        <v>183</v>
      </c>
      <c r="I101" s="49" t="s">
        <v>184</v>
      </c>
      <c r="J101" s="50">
        <f>J99</f>
        <v>-4298437.9653601237</v>
      </c>
      <c r="K101" s="48"/>
      <c r="R101" s="49" t="s">
        <v>184</v>
      </c>
      <c r="S101" s="50">
        <f>S99</f>
        <v>-3184333.3224454038</v>
      </c>
      <c r="T101" s="20"/>
      <c r="U101" s="64">
        <f>J101-S101</f>
        <v>-1114104.6429147199</v>
      </c>
    </row>
    <row r="102" spans="1:21" x14ac:dyDescent="0.4">
      <c r="B102" s="85" t="s">
        <v>208</v>
      </c>
      <c r="L102" s="51"/>
    </row>
    <row r="103" spans="1:21" x14ac:dyDescent="0.4">
      <c r="B103" s="51" t="str">
        <f>"(1) - Updated TAP Actual Discounts reflect water's "&amp;FIXED('Assumptions and Inputs'!$C$47*100, 1, 0)&amp;"% allocated portion of the Total TAP Discount."</f>
        <v>(1) - Updated TAP Actual Discounts reflect water's 42.0% allocated portion of the Total TAP Discount.</v>
      </c>
      <c r="L103" s="51"/>
      <c r="S103" s="20"/>
    </row>
    <row r="104" spans="1:21" x14ac:dyDescent="0.4">
      <c r="B104" s="51" t="s">
        <v>300</v>
      </c>
      <c r="L104" s="51"/>
    </row>
    <row r="105" spans="1:21" x14ac:dyDescent="0.4">
      <c r="B105" s="66" t="s">
        <v>272</v>
      </c>
      <c r="L105" s="51"/>
    </row>
    <row r="106" spans="1:21" x14ac:dyDescent="0.4">
      <c r="B106" s="51"/>
      <c r="L106" s="51"/>
    </row>
    <row r="107" spans="1:21" x14ac:dyDescent="0.4">
      <c r="B107" s="85" t="s">
        <v>209</v>
      </c>
      <c r="L107" s="51"/>
    </row>
    <row r="108" spans="1:21" x14ac:dyDescent="0.4">
      <c r="B108" s="51" t="str">
        <f>"(9) - TAP Actual Discounts reflect water's "&amp;FIXED('Assumptions and Inputs'!$C$47*100, 1, 0)&amp;"% allocated portion of the Total TAP Discount."</f>
        <v>(9) - TAP Actual Discounts reflect water's 42.0% allocated portion of the Total TAP Discount.</v>
      </c>
      <c r="L108" s="51"/>
    </row>
    <row r="109" spans="1:21" x14ac:dyDescent="0.4">
      <c r="B109" s="51" t="s">
        <v>270</v>
      </c>
      <c r="L109" s="51"/>
    </row>
    <row r="110" spans="1:21" x14ac:dyDescent="0.4">
      <c r="B110" s="51" t="s">
        <v>273</v>
      </c>
      <c r="L110" s="51"/>
    </row>
    <row r="111" spans="1:21" x14ac:dyDescent="0.4">
      <c r="B111" s="51"/>
      <c r="L111" s="51"/>
    </row>
    <row r="112" spans="1:21" x14ac:dyDescent="0.4">
      <c r="B112" s="85" t="s">
        <v>211</v>
      </c>
      <c r="L112" s="51"/>
    </row>
    <row r="113" spans="1:21" x14ac:dyDescent="0.4">
      <c r="B113" s="51" t="str">
        <f>"(3), (6), (11) &amp; (14) - Water TAP-R Rates per "&amp;TEXT('Assumptions and Inputs'!F27,)&amp;" "&amp;TEXT('Assumptions and Inputs'!G27,)&amp;"."</f>
        <v>(3), (6), (11) &amp; (14) - Water TAP-R Rates per PWD Regulations - Rates and Charges Effective September 1, 2024 Section 10.3(a)(1).</v>
      </c>
      <c r="L113" s="51"/>
    </row>
    <row r="114" spans="1:21" x14ac:dyDescent="0.4">
      <c r="B114" s="51" t="str">
        <f>"(4), (7), (12) &amp; (15) - Adjusted for system-wide collection factor in accordance with  "&amp;'Assumptions and Inputs'!F45&amp;" "&amp;'Assumptions and Inputs'!G45&amp;"."</f>
        <v>(4), (7), (12) &amp; (15) - Adjusted for system-wide collection factor in accordance with  PWD Regulations - Rates and Charges Effective September 1, 2024 Section 10.1(b)(3).</v>
      </c>
      <c r="L114" s="51"/>
    </row>
    <row r="115" spans="1:21" x14ac:dyDescent="0.4">
      <c r="B115" s="51"/>
      <c r="L115" s="51"/>
    </row>
    <row r="116" spans="1:21" x14ac:dyDescent="0.4"/>
    <row r="117" spans="1:21" x14ac:dyDescent="0.4">
      <c r="B117" s="18" t="s">
        <v>30</v>
      </c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</row>
    <row r="118" spans="1:21" ht="16" thickBot="1" x14ac:dyDescent="0.45">
      <c r="B118" s="18" t="s">
        <v>212</v>
      </c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</row>
    <row r="119" spans="1:21" ht="16" thickBot="1" x14ac:dyDescent="0.45">
      <c r="C119" s="57" t="s">
        <v>203</v>
      </c>
      <c r="D119" s="58"/>
      <c r="E119" s="58"/>
      <c r="F119" s="58"/>
      <c r="G119" s="58"/>
      <c r="H119" s="58"/>
      <c r="I119" s="58"/>
      <c r="J119" s="59"/>
      <c r="L119" s="70" t="s">
        <v>204</v>
      </c>
      <c r="M119" s="71"/>
      <c r="N119" s="71"/>
      <c r="O119" s="71"/>
      <c r="P119" s="71"/>
      <c r="Q119" s="71"/>
      <c r="R119" s="71"/>
      <c r="S119" s="72"/>
      <c r="U119" s="60" t="s">
        <v>192</v>
      </c>
    </row>
    <row r="120" spans="1:21" x14ac:dyDescent="0.4">
      <c r="B120" s="22" t="s">
        <v>158</v>
      </c>
      <c r="C120" s="22" t="s">
        <v>159</v>
      </c>
      <c r="D120" s="22" t="s">
        <v>188</v>
      </c>
      <c r="E120" s="22" t="s">
        <v>161</v>
      </c>
      <c r="F120" s="22" t="s">
        <v>162</v>
      </c>
      <c r="G120" s="22" t="s">
        <v>163</v>
      </c>
      <c r="H120" s="22" t="s">
        <v>164</v>
      </c>
      <c r="I120" s="22" t="s">
        <v>165</v>
      </c>
      <c r="J120" s="23" t="s">
        <v>166</v>
      </c>
      <c r="L120" s="22" t="s">
        <v>159</v>
      </c>
      <c r="M120" s="22" t="s">
        <v>188</v>
      </c>
      <c r="N120" s="22" t="s">
        <v>161</v>
      </c>
      <c r="O120" s="22" t="s">
        <v>162</v>
      </c>
      <c r="P120" s="22" t="s">
        <v>163</v>
      </c>
      <c r="Q120" s="22" t="s">
        <v>164</v>
      </c>
      <c r="R120" s="22" t="s">
        <v>165</v>
      </c>
      <c r="S120" s="23" t="s">
        <v>166</v>
      </c>
      <c r="U120" s="23" t="s">
        <v>205</v>
      </c>
    </row>
    <row r="121" spans="1:21" x14ac:dyDescent="0.4">
      <c r="B121" s="23" t="s">
        <v>157</v>
      </c>
      <c r="C121" s="23" t="s">
        <v>167</v>
      </c>
      <c r="D121" s="23" t="s">
        <v>189</v>
      </c>
      <c r="E121" s="23" t="s">
        <v>169</v>
      </c>
      <c r="F121" s="23" t="s">
        <v>167</v>
      </c>
      <c r="G121" s="23" t="s">
        <v>189</v>
      </c>
      <c r="H121" s="23" t="s">
        <v>170</v>
      </c>
      <c r="I121" s="23" t="s">
        <v>171</v>
      </c>
      <c r="J121" s="23" t="s">
        <v>172</v>
      </c>
      <c r="L121" s="23" t="s">
        <v>167</v>
      </c>
      <c r="M121" s="23" t="s">
        <v>189</v>
      </c>
      <c r="N121" s="23" t="s">
        <v>169</v>
      </c>
      <c r="O121" s="23" t="s">
        <v>167</v>
      </c>
      <c r="P121" s="23" t="s">
        <v>189</v>
      </c>
      <c r="Q121" s="23" t="s">
        <v>170</v>
      </c>
      <c r="R121" s="23" t="s">
        <v>171</v>
      </c>
      <c r="S121" s="23" t="s">
        <v>172</v>
      </c>
      <c r="U121" s="23" t="s">
        <v>206</v>
      </c>
    </row>
    <row r="122" spans="1:21" x14ac:dyDescent="0.4">
      <c r="B122" s="23"/>
      <c r="C122" s="23" t="s">
        <v>173</v>
      </c>
      <c r="D122" s="23" t="s">
        <v>126</v>
      </c>
      <c r="E122" s="23" t="s">
        <v>175</v>
      </c>
      <c r="F122" s="23" t="s">
        <v>173</v>
      </c>
      <c r="G122" s="23" t="s">
        <v>174</v>
      </c>
      <c r="H122" s="23"/>
      <c r="I122" s="23" t="s">
        <v>176</v>
      </c>
      <c r="J122" s="23"/>
      <c r="L122" s="23" t="s">
        <v>173</v>
      </c>
      <c r="M122" s="23" t="s">
        <v>126</v>
      </c>
      <c r="N122" s="23" t="s">
        <v>175</v>
      </c>
      <c r="O122" s="23" t="s">
        <v>173</v>
      </c>
      <c r="P122" s="23" t="s">
        <v>174</v>
      </c>
      <c r="Q122" s="23"/>
      <c r="R122" s="23" t="s">
        <v>176</v>
      </c>
      <c r="S122" s="23"/>
      <c r="U122" s="23"/>
    </row>
    <row r="123" spans="1:21" x14ac:dyDescent="0.4">
      <c r="B123" s="23"/>
      <c r="C123" s="24"/>
      <c r="D123" s="23" t="s">
        <v>174</v>
      </c>
      <c r="E123" s="25">
        <f>'Assumptions and Inputs'!$C$29</f>
        <v>4.4000000000000004</v>
      </c>
      <c r="F123" s="52">
        <f>'Assumptions and Inputs'!$C$45</f>
        <v>0.96989999999999998</v>
      </c>
      <c r="G123" s="23"/>
      <c r="H123" s="25">
        <f>'Assumptions and Inputs'!$C$29</f>
        <v>4.4000000000000004</v>
      </c>
      <c r="I123" s="26">
        <f>'Assumptions and Inputs'!$C$45</f>
        <v>0.96989999999999998</v>
      </c>
      <c r="J123" s="27"/>
      <c r="L123" s="24"/>
      <c r="M123" s="23" t="s">
        <v>174</v>
      </c>
      <c r="N123" s="25">
        <v>4.4000000000000004</v>
      </c>
      <c r="O123" s="52">
        <v>0.96989999999999998</v>
      </c>
      <c r="P123" s="23"/>
      <c r="Q123" s="25">
        <v>4.4000000000000004</v>
      </c>
      <c r="R123" s="26">
        <v>0.96989999999999998</v>
      </c>
      <c r="S123" s="27"/>
      <c r="U123" s="27"/>
    </row>
    <row r="124" spans="1:21" x14ac:dyDescent="0.4">
      <c r="B124" s="28"/>
      <c r="C124" s="29" t="s">
        <v>139</v>
      </c>
      <c r="D124" s="29" t="s">
        <v>140</v>
      </c>
      <c r="E124" s="29" t="str">
        <f>"(3) = (2) * $ "&amp;FIXED(E123,3,)&amp;"/Mcf"</f>
        <v>(3) = (2) * $ 4.400/Mcf</v>
      </c>
      <c r="F124" s="29" t="str">
        <f>"(4) = [(1) - (3)]* "&amp;FIXED(F123,4,)&amp;""</f>
        <v>(4) = [(1) - (3)]* 0.9699</v>
      </c>
      <c r="G124" s="29" t="s">
        <v>143</v>
      </c>
      <c r="H124" s="29" t="str">
        <f>"(6) = (5) * $ "&amp;FIXED(H123,3,)&amp;"/Mcf"</f>
        <v>(6) = (5) * $ 4.400/Mcf</v>
      </c>
      <c r="I124" s="30" t="str">
        <f>"(7) = (6) * "&amp;FIXED(F123,4,)&amp;""</f>
        <v>(7) = (6) * 0.9699</v>
      </c>
      <c r="J124" s="29" t="s">
        <v>177</v>
      </c>
      <c r="L124" s="29" t="s">
        <v>193</v>
      </c>
      <c r="M124" s="29" t="s">
        <v>301</v>
      </c>
      <c r="N124" s="29" t="s">
        <v>308</v>
      </c>
      <c r="O124" s="29" t="s">
        <v>303</v>
      </c>
      <c r="P124" s="29" t="s">
        <v>304</v>
      </c>
      <c r="Q124" s="29" t="s">
        <v>309</v>
      </c>
      <c r="R124" s="30" t="s">
        <v>306</v>
      </c>
      <c r="S124" s="29" t="s">
        <v>307</v>
      </c>
      <c r="U124" s="29" t="s">
        <v>207</v>
      </c>
    </row>
    <row r="125" spans="1:21" x14ac:dyDescent="0.4">
      <c r="B125" s="31"/>
      <c r="C125" s="32"/>
      <c r="D125" s="32"/>
      <c r="E125" s="32"/>
      <c r="F125" s="32"/>
      <c r="G125" s="32"/>
      <c r="H125" s="32"/>
      <c r="I125" s="33" t="s">
        <v>178</v>
      </c>
      <c r="J125" s="34">
        <v>-6713205.8875230234</v>
      </c>
      <c r="L125" s="32"/>
      <c r="M125" s="32"/>
      <c r="N125" s="32"/>
      <c r="O125" s="32"/>
      <c r="P125" s="32"/>
      <c r="Q125" s="32"/>
      <c r="R125" s="33" t="s">
        <v>178</v>
      </c>
      <c r="S125" s="34">
        <v>-6713205.8875230234</v>
      </c>
      <c r="U125" s="32"/>
    </row>
    <row r="126" spans="1:21" x14ac:dyDescent="0.4">
      <c r="A126" s="73">
        <v>1</v>
      </c>
      <c r="B126" s="36">
        <f>B86</f>
        <v>45536</v>
      </c>
      <c r="C126" s="37">
        <f>Customer!D$11*'Assumptions and Inputs'!$C$49</f>
        <v>1846401.9512</v>
      </c>
      <c r="D126" s="38">
        <f>Customer!D$60/'Assumptions and Inputs'!$C$21</f>
        <v>42019.8</v>
      </c>
      <c r="E126" s="37">
        <f t="shared" ref="E126:E137" si="45">$E$123*D126</f>
        <v>184887.12000000002</v>
      </c>
      <c r="F126" s="37">
        <f t="shared" ref="F126:F136" si="46">(C126-E126)*$F$123</f>
        <v>1611503.2347808799</v>
      </c>
      <c r="G126" s="38">
        <f>Customer!D$65/'Assumptions and Inputs'!$C$21</f>
        <v>461019.51500000001</v>
      </c>
      <c r="H126" s="63">
        <f t="shared" ref="H126:H137" si="47">ROUND($H$123*G126, 0)</f>
        <v>2028486</v>
      </c>
      <c r="I126" s="63">
        <f t="shared" ref="I126:I137" si="48">H126*$I$123</f>
        <v>1967428.5714</v>
      </c>
      <c r="J126" s="37">
        <f>I126-F126</f>
        <v>355925.33661912009</v>
      </c>
      <c r="L126" s="37">
        <v>1846401.9512</v>
      </c>
      <c r="M126" s="62">
        <v>42019.8</v>
      </c>
      <c r="N126" s="37">
        <v>184887</v>
      </c>
      <c r="O126" s="37">
        <v>1611503.35116888</v>
      </c>
      <c r="P126" s="62">
        <v>461019.51500000001</v>
      </c>
      <c r="Q126" s="63">
        <v>2028486</v>
      </c>
      <c r="R126" s="63">
        <v>1967428.5714</v>
      </c>
      <c r="S126" s="37">
        <v>355925.22023112001</v>
      </c>
      <c r="U126" s="37">
        <f>J126-S126</f>
        <v>0.11638800008222461</v>
      </c>
    </row>
    <row r="127" spans="1:21" x14ac:dyDescent="0.4">
      <c r="A127" s="73">
        <v>2</v>
      </c>
      <c r="B127" s="40">
        <f t="shared" ref="B127:B137" si="49">B87</f>
        <v>45566</v>
      </c>
      <c r="C127" s="41">
        <f>Customer!E$11*'Assumptions and Inputs'!$C$49</f>
        <v>1965438.9878</v>
      </c>
      <c r="D127" s="42">
        <f>Customer!E$60/'Assumptions and Inputs'!$C$21</f>
        <v>40905.9</v>
      </c>
      <c r="E127" s="47">
        <f t="shared" si="45"/>
        <v>179985.96000000002</v>
      </c>
      <c r="F127" s="47">
        <f t="shared" si="46"/>
        <v>1731710.89166322</v>
      </c>
      <c r="G127" s="42">
        <f>Customer!E$65/'Assumptions and Inputs'!$C$21</f>
        <v>430672.32500000001</v>
      </c>
      <c r="H127" s="47">
        <f t="shared" si="47"/>
        <v>1894958</v>
      </c>
      <c r="I127" s="47">
        <f t="shared" si="48"/>
        <v>1837919.7641999999</v>
      </c>
      <c r="J127" s="43">
        <f>I127-F127</f>
        <v>106208.87253677985</v>
      </c>
      <c r="L127" s="47">
        <v>1965438.9878</v>
      </c>
      <c r="M127" s="53">
        <v>40905.9</v>
      </c>
      <c r="N127" s="47">
        <v>179986</v>
      </c>
      <c r="O127" s="47">
        <v>1731710.8528672201</v>
      </c>
      <c r="P127" s="53">
        <v>430672.32500000001</v>
      </c>
      <c r="Q127" s="47">
        <v>1894958</v>
      </c>
      <c r="R127" s="47">
        <v>1837919.7641999999</v>
      </c>
      <c r="S127" s="43">
        <v>106208.9113327798</v>
      </c>
      <c r="U127" s="43">
        <f t="shared" ref="U127:U129" si="50">J127-S127</f>
        <v>-3.8795999949797988E-2</v>
      </c>
    </row>
    <row r="128" spans="1:21" x14ac:dyDescent="0.4">
      <c r="A128" s="73">
        <v>3</v>
      </c>
      <c r="B128" s="36">
        <f t="shared" si="49"/>
        <v>45597</v>
      </c>
      <c r="C128" s="37">
        <f>Customer!F$11*'Assumptions and Inputs'!$C$49</f>
        <v>1728246.8393999999</v>
      </c>
      <c r="D128" s="38">
        <f>Customer!F$60/'Assumptions and Inputs'!$C$21</f>
        <v>35778.400000000001</v>
      </c>
      <c r="E128" s="37">
        <f t="shared" si="45"/>
        <v>157424.96000000002</v>
      </c>
      <c r="F128" s="37">
        <f t="shared" si="46"/>
        <v>1523540.14083006</v>
      </c>
      <c r="G128" s="38">
        <f>Customer!F$65/'Assumptions and Inputs'!$C$21</f>
        <v>401299.14500000002</v>
      </c>
      <c r="H128" s="39">
        <f t="shared" si="47"/>
        <v>1765716</v>
      </c>
      <c r="I128" s="39">
        <f t="shared" si="48"/>
        <v>1712567.9483999999</v>
      </c>
      <c r="J128" s="37">
        <f t="shared" ref="J128:J136" si="51">I128-F128</f>
        <v>189027.80756993988</v>
      </c>
      <c r="L128" s="37">
        <v>1728246.8393999999</v>
      </c>
      <c r="M128" s="38">
        <v>35778.400000000001</v>
      </c>
      <c r="N128" s="37">
        <v>157425</v>
      </c>
      <c r="O128" s="37">
        <v>1523540.1020340598</v>
      </c>
      <c r="P128" s="38">
        <v>401299.14500000002</v>
      </c>
      <c r="Q128" s="39">
        <v>1765716</v>
      </c>
      <c r="R128" s="39">
        <v>1712567.9483999999</v>
      </c>
      <c r="S128" s="37">
        <v>189027.84636594006</v>
      </c>
      <c r="U128" s="37">
        <f t="shared" si="50"/>
        <v>-3.8796000182628632E-2</v>
      </c>
    </row>
    <row r="129" spans="1:21" x14ac:dyDescent="0.4">
      <c r="A129" s="73">
        <v>4</v>
      </c>
      <c r="B129" s="40">
        <f t="shared" si="49"/>
        <v>45627</v>
      </c>
      <c r="C129" s="41">
        <f>Customer!G$11*'Assumptions and Inputs'!$C$49</f>
        <v>1846829.7708000001</v>
      </c>
      <c r="D129" s="42">
        <f>Customer!G$60/'Assumptions and Inputs'!$C$21</f>
        <v>38262.5</v>
      </c>
      <c r="E129" s="41">
        <f t="shared" si="45"/>
        <v>168355</v>
      </c>
      <c r="F129" s="41">
        <f t="shared" si="46"/>
        <v>1627952.68019892</v>
      </c>
      <c r="G129" s="42">
        <f>Customer!G$65/'Assumptions and Inputs'!$C$21</f>
        <v>406659.43</v>
      </c>
      <c r="H129" s="41">
        <f t="shared" si="47"/>
        <v>1789301</v>
      </c>
      <c r="I129" s="41">
        <f t="shared" si="48"/>
        <v>1735443.0399</v>
      </c>
      <c r="J129" s="43">
        <f t="shared" si="51"/>
        <v>107490.35970108001</v>
      </c>
      <c r="L129" s="41">
        <v>1846829.7708000001</v>
      </c>
      <c r="M129" s="42">
        <v>38262.5</v>
      </c>
      <c r="N129" s="41">
        <v>168355</v>
      </c>
      <c r="O129" s="41">
        <v>1627952.68019892</v>
      </c>
      <c r="P129" s="42">
        <v>406659.43</v>
      </c>
      <c r="Q129" s="41">
        <v>1789301</v>
      </c>
      <c r="R129" s="41">
        <v>1735443.0399</v>
      </c>
      <c r="S129" s="43">
        <v>107490.35970108001</v>
      </c>
      <c r="U129" s="43">
        <f t="shared" si="50"/>
        <v>0</v>
      </c>
    </row>
    <row r="130" spans="1:21" x14ac:dyDescent="0.4">
      <c r="A130" s="73">
        <v>5</v>
      </c>
      <c r="B130" s="36">
        <f t="shared" si="49"/>
        <v>45658</v>
      </c>
      <c r="C130" s="37">
        <f>Customer!H$11*'Assumptions and Inputs'!$C$49</f>
        <v>2115045.5044</v>
      </c>
      <c r="D130" s="38">
        <f>Customer!H$60/'Assumptions and Inputs'!$C$21</f>
        <v>43102.5</v>
      </c>
      <c r="E130" s="37">
        <f t="shared" si="45"/>
        <v>189651.00000000003</v>
      </c>
      <c r="F130" s="37">
        <f t="shared" si="46"/>
        <v>1867440.1298175598</v>
      </c>
      <c r="G130" s="38">
        <f>Customer!H$65/'Assumptions and Inputs'!$C$21</f>
        <v>424665.15499999997</v>
      </c>
      <c r="H130" s="39">
        <f t="shared" si="47"/>
        <v>1868527</v>
      </c>
      <c r="I130" s="39">
        <f t="shared" si="48"/>
        <v>1812284.3373</v>
      </c>
      <c r="J130" s="37">
        <f t="shared" si="51"/>
        <v>-55155.792517559836</v>
      </c>
      <c r="L130" s="37">
        <v>2115045.5043999995</v>
      </c>
      <c r="M130" s="38">
        <v>43279.7</v>
      </c>
      <c r="N130" s="37">
        <v>190431</v>
      </c>
      <c r="O130" s="37">
        <v>1866683.6078175595</v>
      </c>
      <c r="P130" s="38">
        <v>424665.15499999997</v>
      </c>
      <c r="Q130" s="39">
        <v>1868527</v>
      </c>
      <c r="R130" s="39">
        <v>1812284.3373</v>
      </c>
      <c r="S130" s="37">
        <v>-54399.270517559489</v>
      </c>
      <c r="U130" s="37">
        <f t="shared" ref="U130:U137" si="52">J130-S130</f>
        <v>-756.52200000034645</v>
      </c>
    </row>
    <row r="131" spans="1:21" x14ac:dyDescent="0.4">
      <c r="A131" s="73">
        <v>6</v>
      </c>
      <c r="B131" s="40">
        <f t="shared" si="49"/>
        <v>45689</v>
      </c>
      <c r="C131" s="41">
        <f>Customer!I$11*'Assumptions and Inputs'!$C$49</f>
        <v>1736316.4664</v>
      </c>
      <c r="D131" s="42">
        <f>Customer!I$60/'Assumptions and Inputs'!$C$21</f>
        <v>36225.800000000003</v>
      </c>
      <c r="E131" s="41">
        <f t="shared" si="45"/>
        <v>159393.52000000002</v>
      </c>
      <c r="F131" s="41">
        <f t="shared" si="46"/>
        <v>1529457.56571336</v>
      </c>
      <c r="G131" s="42">
        <f>Customer!I$65/'Assumptions and Inputs'!$C$21</f>
        <v>374138</v>
      </c>
      <c r="H131" s="41">
        <f t="shared" si="47"/>
        <v>1646207</v>
      </c>
      <c r="I131" s="41">
        <f t="shared" si="48"/>
        <v>1596656.1693</v>
      </c>
      <c r="J131" s="43">
        <f t="shared" si="51"/>
        <v>67198.603586639976</v>
      </c>
      <c r="L131" s="41">
        <v>1736316.4664</v>
      </c>
      <c r="M131" s="42">
        <v>36385.599999999999</v>
      </c>
      <c r="N131" s="41">
        <v>160097</v>
      </c>
      <c r="O131" s="41">
        <v>1528775.26046136</v>
      </c>
      <c r="P131" s="42">
        <v>374138</v>
      </c>
      <c r="Q131" s="41">
        <v>1646207</v>
      </c>
      <c r="R131" s="41">
        <v>1596656.1693</v>
      </c>
      <c r="S131" s="43">
        <v>67880.908838639967</v>
      </c>
      <c r="U131" s="43">
        <f t="shared" si="52"/>
        <v>-682.30525199999101</v>
      </c>
    </row>
    <row r="132" spans="1:21" x14ac:dyDescent="0.4">
      <c r="A132" s="73">
        <v>7</v>
      </c>
      <c r="B132" s="36">
        <f t="shared" si="49"/>
        <v>45717</v>
      </c>
      <c r="C132" s="37">
        <f>Customer!J$11*'Assumptions and Inputs'!$C$49</f>
        <v>1789183.6867999998</v>
      </c>
      <c r="D132" s="38">
        <f>Customer!J$60/'Assumptions and Inputs'!$C$21</f>
        <v>37546.199999999997</v>
      </c>
      <c r="E132" s="37">
        <f t="shared" si="45"/>
        <v>165203.28</v>
      </c>
      <c r="F132" s="37">
        <f t="shared" si="46"/>
        <v>1575098.5965553198</v>
      </c>
      <c r="G132" s="38">
        <f>Customer!J$65/'Assumptions and Inputs'!$C$21</f>
        <v>373030.42000000004</v>
      </c>
      <c r="H132" s="39">
        <f t="shared" si="47"/>
        <v>1641334</v>
      </c>
      <c r="I132" s="39">
        <f t="shared" si="48"/>
        <v>1591929.8466</v>
      </c>
      <c r="J132" s="37">
        <f t="shared" si="51"/>
        <v>16831.250044680201</v>
      </c>
      <c r="L132" s="37">
        <v>1789183.6867999998</v>
      </c>
      <c r="M132" s="38">
        <v>37876.800000000003</v>
      </c>
      <c r="N132" s="37">
        <v>166658</v>
      </c>
      <c r="O132" s="37">
        <v>1573687.6636273197</v>
      </c>
      <c r="P132" s="38">
        <v>373030.42000000004</v>
      </c>
      <c r="Q132" s="39">
        <v>1641334</v>
      </c>
      <c r="R132" s="39">
        <v>1591929.8466</v>
      </c>
      <c r="S132" s="37">
        <v>18242.182972680312</v>
      </c>
      <c r="U132" s="37">
        <f t="shared" si="52"/>
        <v>-1410.9329280001111</v>
      </c>
    </row>
    <row r="133" spans="1:21" x14ac:dyDescent="0.4">
      <c r="A133" s="73">
        <v>8</v>
      </c>
      <c r="B133" s="40">
        <f t="shared" si="49"/>
        <v>45748</v>
      </c>
      <c r="C133" s="41">
        <f>Customer!K$11*'Assumptions and Inputs'!$C$49</f>
        <v>1814438.5977999999</v>
      </c>
      <c r="D133" s="42">
        <f>Customer!K$60/'Assumptions and Inputs'!$C$21</f>
        <v>38207.5</v>
      </c>
      <c r="E133" s="41">
        <f t="shared" si="45"/>
        <v>168113</v>
      </c>
      <c r="F133" s="41">
        <f t="shared" si="46"/>
        <v>1596771.19730622</v>
      </c>
      <c r="G133" s="42">
        <f>Customer!K$65/'Assumptions and Inputs'!$C$21</f>
        <v>381012.39500000002</v>
      </c>
      <c r="H133" s="41">
        <f t="shared" si="47"/>
        <v>1676455</v>
      </c>
      <c r="I133" s="41">
        <f t="shared" si="48"/>
        <v>1625993.7045</v>
      </c>
      <c r="J133" s="43">
        <f t="shared" si="51"/>
        <v>29222.507193780039</v>
      </c>
      <c r="L133" s="41">
        <v>1669230.2535833237</v>
      </c>
      <c r="M133" s="42">
        <v>38067.066666666455</v>
      </c>
      <c r="N133" s="41">
        <v>167495</v>
      </c>
      <c r="O133" s="41">
        <v>1456533.0224504657</v>
      </c>
      <c r="P133" s="42">
        <v>414741.3775</v>
      </c>
      <c r="Q133" s="41">
        <v>1824862</v>
      </c>
      <c r="R133" s="41">
        <v>1769933.6538</v>
      </c>
      <c r="S133" s="43">
        <v>313400.63134953426</v>
      </c>
      <c r="U133" s="43">
        <f t="shared" si="52"/>
        <v>-284178.12415575422</v>
      </c>
    </row>
    <row r="134" spans="1:21" x14ac:dyDescent="0.4">
      <c r="A134" s="73">
        <v>9</v>
      </c>
      <c r="B134" s="36">
        <f t="shared" si="49"/>
        <v>45778</v>
      </c>
      <c r="C134" s="37">
        <f>Customer!L$11*'Assumptions and Inputs'!$C$49</f>
        <v>1881359.9606000001</v>
      </c>
      <c r="D134" s="38">
        <f>Customer!L$60/'Assumptions and Inputs'!$C$21</f>
        <v>39542.699999999997</v>
      </c>
      <c r="E134" s="37">
        <f t="shared" si="45"/>
        <v>173987.88</v>
      </c>
      <c r="F134" s="37">
        <f t="shared" si="46"/>
        <v>1655980.1809739401</v>
      </c>
      <c r="G134" s="38">
        <f>Customer!L$65/'Assumptions and Inputs'!$C$21</f>
        <v>395766.63</v>
      </c>
      <c r="H134" s="39">
        <f t="shared" si="47"/>
        <v>1741373</v>
      </c>
      <c r="I134" s="39">
        <f t="shared" si="48"/>
        <v>1688957.6727</v>
      </c>
      <c r="J134" s="37">
        <f t="shared" si="51"/>
        <v>32977.491726059932</v>
      </c>
      <c r="L134" s="37">
        <v>1669230.2535833237</v>
      </c>
      <c r="M134" s="38">
        <v>38067.066666666455</v>
      </c>
      <c r="N134" s="37">
        <v>167495</v>
      </c>
      <c r="O134" s="37">
        <v>1456533.0224504657</v>
      </c>
      <c r="P134" s="38">
        <v>414741.3775</v>
      </c>
      <c r="Q134" s="39">
        <v>1824862</v>
      </c>
      <c r="R134" s="39">
        <v>1769933.6538</v>
      </c>
      <c r="S134" s="37">
        <v>313400.63134953426</v>
      </c>
      <c r="U134" s="37">
        <f t="shared" si="52"/>
        <v>-280423.13962347433</v>
      </c>
    </row>
    <row r="135" spans="1:21" x14ac:dyDescent="0.4">
      <c r="A135" s="73">
        <v>10</v>
      </c>
      <c r="B135" s="40">
        <f t="shared" si="49"/>
        <v>45809</v>
      </c>
      <c r="C135" s="41">
        <f>Customer!M$11*'Assumptions and Inputs'!$C$49</f>
        <v>2022367.8205999997</v>
      </c>
      <c r="D135" s="42">
        <f>Customer!M$60/'Assumptions and Inputs'!$C$21</f>
        <v>41935.9</v>
      </c>
      <c r="E135" s="41">
        <f t="shared" si="45"/>
        <v>184517.96000000002</v>
      </c>
      <c r="F135" s="41">
        <f t="shared" si="46"/>
        <v>1782530.5797959398</v>
      </c>
      <c r="G135" s="42">
        <f>Customer!M$65/'Assumptions and Inputs'!$C$21</f>
        <v>412924.63</v>
      </c>
      <c r="H135" s="41">
        <f t="shared" si="47"/>
        <v>1816868</v>
      </c>
      <c r="I135" s="41">
        <f t="shared" si="48"/>
        <v>1762180.2731999999</v>
      </c>
      <c r="J135" s="43">
        <f t="shared" si="51"/>
        <v>-20350.30659593991</v>
      </c>
      <c r="L135" s="41">
        <v>1669230.2535833237</v>
      </c>
      <c r="M135" s="42">
        <v>38067.066666666455</v>
      </c>
      <c r="N135" s="41">
        <v>167495</v>
      </c>
      <c r="O135" s="41">
        <v>1456533.0224504657</v>
      </c>
      <c r="P135" s="42">
        <v>414741.3775</v>
      </c>
      <c r="Q135" s="41">
        <v>1824862</v>
      </c>
      <c r="R135" s="41">
        <v>1769933.6538</v>
      </c>
      <c r="S135" s="43">
        <v>313400.63134953426</v>
      </c>
      <c r="U135" s="43">
        <f t="shared" si="52"/>
        <v>-333750.93794547417</v>
      </c>
    </row>
    <row r="136" spans="1:21" x14ac:dyDescent="0.4">
      <c r="A136" s="73">
        <v>11</v>
      </c>
      <c r="B136" s="36">
        <f t="shared" si="49"/>
        <v>45839</v>
      </c>
      <c r="C136" s="37">
        <f>Customer!N$11*'Assumptions and Inputs'!$C$49</f>
        <v>2045453.6476</v>
      </c>
      <c r="D136" s="38">
        <f>Customer!N$60/'Assumptions and Inputs'!$C$21</f>
        <v>42362.6</v>
      </c>
      <c r="E136" s="37">
        <f t="shared" si="45"/>
        <v>186395.44</v>
      </c>
      <c r="F136" s="37">
        <f t="shared" si="46"/>
        <v>1803100.55555124</v>
      </c>
      <c r="G136" s="38">
        <f>Customer!N$65/'Assumptions and Inputs'!$C$21</f>
        <v>427530</v>
      </c>
      <c r="H136" s="39">
        <f t="shared" si="47"/>
        <v>1881132</v>
      </c>
      <c r="I136" s="39">
        <f t="shared" si="48"/>
        <v>1824509.9268</v>
      </c>
      <c r="J136" s="37">
        <f t="shared" si="51"/>
        <v>21409.371248760028</v>
      </c>
      <c r="L136" s="37">
        <v>1669230.2535833237</v>
      </c>
      <c r="M136" s="38">
        <v>38067.066666666455</v>
      </c>
      <c r="N136" s="37">
        <v>167495</v>
      </c>
      <c r="O136" s="37">
        <v>1456533.0224504657</v>
      </c>
      <c r="P136" s="38">
        <v>414741.3775</v>
      </c>
      <c r="Q136" s="39">
        <v>1824862</v>
      </c>
      <c r="R136" s="39">
        <v>1769933.6538</v>
      </c>
      <c r="S136" s="37">
        <v>313400.63134953426</v>
      </c>
      <c r="U136" s="37">
        <f t="shared" si="52"/>
        <v>-291991.26010077423</v>
      </c>
    </row>
    <row r="137" spans="1:21" x14ac:dyDescent="0.4">
      <c r="A137" s="73">
        <v>12</v>
      </c>
      <c r="B137" s="40">
        <f t="shared" si="49"/>
        <v>45870</v>
      </c>
      <c r="C137" s="41">
        <f>Customer!O$11*'Assumptions and Inputs'!$C$49</f>
        <v>2190385.3583999998</v>
      </c>
      <c r="D137" s="42">
        <f>Customer!O$60/'Assumptions and Inputs'!$C$21</f>
        <v>44977.1</v>
      </c>
      <c r="E137" s="41">
        <f t="shared" si="45"/>
        <v>197899.24000000002</v>
      </c>
      <c r="F137" s="41">
        <f>(C137-E137)*$F$123</f>
        <v>1932512.2862361597</v>
      </c>
      <c r="G137" s="42">
        <f>Customer!O$65/'Assumptions and Inputs'!$C$21</f>
        <v>443338.47499999998</v>
      </c>
      <c r="H137" s="41">
        <f t="shared" si="47"/>
        <v>1950689</v>
      </c>
      <c r="I137" s="41">
        <f t="shared" si="48"/>
        <v>1891973.2611</v>
      </c>
      <c r="J137" s="43">
        <f t="shared" ref="J137" si="53">I137-F137</f>
        <v>-40539.025136159733</v>
      </c>
      <c r="L137" s="41">
        <v>1669230.2535833237</v>
      </c>
      <c r="M137" s="42">
        <v>38067.066666666455</v>
      </c>
      <c r="N137" s="41">
        <v>167495</v>
      </c>
      <c r="O137" s="41">
        <v>1456533.0224504657</v>
      </c>
      <c r="P137" s="42">
        <v>414741.3775</v>
      </c>
      <c r="Q137" s="41">
        <v>1824862</v>
      </c>
      <c r="R137" s="41">
        <v>1769933.6538</v>
      </c>
      <c r="S137" s="43">
        <v>313400.63134953426</v>
      </c>
      <c r="U137" s="43">
        <f t="shared" si="52"/>
        <v>-353939.65648569399</v>
      </c>
    </row>
    <row r="138" spans="1:21" ht="5.15" customHeight="1" x14ac:dyDescent="0.4">
      <c r="D138" s="9"/>
      <c r="M138" s="9"/>
    </row>
    <row r="139" spans="1:21" x14ac:dyDescent="0.4">
      <c r="B139" s="44" t="s">
        <v>131</v>
      </c>
      <c r="C139" s="63">
        <f>SUM(C126:C137)</f>
        <v>22981468.591799997</v>
      </c>
      <c r="D139" s="62">
        <f t="shared" ref="D139:I139" si="54">SUM(D126:D137)</f>
        <v>480866.9</v>
      </c>
      <c r="E139" s="63">
        <f t="shared" si="54"/>
        <v>2115814.3600000003</v>
      </c>
      <c r="F139" s="63">
        <f t="shared" si="54"/>
        <v>20237598.039422818</v>
      </c>
      <c r="G139" s="62">
        <f t="shared" si="54"/>
        <v>4932056.1199999992</v>
      </c>
      <c r="H139" s="63">
        <f t="shared" si="54"/>
        <v>21701046</v>
      </c>
      <c r="I139" s="63">
        <f t="shared" si="54"/>
        <v>21047844.515400004</v>
      </c>
      <c r="J139" s="37">
        <f>SUM(J125:J137)</f>
        <v>-5902959.411545842</v>
      </c>
      <c r="L139" s="63">
        <v>21373614.474716615</v>
      </c>
      <c r="M139" s="62">
        <v>464844.03333333239</v>
      </c>
      <c r="N139" s="63">
        <v>2045314</v>
      </c>
      <c r="O139" s="63">
        <v>18746518.630427647</v>
      </c>
      <c r="P139" s="62">
        <v>4945190.8775000004</v>
      </c>
      <c r="Q139" s="63">
        <v>21758839</v>
      </c>
      <c r="R139" s="63">
        <v>21103897.946099997</v>
      </c>
      <c r="S139" s="37">
        <v>-4355826.5718506742</v>
      </c>
      <c r="U139" s="37">
        <f>J139-S139</f>
        <v>-1547132.8396951677</v>
      </c>
    </row>
    <row r="140" spans="1:21" x14ac:dyDescent="0.4">
      <c r="F140" s="45"/>
      <c r="J140" s="20"/>
      <c r="O140" s="45"/>
    </row>
    <row r="141" spans="1:21" x14ac:dyDescent="0.4">
      <c r="B141" s="1" t="s">
        <v>183</v>
      </c>
      <c r="I141" s="49" t="s">
        <v>184</v>
      </c>
      <c r="J141" s="50">
        <f>J139</f>
        <v>-5902959.411545842</v>
      </c>
      <c r="K141" s="48"/>
      <c r="L141" s="1" t="s">
        <v>183</v>
      </c>
      <c r="R141" s="49" t="s">
        <v>184</v>
      </c>
      <c r="S141" s="50">
        <f>S139</f>
        <v>-4355826.5718506742</v>
      </c>
      <c r="T141" s="20"/>
      <c r="U141" s="64">
        <f>J141-S141</f>
        <v>-1547132.8396951677</v>
      </c>
    </row>
    <row r="142" spans="1:21" x14ac:dyDescent="0.4">
      <c r="B142" s="85" t="s">
        <v>208</v>
      </c>
      <c r="L142" s="51"/>
    </row>
    <row r="143" spans="1:21" x14ac:dyDescent="0.4">
      <c r="B143" s="51" t="str">
        <f>"(1) - Updated TAP Actual Discounts reflect sewer's "&amp;FIXED('Assumptions and Inputs'!$C$49*100, 1, 0)&amp;"% allocated portion of the Total TAP Discount."</f>
        <v>(1) - Updated TAP Actual Discounts reflect sewer's 58.0% allocated portion of the Total TAP Discount.</v>
      </c>
      <c r="L143" s="51"/>
    </row>
    <row r="144" spans="1:21" x14ac:dyDescent="0.4">
      <c r="B144" s="51" t="s">
        <v>300</v>
      </c>
      <c r="L144" s="51"/>
    </row>
    <row r="145" spans="2:12" x14ac:dyDescent="0.4">
      <c r="B145" s="51" t="s">
        <v>274</v>
      </c>
      <c r="L145" s="51"/>
    </row>
    <row r="146" spans="2:12" x14ac:dyDescent="0.4">
      <c r="B146" s="51"/>
      <c r="L146" s="51"/>
    </row>
    <row r="147" spans="2:12" x14ac:dyDescent="0.4">
      <c r="B147" s="85" t="s">
        <v>209</v>
      </c>
      <c r="K147" s="8"/>
      <c r="L147" s="51"/>
    </row>
    <row r="148" spans="2:12" x14ac:dyDescent="0.4">
      <c r="B148" s="51" t="str">
        <f>"(9) - TAP Actual Discounts reflect sewer's "&amp;FIXED('Assumptions and Inputs'!$C$49*100, 1, 0)&amp;"% allocated portion of the Total TAP Discount."</f>
        <v>(9) - TAP Actual Discounts reflect sewer's 58.0% allocated portion of the Total TAP Discount.</v>
      </c>
      <c r="L148" s="51"/>
    </row>
    <row r="149" spans="2:12" x14ac:dyDescent="0.4">
      <c r="B149" s="51" t="s">
        <v>210</v>
      </c>
    </row>
    <row r="150" spans="2:12" x14ac:dyDescent="0.4">
      <c r="B150" s="51" t="s">
        <v>275</v>
      </c>
    </row>
    <row r="151" spans="2:12" x14ac:dyDescent="0.4">
      <c r="B151" s="51"/>
    </row>
    <row r="152" spans="2:12" x14ac:dyDescent="0.4">
      <c r="B152" s="85" t="s">
        <v>211</v>
      </c>
    </row>
    <row r="153" spans="2:12" x14ac:dyDescent="0.4">
      <c r="B153" s="51" t="str">
        <f>"(3), (6), (11) &amp; (14) - Sewer TAP-R Rates per "&amp;TEXT('Assumptions and Inputs'!F29,)&amp;" "&amp;TEXT('Assumptions and Inputs'!G29,)&amp;"."</f>
        <v>(3), (6), (11) &amp; (14) - Sewer TAP-R Rates per PWD Regulations - Rates and Charges Effective September 1, 2024 Section 10.3(b)(1).</v>
      </c>
    </row>
    <row r="154" spans="2:12" x14ac:dyDescent="0.4">
      <c r="B154" s="51" t="str">
        <f>"(4), (7), (12) &amp; (15) - Adjusted for system-wide collection factor in accordance with  "&amp;'Assumptions and Inputs'!F45&amp;" "&amp;'Assumptions and Inputs'!G45&amp;"."</f>
        <v>(4), (7), (12) &amp; (15) - Adjusted for system-wide collection factor in accordance with  PWD Regulations - Rates and Charges Effective September 1, 2024 Section 10.1(b)(3).</v>
      </c>
    </row>
    <row r="155" spans="2:12" x14ac:dyDescent="0.4"/>
    <row r="156" spans="2:12" x14ac:dyDescent="0.4">
      <c r="C156" s="20"/>
    </row>
    <row r="157" spans="2:12" x14ac:dyDescent="0.4">
      <c r="C157" s="20"/>
    </row>
    <row r="158" spans="2:12" x14ac:dyDescent="0.4">
      <c r="C158" s="20"/>
    </row>
    <row r="159" spans="2:12" x14ac:dyDescent="0.4">
      <c r="C159" s="20"/>
    </row>
    <row r="160" spans="2:12" x14ac:dyDescent="0.4">
      <c r="C160" s="20"/>
    </row>
    <row r="161" spans="3:3" x14ac:dyDescent="0.4">
      <c r="C161" s="20"/>
    </row>
    <row r="162" spans="3:3" x14ac:dyDescent="0.4">
      <c r="C162" s="20"/>
    </row>
    <row r="163" spans="3:3" x14ac:dyDescent="0.4"/>
    <row r="164" spans="3:3" x14ac:dyDescent="0.4"/>
    <row r="165" spans="3:3" x14ac:dyDescent="0.4"/>
    <row r="166" spans="3:3" x14ac:dyDescent="0.4"/>
    <row r="167" spans="3:3" x14ac:dyDescent="0.4"/>
    <row r="168" spans="3:3" x14ac:dyDescent="0.4"/>
    <row r="169" spans="3:3" x14ac:dyDescent="0.4"/>
    <row r="170" spans="3:3" x14ac:dyDescent="0.4"/>
    <row r="171" spans="3:3" x14ac:dyDescent="0.4"/>
    <row r="172" spans="3:3" x14ac:dyDescent="0.4"/>
    <row r="173" spans="3:3" x14ac:dyDescent="0.4"/>
    <row r="174" spans="3:3" x14ac:dyDescent="0.4"/>
    <row r="175" spans="3:3" x14ac:dyDescent="0.4"/>
  </sheetData>
  <printOptions horizontalCentered="1"/>
  <pageMargins left="0.7" right="0.7" top="0.75" bottom="0.75" header="0.3" footer="0.3"/>
  <pageSetup scale="58" orientation="landscape" r:id="rId1"/>
  <headerFooter>
    <oddHeader xml:space="preserve">&amp;R2026 TAP-R Rate Procceding
Schedule LKM-TAP-4
</oddHeader>
  </headerFooter>
  <ignoredErrors>
    <ignoredError sqref="C84:D84 G84 C124:D12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theme="4" tint="-0.249977111117893"/>
    <pageSetUpPr fitToPage="1"/>
  </sheetPr>
  <dimension ref="A1:U114"/>
  <sheetViews>
    <sheetView topLeftCell="A38" zoomScaleNormal="100" workbookViewId="0">
      <selection activeCell="O48" sqref="O48"/>
    </sheetView>
  </sheetViews>
  <sheetFormatPr defaultColWidth="0" defaultRowHeight="15.5" zeroHeight="1" x14ac:dyDescent="0.4"/>
  <cols>
    <col min="1" max="1" width="9.26953125" style="1" customWidth="1"/>
    <col min="2" max="6" width="20.54296875" style="1" customWidth="1"/>
    <col min="7" max="7" width="32.26953125" style="1" bestFit="1" customWidth="1"/>
    <col min="8" max="8" width="30.54296875" style="1" customWidth="1"/>
    <col min="9" max="9" width="9.26953125" style="1" customWidth="1"/>
    <col min="10" max="10" width="9.453125" style="1" customWidth="1"/>
    <col min="11" max="18" width="9.26953125" style="1" customWidth="1"/>
    <col min="19" max="21" width="0" style="1" hidden="1" customWidth="1"/>
    <col min="22" max="16384" width="9.26953125" style="1" hidden="1"/>
  </cols>
  <sheetData>
    <row r="1" spans="2:11" x14ac:dyDescent="0.4"/>
    <row r="2" spans="2:11" x14ac:dyDescent="0.4">
      <c r="B2" s="252" t="s">
        <v>30</v>
      </c>
      <c r="C2" s="252"/>
      <c r="D2" s="252"/>
      <c r="E2" s="252"/>
      <c r="F2" s="252"/>
      <c r="G2" s="252"/>
      <c r="H2" s="252"/>
    </row>
    <row r="3" spans="2:11" x14ac:dyDescent="0.4">
      <c r="B3" s="252" t="s">
        <v>330</v>
      </c>
      <c r="C3" s="252"/>
      <c r="D3" s="252"/>
      <c r="E3" s="252"/>
      <c r="F3" s="252"/>
      <c r="G3" s="252"/>
      <c r="H3" s="252"/>
    </row>
    <row r="4" spans="2:11" x14ac:dyDescent="0.4">
      <c r="B4" s="250"/>
      <c r="D4" s="253"/>
      <c r="E4" s="252"/>
      <c r="F4" s="250"/>
      <c r="G4" s="252"/>
      <c r="H4" s="321"/>
    </row>
    <row r="5" spans="2:11" x14ac:dyDescent="0.4">
      <c r="B5" s="298" t="s">
        <v>158</v>
      </c>
      <c r="C5" s="298" t="s">
        <v>213</v>
      </c>
      <c r="D5" s="298" t="s">
        <v>163</v>
      </c>
      <c r="E5" s="298" t="s">
        <v>214</v>
      </c>
      <c r="F5" s="322" t="s">
        <v>215</v>
      </c>
      <c r="G5" s="298" t="s">
        <v>216</v>
      </c>
      <c r="H5" s="298" t="s">
        <v>217</v>
      </c>
    </row>
    <row r="6" spans="2:11" x14ac:dyDescent="0.4">
      <c r="B6" s="299" t="s">
        <v>157</v>
      </c>
      <c r="C6" s="299" t="s">
        <v>172</v>
      </c>
      <c r="D6" s="299" t="s">
        <v>168</v>
      </c>
      <c r="E6" s="299" t="s">
        <v>218</v>
      </c>
      <c r="F6" s="323" t="s">
        <v>218</v>
      </c>
      <c r="G6" s="299" t="s">
        <v>219</v>
      </c>
      <c r="H6" s="299" t="s">
        <v>220</v>
      </c>
    </row>
    <row r="7" spans="2:11" x14ac:dyDescent="0.4">
      <c r="B7" s="299"/>
      <c r="C7" s="299" t="s">
        <v>221</v>
      </c>
      <c r="D7" s="299" t="s">
        <v>174</v>
      </c>
      <c r="E7" s="299" t="s">
        <v>221</v>
      </c>
      <c r="F7" s="323" t="s">
        <v>221</v>
      </c>
      <c r="G7" s="299" t="s">
        <v>222</v>
      </c>
      <c r="H7" s="299" t="s">
        <v>223</v>
      </c>
    </row>
    <row r="8" spans="2:11" x14ac:dyDescent="0.4">
      <c r="B8" s="299"/>
      <c r="C8" s="299" t="s">
        <v>224</v>
      </c>
      <c r="D8" s="299" t="s">
        <v>224</v>
      </c>
      <c r="E8" s="299">
        <f>'Assumptions and Inputs'!$C$95</f>
        <v>-0.68567460098524413</v>
      </c>
      <c r="F8" s="323"/>
      <c r="G8" s="299" t="s">
        <v>221</v>
      </c>
      <c r="H8" s="299" t="s">
        <v>221</v>
      </c>
    </row>
    <row r="9" spans="2:11" x14ac:dyDescent="0.4">
      <c r="B9" s="299"/>
      <c r="C9" s="299" t="s">
        <v>139</v>
      </c>
      <c r="D9" s="299" t="s">
        <v>140</v>
      </c>
      <c r="E9" s="299" t="str">
        <f>"(3) = (2) * $ "&amp;FIXED(E8,3,)&amp;"/Mcf"</f>
        <v>(3) = (2) * $ -0.686/Mcf</v>
      </c>
      <c r="F9" s="323" t="str">
        <f>"(4) = (3) + (1)"</f>
        <v>(4) = (3) + (1)</v>
      </c>
      <c r="G9" s="299" t="s">
        <v>225</v>
      </c>
      <c r="H9" s="299" t="str">
        <f>"(6) = (5) * ["&amp;FIXED('Assumptions and Inputs'!$C$56*100,2,TRUE)&amp;"% / 12]"</f>
        <v>(6) = (5) * [3.47% / 12]</v>
      </c>
    </row>
    <row r="10" spans="2:11" x14ac:dyDescent="0.4">
      <c r="B10" s="311"/>
      <c r="C10" s="312"/>
      <c r="D10" s="312"/>
      <c r="E10" s="312"/>
      <c r="F10" s="312"/>
      <c r="G10" s="312"/>
      <c r="H10" s="312"/>
    </row>
    <row r="11" spans="2:11" x14ac:dyDescent="0.4">
      <c r="B11" s="306">
        <f>'E-Factor LKM-3'!B11</f>
        <v>45901</v>
      </c>
      <c r="C11" s="324">
        <f>'E-Factor LKM-3'!J11</f>
        <v>84923.972980199847</v>
      </c>
      <c r="D11" s="324">
        <f>'E-Factor LKM-3'!G11</f>
        <v>458755.35</v>
      </c>
      <c r="E11" s="325">
        <f>$E$8*$D11</f>
        <v>-314556.89156109601</v>
      </c>
      <c r="F11" s="303">
        <f>E11+C11</f>
        <v>-229632.91858089616</v>
      </c>
      <c r="G11" s="325">
        <f>F11</f>
        <v>-229632.91858089616</v>
      </c>
      <c r="H11" s="325">
        <f>G11*('Assumptions and Inputs'!$C$56)/12</f>
        <v>-664.0218562297581</v>
      </c>
      <c r="K11" s="88"/>
    </row>
    <row r="12" spans="2:11" x14ac:dyDescent="0.4">
      <c r="B12" s="306">
        <f>'E-Factor LKM-3'!B12</f>
        <v>45931</v>
      </c>
      <c r="C12" s="324">
        <f>'E-Factor LKM-3'!J12</f>
        <v>-91288.026313739829</v>
      </c>
      <c r="D12" s="324">
        <f>'E-Factor LKM-3'!G12</f>
        <v>471560.94000000006</v>
      </c>
      <c r="E12" s="325">
        <f t="shared" ref="E12:E22" si="0">$E$8*$D12</f>
        <v>-323337.35937472672</v>
      </c>
      <c r="F12" s="303">
        <f t="shared" ref="F12:F22" si="1">E12+C12</f>
        <v>-414625.38568846654</v>
      </c>
      <c r="G12" s="325">
        <f>G11+F12</f>
        <v>-644258.30426936271</v>
      </c>
      <c r="H12" s="325">
        <f>G12*('Assumptions and Inputs'!$C$56)/12</f>
        <v>-1862.9802631789073</v>
      </c>
      <c r="K12" s="88"/>
    </row>
    <row r="13" spans="2:11" x14ac:dyDescent="0.4">
      <c r="B13" s="306">
        <f>'E-Factor LKM-3'!B13</f>
        <v>45962</v>
      </c>
      <c r="C13" s="324">
        <f>'E-Factor LKM-3'!J13</f>
        <v>-6627.3144380999729</v>
      </c>
      <c r="D13" s="324">
        <f>'E-Factor LKM-3'!G13</f>
        <v>357289.03500000003</v>
      </c>
      <c r="E13" s="325">
        <f t="shared" si="0"/>
        <v>-244984.01651002796</v>
      </c>
      <c r="F13" s="303">
        <f t="shared" si="1"/>
        <v>-251611.33094812793</v>
      </c>
      <c r="G13" s="325">
        <f t="shared" ref="G13:G22" si="2">G12+F13</f>
        <v>-895869.63521749061</v>
      </c>
      <c r="H13" s="325">
        <f>G13*('Assumptions and Inputs'!$C$56)/12</f>
        <v>-2590.5563618372439</v>
      </c>
      <c r="K13" s="88"/>
    </row>
    <row r="14" spans="2:11" x14ac:dyDescent="0.4">
      <c r="B14" s="306">
        <f>'E-Factor LKM-3'!B14</f>
        <v>45992</v>
      </c>
      <c r="C14" s="324">
        <f>'E-Factor LKM-3'!J14</f>
        <v>-176591.48596280976</v>
      </c>
      <c r="D14" s="324">
        <f>'E-Factor LKM-3'!G14</f>
        <v>429225.37</v>
      </c>
      <c r="E14" s="325">
        <f t="shared" si="0"/>
        <v>-294308.93430749379</v>
      </c>
      <c r="F14" s="303">
        <f t="shared" si="1"/>
        <v>-470900.42027030356</v>
      </c>
      <c r="G14" s="325">
        <f t="shared" si="2"/>
        <v>-1366770.0554877941</v>
      </c>
      <c r="H14" s="325">
        <f>G14*('Assumptions and Inputs'!$C$56)/12</f>
        <v>-3952.2434104522049</v>
      </c>
      <c r="K14" s="88"/>
    </row>
    <row r="15" spans="2:11" x14ac:dyDescent="0.4">
      <c r="B15" s="306">
        <f>'E-Factor LKM-3'!B15</f>
        <v>46023</v>
      </c>
      <c r="C15" s="324">
        <f>'E-Factor LKM-3'!J15</f>
        <v>66783.55254114815</v>
      </c>
      <c r="D15" s="324">
        <f>'E-Factor LKM-3'!G15</f>
        <v>427936.5970833333</v>
      </c>
      <c r="E15" s="325">
        <f t="shared" si="0"/>
        <v>-293425.25545209774</v>
      </c>
      <c r="F15" s="303">
        <f t="shared" si="1"/>
        <v>-226641.70291094959</v>
      </c>
      <c r="G15" s="325">
        <f t="shared" si="2"/>
        <v>-1593411.7583987438</v>
      </c>
      <c r="H15" s="325">
        <f>G15*('Assumptions and Inputs'!$C$56)/12</f>
        <v>-4607.6156680363683</v>
      </c>
      <c r="K15" s="88"/>
    </row>
    <row r="16" spans="2:11" x14ac:dyDescent="0.4">
      <c r="B16" s="306">
        <f>'E-Factor LKM-3'!B16</f>
        <v>46054</v>
      </c>
      <c r="C16" s="324">
        <f>'E-Factor LKM-3'!J16</f>
        <v>44966.918278001016</v>
      </c>
      <c r="D16" s="324">
        <f>'E-Factor LKM-3'!G16</f>
        <v>427936.5970833333</v>
      </c>
      <c r="E16" s="325">
        <f t="shared" si="0"/>
        <v>-293425.25545209774</v>
      </c>
      <c r="F16" s="303">
        <f t="shared" si="1"/>
        <v>-248458.33717409673</v>
      </c>
      <c r="G16" s="325">
        <f t="shared" si="2"/>
        <v>-1841870.0955728404</v>
      </c>
      <c r="H16" s="325">
        <f>G16*('Assumptions and Inputs'!$C$56)/12</f>
        <v>-5326.074359698131</v>
      </c>
      <c r="K16" s="88"/>
    </row>
    <row r="17" spans="2:11" x14ac:dyDescent="0.4">
      <c r="B17" s="306">
        <f>'E-Factor LKM-3'!B17</f>
        <v>46082</v>
      </c>
      <c r="C17" s="324">
        <f>'E-Factor LKM-3'!J17</f>
        <v>55198.020631446037</v>
      </c>
      <c r="D17" s="324">
        <f>'E-Factor LKM-3'!G17</f>
        <v>427936.5970833333</v>
      </c>
      <c r="E17" s="325">
        <f t="shared" si="0"/>
        <v>-293425.25545209774</v>
      </c>
      <c r="F17" s="303">
        <f t="shared" si="1"/>
        <v>-238227.23482065171</v>
      </c>
      <c r="G17" s="325">
        <f t="shared" si="2"/>
        <v>-2080097.3303934922</v>
      </c>
      <c r="H17" s="325">
        <f>G17*('Assumptions and Inputs'!$C$56)/12</f>
        <v>-6014.9481137211815</v>
      </c>
      <c r="K17" s="88"/>
    </row>
    <row r="18" spans="2:11" x14ac:dyDescent="0.4">
      <c r="B18" s="306">
        <f>'E-Factor LKM-3'!B18</f>
        <v>46113</v>
      </c>
      <c r="C18" s="324">
        <f>'E-Factor LKM-3'!J18</f>
        <v>45235.441995774861</v>
      </c>
      <c r="D18" s="324">
        <f>'E-Factor LKM-3'!G18</f>
        <v>427936.5970833333</v>
      </c>
      <c r="E18" s="325">
        <f t="shared" si="0"/>
        <v>-293425.25545209774</v>
      </c>
      <c r="F18" s="303">
        <f t="shared" si="1"/>
        <v>-248189.81345632288</v>
      </c>
      <c r="G18" s="325">
        <f t="shared" si="2"/>
        <v>-2328287.1438498152</v>
      </c>
      <c r="H18" s="325">
        <f>G18*('Assumptions and Inputs'!$C$56)/12</f>
        <v>-6732.6303242990498</v>
      </c>
      <c r="K18" s="88"/>
    </row>
    <row r="19" spans="2:11" x14ac:dyDescent="0.4">
      <c r="B19" s="306">
        <f>'E-Factor LKM-3'!B19</f>
        <v>46143</v>
      </c>
      <c r="C19" s="324">
        <f>'E-Factor LKM-3'!J19</f>
        <v>41236.687303263927</v>
      </c>
      <c r="D19" s="324">
        <f>'E-Factor LKM-3'!G19</f>
        <v>427936.5970833333</v>
      </c>
      <c r="E19" s="325">
        <f t="shared" si="0"/>
        <v>-293425.25545209774</v>
      </c>
      <c r="F19" s="303">
        <f t="shared" si="1"/>
        <v>-252188.56814883382</v>
      </c>
      <c r="G19" s="325">
        <f t="shared" si="2"/>
        <v>-2580475.7119986489</v>
      </c>
      <c r="H19" s="325">
        <f>G19*('Assumptions and Inputs'!$C$56)/12</f>
        <v>-7461.8756005294272</v>
      </c>
      <c r="K19" s="88"/>
    </row>
    <row r="20" spans="2:11" x14ac:dyDescent="0.4">
      <c r="B20" s="306">
        <f>'E-Factor LKM-3'!B20</f>
        <v>46174</v>
      </c>
      <c r="C20" s="324">
        <f>'E-Factor LKM-3'!J20</f>
        <v>37227.935724022333</v>
      </c>
      <c r="D20" s="324">
        <f>'E-Factor LKM-3'!G20</f>
        <v>427936.5970833333</v>
      </c>
      <c r="E20" s="325">
        <f t="shared" si="0"/>
        <v>-293425.25545209774</v>
      </c>
      <c r="F20" s="303">
        <f t="shared" si="1"/>
        <v>-256197.31972807541</v>
      </c>
      <c r="G20" s="325">
        <f t="shared" si="2"/>
        <v>-2836673.0317267245</v>
      </c>
      <c r="H20" s="325">
        <f>G20*('Assumptions and Inputs'!$C$56)/12</f>
        <v>-8202.7128500764447</v>
      </c>
      <c r="K20" s="88"/>
    </row>
    <row r="21" spans="2:11" x14ac:dyDescent="0.4">
      <c r="B21" s="306">
        <f>'E-Factor LKM-3'!B21</f>
        <v>46204</v>
      </c>
      <c r="C21" s="324">
        <f>'E-Factor LKM-3'!J21</f>
        <v>33209.162265832303</v>
      </c>
      <c r="D21" s="324">
        <f>'E-Factor LKM-3'!G21</f>
        <v>427936.5970833333</v>
      </c>
      <c r="E21" s="325">
        <f t="shared" si="0"/>
        <v>-293425.25545209774</v>
      </c>
      <c r="F21" s="303">
        <f t="shared" si="1"/>
        <v>-260216.09318626544</v>
      </c>
      <c r="G21" s="325">
        <f t="shared" si="2"/>
        <v>-3096889.1249129898</v>
      </c>
      <c r="H21" s="325">
        <f>G21*('Assumptions and Inputs'!$C$56)/12</f>
        <v>-8955.1710528733947</v>
      </c>
      <c r="K21" s="88"/>
    </row>
    <row r="22" spans="2:11" x14ac:dyDescent="0.4">
      <c r="B22" s="306">
        <f>'E-Factor LKM-3'!B22</f>
        <v>46235</v>
      </c>
      <c r="C22" s="324">
        <f>'E-Factor LKM-3'!J22</f>
        <v>29180.341873996891</v>
      </c>
      <c r="D22" s="324">
        <f>'E-Factor LKM-3'!G22</f>
        <v>427936.5970833333</v>
      </c>
      <c r="E22" s="325">
        <f t="shared" si="0"/>
        <v>-293425.25545209774</v>
      </c>
      <c r="F22" s="303">
        <f t="shared" si="1"/>
        <v>-264244.91357810085</v>
      </c>
      <c r="G22" s="325">
        <f t="shared" si="2"/>
        <v>-3361134.0384910908</v>
      </c>
      <c r="H22" s="325">
        <f>G22*('Assumptions and Inputs'!$C$56)/12</f>
        <v>-9719.2792613034053</v>
      </c>
      <c r="K22" s="88"/>
    </row>
    <row r="23" spans="2:11" x14ac:dyDescent="0.4">
      <c r="B23" s="302" t="s">
        <v>131</v>
      </c>
      <c r="C23" s="309"/>
      <c r="D23" s="326"/>
      <c r="E23" s="309"/>
      <c r="F23" s="303"/>
      <c r="G23" s="309"/>
      <c r="H23" s="309">
        <f>SUM(H11:H22)</f>
        <v>-66090.109122235517</v>
      </c>
    </row>
    <row r="24" spans="2:11" ht="16" thickBot="1" x14ac:dyDescent="0.45">
      <c r="B24" s="250"/>
      <c r="C24" s="257"/>
      <c r="D24" s="250"/>
      <c r="E24" s="290"/>
      <c r="F24" s="250"/>
      <c r="G24" s="290"/>
      <c r="H24" s="257"/>
    </row>
    <row r="25" spans="2:11" ht="16" thickBot="1" x14ac:dyDescent="0.45">
      <c r="B25" s="250"/>
      <c r="C25" s="250"/>
      <c r="D25" s="327"/>
      <c r="E25" s="328"/>
      <c r="F25" s="329"/>
      <c r="G25" s="330" t="s">
        <v>181</v>
      </c>
      <c r="H25" s="319">
        <f>'I-Factor PRIOR LKM-6'!N95</f>
        <v>-10744.00601696856</v>
      </c>
    </row>
    <row r="26" spans="2:11" ht="16" thickBot="1" x14ac:dyDescent="0.45">
      <c r="C26" s="20"/>
      <c r="D26" s="20"/>
      <c r="E26" s="20"/>
      <c r="F26" s="20"/>
      <c r="H26" s="7"/>
    </row>
    <row r="27" spans="2:11" ht="16" thickBot="1" x14ac:dyDescent="0.45">
      <c r="G27" s="330" t="s">
        <v>226</v>
      </c>
      <c r="H27" s="319">
        <f>H23+H25</f>
        <v>-76834.115139204077</v>
      </c>
      <c r="I27" s="48" t="s">
        <v>227</v>
      </c>
    </row>
    <row r="28" spans="2:11" hidden="1" x14ac:dyDescent="0.4">
      <c r="B28" s="8" t="s">
        <v>183</v>
      </c>
      <c r="H28" s="7"/>
    </row>
    <row r="29" spans="2:11" hidden="1" x14ac:dyDescent="0.4">
      <c r="B29" s="222" t="s">
        <v>228</v>
      </c>
    </row>
    <row r="30" spans="2:11" hidden="1" x14ac:dyDescent="0.4">
      <c r="B30" s="222" t="s">
        <v>229</v>
      </c>
    </row>
    <row r="31" spans="2:11" hidden="1" x14ac:dyDescent="0.4">
      <c r="B31" s="222" t="s">
        <v>278</v>
      </c>
    </row>
    <row r="32" spans="2:11" hidden="1" x14ac:dyDescent="0.4">
      <c r="B32" s="222" t="s">
        <v>231</v>
      </c>
    </row>
    <row r="33" spans="2:11" hidden="1" x14ac:dyDescent="0.4">
      <c r="B33" s="222" t="str">
        <f>"(6) Interest calculated monthly based on 1-year interest rate for constant maturity U.S. Treasury Securities"</f>
        <v>(6) Interest calculated monthly based on 1-year interest rate for constant maturity U.S. Treasury Securities</v>
      </c>
    </row>
    <row r="34" spans="2:11" hidden="1" x14ac:dyDescent="0.4">
      <c r="B34" s="224" t="str">
        <f>"as published in the Federal Reserve Statistical Release H.15 (519) on "&amp;TEXT('Assumptions and Inputs'!$C$57,"MMMM DD, YYYY")&amp;"."</f>
        <v>as published in the Federal Reserve Statistical Release H.15 (519) on January 02, 2026.</v>
      </c>
    </row>
    <row r="35" spans="2:11" x14ac:dyDescent="0.4">
      <c r="B35" s="224"/>
    </row>
    <row r="36" spans="2:11" x14ac:dyDescent="0.4">
      <c r="B36" s="224"/>
    </row>
    <row r="37" spans="2:11" x14ac:dyDescent="0.4">
      <c r="B37" s="224"/>
    </row>
    <row r="38" spans="2:11" x14ac:dyDescent="0.4"/>
    <row r="39" spans="2:11" x14ac:dyDescent="0.4">
      <c r="B39" s="252" t="s">
        <v>30</v>
      </c>
      <c r="C39" s="5"/>
      <c r="D39" s="5"/>
      <c r="E39" s="5"/>
      <c r="F39" s="5"/>
      <c r="G39" s="5"/>
      <c r="H39" s="5"/>
    </row>
    <row r="40" spans="2:11" x14ac:dyDescent="0.4">
      <c r="B40" s="252" t="s">
        <v>331</v>
      </c>
      <c r="C40" s="252"/>
      <c r="D40" s="252"/>
      <c r="E40" s="252"/>
      <c r="F40" s="252"/>
      <c r="G40" s="252"/>
      <c r="H40" s="252"/>
    </row>
    <row r="41" spans="2:11" x14ac:dyDescent="0.4">
      <c r="B41" s="252"/>
      <c r="C41" s="252"/>
      <c r="D41" s="252"/>
      <c r="E41" s="252"/>
      <c r="F41" s="252"/>
      <c r="G41" s="252"/>
      <c r="H41" s="252"/>
    </row>
    <row r="42" spans="2:11" x14ac:dyDescent="0.4">
      <c r="B42" s="250" t="s">
        <v>158</v>
      </c>
      <c r="C42" s="1" t="s">
        <v>213</v>
      </c>
      <c r="D42" s="253" t="s">
        <v>163</v>
      </c>
      <c r="E42" s="252" t="s">
        <v>214</v>
      </c>
      <c r="F42" s="250" t="s">
        <v>215</v>
      </c>
      <c r="G42" s="252" t="s">
        <v>216</v>
      </c>
      <c r="H42" s="321" t="s">
        <v>217</v>
      </c>
    </row>
    <row r="43" spans="2:11" x14ac:dyDescent="0.4">
      <c r="B43" s="298" t="s">
        <v>157</v>
      </c>
      <c r="C43" s="298" t="s">
        <v>172</v>
      </c>
      <c r="D43" s="298" t="s">
        <v>189</v>
      </c>
      <c r="E43" s="298" t="s">
        <v>218</v>
      </c>
      <c r="F43" s="322" t="s">
        <v>218</v>
      </c>
      <c r="G43" s="298" t="s">
        <v>219</v>
      </c>
      <c r="H43" s="298" t="s">
        <v>220</v>
      </c>
    </row>
    <row r="44" spans="2:11" x14ac:dyDescent="0.4">
      <c r="B44" s="299"/>
      <c r="C44" s="299" t="s">
        <v>232</v>
      </c>
      <c r="D44" s="299" t="s">
        <v>174</v>
      </c>
      <c r="E44" s="299" t="s">
        <v>232</v>
      </c>
      <c r="F44" s="323" t="s">
        <v>232</v>
      </c>
      <c r="G44" s="299" t="s">
        <v>222</v>
      </c>
      <c r="H44" s="299" t="s">
        <v>223</v>
      </c>
    </row>
    <row r="45" spans="2:11" x14ac:dyDescent="0.4">
      <c r="B45" s="299"/>
      <c r="C45" s="299" t="s">
        <v>233</v>
      </c>
      <c r="D45" s="299" t="s">
        <v>233</v>
      </c>
      <c r="E45" s="299">
        <f>'Assumptions and Inputs'!$C$96</f>
        <v>-0.9956233773775105</v>
      </c>
      <c r="F45" s="323"/>
      <c r="G45" s="299" t="s">
        <v>232</v>
      </c>
      <c r="H45" s="299" t="s">
        <v>232</v>
      </c>
    </row>
    <row r="46" spans="2:11" x14ac:dyDescent="0.4">
      <c r="B46" s="299"/>
      <c r="C46" s="299" t="s">
        <v>139</v>
      </c>
      <c r="D46" s="299" t="s">
        <v>140</v>
      </c>
      <c r="E46" s="299" t="str">
        <f>"(3) = (2) * $ "&amp;FIXED(E45,3,)&amp;"/Mcf"</f>
        <v>(3) = (2) * $ -0.996/Mcf</v>
      </c>
      <c r="F46" s="323" t="str">
        <f>"(4) = (3) + (1)"</f>
        <v>(4) = (3) + (1)</v>
      </c>
      <c r="G46" s="299" t="s">
        <v>225</v>
      </c>
      <c r="H46" s="299" t="str">
        <f>"(6) = (5) * ["&amp;FIXED('Assumptions and Inputs'!$C$56*100,2,TRUE)&amp;"% / 12]"</f>
        <v>(6) = (5) * [3.47% / 12]</v>
      </c>
    </row>
    <row r="47" spans="2:11" x14ac:dyDescent="0.4">
      <c r="B47" s="299"/>
      <c r="C47" s="299"/>
      <c r="D47" s="299"/>
      <c r="E47" s="299"/>
      <c r="F47" s="323"/>
      <c r="G47" s="299"/>
      <c r="H47" s="299"/>
    </row>
    <row r="48" spans="2:11" x14ac:dyDescent="0.4">
      <c r="B48" s="311">
        <f>'E-Factor LKM-3'!B50</f>
        <v>45901</v>
      </c>
      <c r="C48" s="312">
        <f>'E-Factor LKM-3'!J50</f>
        <v>127084.03705980023</v>
      </c>
      <c r="D48" s="312">
        <f>'E-Factor LKM-3'!G50</f>
        <v>430854.755</v>
      </c>
      <c r="E48" s="312">
        <f>$E$45*$D48</f>
        <v>-428969.06633225986</v>
      </c>
      <c r="F48" s="312">
        <f>E48+C48</f>
        <v>-301885.02927245962</v>
      </c>
      <c r="G48" s="312">
        <f>F48</f>
        <v>-301885.02927245962</v>
      </c>
      <c r="H48" s="312">
        <f>G48*('Assumptions and Inputs'!$C$56)/12</f>
        <v>-872.95087631286242</v>
      </c>
      <c r="K48" s="92"/>
    </row>
    <row r="49" spans="2:11" x14ac:dyDescent="0.4">
      <c r="B49" s="306">
        <f>'E-Factor LKM-3'!B51</f>
        <v>45931</v>
      </c>
      <c r="C49" s="324">
        <f>'E-Factor LKM-3'!J51</f>
        <v>-99906.650704259519</v>
      </c>
      <c r="D49" s="324">
        <f>'E-Factor LKM-3'!G51</f>
        <v>444078.72000000003</v>
      </c>
      <c r="E49" s="325">
        <f t="shared" ref="E49:E59" si="3">$E$45*$D49</f>
        <v>-442135.15502788185</v>
      </c>
      <c r="F49" s="303">
        <f t="shared" ref="F49:F59" si="4">E49+C49</f>
        <v>-542041.80573214137</v>
      </c>
      <c r="G49" s="325">
        <f>G48+F49</f>
        <v>-843926.83500460093</v>
      </c>
      <c r="H49" s="325">
        <f>G49*('Assumptions and Inputs'!$C$56)/12</f>
        <v>-2440.3550978883045</v>
      </c>
      <c r="K49" s="92"/>
    </row>
    <row r="50" spans="2:11" x14ac:dyDescent="0.4">
      <c r="B50" s="306">
        <f>'E-Factor LKM-3'!B52</f>
        <v>45962</v>
      </c>
      <c r="C50" s="324">
        <f>'E-Factor LKM-3'!J52</f>
        <v>7872.961868100334</v>
      </c>
      <c r="D50" s="324">
        <f>'E-Factor LKM-3'!G52</f>
        <v>336689.505</v>
      </c>
      <c r="E50" s="325">
        <f t="shared" si="3"/>
        <v>-335215.94209566223</v>
      </c>
      <c r="F50" s="303">
        <f t="shared" si="4"/>
        <v>-327342.9802275619</v>
      </c>
      <c r="G50" s="325">
        <f t="shared" ref="G50:G59" si="5">G49+F50</f>
        <v>-1171269.8152321628</v>
      </c>
      <c r="H50" s="325">
        <f>G50*('Assumptions and Inputs'!$C$56)/12</f>
        <v>-3386.9218823796709</v>
      </c>
      <c r="K50" s="92"/>
    </row>
    <row r="51" spans="2:11" x14ac:dyDescent="0.4">
      <c r="B51" s="306">
        <f>'E-Factor LKM-3'!B53</f>
        <v>45992</v>
      </c>
      <c r="C51" s="324">
        <f>'E-Factor LKM-3'!J53</f>
        <v>-181377.97330418951</v>
      </c>
      <c r="D51" s="324">
        <f>'E-Factor LKM-3'!G53</f>
        <v>410857.16499999998</v>
      </c>
      <c r="E51" s="325">
        <f t="shared" si="3"/>
        <v>-409058.99823704909</v>
      </c>
      <c r="F51" s="303">
        <f t="shared" si="4"/>
        <v>-590436.9715412386</v>
      </c>
      <c r="G51" s="325">
        <f t="shared" si="5"/>
        <v>-1761706.7867734013</v>
      </c>
      <c r="H51" s="325">
        <f>G51*('Assumptions and Inputs'!$C$56)/12</f>
        <v>-5094.2687917530857</v>
      </c>
      <c r="K51" s="92"/>
    </row>
    <row r="52" spans="2:11" x14ac:dyDescent="0.4">
      <c r="B52" s="306">
        <f>'E-Factor LKM-3'!B54</f>
        <v>46023</v>
      </c>
      <c r="C52" s="324">
        <f>'E-Factor LKM-3'!J54</f>
        <v>116918.07972431276</v>
      </c>
      <c r="D52" s="324">
        <f>'E-Factor LKM-3'!G54</f>
        <v>404573.8208333333</v>
      </c>
      <c r="E52" s="325">
        <f t="shared" si="3"/>
        <v>-402803.15389660711</v>
      </c>
      <c r="F52" s="303">
        <f t="shared" si="4"/>
        <v>-285885.07417229435</v>
      </c>
      <c r="G52" s="325">
        <f t="shared" si="5"/>
        <v>-2047591.8609456955</v>
      </c>
      <c r="H52" s="325">
        <f>G52*('Assumptions and Inputs'!$C$56)/12</f>
        <v>-5920.9531312346371</v>
      </c>
      <c r="K52" s="92"/>
    </row>
    <row r="53" spans="2:11" x14ac:dyDescent="0.4">
      <c r="B53" s="306">
        <f>'E-Factor LKM-3'!B55</f>
        <v>46054</v>
      </c>
      <c r="C53" s="324">
        <f>'E-Factor LKM-3'!J55</f>
        <v>86478.425210373476</v>
      </c>
      <c r="D53" s="324">
        <f>'E-Factor LKM-3'!G55</f>
        <v>404573.8208333333</v>
      </c>
      <c r="E53" s="325">
        <f t="shared" si="3"/>
        <v>-402803.15389660711</v>
      </c>
      <c r="F53" s="303">
        <f t="shared" si="4"/>
        <v>-316324.72868623363</v>
      </c>
      <c r="G53" s="325">
        <f t="shared" si="5"/>
        <v>-2363916.5896319291</v>
      </c>
      <c r="H53" s="325">
        <f>G53*('Assumptions and Inputs'!$C$56)/12</f>
        <v>-6835.6588050189957</v>
      </c>
      <c r="K53" s="92"/>
    </row>
    <row r="54" spans="2:11" x14ac:dyDescent="0.4">
      <c r="B54" s="306">
        <f>'E-Factor LKM-3'!B56</f>
        <v>46082</v>
      </c>
      <c r="C54" s="324">
        <f>'E-Factor LKM-3'!J56</f>
        <v>101247.34010214964</v>
      </c>
      <c r="D54" s="324">
        <f>'E-Factor LKM-3'!G56</f>
        <v>404573.8208333333</v>
      </c>
      <c r="E54" s="325">
        <f t="shared" si="3"/>
        <v>-402803.15389660711</v>
      </c>
      <c r="F54" s="303">
        <f t="shared" si="4"/>
        <v>-301555.81379445747</v>
      </c>
      <c r="G54" s="325">
        <f t="shared" si="5"/>
        <v>-2665472.4034263864</v>
      </c>
      <c r="H54" s="325">
        <f>G54*('Assumptions and Inputs'!$C$56)/12</f>
        <v>-7707.6576999079671</v>
      </c>
      <c r="K54" s="92"/>
    </row>
    <row r="55" spans="2:11" x14ac:dyDescent="0.4">
      <c r="B55" s="306">
        <f>'E-Factor LKM-3'!B57</f>
        <v>46113</v>
      </c>
      <c r="C55" s="324">
        <f>'E-Factor LKM-3'!J57</f>
        <v>87707.26371765486</v>
      </c>
      <c r="D55" s="324">
        <f>'E-Factor LKM-3'!G57</f>
        <v>404573.8208333333</v>
      </c>
      <c r="E55" s="325">
        <f t="shared" si="3"/>
        <v>-402803.15389660711</v>
      </c>
      <c r="F55" s="303">
        <f t="shared" si="4"/>
        <v>-315095.89017895225</v>
      </c>
      <c r="G55" s="325">
        <f t="shared" si="5"/>
        <v>-2980568.2936053388</v>
      </c>
      <c r="H55" s="325">
        <f>G55*('Assumptions and Inputs'!$C$56)/12</f>
        <v>-8618.8099823421053</v>
      </c>
      <c r="K55" s="92"/>
    </row>
    <row r="56" spans="2:11" x14ac:dyDescent="0.4">
      <c r="B56" s="306">
        <f>'E-Factor LKM-3'!B58</f>
        <v>46143</v>
      </c>
      <c r="C56" s="324">
        <f>'E-Factor LKM-3'!J58</f>
        <v>82406.588892698986</v>
      </c>
      <c r="D56" s="324">
        <f>'E-Factor LKM-3'!G58</f>
        <v>404573.8208333333</v>
      </c>
      <c r="E56" s="325">
        <f t="shared" si="3"/>
        <v>-402803.15389660711</v>
      </c>
      <c r="F56" s="303">
        <f t="shared" si="4"/>
        <v>-320396.56500390812</v>
      </c>
      <c r="G56" s="325">
        <f t="shared" si="5"/>
        <v>-3300964.858609247</v>
      </c>
      <c r="H56" s="325">
        <f>G56*('Assumptions and Inputs'!$C$56)/12</f>
        <v>-9545.2900494784062</v>
      </c>
      <c r="K56" s="92"/>
    </row>
    <row r="57" spans="2:11" x14ac:dyDescent="0.4">
      <c r="B57" s="306">
        <f>'E-Factor LKM-3'!B59</f>
        <v>46174</v>
      </c>
      <c r="C57" s="324">
        <f>'E-Factor LKM-3'!J59</f>
        <v>77092.662380680908</v>
      </c>
      <c r="D57" s="324">
        <f>'E-Factor LKM-3'!G59</f>
        <v>404573.8208333333</v>
      </c>
      <c r="E57" s="325">
        <f t="shared" si="3"/>
        <v>-402803.15389660711</v>
      </c>
      <c r="F57" s="303">
        <f t="shared" si="4"/>
        <v>-325710.4915159262</v>
      </c>
      <c r="G57" s="325">
        <f t="shared" si="5"/>
        <v>-3626675.3501251731</v>
      </c>
      <c r="H57" s="325">
        <f>G57*('Assumptions and Inputs'!$C$56)/12</f>
        <v>-10487.136220778626</v>
      </c>
      <c r="K57" s="92"/>
    </row>
    <row r="58" spans="2:11" x14ac:dyDescent="0.4">
      <c r="B58" s="306">
        <f>'E-Factor LKM-3'!B60</f>
        <v>46204</v>
      </c>
      <c r="C58" s="324">
        <f>'E-Factor LKM-3'!J60</f>
        <v>71765.451052382588</v>
      </c>
      <c r="D58" s="324">
        <f>'E-Factor LKM-3'!G60</f>
        <v>404573.8208333333</v>
      </c>
      <c r="E58" s="325">
        <f t="shared" si="3"/>
        <v>-402803.15389660711</v>
      </c>
      <c r="F58" s="303">
        <f t="shared" si="4"/>
        <v>-331037.70284422452</v>
      </c>
      <c r="G58" s="325">
        <f t="shared" si="5"/>
        <v>-3957713.0529693975</v>
      </c>
      <c r="H58" s="325">
        <f>G58*('Assumptions and Inputs'!$C$56)/12</f>
        <v>-11444.386911503176</v>
      </c>
      <c r="K58" s="92"/>
    </row>
    <row r="59" spans="2:11" x14ac:dyDescent="0.4">
      <c r="B59" s="306">
        <f>'E-Factor LKM-3'!B61</f>
        <v>46235</v>
      </c>
      <c r="C59" s="324">
        <f>'E-Factor LKM-3'!J61</f>
        <v>66424.921695763478</v>
      </c>
      <c r="D59" s="324">
        <f>'E-Factor LKM-3'!G61</f>
        <v>404573.8208333333</v>
      </c>
      <c r="E59" s="325">
        <f t="shared" si="3"/>
        <v>-402803.15389660711</v>
      </c>
      <c r="F59" s="303">
        <f t="shared" si="4"/>
        <v>-336378.23220084363</v>
      </c>
      <c r="G59" s="325">
        <f t="shared" si="5"/>
        <v>-4294091.2851702413</v>
      </c>
      <c r="H59" s="325">
        <f>G59*('Assumptions and Inputs'!$C$56)/12</f>
        <v>-12417.080632950616</v>
      </c>
      <c r="K59" s="92"/>
    </row>
    <row r="60" spans="2:11" x14ac:dyDescent="0.4">
      <c r="B60" s="306" t="s">
        <v>131</v>
      </c>
      <c r="C60" s="324"/>
      <c r="D60" s="324"/>
      <c r="E60" s="325"/>
      <c r="F60" s="303"/>
      <c r="G60" s="325"/>
      <c r="H60" s="325">
        <f>SUM(H48:H59)</f>
        <v>-84771.470081548439</v>
      </c>
    </row>
    <row r="61" spans="2:11" x14ac:dyDescent="0.4">
      <c r="B61" s="302"/>
      <c r="C61" s="309"/>
      <c r="D61" s="326"/>
      <c r="E61" s="309"/>
      <c r="F61" s="303"/>
      <c r="G61" s="309"/>
      <c r="H61" s="309"/>
    </row>
    <row r="62" spans="2:11" ht="16" thickBot="1" x14ac:dyDescent="0.45">
      <c r="B62" s="250"/>
      <c r="C62" s="257"/>
      <c r="D62" s="250"/>
      <c r="E62" s="290"/>
      <c r="F62" s="250"/>
      <c r="G62" s="290" t="s">
        <v>181</v>
      </c>
      <c r="H62" s="257">
        <f>'I-Factor PRIOR LKM-6'!N127</f>
        <v>-14740.315007643876</v>
      </c>
    </row>
    <row r="63" spans="2:11" ht="16" thickBot="1" x14ac:dyDescent="0.45">
      <c r="B63" s="250"/>
      <c r="C63" s="250"/>
      <c r="D63" s="327"/>
      <c r="E63" s="328"/>
      <c r="F63" s="329"/>
      <c r="G63" s="330"/>
      <c r="H63" s="319"/>
    </row>
    <row r="64" spans="2:11" ht="16" thickBot="1" x14ac:dyDescent="0.45">
      <c r="C64" s="20"/>
      <c r="D64" s="20"/>
      <c r="E64" s="20"/>
      <c r="F64" s="20"/>
      <c r="G64" s="1" t="s">
        <v>226</v>
      </c>
      <c r="H64" s="7">
        <f>H60+H62</f>
        <v>-99511.785089192315</v>
      </c>
      <c r="I64" s="48" t="s">
        <v>227</v>
      </c>
    </row>
    <row r="65" spans="2:8" ht="16" thickBot="1" x14ac:dyDescent="0.45">
      <c r="G65" s="330"/>
      <c r="H65" s="319"/>
    </row>
    <row r="66" spans="2:8" x14ac:dyDescent="0.4"/>
    <row r="67" spans="2:8" x14ac:dyDescent="0.4">
      <c r="B67" s="1" t="s">
        <v>183</v>
      </c>
    </row>
    <row r="68" spans="2:8" x14ac:dyDescent="0.4">
      <c r="B68" s="222" t="s">
        <v>234</v>
      </c>
    </row>
    <row r="69" spans="2:8" x14ac:dyDescent="0.4">
      <c r="B69" s="222" t="s">
        <v>235</v>
      </c>
    </row>
    <row r="70" spans="2:8" x14ac:dyDescent="0.4">
      <c r="B70" s="222" t="s">
        <v>279</v>
      </c>
    </row>
    <row r="71" spans="2:8" x14ac:dyDescent="0.4">
      <c r="B71" s="222" t="s">
        <v>231</v>
      </c>
    </row>
    <row r="72" spans="2:8" x14ac:dyDescent="0.4">
      <c r="B72" s="222" t="str">
        <f>"(3) Interest calculated monthly based on 1-year interest rate for constant maturity U.S. Treasury Securities"</f>
        <v>(3) Interest calculated monthly based on 1-year interest rate for constant maturity U.S. Treasury Securities</v>
      </c>
    </row>
    <row r="73" spans="2:8" x14ac:dyDescent="0.4">
      <c r="B73" s="224" t="str">
        <f>"as published in the Federal Reserve Statistical Release H.15 (519) on "&amp;TEXT('Assumptions and Inputs'!$C$57,"MMMM DD, YYYY")&amp;"."</f>
        <v>as published in the Federal Reserve Statistical Release H.15 (519) on January 02, 2026.</v>
      </c>
    </row>
    <row r="74" spans="2:8" x14ac:dyDescent="0.4"/>
    <row r="75" spans="2:8" x14ac:dyDescent="0.4"/>
    <row r="76" spans="2:8" x14ac:dyDescent="0.4"/>
    <row r="77" spans="2:8" x14ac:dyDescent="0.4"/>
    <row r="78" spans="2:8" x14ac:dyDescent="0.4"/>
    <row r="79" spans="2:8" x14ac:dyDescent="0.4"/>
    <row r="80" spans="2:8" x14ac:dyDescent="0.4"/>
    <row r="81" x14ac:dyDescent="0.4"/>
    <row r="82" x14ac:dyDescent="0.4"/>
    <row r="83" x14ac:dyDescent="0.4"/>
    <row r="84" x14ac:dyDescent="0.4"/>
    <row r="85" x14ac:dyDescent="0.4"/>
    <row r="86" x14ac:dyDescent="0.4"/>
    <row r="87" x14ac:dyDescent="0.4"/>
    <row r="88" x14ac:dyDescent="0.4"/>
    <row r="89" x14ac:dyDescent="0.4"/>
    <row r="90" x14ac:dyDescent="0.4"/>
    <row r="91" x14ac:dyDescent="0.4"/>
    <row r="92" x14ac:dyDescent="0.4"/>
    <row r="93" x14ac:dyDescent="0.4"/>
    <row r="94" x14ac:dyDescent="0.4"/>
    <row r="95" x14ac:dyDescent="0.4"/>
    <row r="96" x14ac:dyDescent="0.4"/>
    <row r="97" x14ac:dyDescent="0.4"/>
    <row r="98" x14ac:dyDescent="0.4"/>
    <row r="99" x14ac:dyDescent="0.4"/>
    <row r="100" x14ac:dyDescent="0.4"/>
    <row r="101" x14ac:dyDescent="0.4"/>
    <row r="102" x14ac:dyDescent="0.4"/>
    <row r="103" x14ac:dyDescent="0.4"/>
    <row r="104" x14ac:dyDescent="0.4"/>
    <row r="105" x14ac:dyDescent="0.4"/>
    <row r="106" x14ac:dyDescent="0.4"/>
    <row r="107" x14ac:dyDescent="0.4"/>
    <row r="108" x14ac:dyDescent="0.4"/>
    <row r="109" x14ac:dyDescent="0.4"/>
    <row r="110" x14ac:dyDescent="0.4"/>
    <row r="111" x14ac:dyDescent="0.4"/>
    <row r="112" x14ac:dyDescent="0.4"/>
    <row r="113" x14ac:dyDescent="0.4"/>
    <row r="114" x14ac:dyDescent="0.4"/>
  </sheetData>
  <printOptions horizontalCentered="1"/>
  <pageMargins left="0.7" right="0.7" top="0.75" bottom="0.75" header="0.3" footer="0.3"/>
  <pageSetup scale="57" orientation="landscape" r:id="rId1"/>
  <headerFooter>
    <oddHeader xml:space="preserve">&amp;R2026 TAP-R Rate Procceding
Schedule LKM-TAP-5
</oddHeader>
  </headerFooter>
  <ignoredErrors>
    <ignoredError sqref="C46 C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a816c8-2012-4a06-9eee-7fac2e12fc01">
      <Terms xmlns="http://schemas.microsoft.com/office/infopath/2007/PartnerControls"/>
    </lcf76f155ced4ddcb4097134ff3c332f>
    <TaxCatchAll xmlns="1ecad1bf-37b2-4fe5-8d43-af4e731dea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005CA3EC97C240B6A6DE541C216FC3" ma:contentTypeVersion="15" ma:contentTypeDescription="Create a new document." ma:contentTypeScope="" ma:versionID="ae74eecf6782a2ba1db15ffd73bcf512">
  <xsd:schema xmlns:xsd="http://www.w3.org/2001/XMLSchema" xmlns:xs="http://www.w3.org/2001/XMLSchema" xmlns:p="http://schemas.microsoft.com/office/2006/metadata/properties" xmlns:ns2="c1eecfb3-5e1e-4c14-a199-821554a453d0" xmlns:ns3="74a816c8-2012-4a06-9eee-7fac2e12fc01" xmlns:ns4="1ecad1bf-37b2-4fe5-8d43-af4e731dea56" targetNamespace="http://schemas.microsoft.com/office/2006/metadata/properties" ma:root="true" ma:fieldsID="17144045bbf61456430f9b5b75f538f5" ns2:_="" ns3:_="" ns4:_="">
    <xsd:import namespace="c1eecfb3-5e1e-4c14-a199-821554a453d0"/>
    <xsd:import namespace="74a816c8-2012-4a06-9eee-7fac2e12fc01"/>
    <xsd:import namespace="1ecad1bf-37b2-4fe5-8d43-af4e731dea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ecfb3-5e1e-4c14-a199-821554a453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816c8-2012-4a06-9eee-7fac2e12f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d5ee6cf-0e63-41ed-9d74-2beef34e85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ad1bf-37b2-4fe5-8d43-af4e731dea5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84a3c7f-f0c9-4c06-880c-e92bf7e68a2c}" ma:internalName="TaxCatchAll" ma:showField="CatchAllData" ma:web="c1eecfb3-5e1e-4c14-a199-821554a45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6C3F40-B0F4-4A67-85FA-26666D3E85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00982D-8269-4AA5-8785-B9434E7EBCCA}">
  <ds:schemaRefs>
    <ds:schemaRef ds:uri="c1eecfb3-5e1e-4c14-a199-821554a453d0"/>
    <ds:schemaRef ds:uri="http://schemas.microsoft.com/office/2006/metadata/properties"/>
    <ds:schemaRef ds:uri="74a816c8-2012-4a06-9eee-7fac2e12fc01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1ecad1bf-37b2-4fe5-8d43-af4e731dea5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68BA9AB-C7B6-41DB-A3D0-0D9C407485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eecfb3-5e1e-4c14-a199-821554a453d0"/>
    <ds:schemaRef ds:uri="74a816c8-2012-4a06-9eee-7fac2e12fc01"/>
    <ds:schemaRef ds:uri="1ecad1bf-37b2-4fe5-8d43-af4e731dea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Home</vt:lpstr>
      <vt:lpstr>Table of Contents</vt:lpstr>
      <vt:lpstr>Assumptions and Inputs</vt:lpstr>
      <vt:lpstr>Customer</vt:lpstr>
      <vt:lpstr>Summary LKM-1</vt:lpstr>
      <vt:lpstr>C-Factor LKM-2</vt:lpstr>
      <vt:lpstr>E-Factor LKM-3</vt:lpstr>
      <vt:lpstr>E-Factor PRIOR LKM-4</vt:lpstr>
      <vt:lpstr>I-Factor LKM-5</vt:lpstr>
      <vt:lpstr>I-Factor PRIOR LKM-6</vt:lpstr>
      <vt:lpstr>Rates</vt:lpstr>
      <vt:lpstr>'C-Factor LKM-2'!Print_Area</vt:lpstr>
      <vt:lpstr>Customer!Print_Area</vt:lpstr>
      <vt:lpstr>'E-Factor LKM-3'!Print_Area</vt:lpstr>
      <vt:lpstr>'E-Factor PRIOR LKM-4'!Print_Area</vt:lpstr>
      <vt:lpstr>'I-Factor LKM-5'!Print_Area</vt:lpstr>
      <vt:lpstr>'I-Factor PRIOR LKM-6'!Print_Area</vt:lpstr>
      <vt:lpstr>Rates!Print_Area</vt:lpstr>
      <vt:lpstr>'Summary LKM-1'!Print_Area</vt:lpstr>
      <vt:lpstr>'Table of Contents'!Print_Area</vt:lpstr>
      <vt:lpstr>Customer!Print_Titles</vt:lpstr>
    </vt:vector>
  </TitlesOfParts>
  <Manager/>
  <Company>Black &amp; Veatch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Merritt, Brian L.</dc:creator>
  <cp:keywords/>
  <dc:description/>
  <cp:lastModifiedBy>L Morgan</cp:lastModifiedBy>
  <cp:revision/>
  <cp:lastPrinted>2026-04-17T17:26:49Z</cp:lastPrinted>
  <dcterms:created xsi:type="dcterms:W3CDTF">2018-04-12T12:14:16Z</dcterms:created>
  <dcterms:modified xsi:type="dcterms:W3CDTF">2026-04-17T19:35:36Z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0x01010058005CA3EC97C240B6A6DE541C216FC3</vt:lpwstr>
  </property>
  <property fmtid="{D5CDD505-2E9C-101B-9397-08002B2CF9AE}" pid="3" name="MediaServiceImageTags">
    <vt:lpwstr/>
  </property>
</Properties>
</file>