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lackandveatch.sharepoint.com/sites/411071/Shared Documents/2026 TAP-R Reconciliation/2026 TAP Rate Adjustment Proceeding - Discovery/"/>
    </mc:Choice>
  </mc:AlternateContent>
  <xr:revisionPtr revIDLastSave="57" documentId="8_{7B026A5B-00F4-43B5-AB99-BD20BF9DAD3B}" xr6:coauthVersionLast="47" xr6:coauthVersionMax="47" xr10:uidLastSave="{2B97544F-8288-4CE0-89E3-E5CB0DE4C1BE}"/>
  <bookViews>
    <workbookView xWindow="28680" yWindow="-120" windowWidth="29040" windowHeight="15720" tabRatio="406" activeTab="2" xr2:uid="{AD90B2B1-0A52-46C7-967A-7C291D301DA6}"/>
  </bookViews>
  <sheets>
    <sheet name="Home" sheetId="7" r:id="rId1"/>
    <sheet name="Table of Contents" sheetId="20" r:id="rId2"/>
    <sheet name="Assumptions and Inputs" sheetId="3" r:id="rId3"/>
    <sheet name="Customer" sheetId="19" r:id="rId4"/>
    <sheet name="Summary" sheetId="1" r:id="rId5"/>
    <sheet name="C-Factor" sheetId="5" r:id="rId6"/>
    <sheet name="E-Factor" sheetId="18" r:id="rId7"/>
    <sheet name="E-Factor PRIOR" sheetId="21" r:id="rId8"/>
    <sheet name="I-Factor" sheetId="14" r:id="rId9"/>
    <sheet name="I-Factor PRIOR" sheetId="22" r:id="rId10"/>
    <sheet name="Rates" sheetId="6" r:id="rId11"/>
  </sheets>
  <definedNames>
    <definedName name="_xlnm.Print_Area" localSheetId="5">'C-Factor'!$B$2:$K$13</definedName>
    <definedName name="_xlnm.Print_Area" localSheetId="3">Customer!$D$1:$AU$65</definedName>
    <definedName name="_xlnm.Print_Area" localSheetId="6">'E-Factor'!$A$2:$L$76</definedName>
    <definedName name="_xlnm.Print_Area" localSheetId="7">'E-Factor PRIOR'!$B$2:$O$70</definedName>
    <definedName name="_xlnm.Print_Area" localSheetId="8">'I-Factor'!$B$2:$J$68</definedName>
    <definedName name="_xlnm.Print_Area" localSheetId="9">'I-Factor PRIOR'!$B$2:$N$66</definedName>
    <definedName name="_xlnm.Print_Area" localSheetId="10">Rates!$B$3:$H$19</definedName>
    <definedName name="_xlnm.Print_Area" localSheetId="4">Summary!$B$3:$K$28</definedName>
    <definedName name="_xlnm.Print_Area" localSheetId="1">'Table of Contents'!$A$1:$B$17</definedName>
    <definedName name="_xlnm.Print_Titles" localSheetId="3">Customer!$B:$C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W52" i="19" l="1"/>
  <c r="W51" i="19"/>
  <c r="W50" i="19"/>
  <c r="W49" i="19"/>
  <c r="W27" i="19"/>
  <c r="AO27" i="19" s="1"/>
  <c r="W26" i="19"/>
  <c r="W25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X24" i="19"/>
  <c r="Y24" i="19"/>
  <c r="Z24" i="19"/>
  <c r="AA24" i="19"/>
  <c r="AB24" i="19"/>
  <c r="AC24" i="19"/>
  <c r="AD24" i="19"/>
  <c r="AE24" i="19"/>
  <c r="AF24" i="19"/>
  <c r="AG24" i="19"/>
  <c r="AH24" i="19"/>
  <c r="AI24" i="19"/>
  <c r="AJ24" i="19"/>
  <c r="AK24" i="19"/>
  <c r="AL24" i="19"/>
  <c r="AM24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AL27" i="19"/>
  <c r="AM27" i="19"/>
  <c r="W24" i="19"/>
  <c r="E108" i="22" l="1"/>
  <c r="E76" i="22"/>
  <c r="C11" i="5" l="1"/>
  <c r="AO51" i="19"/>
  <c r="AO57" i="19" s="1"/>
  <c r="G42" i="22"/>
  <c r="G40" i="22"/>
  <c r="G39" i="22"/>
  <c r="G38" i="22"/>
  <c r="F42" i="22"/>
  <c r="F40" i="22"/>
  <c r="F39" i="22"/>
  <c r="F38" i="22"/>
  <c r="E40" i="22"/>
  <c r="E39" i="22"/>
  <c r="E38" i="22"/>
  <c r="D42" i="22"/>
  <c r="D41" i="22"/>
  <c r="D40" i="22"/>
  <c r="D39" i="22"/>
  <c r="D38" i="22"/>
  <c r="B32" i="22"/>
  <c r="B65" i="22"/>
  <c r="B131" i="22"/>
  <c r="H109" i="22"/>
  <c r="B99" i="22"/>
  <c r="H77" i="22"/>
  <c r="AO50" i="19" l="1"/>
  <c r="AO56" i="19" s="1"/>
  <c r="AO49" i="19"/>
  <c r="AO55" i="19" s="1"/>
  <c r="B16" i="6"/>
  <c r="B17" i="6"/>
  <c r="B67" i="21" l="1"/>
  <c r="F109" i="22"/>
  <c r="E41" i="22"/>
  <c r="D9" i="22"/>
  <c r="D8" i="22"/>
  <c r="F7" i="22"/>
  <c r="E7" i="22"/>
  <c r="D7" i="22"/>
  <c r="F6" i="22"/>
  <c r="E6" i="22"/>
  <c r="D6" i="22"/>
  <c r="F5" i="22"/>
  <c r="E5" i="22"/>
  <c r="D5" i="22"/>
  <c r="F77" i="22"/>
  <c r="F9" i="22" s="1"/>
  <c r="C52" i="18"/>
  <c r="C51" i="18"/>
  <c r="C50" i="18"/>
  <c r="C49" i="18"/>
  <c r="C14" i="18"/>
  <c r="C13" i="18"/>
  <c r="C12" i="18"/>
  <c r="C11" i="18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E109" i="22" l="1"/>
  <c r="E42" i="22" s="1"/>
  <c r="E8" i="22"/>
  <c r="E77" i="22"/>
  <c r="E9" i="22" l="1"/>
  <c r="AQ24" i="19" l="1"/>
  <c r="AQ25" i="19"/>
  <c r="AM31" i="19"/>
  <c r="AQ26" i="19"/>
  <c r="AM32" i="19"/>
  <c r="AQ27" i="19"/>
  <c r="AB30" i="19"/>
  <c r="AC30" i="19"/>
  <c r="AD30" i="19"/>
  <c r="AD36" i="19" s="1"/>
  <c r="AD40" i="19" s="1"/>
  <c r="AE30" i="19"/>
  <c r="AF30" i="19"/>
  <c r="AG30" i="19"/>
  <c r="AH30" i="19"/>
  <c r="AI30" i="19"/>
  <c r="AJ30" i="19"/>
  <c r="AK30" i="19"/>
  <c r="AL30" i="19"/>
  <c r="AM30" i="19"/>
  <c r="AB31" i="19"/>
  <c r="AC31" i="19"/>
  <c r="AD31" i="19"/>
  <c r="AE31" i="19"/>
  <c r="AF31" i="19"/>
  <c r="AG31" i="19"/>
  <c r="AH31" i="19"/>
  <c r="AI31" i="19"/>
  <c r="AJ31" i="19"/>
  <c r="AK31" i="19"/>
  <c r="AL31" i="19"/>
  <c r="AB32" i="19"/>
  <c r="AC32" i="19"/>
  <c r="AD32" i="19"/>
  <c r="AE32" i="19"/>
  <c r="AF32" i="19"/>
  <c r="AG32" i="19"/>
  <c r="AH32" i="19"/>
  <c r="AI32" i="19"/>
  <c r="AJ32" i="19"/>
  <c r="AK32" i="19"/>
  <c r="AL32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Q49" i="19"/>
  <c r="AQ50" i="19"/>
  <c r="AQ51" i="19"/>
  <c r="AQ52" i="19"/>
  <c r="AB55" i="19"/>
  <c r="AC55" i="19"/>
  <c r="AD55" i="19"/>
  <c r="AE55" i="19"/>
  <c r="AF55" i="19"/>
  <c r="AG55" i="19"/>
  <c r="AH55" i="19"/>
  <c r="AI55" i="19"/>
  <c r="AJ55" i="19"/>
  <c r="AK55" i="19"/>
  <c r="AL55" i="19"/>
  <c r="AM55" i="19"/>
  <c r="AB56" i="19"/>
  <c r="AC56" i="19"/>
  <c r="AD56" i="19"/>
  <c r="AE56" i="19"/>
  <c r="AF56" i="19"/>
  <c r="AG56" i="19"/>
  <c r="AH56" i="19"/>
  <c r="AI56" i="19"/>
  <c r="AJ56" i="19"/>
  <c r="AK56" i="19"/>
  <c r="AL56" i="19"/>
  <c r="AM56" i="19"/>
  <c r="AB57" i="19"/>
  <c r="AC57" i="19"/>
  <c r="AD57" i="19"/>
  <c r="AE57" i="19"/>
  <c r="AF57" i="19"/>
  <c r="AG57" i="19"/>
  <c r="AH57" i="19"/>
  <c r="AI57" i="19"/>
  <c r="AJ57" i="19"/>
  <c r="AK57" i="19"/>
  <c r="AL57" i="19"/>
  <c r="AM57" i="19"/>
  <c r="AB58" i="19"/>
  <c r="AC58" i="19"/>
  <c r="AD58" i="19"/>
  <c r="AE58" i="19"/>
  <c r="AF58" i="19"/>
  <c r="AG58" i="19"/>
  <c r="AH58" i="19"/>
  <c r="AI58" i="19"/>
  <c r="AJ58" i="19"/>
  <c r="AK58" i="19"/>
  <c r="AL58" i="19"/>
  <c r="AM58" i="19"/>
  <c r="AO52" i="19"/>
  <c r="AO25" i="19"/>
  <c r="AO26" i="19"/>
  <c r="AO24" i="19"/>
  <c r="AB61" i="19" l="1"/>
  <c r="AB65" i="19" s="1"/>
  <c r="AI36" i="19"/>
  <c r="AI40" i="19" s="1"/>
  <c r="AE61" i="19"/>
  <c r="AE65" i="19" s="1"/>
  <c r="AC61" i="19"/>
  <c r="AC65" i="19" s="1"/>
  <c r="AL36" i="19"/>
  <c r="AL40" i="19" s="1"/>
  <c r="AK36" i="19"/>
  <c r="AK40" i="19" s="1"/>
  <c r="AM61" i="19"/>
  <c r="AM65" i="19" s="1"/>
  <c r="AQ58" i="19"/>
  <c r="AQ57" i="19"/>
  <c r="AQ56" i="19"/>
  <c r="AQ55" i="19"/>
  <c r="AH36" i="19"/>
  <c r="AH40" i="19" s="1"/>
  <c r="AQ31" i="19"/>
  <c r="AQ30" i="19"/>
  <c r="AQ32" i="19"/>
  <c r="AE36" i="19"/>
  <c r="AE40" i="19" s="1"/>
  <c r="AQ33" i="19"/>
  <c r="AJ61" i="19"/>
  <c r="AJ65" i="19" s="1"/>
  <c r="AD61" i="19"/>
  <c r="AD65" i="19" s="1"/>
  <c r="AC36" i="19"/>
  <c r="AC40" i="19" s="1"/>
  <c r="AH61" i="19"/>
  <c r="AH65" i="19" s="1"/>
  <c r="AK61" i="19"/>
  <c r="AK65" i="19" s="1"/>
  <c r="AL61" i="19"/>
  <c r="AL65" i="19" s="1"/>
  <c r="AJ36" i="19"/>
  <c r="AJ40" i="19" s="1"/>
  <c r="AG36" i="19"/>
  <c r="AG40" i="19" s="1"/>
  <c r="AF36" i="19"/>
  <c r="AF40" i="19" s="1"/>
  <c r="AB36" i="19"/>
  <c r="AB40" i="19" s="1"/>
  <c r="AI61" i="19"/>
  <c r="AI65" i="19" s="1"/>
  <c r="AF61" i="19"/>
  <c r="AF65" i="19" s="1"/>
  <c r="AG61" i="19"/>
  <c r="AG65" i="19" s="1"/>
  <c r="AM36" i="19"/>
  <c r="AM40" i="19" l="1"/>
  <c r="AQ40" i="19" s="1"/>
  <c r="G17" i="1" s="1"/>
  <c r="AQ61" i="19"/>
  <c r="AQ65" i="19"/>
  <c r="AQ36" i="19"/>
  <c r="C96" i="3" l="1"/>
  <c r="C95" i="3"/>
  <c r="AO8" i="19" l="1"/>
  <c r="AB46" i="19"/>
  <c r="AB11" i="19"/>
  <c r="AB21" i="19"/>
  <c r="B3" i="1"/>
  <c r="AB60" i="19" l="1"/>
  <c r="AB35" i="19"/>
  <c r="AB14" i="19"/>
  <c r="AB15" i="19"/>
  <c r="AC11" i="19"/>
  <c r="AC21" i="19"/>
  <c r="AC35" i="19" s="1"/>
  <c r="AC38" i="19" s="1"/>
  <c r="AC46" i="19"/>
  <c r="AC60" i="19" s="1"/>
  <c r="AC63" i="19" s="1"/>
  <c r="AB16" i="19" l="1"/>
  <c r="AD21" i="19"/>
  <c r="AD35" i="19" s="1"/>
  <c r="AD38" i="19" s="1"/>
  <c r="AD46" i="19"/>
  <c r="AD60" i="19" s="1"/>
  <c r="AD63" i="19" s="1"/>
  <c r="AD11" i="19"/>
  <c r="AC14" i="19"/>
  <c r="AC15" i="19"/>
  <c r="AB38" i="19"/>
  <c r="AB63" i="19"/>
  <c r="AC16" i="19" l="1"/>
  <c r="AD15" i="19"/>
  <c r="AD14" i="19"/>
  <c r="AD16" i="19" s="1"/>
  <c r="AE21" i="19"/>
  <c r="AE11" i="19"/>
  <c r="AE46" i="19"/>
  <c r="AE60" i="19" s="1"/>
  <c r="AE63" i="19" s="1"/>
  <c r="B74" i="18"/>
  <c r="B36" i="18"/>
  <c r="B33" i="14"/>
  <c r="H43" i="14"/>
  <c r="H9" i="14"/>
  <c r="F43" i="14"/>
  <c r="E42" i="14"/>
  <c r="E43" i="14" s="1"/>
  <c r="F9" i="14"/>
  <c r="E8" i="14"/>
  <c r="AF21" i="19" l="1"/>
  <c r="AF35" i="19" s="1"/>
  <c r="AF38" i="19" s="1"/>
  <c r="AF11" i="19"/>
  <c r="AF46" i="19"/>
  <c r="AE15" i="19"/>
  <c r="AE14" i="19"/>
  <c r="AE16" i="19" s="1"/>
  <c r="AE35" i="19"/>
  <c r="E9" i="14"/>
  <c r="AG21" i="19" l="1"/>
  <c r="AG11" i="19"/>
  <c r="AG46" i="19"/>
  <c r="AG60" i="19" s="1"/>
  <c r="AG63" i="19" s="1"/>
  <c r="AF15" i="19"/>
  <c r="AF14" i="19"/>
  <c r="AF16" i="19" s="1"/>
  <c r="AE38" i="19"/>
  <c r="AF60" i="19"/>
  <c r="E55" i="19"/>
  <c r="F55" i="19"/>
  <c r="G55" i="19"/>
  <c r="H55" i="19"/>
  <c r="I55" i="19"/>
  <c r="J55" i="19"/>
  <c r="E56" i="19"/>
  <c r="F56" i="19"/>
  <c r="G56" i="19"/>
  <c r="H56" i="19"/>
  <c r="I56" i="19"/>
  <c r="J56" i="19"/>
  <c r="E57" i="19"/>
  <c r="F57" i="19"/>
  <c r="G57" i="19"/>
  <c r="H57" i="19"/>
  <c r="I57" i="19"/>
  <c r="J57" i="19"/>
  <c r="E58" i="19"/>
  <c r="F58" i="19"/>
  <c r="G58" i="19"/>
  <c r="H58" i="19"/>
  <c r="I58" i="19"/>
  <c r="J58" i="19"/>
  <c r="D57" i="19"/>
  <c r="D56" i="19"/>
  <c r="D55" i="19"/>
  <c r="D58" i="19"/>
  <c r="B58" i="19"/>
  <c r="B57" i="19"/>
  <c r="B56" i="19"/>
  <c r="B55" i="19"/>
  <c r="E30" i="19"/>
  <c r="F30" i="19"/>
  <c r="E31" i="19"/>
  <c r="F31" i="19"/>
  <c r="E32" i="19"/>
  <c r="F32" i="19"/>
  <c r="E33" i="19"/>
  <c r="F33" i="19"/>
  <c r="D32" i="19"/>
  <c r="D31" i="19"/>
  <c r="D30" i="19"/>
  <c r="D33" i="19"/>
  <c r="B33" i="19"/>
  <c r="B32" i="19"/>
  <c r="B31" i="19"/>
  <c r="B30" i="19"/>
  <c r="W11" i="19"/>
  <c r="X11" i="19"/>
  <c r="Y11" i="19"/>
  <c r="Z11" i="19"/>
  <c r="AA11" i="19"/>
  <c r="L53" i="21"/>
  <c r="C57" i="18" l="1"/>
  <c r="C19" i="18"/>
  <c r="C56" i="18"/>
  <c r="C18" i="18"/>
  <c r="C54" i="18"/>
  <c r="C16" i="18"/>
  <c r="C53" i="18"/>
  <c r="C15" i="18"/>
  <c r="C55" i="18"/>
  <c r="C17" i="18"/>
  <c r="C22" i="18"/>
  <c r="C60" i="18"/>
  <c r="C59" i="18"/>
  <c r="C21" i="18"/>
  <c r="C58" i="18"/>
  <c r="C20" i="18"/>
  <c r="AF63" i="19"/>
  <c r="AH21" i="19"/>
  <c r="AH35" i="19" s="1"/>
  <c r="AH38" i="19" s="1"/>
  <c r="AH11" i="19"/>
  <c r="AH46" i="19"/>
  <c r="AG15" i="19"/>
  <c r="AG14" i="19"/>
  <c r="AG16" i="19" s="1"/>
  <c r="AO11" i="19"/>
  <c r="AG35" i="19"/>
  <c r="E61" i="19"/>
  <c r="D36" i="19"/>
  <c r="G61" i="19"/>
  <c r="F61" i="19"/>
  <c r="D61" i="19"/>
  <c r="J61" i="19"/>
  <c r="I61" i="19"/>
  <c r="H61" i="19"/>
  <c r="F36" i="19"/>
  <c r="E36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H33" i="19"/>
  <c r="I33" i="19"/>
  <c r="J33" i="19"/>
  <c r="K33" i="19"/>
  <c r="L33" i="19"/>
  <c r="M33" i="19"/>
  <c r="N33" i="19"/>
  <c r="O33" i="19"/>
  <c r="Q33" i="19"/>
  <c r="R33" i="19"/>
  <c r="S33" i="19"/>
  <c r="T33" i="19"/>
  <c r="U33" i="19"/>
  <c r="V33" i="19"/>
  <c r="W33" i="19"/>
  <c r="X33" i="19"/>
  <c r="Y33" i="19"/>
  <c r="Z33" i="19"/>
  <c r="AA33" i="19"/>
  <c r="G33" i="19"/>
  <c r="AH60" i="19" l="1"/>
  <c r="AI46" i="19"/>
  <c r="AI60" i="19" s="1"/>
  <c r="AI63" i="19" s="1"/>
  <c r="AI21" i="19"/>
  <c r="AI11" i="19"/>
  <c r="AH15" i="19"/>
  <c r="AH14" i="19"/>
  <c r="AH16" i="19" s="1"/>
  <c r="AG38" i="19"/>
  <c r="V61" i="19"/>
  <c r="K61" i="19"/>
  <c r="Q61" i="19"/>
  <c r="U61" i="19"/>
  <c r="S61" i="19"/>
  <c r="P61" i="19"/>
  <c r="T61" i="19"/>
  <c r="AA61" i="19"/>
  <c r="O61" i="19"/>
  <c r="Z61" i="19"/>
  <c r="N61" i="19"/>
  <c r="Y61" i="19"/>
  <c r="M61" i="19"/>
  <c r="R61" i="19"/>
  <c r="X61" i="19"/>
  <c r="L61" i="19"/>
  <c r="W61" i="19"/>
  <c r="P33" i="19"/>
  <c r="Y32" i="19"/>
  <c r="Q30" i="19"/>
  <c r="T31" i="19"/>
  <c r="AA30" i="19"/>
  <c r="J32" i="19"/>
  <c r="N30" i="19"/>
  <c r="U32" i="19"/>
  <c r="Y30" i="19"/>
  <c r="T32" i="19"/>
  <c r="X30" i="19"/>
  <c r="AA31" i="19"/>
  <c r="W30" i="19"/>
  <c r="R32" i="19"/>
  <c r="Z31" i="19"/>
  <c r="N31" i="19"/>
  <c r="V30" i="19"/>
  <c r="J30" i="19"/>
  <c r="U31" i="19"/>
  <c r="X32" i="19"/>
  <c r="H31" i="19"/>
  <c r="S31" i="19"/>
  <c r="G30" i="19"/>
  <c r="V32" i="19"/>
  <c r="R31" i="19"/>
  <c r="I32" i="19"/>
  <c r="M30" i="19"/>
  <c r="H32" i="19"/>
  <c r="L30" i="19"/>
  <c r="G31" i="19"/>
  <c r="S32" i="19"/>
  <c r="K30" i="19"/>
  <c r="Q32" i="19"/>
  <c r="Y31" i="19"/>
  <c r="M31" i="19"/>
  <c r="U30" i="19"/>
  <c r="I30" i="19"/>
  <c r="I31" i="19"/>
  <c r="L32" i="19"/>
  <c r="K32" i="19"/>
  <c r="Q31" i="19"/>
  <c r="G32" i="19"/>
  <c r="P31" i="19"/>
  <c r="O31" i="19"/>
  <c r="P32" i="19"/>
  <c r="X31" i="19"/>
  <c r="L31" i="19"/>
  <c r="T30" i="19"/>
  <c r="H30" i="19"/>
  <c r="P30" i="19"/>
  <c r="W32" i="19"/>
  <c r="O30" i="19"/>
  <c r="Z30" i="19"/>
  <c r="AA32" i="19"/>
  <c r="O32" i="19"/>
  <c r="W31" i="19"/>
  <c r="K31" i="19"/>
  <c r="S30" i="19"/>
  <c r="Z32" i="19"/>
  <c r="N32" i="19"/>
  <c r="V31" i="19"/>
  <c r="J31" i="19"/>
  <c r="R30" i="19"/>
  <c r="M32" i="19"/>
  <c r="AO61" i="19" l="1"/>
  <c r="AI35" i="19"/>
  <c r="AJ21" i="19"/>
  <c r="AJ35" i="19" s="1"/>
  <c r="AJ38" i="19" s="1"/>
  <c r="AJ11" i="19"/>
  <c r="AJ46" i="19"/>
  <c r="AJ60" i="19" s="1"/>
  <c r="AJ63" i="19" s="1"/>
  <c r="AI15" i="19"/>
  <c r="AI14" i="19"/>
  <c r="AI16" i="19" s="1"/>
  <c r="AH63" i="19"/>
  <c r="G36" i="19"/>
  <c r="S36" i="19"/>
  <c r="O36" i="19"/>
  <c r="AA36" i="19"/>
  <c r="V36" i="19"/>
  <c r="X36" i="19"/>
  <c r="R36" i="19"/>
  <c r="L36" i="19"/>
  <c r="M36" i="19"/>
  <c r="Y36" i="19"/>
  <c r="K36" i="19"/>
  <c r="H36" i="19"/>
  <c r="I36" i="19"/>
  <c r="W36" i="19"/>
  <c r="N36" i="19"/>
  <c r="Z36" i="19"/>
  <c r="T36" i="19"/>
  <c r="U36" i="19"/>
  <c r="J36" i="19"/>
  <c r="P36" i="19"/>
  <c r="Q36" i="19"/>
  <c r="AO36" i="19" l="1"/>
  <c r="AJ14" i="19"/>
  <c r="AJ15" i="19"/>
  <c r="AK46" i="19"/>
  <c r="AK60" i="19" s="1"/>
  <c r="AK11" i="19"/>
  <c r="AK21" i="19"/>
  <c r="AK35" i="19" s="1"/>
  <c r="AK38" i="19" s="1"/>
  <c r="AI38" i="19"/>
  <c r="AJ16" i="19" l="1"/>
  <c r="AL46" i="19"/>
  <c r="AL60" i="19" s="1"/>
  <c r="AL63" i="19" s="1"/>
  <c r="AL21" i="19"/>
  <c r="AL35" i="19" s="1"/>
  <c r="AL11" i="19"/>
  <c r="AK15" i="19"/>
  <c r="AK14" i="19"/>
  <c r="AK16" i="19" s="1"/>
  <c r="AK63" i="19"/>
  <c r="Q60" i="19"/>
  <c r="D50" i="18" s="1"/>
  <c r="R60" i="19"/>
  <c r="D51" i="18" s="1"/>
  <c r="S60" i="19"/>
  <c r="D52" i="18" s="1"/>
  <c r="T60" i="19"/>
  <c r="D53" i="18" s="1"/>
  <c r="U60" i="19"/>
  <c r="D54" i="18" s="1"/>
  <c r="V60" i="19"/>
  <c r="D55" i="18" s="1"/>
  <c r="W46" i="19"/>
  <c r="W60" i="19" s="1"/>
  <c r="D56" i="18" s="1"/>
  <c r="X46" i="19"/>
  <c r="X60" i="19" s="1"/>
  <c r="D57" i="18" s="1"/>
  <c r="Y46" i="19"/>
  <c r="Y60" i="19" s="1"/>
  <c r="D58" i="18" s="1"/>
  <c r="Z46" i="19"/>
  <c r="Z60" i="19" s="1"/>
  <c r="D59" i="18" s="1"/>
  <c r="AA46" i="19"/>
  <c r="AA60" i="19" s="1"/>
  <c r="D60" i="18" s="1"/>
  <c r="Q35" i="19"/>
  <c r="D12" i="18" s="1"/>
  <c r="R35" i="19"/>
  <c r="D13" i="18" s="1"/>
  <c r="S35" i="19"/>
  <c r="D14" i="18" s="1"/>
  <c r="T35" i="19"/>
  <c r="D15" i="18" s="1"/>
  <c r="U35" i="19"/>
  <c r="D16" i="18" s="1"/>
  <c r="V35" i="19"/>
  <c r="D17" i="18" s="1"/>
  <c r="W21" i="19"/>
  <c r="W35" i="19" s="1"/>
  <c r="D18" i="18" s="1"/>
  <c r="X21" i="19"/>
  <c r="X35" i="19" s="1"/>
  <c r="D19" i="18" s="1"/>
  <c r="Y21" i="19"/>
  <c r="Y35" i="19" s="1"/>
  <c r="D20" i="18" s="1"/>
  <c r="Z21" i="19"/>
  <c r="Z35" i="19" s="1"/>
  <c r="D21" i="18" s="1"/>
  <c r="AA21" i="19"/>
  <c r="AA35" i="19" s="1"/>
  <c r="D22" i="18" s="1"/>
  <c r="Q14" i="19"/>
  <c r="R15" i="19"/>
  <c r="S15" i="19"/>
  <c r="T14" i="19"/>
  <c r="V14" i="19"/>
  <c r="W15" i="19"/>
  <c r="X15" i="19"/>
  <c r="Y15" i="19"/>
  <c r="Z15" i="19"/>
  <c r="AA15" i="19"/>
  <c r="P14" i="19"/>
  <c r="U14" i="19"/>
  <c r="U15" i="19"/>
  <c r="B3" i="6"/>
  <c r="U16" i="19" l="1"/>
  <c r="P60" i="19"/>
  <c r="AO46" i="19"/>
  <c r="AM11" i="19"/>
  <c r="AM21" i="19"/>
  <c r="AM46" i="19"/>
  <c r="AQ8" i="19"/>
  <c r="AO21" i="19"/>
  <c r="AL14" i="19"/>
  <c r="AL15" i="19"/>
  <c r="AL38" i="19"/>
  <c r="Q15" i="19"/>
  <c r="Q16" i="19" s="1"/>
  <c r="S14" i="19"/>
  <c r="S16" i="19" s="1"/>
  <c r="R14" i="19"/>
  <c r="R16" i="19" s="1"/>
  <c r="T15" i="19"/>
  <c r="T16" i="19" s="1"/>
  <c r="V15" i="19"/>
  <c r="V16" i="19" s="1"/>
  <c r="P35" i="19"/>
  <c r="AA14" i="19"/>
  <c r="AA16" i="19" s="1"/>
  <c r="Z14" i="19"/>
  <c r="Z16" i="19" s="1"/>
  <c r="Y14" i="19"/>
  <c r="Y16" i="19" s="1"/>
  <c r="X14" i="19"/>
  <c r="X16" i="19" s="1"/>
  <c r="W14" i="19"/>
  <c r="W16" i="19" s="1"/>
  <c r="P15" i="19"/>
  <c r="P16" i="19" s="1"/>
  <c r="AL16" i="19" l="1"/>
  <c r="AO35" i="19"/>
  <c r="D11" i="18"/>
  <c r="AO60" i="19"/>
  <c r="D49" i="18"/>
  <c r="AO15" i="19"/>
  <c r="AO14" i="19"/>
  <c r="AM35" i="19"/>
  <c r="AQ21" i="19"/>
  <c r="AM60" i="19"/>
  <c r="AQ46" i="19"/>
  <c r="AM14" i="19"/>
  <c r="AQ14" i="19" s="1"/>
  <c r="AM15" i="19"/>
  <c r="AQ15" i="19" s="1"/>
  <c r="AQ11" i="19"/>
  <c r="AO32" i="19"/>
  <c r="AO31" i="19"/>
  <c r="C15" i="3"/>
  <c r="E8" i="5" s="1"/>
  <c r="AM16" i="19" l="1"/>
  <c r="AQ16" i="19" s="1"/>
  <c r="AM63" i="19"/>
  <c r="AQ63" i="19" s="1"/>
  <c r="AQ60" i="19"/>
  <c r="AM38" i="19"/>
  <c r="AQ38" i="19" s="1"/>
  <c r="AQ35" i="19"/>
  <c r="L45" i="21" l="1"/>
  <c r="J45" i="21"/>
  <c r="L10" i="21"/>
  <c r="J10" i="21"/>
  <c r="C12" i="5"/>
  <c r="D60" i="19" l="1"/>
  <c r="D123" i="21" s="1"/>
  <c r="E60" i="19"/>
  <c r="D124" i="21" s="1"/>
  <c r="F60" i="19"/>
  <c r="D125" i="21" s="1"/>
  <c r="G60" i="19"/>
  <c r="D126" i="21" s="1"/>
  <c r="H60" i="19"/>
  <c r="D127" i="21" s="1"/>
  <c r="I60" i="19"/>
  <c r="D128" i="21" s="1"/>
  <c r="J60" i="19"/>
  <c r="D129" i="21" s="1"/>
  <c r="K60" i="19"/>
  <c r="D130" i="21" s="1"/>
  <c r="L60" i="19"/>
  <c r="D131" i="21" s="1"/>
  <c r="M60" i="19"/>
  <c r="D132" i="21" s="1"/>
  <c r="N60" i="19"/>
  <c r="D133" i="21" s="1"/>
  <c r="O60" i="19"/>
  <c r="D134" i="21" s="1"/>
  <c r="D35" i="19"/>
  <c r="D83" i="21" s="1"/>
  <c r="E35" i="19"/>
  <c r="D84" i="21" s="1"/>
  <c r="F35" i="19"/>
  <c r="D85" i="21" s="1"/>
  <c r="G35" i="19"/>
  <c r="D86" i="21" s="1"/>
  <c r="H35" i="19"/>
  <c r="D87" i="21" s="1"/>
  <c r="I35" i="19"/>
  <c r="D88" i="21" s="1"/>
  <c r="J35" i="19"/>
  <c r="D89" i="21" s="1"/>
  <c r="K35" i="19"/>
  <c r="D90" i="21" s="1"/>
  <c r="L35" i="19"/>
  <c r="D91" i="21" s="1"/>
  <c r="M35" i="19"/>
  <c r="D92" i="21" s="1"/>
  <c r="N35" i="19"/>
  <c r="D93" i="21" s="1"/>
  <c r="O35" i="19"/>
  <c r="D94" i="21" s="1"/>
  <c r="D14" i="19"/>
  <c r="E14" i="19"/>
  <c r="F14" i="19"/>
  <c r="G14" i="19"/>
  <c r="H14" i="19"/>
  <c r="I14" i="19"/>
  <c r="J14" i="19"/>
  <c r="K14" i="19"/>
  <c r="L14" i="19"/>
  <c r="M14" i="19"/>
  <c r="N14" i="19"/>
  <c r="O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L16" i="19" l="1"/>
  <c r="E16" i="19"/>
  <c r="D16" i="19"/>
  <c r="G16" i="19"/>
  <c r="H16" i="19"/>
  <c r="F16" i="19"/>
  <c r="K16" i="19"/>
  <c r="J16" i="19"/>
  <c r="I16" i="19"/>
  <c r="M16" i="19"/>
  <c r="N16" i="19"/>
  <c r="O16" i="19"/>
  <c r="AO33" i="19" l="1"/>
  <c r="B145" i="21"/>
  <c r="B49" i="18" l="1"/>
  <c r="J55" i="22"/>
  <c r="J22" i="22"/>
  <c r="L57" i="21"/>
  <c r="L22" i="21"/>
  <c r="B22" i="21"/>
  <c r="J11" i="22"/>
  <c r="C57" i="21"/>
  <c r="C24" i="18" l="1"/>
  <c r="C136" i="21"/>
  <c r="C62" i="18"/>
  <c r="L93" i="22" l="1"/>
  <c r="B90" i="22"/>
  <c r="B22" i="22" s="1"/>
  <c r="B134" i="21"/>
  <c r="B57" i="21" s="1"/>
  <c r="B133" i="21"/>
  <c r="B132" i="21"/>
  <c r="B131" i="21"/>
  <c r="B130" i="21"/>
  <c r="B129" i="21"/>
  <c r="B128" i="21"/>
  <c r="B127" i="21"/>
  <c r="B126" i="21"/>
  <c r="B125" i="21"/>
  <c r="B124" i="21"/>
  <c r="B123" i="21"/>
  <c r="S98" i="21"/>
  <c r="B122" i="22" l="1"/>
  <c r="B55" i="22" s="1"/>
  <c r="C22" i="21"/>
  <c r="C96" i="21" l="1"/>
  <c r="AO58" i="19" l="1"/>
  <c r="L125" i="22" l="1"/>
  <c r="D57" i="21" l="1"/>
  <c r="D22" i="21"/>
  <c r="D96" i="21" l="1"/>
  <c r="D136" i="21"/>
  <c r="D62" i="18"/>
  <c r="D24" i="18"/>
  <c r="B151" i="21"/>
  <c r="B111" i="21"/>
  <c r="B31" i="21"/>
  <c r="B66" i="21"/>
  <c r="B63" i="21"/>
  <c r="B140" i="21"/>
  <c r="B28" i="21"/>
  <c r="B105" i="21"/>
  <c r="B100" i="21"/>
  <c r="I120" i="21"/>
  <c r="I80" i="21"/>
  <c r="F120" i="21"/>
  <c r="F80" i="21"/>
  <c r="B65" i="21" l="1"/>
  <c r="B30" i="21"/>
  <c r="B22" i="14" l="1"/>
  <c r="B60" i="18"/>
  <c r="B56" i="14" s="1"/>
  <c r="B67" i="14" l="1"/>
  <c r="B150" i="21" l="1"/>
  <c r="B110" i="21"/>
  <c r="B72" i="18"/>
  <c r="B73" i="18"/>
  <c r="B35" i="18"/>
  <c r="B34" i="18"/>
  <c r="H8" i="18" l="1"/>
  <c r="J48" i="18" l="1"/>
  <c r="J10" i="18"/>
  <c r="S138" i="21" l="1"/>
  <c r="C5" i="5" l="1"/>
  <c r="B21" i="14" l="1"/>
  <c r="B59" i="18"/>
  <c r="B55" i="14" s="1"/>
  <c r="B68" i="14" l="1"/>
  <c r="B34" i="14"/>
  <c r="J16" i="22" l="1"/>
  <c r="K40" i="22"/>
  <c r="K39" i="22"/>
  <c r="K38" i="22"/>
  <c r="J56" i="22"/>
  <c r="J58" i="22" s="1"/>
  <c r="J54" i="22"/>
  <c r="J53" i="22"/>
  <c r="J52" i="22"/>
  <c r="J51" i="22"/>
  <c r="J50" i="22"/>
  <c r="J49" i="22"/>
  <c r="J48" i="22"/>
  <c r="J47" i="22"/>
  <c r="J46" i="22"/>
  <c r="J45" i="22"/>
  <c r="J44" i="22"/>
  <c r="J41" i="22"/>
  <c r="J40" i="22"/>
  <c r="J39" i="22"/>
  <c r="J38" i="22"/>
  <c r="B56" i="22"/>
  <c r="C42" i="22"/>
  <c r="H41" i="22"/>
  <c r="C41" i="22"/>
  <c r="H40" i="22"/>
  <c r="C40" i="22"/>
  <c r="H39" i="22"/>
  <c r="C39" i="22"/>
  <c r="B39" i="22"/>
  <c r="H38" i="22"/>
  <c r="C38" i="22"/>
  <c r="B38" i="22"/>
  <c r="C37" i="22"/>
  <c r="B36" i="22"/>
  <c r="B35" i="22"/>
  <c r="J6" i="22"/>
  <c r="K7" i="22"/>
  <c r="K6" i="22"/>
  <c r="J15" i="22"/>
  <c r="J14" i="22"/>
  <c r="J13" i="22"/>
  <c r="J12" i="22"/>
  <c r="J8" i="22"/>
  <c r="J7" i="22"/>
  <c r="B23" i="22"/>
  <c r="G9" i="22"/>
  <c r="C9" i="22"/>
  <c r="H8" i="22"/>
  <c r="C8" i="22"/>
  <c r="H7" i="22"/>
  <c r="G7" i="22"/>
  <c r="C7" i="22"/>
  <c r="H6" i="22"/>
  <c r="G6" i="22"/>
  <c r="C6" i="22"/>
  <c r="B6" i="22"/>
  <c r="K5" i="22"/>
  <c r="H5" i="22"/>
  <c r="G5" i="22"/>
  <c r="C5" i="22"/>
  <c r="B5" i="22"/>
  <c r="C4" i="22"/>
  <c r="B3" i="22"/>
  <c r="B2" i="22"/>
  <c r="H42" i="22"/>
  <c r="H9" i="22"/>
  <c r="J17" i="22" l="1"/>
  <c r="M40" i="21"/>
  <c r="L56" i="21"/>
  <c r="L55" i="21"/>
  <c r="L54" i="21"/>
  <c r="L52" i="21"/>
  <c r="L51" i="21"/>
  <c r="L50" i="21"/>
  <c r="L49" i="21"/>
  <c r="L48" i="21"/>
  <c r="L47" i="21"/>
  <c r="L46" i="21"/>
  <c r="L41" i="21"/>
  <c r="L40" i="21"/>
  <c r="L39" i="21"/>
  <c r="C39" i="21"/>
  <c r="B38" i="21"/>
  <c r="B37" i="21"/>
  <c r="J44" i="21"/>
  <c r="G44" i="21"/>
  <c r="D44" i="21"/>
  <c r="C44" i="21"/>
  <c r="D43" i="21"/>
  <c r="I42" i="21"/>
  <c r="G42" i="21"/>
  <c r="F42" i="21"/>
  <c r="E42" i="21"/>
  <c r="D42" i="21"/>
  <c r="C42" i="21"/>
  <c r="J41" i="21"/>
  <c r="I41" i="21"/>
  <c r="H41" i="21"/>
  <c r="G41" i="21"/>
  <c r="F41" i="21"/>
  <c r="E41" i="21"/>
  <c r="D41" i="21"/>
  <c r="C41" i="21"/>
  <c r="B41" i="21"/>
  <c r="J40" i="21"/>
  <c r="I40" i="21"/>
  <c r="H40" i="21"/>
  <c r="G40" i="21"/>
  <c r="F40" i="21"/>
  <c r="E40" i="21"/>
  <c r="D40" i="21"/>
  <c r="C40" i="21"/>
  <c r="B40" i="21"/>
  <c r="L21" i="21"/>
  <c r="L20" i="21"/>
  <c r="L19" i="21"/>
  <c r="L18" i="21"/>
  <c r="L17" i="21"/>
  <c r="L16" i="21"/>
  <c r="L15" i="21"/>
  <c r="L14" i="21"/>
  <c r="L13" i="21"/>
  <c r="L12" i="21"/>
  <c r="L11" i="21"/>
  <c r="M5" i="21"/>
  <c r="L6" i="21"/>
  <c r="L5" i="21"/>
  <c r="C4" i="21"/>
  <c r="J9" i="21"/>
  <c r="G9" i="21"/>
  <c r="D9" i="21"/>
  <c r="C9" i="21"/>
  <c r="I7" i="21"/>
  <c r="G7" i="21"/>
  <c r="F7" i="21"/>
  <c r="E7" i="21"/>
  <c r="D7" i="21"/>
  <c r="J6" i="21"/>
  <c r="I6" i="21"/>
  <c r="H6" i="21"/>
  <c r="G6" i="21"/>
  <c r="F6" i="21"/>
  <c r="E6" i="21"/>
  <c r="D6" i="21"/>
  <c r="J5" i="21"/>
  <c r="I5" i="21"/>
  <c r="H5" i="21"/>
  <c r="G5" i="21"/>
  <c r="F5" i="21"/>
  <c r="E5" i="21"/>
  <c r="D5" i="21"/>
  <c r="C7" i="21"/>
  <c r="C6" i="21"/>
  <c r="C5" i="21"/>
  <c r="B21" i="21"/>
  <c r="B20" i="21"/>
  <c r="B19" i="21"/>
  <c r="B18" i="21"/>
  <c r="B17" i="21"/>
  <c r="B16" i="21"/>
  <c r="B15" i="21"/>
  <c r="B14" i="21"/>
  <c r="B13" i="21"/>
  <c r="B12" i="21"/>
  <c r="B11" i="21"/>
  <c r="B34" i="21" s="1"/>
  <c r="B6" i="21"/>
  <c r="B5" i="21"/>
  <c r="B3" i="21"/>
  <c r="B2" i="21"/>
  <c r="L24" i="21" l="1"/>
  <c r="L26" i="21" s="1"/>
  <c r="L59" i="21"/>
  <c r="L61" i="21" s="1"/>
  <c r="J18" i="22"/>
  <c r="J19" i="22" l="1"/>
  <c r="B89" i="22"/>
  <c r="B21" i="22" s="1"/>
  <c r="B88" i="22"/>
  <c r="B20" i="22" s="1"/>
  <c r="B87" i="22"/>
  <c r="B19" i="22" s="1"/>
  <c r="B86" i="22"/>
  <c r="B18" i="22" s="1"/>
  <c r="B85" i="22"/>
  <c r="B17" i="22" s="1"/>
  <c r="B84" i="22"/>
  <c r="B16" i="22" s="1"/>
  <c r="B83" i="22"/>
  <c r="B15" i="22" s="1"/>
  <c r="B82" i="22"/>
  <c r="B14" i="22" s="1"/>
  <c r="B81" i="22"/>
  <c r="B13" i="22" s="1"/>
  <c r="B80" i="22"/>
  <c r="B12" i="22" s="1"/>
  <c r="B79" i="22"/>
  <c r="B11" i="22" s="1"/>
  <c r="J20" i="22" l="1"/>
  <c r="D24" i="1"/>
  <c r="J21" i="22" l="1"/>
  <c r="H46" i="18"/>
  <c r="E46" i="18"/>
  <c r="E8" i="18"/>
  <c r="C56" i="21"/>
  <c r="C55" i="21"/>
  <c r="C54" i="21"/>
  <c r="C53" i="21"/>
  <c r="C52" i="21"/>
  <c r="C51" i="21"/>
  <c r="C50" i="21"/>
  <c r="C49" i="21"/>
  <c r="C48" i="21"/>
  <c r="C47" i="21"/>
  <c r="I43" i="21"/>
  <c r="H120" i="21"/>
  <c r="E120" i="21"/>
  <c r="C21" i="21"/>
  <c r="C20" i="21"/>
  <c r="C19" i="21"/>
  <c r="C18" i="21"/>
  <c r="C17" i="21"/>
  <c r="C16" i="21"/>
  <c r="C15" i="21"/>
  <c r="C14" i="21"/>
  <c r="C13" i="21"/>
  <c r="C12" i="21"/>
  <c r="I8" i="21"/>
  <c r="H80" i="21"/>
  <c r="E80" i="21"/>
  <c r="E94" i="21" s="1"/>
  <c r="F94" i="21" l="1"/>
  <c r="F22" i="21" s="1"/>
  <c r="E22" i="21"/>
  <c r="E60" i="18"/>
  <c r="E49" i="18"/>
  <c r="E22" i="18"/>
  <c r="E11" i="18"/>
  <c r="E134" i="21"/>
  <c r="E123" i="21"/>
  <c r="E50" i="18"/>
  <c r="E57" i="18"/>
  <c r="E54" i="18"/>
  <c r="E51" i="18"/>
  <c r="E55" i="18"/>
  <c r="E56" i="18"/>
  <c r="E53" i="18"/>
  <c r="E52" i="18"/>
  <c r="E59" i="18"/>
  <c r="E58" i="18"/>
  <c r="E21" i="18"/>
  <c r="E91" i="21"/>
  <c r="F91" i="21" s="1"/>
  <c r="E90" i="21"/>
  <c r="F90" i="21" s="1"/>
  <c r="E84" i="21"/>
  <c r="F84" i="21" s="1"/>
  <c r="E92" i="21"/>
  <c r="F92" i="21" s="1"/>
  <c r="E83" i="21"/>
  <c r="E85" i="21"/>
  <c r="F85" i="21" s="1"/>
  <c r="E93" i="21"/>
  <c r="F93" i="21" s="1"/>
  <c r="E86" i="21"/>
  <c r="F86" i="21" s="1"/>
  <c r="E87" i="21"/>
  <c r="F87" i="21" s="1"/>
  <c r="E88" i="21"/>
  <c r="F88" i="21" s="1"/>
  <c r="E89" i="21"/>
  <c r="F89" i="21" s="1"/>
  <c r="H43" i="21"/>
  <c r="C11" i="21"/>
  <c r="C24" i="21" s="1"/>
  <c r="C46" i="21"/>
  <c r="C59" i="21" s="1"/>
  <c r="E8" i="21"/>
  <c r="E43" i="21"/>
  <c r="J23" i="22"/>
  <c r="J25" i="22" s="1"/>
  <c r="B46" i="21"/>
  <c r="B69" i="21" s="1"/>
  <c r="B111" i="22"/>
  <c r="B44" i="22" s="1"/>
  <c r="B48" i="21"/>
  <c r="B113" i="22"/>
  <c r="B46" i="22" s="1"/>
  <c r="B50" i="21"/>
  <c r="B115" i="22"/>
  <c r="B48" i="22" s="1"/>
  <c r="B52" i="21"/>
  <c r="B117" i="22"/>
  <c r="B50" i="22" s="1"/>
  <c r="B54" i="21"/>
  <c r="B119" i="22"/>
  <c r="B52" i="22" s="1"/>
  <c r="B56" i="21"/>
  <c r="B121" i="22"/>
  <c r="B54" i="22" s="1"/>
  <c r="B47" i="21"/>
  <c r="B112" i="22"/>
  <c r="B45" i="22" s="1"/>
  <c r="B49" i="21"/>
  <c r="B114" i="22"/>
  <c r="B47" i="22" s="1"/>
  <c r="B51" i="21"/>
  <c r="B116" i="22"/>
  <c r="B49" i="22" s="1"/>
  <c r="B53" i="21"/>
  <c r="B118" i="22"/>
  <c r="B51" i="22" s="1"/>
  <c r="B55" i="21"/>
  <c r="B120" i="22"/>
  <c r="B53" i="22" s="1"/>
  <c r="I81" i="21"/>
  <c r="I9" i="21" s="1"/>
  <c r="F8" i="21"/>
  <c r="I121" i="21"/>
  <c r="I44" i="21" s="1"/>
  <c r="F43" i="21"/>
  <c r="H81" i="21"/>
  <c r="H9" i="21" s="1"/>
  <c r="H121" i="21"/>
  <c r="H44" i="21" s="1"/>
  <c r="F121" i="21"/>
  <c r="F44" i="21" s="1"/>
  <c r="E81" i="21"/>
  <c r="E9" i="21" s="1"/>
  <c r="F81" i="21"/>
  <c r="F9" i="21" s="1"/>
  <c r="E121" i="21"/>
  <c r="E44" i="21" s="1"/>
  <c r="D63" i="19" l="1"/>
  <c r="D65" i="19"/>
  <c r="F134" i="21"/>
  <c r="F57" i="21" s="1"/>
  <c r="E57" i="21"/>
  <c r="E96" i="21"/>
  <c r="F83" i="21"/>
  <c r="F96" i="21" s="1"/>
  <c r="B20" i="14"/>
  <c r="B19" i="14"/>
  <c r="B18" i="14"/>
  <c r="B17" i="14"/>
  <c r="B16" i="14"/>
  <c r="B15" i="14"/>
  <c r="B14" i="14"/>
  <c r="B13" i="14"/>
  <c r="B12" i="14"/>
  <c r="B11" i="14"/>
  <c r="G123" i="21" l="1"/>
  <c r="E63" i="19"/>
  <c r="E65" i="19"/>
  <c r="G124" i="21" l="1"/>
  <c r="D112" i="22" s="1"/>
  <c r="D111" i="22"/>
  <c r="H123" i="21"/>
  <c r="I123" i="21" s="1"/>
  <c r="F63" i="19"/>
  <c r="F65" i="19"/>
  <c r="G125" i="21" l="1"/>
  <c r="D113" i="22" s="1"/>
  <c r="D45" i="22"/>
  <c r="E112" i="22"/>
  <c r="E45" i="22" s="1"/>
  <c r="D44" i="22"/>
  <c r="E111" i="22"/>
  <c r="E44" i="22" s="1"/>
  <c r="B58" i="18"/>
  <c r="B57" i="18"/>
  <c r="B56" i="18"/>
  <c r="B55" i="18"/>
  <c r="B54" i="18"/>
  <c r="B53" i="18"/>
  <c r="B52" i="18"/>
  <c r="B51" i="18"/>
  <c r="B50" i="18"/>
  <c r="D46" i="22" l="1"/>
  <c r="E113" i="22"/>
  <c r="E46" i="22" s="1"/>
  <c r="B54" i="14"/>
  <c r="B53" i="14"/>
  <c r="B52" i="14"/>
  <c r="B51" i="14"/>
  <c r="B50" i="14"/>
  <c r="B49" i="14"/>
  <c r="B48" i="14"/>
  <c r="B47" i="14"/>
  <c r="B46" i="14"/>
  <c r="B45" i="14"/>
  <c r="B70" i="18" l="1"/>
  <c r="B32" i="18"/>
  <c r="B15" i="19" l="1"/>
  <c r="B14" i="19"/>
  <c r="I46" i="18" l="1"/>
  <c r="F46" i="18"/>
  <c r="F8" i="18"/>
  <c r="I8" i="18"/>
  <c r="D40" i="19" l="1"/>
  <c r="D38" i="19"/>
  <c r="F60" i="18"/>
  <c r="F49" i="18"/>
  <c r="F11" i="18"/>
  <c r="F22" i="18"/>
  <c r="F21" i="18"/>
  <c r="D46" i="21"/>
  <c r="I47" i="18"/>
  <c r="F59" i="18"/>
  <c r="I9" i="18"/>
  <c r="E125" i="21"/>
  <c r="D48" i="21"/>
  <c r="E133" i="21"/>
  <c r="D56" i="21"/>
  <c r="E129" i="21"/>
  <c r="D52" i="21"/>
  <c r="E126" i="21"/>
  <c r="D49" i="21"/>
  <c r="E132" i="21"/>
  <c r="D55" i="21"/>
  <c r="E127" i="21"/>
  <c r="D50" i="21"/>
  <c r="E131" i="21"/>
  <c r="D54" i="21"/>
  <c r="E124" i="21"/>
  <c r="D47" i="21"/>
  <c r="E128" i="21"/>
  <c r="D51" i="21"/>
  <c r="E130" i="21"/>
  <c r="D53" i="21"/>
  <c r="D17" i="21"/>
  <c r="D18" i="21"/>
  <c r="D14" i="21"/>
  <c r="D16" i="21"/>
  <c r="D13" i="21"/>
  <c r="D21" i="21"/>
  <c r="E20" i="18"/>
  <c r="F20" i="18" s="1"/>
  <c r="E13" i="18"/>
  <c r="F13" i="18" s="1"/>
  <c r="E16" i="18"/>
  <c r="F16" i="18" s="1"/>
  <c r="E12" i="18"/>
  <c r="F12" i="18" s="1"/>
  <c r="E17" i="18"/>
  <c r="F17" i="18" s="1"/>
  <c r="E15" i="18"/>
  <c r="F15" i="18" s="1"/>
  <c r="F9" i="18"/>
  <c r="F47" i="18"/>
  <c r="G83" i="21" l="1"/>
  <c r="E38" i="19"/>
  <c r="E40" i="19"/>
  <c r="G84" i="21" s="1"/>
  <c r="D59" i="21"/>
  <c r="E136" i="21"/>
  <c r="E62" i="18"/>
  <c r="E46" i="21"/>
  <c r="F130" i="21"/>
  <c r="F53" i="21" s="1"/>
  <c r="E53" i="21"/>
  <c r="F128" i="21"/>
  <c r="F51" i="21" s="1"/>
  <c r="E51" i="21"/>
  <c r="F131" i="21"/>
  <c r="F54" i="21" s="1"/>
  <c r="E54" i="21"/>
  <c r="F132" i="21"/>
  <c r="F55" i="21" s="1"/>
  <c r="E55" i="21"/>
  <c r="F129" i="21"/>
  <c r="F52" i="21" s="1"/>
  <c r="E52" i="21"/>
  <c r="F125" i="21"/>
  <c r="F48" i="21" s="1"/>
  <c r="E48" i="21"/>
  <c r="F124" i="21"/>
  <c r="F47" i="21" s="1"/>
  <c r="E47" i="21"/>
  <c r="F127" i="21"/>
  <c r="F50" i="21" s="1"/>
  <c r="E50" i="21"/>
  <c r="F126" i="21"/>
  <c r="F49" i="21" s="1"/>
  <c r="E49" i="21"/>
  <c r="F133" i="21"/>
  <c r="F56" i="21" s="1"/>
  <c r="E56" i="21"/>
  <c r="D20" i="21"/>
  <c r="F13" i="21"/>
  <c r="E13" i="21"/>
  <c r="F14" i="21"/>
  <c r="E14" i="21"/>
  <c r="F17" i="21"/>
  <c r="E17" i="21"/>
  <c r="D15" i="21"/>
  <c r="D12" i="21"/>
  <c r="F21" i="21"/>
  <c r="E21" i="21"/>
  <c r="F16" i="21"/>
  <c r="E16" i="21"/>
  <c r="F18" i="21"/>
  <c r="E18" i="21"/>
  <c r="D19" i="21"/>
  <c r="F123" i="21"/>
  <c r="J123" i="21" s="1"/>
  <c r="F58" i="18"/>
  <c r="E18" i="18"/>
  <c r="F18" i="18" s="1"/>
  <c r="E19" i="18"/>
  <c r="F19" i="18" s="1"/>
  <c r="E14" i="18"/>
  <c r="F52" i="18"/>
  <c r="F57" i="18"/>
  <c r="F51" i="18"/>
  <c r="F54" i="18"/>
  <c r="F53" i="18"/>
  <c r="F55" i="18"/>
  <c r="F56" i="18"/>
  <c r="F50" i="18"/>
  <c r="D80" i="22" l="1"/>
  <c r="H84" i="21"/>
  <c r="I84" i="21" s="1"/>
  <c r="J84" i="21" s="1"/>
  <c r="U84" i="21" s="1"/>
  <c r="D79" i="22"/>
  <c r="H83" i="21"/>
  <c r="I83" i="21" s="1"/>
  <c r="J83" i="21" s="1"/>
  <c r="U83" i="21" s="1"/>
  <c r="F38" i="19"/>
  <c r="F40" i="19"/>
  <c r="E59" i="21"/>
  <c r="F136" i="21"/>
  <c r="F14" i="18"/>
  <c r="E24" i="18"/>
  <c r="F62" i="18"/>
  <c r="D11" i="21"/>
  <c r="D24" i="21" s="1"/>
  <c r="G46" i="21"/>
  <c r="F46" i="21"/>
  <c r="F59" i="21" s="1"/>
  <c r="H125" i="21"/>
  <c r="G48" i="21"/>
  <c r="H124" i="21"/>
  <c r="G47" i="21"/>
  <c r="G11" i="21"/>
  <c r="F12" i="21"/>
  <c r="E12" i="21"/>
  <c r="G12" i="21"/>
  <c r="F19" i="21"/>
  <c r="E19" i="21"/>
  <c r="F15" i="21"/>
  <c r="E15" i="21"/>
  <c r="F20" i="21"/>
  <c r="E20" i="21"/>
  <c r="G85" i="21" l="1"/>
  <c r="D11" i="22"/>
  <c r="E79" i="22"/>
  <c r="E11" i="22" s="1"/>
  <c r="D12" i="22"/>
  <c r="E80" i="22"/>
  <c r="E12" i="22" s="1"/>
  <c r="F24" i="18"/>
  <c r="E11" i="21"/>
  <c r="E24" i="21" s="1"/>
  <c r="H46" i="21"/>
  <c r="I124" i="21"/>
  <c r="J124" i="21" s="1"/>
  <c r="H47" i="21"/>
  <c r="I125" i="21"/>
  <c r="H48" i="21"/>
  <c r="H12" i="21"/>
  <c r="H11" i="21"/>
  <c r="D81" i="22" l="1"/>
  <c r="H85" i="21"/>
  <c r="G13" i="21"/>
  <c r="I46" i="21"/>
  <c r="F11" i="21"/>
  <c r="F24" i="21" s="1"/>
  <c r="I11" i="21"/>
  <c r="J125" i="21"/>
  <c r="U125" i="21" s="1"/>
  <c r="I48" i="21"/>
  <c r="U124" i="21"/>
  <c r="I47" i="21"/>
  <c r="I12" i="21"/>
  <c r="I85" i="21" l="1"/>
  <c r="H13" i="21"/>
  <c r="D13" i="22"/>
  <c r="E81" i="22"/>
  <c r="E13" i="22" s="1"/>
  <c r="U123" i="21"/>
  <c r="J11" i="21"/>
  <c r="C111" i="22"/>
  <c r="J46" i="21"/>
  <c r="J47" i="21"/>
  <c r="M47" i="21" s="1"/>
  <c r="C112" i="22"/>
  <c r="J48" i="21"/>
  <c r="M48" i="21" s="1"/>
  <c r="C113" i="22"/>
  <c r="J12" i="21"/>
  <c r="M12" i="21" s="1"/>
  <c r="C80" i="22"/>
  <c r="C79" i="22"/>
  <c r="J85" i="21" l="1"/>
  <c r="I13" i="21"/>
  <c r="C44" i="22"/>
  <c r="F111" i="22"/>
  <c r="C11" i="22"/>
  <c r="F79" i="22"/>
  <c r="C46" i="22"/>
  <c r="F113" i="22"/>
  <c r="F46" i="22" s="1"/>
  <c r="C45" i="22"/>
  <c r="F112" i="22"/>
  <c r="F45" i="22" s="1"/>
  <c r="C12" i="22"/>
  <c r="F80" i="22"/>
  <c r="F12" i="22" s="1"/>
  <c r="M11" i="21"/>
  <c r="M46" i="21"/>
  <c r="U85" i="21" l="1"/>
  <c r="J13" i="21"/>
  <c r="M13" i="21" s="1"/>
  <c r="C81" i="22"/>
  <c r="F11" i="22"/>
  <c r="G79" i="22"/>
  <c r="G80" i="22" s="1"/>
  <c r="F44" i="22"/>
  <c r="G111" i="22"/>
  <c r="G112" i="22" s="1"/>
  <c r="G113" i="22" s="1"/>
  <c r="E47" i="18"/>
  <c r="H47" i="18"/>
  <c r="H9" i="18"/>
  <c r="C13" i="22" l="1"/>
  <c r="F81" i="22"/>
  <c r="F13" i="22" s="1"/>
  <c r="E9" i="18"/>
  <c r="G81" i="22" l="1"/>
  <c r="B8" i="6"/>
  <c r="B9" i="6" s="1"/>
  <c r="B10" i="6" s="1"/>
  <c r="B13" i="6" s="1"/>
  <c r="G11" i="22" l="1"/>
  <c r="H79" i="22"/>
  <c r="H80" i="22"/>
  <c r="G8" i="5"/>
  <c r="G9" i="1" s="1"/>
  <c r="G12" i="22" l="1"/>
  <c r="H12" i="22"/>
  <c r="K12" i="22" s="1"/>
  <c r="N79" i="22"/>
  <c r="H11" i="22"/>
  <c r="K11" i="22" s="1"/>
  <c r="H81" i="22"/>
  <c r="G44" i="22"/>
  <c r="H8" i="5"/>
  <c r="J9" i="1" s="1"/>
  <c r="N80" i="22" l="1"/>
  <c r="G13" i="22"/>
  <c r="N81" i="22"/>
  <c r="G45" i="22"/>
  <c r="H111" i="22"/>
  <c r="E9" i="1"/>
  <c r="N111" i="22" l="1"/>
  <c r="H44" i="22"/>
  <c r="K44" i="22" s="1"/>
  <c r="H13" i="22"/>
  <c r="K13" i="22" s="1"/>
  <c r="H112" i="22"/>
  <c r="G46" i="22"/>
  <c r="N112" i="22" l="1"/>
  <c r="H45" i="22"/>
  <c r="K45" i="22" s="1"/>
  <c r="H113" i="22"/>
  <c r="N113" i="22" l="1"/>
  <c r="H46" i="22"/>
  <c r="K46" i="22" s="1"/>
  <c r="G40" i="19" l="1"/>
  <c r="G86" i="21" l="1"/>
  <c r="G38" i="19"/>
  <c r="L38" i="19"/>
  <c r="N40" i="19"/>
  <c r="Y40" i="19"/>
  <c r="G20" i="18" s="1"/>
  <c r="H38" i="19"/>
  <c r="S40" i="19"/>
  <c r="G14" i="18" s="1"/>
  <c r="D14" i="14" s="1"/>
  <c r="E14" i="14" s="1"/>
  <c r="J40" i="19"/>
  <c r="K38" i="19"/>
  <c r="I38" i="19"/>
  <c r="X40" i="19"/>
  <c r="G19" i="18" s="1"/>
  <c r="R38" i="19"/>
  <c r="G89" i="21" l="1"/>
  <c r="H14" i="18"/>
  <c r="D82" i="22"/>
  <c r="H86" i="21"/>
  <c r="G14" i="21"/>
  <c r="G93" i="21"/>
  <c r="D89" i="22" s="1"/>
  <c r="I40" i="19"/>
  <c r="I14" i="18"/>
  <c r="J38" i="19"/>
  <c r="U40" i="19"/>
  <c r="G16" i="18" s="1"/>
  <c r="U38" i="19"/>
  <c r="X38" i="19"/>
  <c r="P40" i="19"/>
  <c r="G11" i="18" s="1"/>
  <c r="M38" i="19"/>
  <c r="M40" i="19"/>
  <c r="O40" i="19"/>
  <c r="O38" i="19"/>
  <c r="V40" i="19"/>
  <c r="G17" i="18" s="1"/>
  <c r="D17" i="14" s="1"/>
  <c r="E17" i="14" s="1"/>
  <c r="V38" i="19"/>
  <c r="Z40" i="19"/>
  <c r="G21" i="18" s="1"/>
  <c r="H21" i="18" s="1"/>
  <c r="I21" i="18" s="1"/>
  <c r="J21" i="18" s="1"/>
  <c r="Z38" i="19"/>
  <c r="W40" i="19"/>
  <c r="G18" i="18" s="1"/>
  <c r="W38" i="19"/>
  <c r="Q38" i="19"/>
  <c r="Q40" i="19"/>
  <c r="G12" i="18" s="1"/>
  <c r="T38" i="19"/>
  <c r="T40" i="19"/>
  <c r="G15" i="18" s="1"/>
  <c r="AA38" i="19"/>
  <c r="AA40" i="19"/>
  <c r="G22" i="18" s="1"/>
  <c r="K40" i="19"/>
  <c r="S38" i="19"/>
  <c r="L40" i="19"/>
  <c r="R40" i="19"/>
  <c r="G13" i="18" s="1"/>
  <c r="P38" i="19"/>
  <c r="N38" i="19"/>
  <c r="Y38" i="19"/>
  <c r="H40" i="19"/>
  <c r="D15" i="14" l="1"/>
  <c r="E15" i="14" s="1"/>
  <c r="G87" i="21"/>
  <c r="D12" i="14"/>
  <c r="E12" i="14" s="1"/>
  <c r="H12" i="18"/>
  <c r="I12" i="18" s="1"/>
  <c r="J12" i="18" s="1"/>
  <c r="C12" i="14" s="1"/>
  <c r="D11" i="14"/>
  <c r="E11" i="14" s="1"/>
  <c r="H11" i="18"/>
  <c r="I11" i="18" s="1"/>
  <c r="J11" i="18" s="1"/>
  <c r="C11" i="14" s="1"/>
  <c r="I86" i="21"/>
  <c r="H14" i="21"/>
  <c r="D16" i="14"/>
  <c r="E16" i="14" s="1"/>
  <c r="G88" i="21"/>
  <c r="D14" i="22"/>
  <c r="E82" i="22"/>
  <c r="D21" i="22"/>
  <c r="E89" i="22"/>
  <c r="E21" i="22" s="1"/>
  <c r="H17" i="18"/>
  <c r="I17" i="18" s="1"/>
  <c r="J17" i="18" s="1"/>
  <c r="D21" i="14"/>
  <c r="E21" i="14" s="1"/>
  <c r="D85" i="22"/>
  <c r="H89" i="21"/>
  <c r="G17" i="21"/>
  <c r="D13" i="14"/>
  <c r="E13" i="14" s="1"/>
  <c r="H13" i="18"/>
  <c r="I13" i="18" s="1"/>
  <c r="J13" i="18" s="1"/>
  <c r="C13" i="14" s="1"/>
  <c r="AO40" i="19"/>
  <c r="D18" i="14"/>
  <c r="E18" i="14" s="1"/>
  <c r="G90" i="21"/>
  <c r="D86" i="22" s="1"/>
  <c r="D19" i="14"/>
  <c r="E19" i="14" s="1"/>
  <c r="G91" i="21"/>
  <c r="D87" i="22" s="1"/>
  <c r="D22" i="14"/>
  <c r="E22" i="14" s="1"/>
  <c r="G94" i="21"/>
  <c r="D90" i="22" s="1"/>
  <c r="H93" i="21"/>
  <c r="G21" i="21"/>
  <c r="D20" i="14"/>
  <c r="E20" i="14" s="1"/>
  <c r="G92" i="21"/>
  <c r="D88" i="22" s="1"/>
  <c r="AO38" i="19"/>
  <c r="C17" i="14"/>
  <c r="F17" i="14" s="1"/>
  <c r="C21" i="14"/>
  <c r="F21" i="14" s="1"/>
  <c r="H16" i="18"/>
  <c r="I16" i="18" s="1"/>
  <c r="J16" i="18" s="1"/>
  <c r="H19" i="18"/>
  <c r="I19" i="18" s="1"/>
  <c r="J19" i="18" s="1"/>
  <c r="H18" i="18"/>
  <c r="I18" i="18" s="1"/>
  <c r="J18" i="18" s="1"/>
  <c r="AO30" i="19"/>
  <c r="H15" i="18"/>
  <c r="J14" i="18"/>
  <c r="F12" i="14" l="1"/>
  <c r="D84" i="22"/>
  <c r="H88" i="21"/>
  <c r="G16" i="21"/>
  <c r="E14" i="22"/>
  <c r="J86" i="21"/>
  <c r="I14" i="21"/>
  <c r="D17" i="22"/>
  <c r="E85" i="22"/>
  <c r="F11" i="14"/>
  <c r="G11" i="14" s="1"/>
  <c r="D22" i="22"/>
  <c r="E90" i="22"/>
  <c r="E22" i="22" s="1"/>
  <c r="D20" i="22"/>
  <c r="E88" i="22"/>
  <c r="E20" i="22" s="1"/>
  <c r="D19" i="22"/>
  <c r="E87" i="22"/>
  <c r="E19" i="22" s="1"/>
  <c r="D83" i="22"/>
  <c r="H87" i="21"/>
  <c r="G15" i="21"/>
  <c r="D18" i="22"/>
  <c r="E86" i="22"/>
  <c r="E18" i="22" s="1"/>
  <c r="F13" i="14"/>
  <c r="I89" i="21"/>
  <c r="H17" i="21"/>
  <c r="G24" i="18"/>
  <c r="H92" i="21"/>
  <c r="G20" i="21"/>
  <c r="I93" i="21"/>
  <c r="H21" i="21"/>
  <c r="G22" i="21"/>
  <c r="H94" i="21"/>
  <c r="H20" i="18"/>
  <c r="I20" i="18" s="1"/>
  <c r="J20" i="18" s="1"/>
  <c r="C20" i="14" s="1"/>
  <c r="F20" i="14" s="1"/>
  <c r="H91" i="21"/>
  <c r="G19" i="21"/>
  <c r="H22" i="18"/>
  <c r="I22" i="18" s="1"/>
  <c r="J22" i="18" s="1"/>
  <c r="C22" i="14" s="1"/>
  <c r="F22" i="14" s="1"/>
  <c r="H90" i="21"/>
  <c r="G96" i="21"/>
  <c r="G18" i="21"/>
  <c r="C18" i="14"/>
  <c r="F18" i="14" s="1"/>
  <c r="C19" i="14"/>
  <c r="F19" i="14" s="1"/>
  <c r="C16" i="14"/>
  <c r="F16" i="14" s="1"/>
  <c r="C14" i="14"/>
  <c r="F14" i="14" s="1"/>
  <c r="I15" i="18"/>
  <c r="Y65" i="19"/>
  <c r="G58" i="18" s="1"/>
  <c r="T65" i="19"/>
  <c r="G53" i="18" s="1"/>
  <c r="Z63" i="19"/>
  <c r="I65" i="19"/>
  <c r="G128" i="21" s="1"/>
  <c r="Q63" i="19"/>
  <c r="M63" i="19"/>
  <c r="K65" i="19"/>
  <c r="J65" i="19"/>
  <c r="G129" i="21" s="1"/>
  <c r="H65" i="19"/>
  <c r="G127" i="21" s="1"/>
  <c r="V65" i="19"/>
  <c r="G55" i="18" s="1"/>
  <c r="N65" i="19"/>
  <c r="G65" i="19"/>
  <c r="R65" i="19"/>
  <c r="G51" i="18" s="1"/>
  <c r="X63" i="19"/>
  <c r="P63" i="19"/>
  <c r="G24" i="21" l="1"/>
  <c r="E17" i="22"/>
  <c r="D116" i="22"/>
  <c r="H128" i="21"/>
  <c r="G51" i="21"/>
  <c r="J89" i="21"/>
  <c r="I17" i="21"/>
  <c r="G12" i="14"/>
  <c r="H11" i="14"/>
  <c r="U86" i="21"/>
  <c r="C82" i="22"/>
  <c r="J14" i="21"/>
  <c r="M14" i="21" s="1"/>
  <c r="D47" i="14"/>
  <c r="E47" i="14" s="1"/>
  <c r="H51" i="18"/>
  <c r="I51" i="18" s="1"/>
  <c r="J51" i="18" s="1"/>
  <c r="C47" i="14" s="1"/>
  <c r="D15" i="22"/>
  <c r="E83" i="22"/>
  <c r="D115" i="22"/>
  <c r="G50" i="21"/>
  <c r="H127" i="21"/>
  <c r="I87" i="21"/>
  <c r="H15" i="21"/>
  <c r="I88" i="21"/>
  <c r="H16" i="21"/>
  <c r="G126" i="21"/>
  <c r="D117" i="22"/>
  <c r="H129" i="21"/>
  <c r="G52" i="21"/>
  <c r="D16" i="22"/>
  <c r="E84" i="22"/>
  <c r="D51" i="14"/>
  <c r="E51" i="14" s="1"/>
  <c r="D49" i="14"/>
  <c r="E49" i="14" s="1"/>
  <c r="G133" i="21"/>
  <c r="D121" i="22" s="1"/>
  <c r="G130" i="21"/>
  <c r="D118" i="22" s="1"/>
  <c r="I90" i="21"/>
  <c r="H96" i="21"/>
  <c r="H18" i="21"/>
  <c r="I91" i="21"/>
  <c r="H19" i="21"/>
  <c r="H24" i="18"/>
  <c r="H22" i="21"/>
  <c r="I94" i="21"/>
  <c r="J93" i="21"/>
  <c r="I21" i="21"/>
  <c r="I92" i="21"/>
  <c r="H20" i="21"/>
  <c r="H53" i="18"/>
  <c r="I53" i="18" s="1"/>
  <c r="J53" i="18" s="1"/>
  <c r="H55" i="18"/>
  <c r="I55" i="18" s="1"/>
  <c r="J55" i="18" s="1"/>
  <c r="J15" i="18"/>
  <c r="I24" i="18"/>
  <c r="J63" i="19"/>
  <c r="H63" i="19"/>
  <c r="K63" i="19"/>
  <c r="M65" i="19"/>
  <c r="Z65" i="19"/>
  <c r="G59" i="18" s="1"/>
  <c r="D55" i="14" s="1"/>
  <c r="E55" i="14" s="1"/>
  <c r="N63" i="19"/>
  <c r="T63" i="19"/>
  <c r="Q65" i="19"/>
  <c r="G50" i="18" s="1"/>
  <c r="R63" i="19"/>
  <c r="AA65" i="19"/>
  <c r="G60" i="18" s="1"/>
  <c r="AA63" i="19"/>
  <c r="U63" i="19"/>
  <c r="U65" i="19"/>
  <c r="G54" i="18" s="1"/>
  <c r="D50" i="14" s="1"/>
  <c r="E50" i="14" s="1"/>
  <c r="W65" i="19"/>
  <c r="G56" i="18" s="1"/>
  <c r="D52" i="14" s="1"/>
  <c r="E52" i="14" s="1"/>
  <c r="W63" i="19"/>
  <c r="S65" i="19"/>
  <c r="G52" i="18" s="1"/>
  <c r="D48" i="14" s="1"/>
  <c r="E48" i="14" s="1"/>
  <c r="S63" i="19"/>
  <c r="L63" i="19"/>
  <c r="L65" i="19"/>
  <c r="V63" i="19"/>
  <c r="P65" i="19"/>
  <c r="I63" i="19"/>
  <c r="G63" i="19"/>
  <c r="X65" i="19"/>
  <c r="G57" i="18" s="1"/>
  <c r="Y63" i="19"/>
  <c r="H52" i="18" l="1"/>
  <c r="I52" i="18" s="1"/>
  <c r="F47" i="14"/>
  <c r="D51" i="22"/>
  <c r="E118" i="22"/>
  <c r="E51" i="22" s="1"/>
  <c r="D54" i="22"/>
  <c r="E121" i="22"/>
  <c r="E54" i="22" s="1"/>
  <c r="J87" i="21"/>
  <c r="I15" i="21"/>
  <c r="G13" i="14"/>
  <c r="H12" i="14"/>
  <c r="I127" i="21"/>
  <c r="H50" i="21"/>
  <c r="U89" i="21"/>
  <c r="J17" i="21"/>
  <c r="M17" i="21" s="1"/>
  <c r="C85" i="22"/>
  <c r="J88" i="21"/>
  <c r="I16" i="21"/>
  <c r="D48" i="22"/>
  <c r="E115" i="22"/>
  <c r="I129" i="21"/>
  <c r="H52" i="21"/>
  <c r="E15" i="22"/>
  <c r="H51" i="21"/>
  <c r="I128" i="21"/>
  <c r="C14" i="22"/>
  <c r="F82" i="22"/>
  <c r="D46" i="14"/>
  <c r="E46" i="14" s="1"/>
  <c r="H50" i="18"/>
  <c r="I50" i="18" s="1"/>
  <c r="J50" i="18" s="1"/>
  <c r="C46" i="14" s="1"/>
  <c r="F46" i="14" s="1"/>
  <c r="H59" i="18"/>
  <c r="I59" i="18" s="1"/>
  <c r="J59" i="18" s="1"/>
  <c r="C55" i="14" s="1"/>
  <c r="F55" i="14" s="1"/>
  <c r="D50" i="22"/>
  <c r="E117" i="22"/>
  <c r="D49" i="22"/>
  <c r="E116" i="22"/>
  <c r="H24" i="21"/>
  <c r="E16" i="22"/>
  <c r="AO65" i="19"/>
  <c r="G49" i="18"/>
  <c r="H54" i="18"/>
  <c r="I54" i="18" s="1"/>
  <c r="J54" i="18" s="1"/>
  <c r="C50" i="14" s="1"/>
  <c r="F50" i="14" s="1"/>
  <c r="D114" i="22"/>
  <c r="H126" i="21"/>
  <c r="G49" i="21"/>
  <c r="H56" i="18"/>
  <c r="I56" i="18" s="1"/>
  <c r="J56" i="18" s="1"/>
  <c r="C52" i="14" s="1"/>
  <c r="F52" i="14" s="1"/>
  <c r="D54" i="14"/>
  <c r="E54" i="14" s="1"/>
  <c r="G132" i="21"/>
  <c r="D120" i="22" s="1"/>
  <c r="G53" i="21"/>
  <c r="H130" i="21"/>
  <c r="D53" i="14"/>
  <c r="E53" i="14" s="1"/>
  <c r="G131" i="21"/>
  <c r="D119" i="22" s="1"/>
  <c r="H133" i="21"/>
  <c r="G56" i="21"/>
  <c r="J90" i="21"/>
  <c r="I96" i="21"/>
  <c r="I18" i="21"/>
  <c r="J92" i="21"/>
  <c r="I20" i="21"/>
  <c r="J91" i="21"/>
  <c r="I19" i="21"/>
  <c r="U93" i="21"/>
  <c r="J21" i="21"/>
  <c r="M21" i="21" s="1"/>
  <c r="C89" i="22"/>
  <c r="J94" i="21"/>
  <c r="I22" i="21"/>
  <c r="AO63" i="19"/>
  <c r="H58" i="18"/>
  <c r="I58" i="18" s="1"/>
  <c r="J58" i="18" s="1"/>
  <c r="C51" i="14"/>
  <c r="F51" i="14" s="1"/>
  <c r="C49" i="14"/>
  <c r="F49" i="14" s="1"/>
  <c r="C15" i="14"/>
  <c r="F15" i="14" s="1"/>
  <c r="J24" i="18"/>
  <c r="J17" i="1"/>
  <c r="O65" i="19"/>
  <c r="O63" i="19"/>
  <c r="J52" i="18"/>
  <c r="J127" i="21" l="1"/>
  <c r="I50" i="21"/>
  <c r="D52" i="22"/>
  <c r="E119" i="22"/>
  <c r="E52" i="22" s="1"/>
  <c r="H13" i="14"/>
  <c r="G14" i="14"/>
  <c r="H14" i="14" s="1"/>
  <c r="E49" i="22"/>
  <c r="E50" i="22"/>
  <c r="E48" i="22"/>
  <c r="U87" i="21"/>
  <c r="J15" i="21"/>
  <c r="M15" i="21" s="1"/>
  <c r="C83" i="22"/>
  <c r="H49" i="21"/>
  <c r="I126" i="21"/>
  <c r="J128" i="21"/>
  <c r="I51" i="21"/>
  <c r="J129" i="21"/>
  <c r="I52" i="21"/>
  <c r="D47" i="22"/>
  <c r="E114" i="22"/>
  <c r="U88" i="21"/>
  <c r="J16" i="21"/>
  <c r="M16" i="21" s="1"/>
  <c r="C84" i="22"/>
  <c r="D53" i="22"/>
  <c r="E120" i="22"/>
  <c r="E53" i="22" s="1"/>
  <c r="D45" i="14"/>
  <c r="E45" i="14" s="1"/>
  <c r="H49" i="18"/>
  <c r="I49" i="18" s="1"/>
  <c r="J49" i="18" s="1"/>
  <c r="C45" i="14" s="1"/>
  <c r="F45" i="14" s="1"/>
  <c r="G45" i="14" s="1"/>
  <c r="F14" i="22"/>
  <c r="G82" i="22"/>
  <c r="C17" i="22"/>
  <c r="F85" i="22"/>
  <c r="F17" i="22" s="1"/>
  <c r="C21" i="22"/>
  <c r="F89" i="22"/>
  <c r="F21" i="22" s="1"/>
  <c r="D56" i="14"/>
  <c r="E56" i="14" s="1"/>
  <c r="G134" i="21"/>
  <c r="D122" i="22" s="1"/>
  <c r="I130" i="21"/>
  <c r="H53" i="21"/>
  <c r="H131" i="21"/>
  <c r="G54" i="21"/>
  <c r="H57" i="18"/>
  <c r="I57" i="18" s="1"/>
  <c r="J57" i="18" s="1"/>
  <c r="C53" i="14" s="1"/>
  <c r="F53" i="14" s="1"/>
  <c r="H132" i="21"/>
  <c r="G55" i="21"/>
  <c r="I133" i="21"/>
  <c r="H56" i="21"/>
  <c r="I24" i="21"/>
  <c r="U94" i="21"/>
  <c r="J22" i="21"/>
  <c r="M22" i="21" s="1"/>
  <c r="C90" i="22"/>
  <c r="U91" i="21"/>
  <c r="J19" i="21"/>
  <c r="M19" i="21" s="1"/>
  <c r="C87" i="22"/>
  <c r="U92" i="21"/>
  <c r="J20" i="21"/>
  <c r="M20" i="21" s="1"/>
  <c r="C88" i="22"/>
  <c r="U90" i="21"/>
  <c r="J96" i="21"/>
  <c r="J18" i="21"/>
  <c r="C86" i="22"/>
  <c r="F86" i="22" s="1"/>
  <c r="H60" i="18"/>
  <c r="I60" i="18" s="1"/>
  <c r="J60" i="18" s="1"/>
  <c r="C54" i="14"/>
  <c r="F54" i="14" s="1"/>
  <c r="C48" i="14"/>
  <c r="F48" i="14" s="1"/>
  <c r="G62" i="18"/>
  <c r="G15" i="14" l="1"/>
  <c r="G16" i="14" s="1"/>
  <c r="G17" i="14" s="1"/>
  <c r="G18" i="14" s="1"/>
  <c r="G19" i="14" s="1"/>
  <c r="G20" i="14" s="1"/>
  <c r="G21" i="14" s="1"/>
  <c r="G22" i="14" s="1"/>
  <c r="H15" i="14"/>
  <c r="J126" i="21"/>
  <c r="I49" i="21"/>
  <c r="U129" i="21"/>
  <c r="C117" i="22"/>
  <c r="J52" i="21"/>
  <c r="M52" i="21" s="1"/>
  <c r="E47" i="22"/>
  <c r="G46" i="14"/>
  <c r="H45" i="14"/>
  <c r="U128" i="21"/>
  <c r="J51" i="21"/>
  <c r="M51" i="21" s="1"/>
  <c r="C116" i="22"/>
  <c r="C16" i="22"/>
  <c r="F84" i="22"/>
  <c r="F16" i="22" s="1"/>
  <c r="H82" i="22"/>
  <c r="G14" i="22"/>
  <c r="C15" i="22"/>
  <c r="F83" i="22"/>
  <c r="F15" i="22" s="1"/>
  <c r="D55" i="22"/>
  <c r="E122" i="22"/>
  <c r="E55" i="22" s="1"/>
  <c r="U127" i="21"/>
  <c r="C115" i="22"/>
  <c r="J50" i="21"/>
  <c r="M50" i="21" s="1"/>
  <c r="C19" i="22"/>
  <c r="F87" i="22"/>
  <c r="F19" i="22" s="1"/>
  <c r="C22" i="22"/>
  <c r="F90" i="22"/>
  <c r="F22" i="22" s="1"/>
  <c r="C20" i="22"/>
  <c r="F88" i="22"/>
  <c r="F20" i="22" s="1"/>
  <c r="F18" i="22"/>
  <c r="I131" i="21"/>
  <c r="H54" i="21"/>
  <c r="J62" i="18"/>
  <c r="I56" i="21"/>
  <c r="J133" i="21"/>
  <c r="J130" i="21"/>
  <c r="I53" i="21"/>
  <c r="I62" i="18"/>
  <c r="H134" i="21"/>
  <c r="H136" i="21" s="1"/>
  <c r="G57" i="21"/>
  <c r="G59" i="21" s="1"/>
  <c r="H55" i="21"/>
  <c r="I132" i="21"/>
  <c r="G136" i="21"/>
  <c r="U96" i="21"/>
  <c r="J98" i="21"/>
  <c r="U98" i="21" s="1"/>
  <c r="J26" i="18" s="1"/>
  <c r="J28" i="18" s="1"/>
  <c r="G11" i="1" s="1"/>
  <c r="C18" i="22"/>
  <c r="M18" i="21"/>
  <c r="M24" i="21" s="1"/>
  <c r="J24" i="21"/>
  <c r="J26" i="21" s="1"/>
  <c r="M26" i="21" s="1"/>
  <c r="H62" i="18"/>
  <c r="C56" i="14"/>
  <c r="F56" i="14" s="1"/>
  <c r="H16" i="14" l="1"/>
  <c r="C49" i="22"/>
  <c r="F116" i="22"/>
  <c r="F49" i="22" s="1"/>
  <c r="G47" i="14"/>
  <c r="H46" i="14"/>
  <c r="C48" i="22"/>
  <c r="F115" i="22"/>
  <c r="F48" i="22" s="1"/>
  <c r="H14" i="22"/>
  <c r="K14" i="22" s="1"/>
  <c r="N82" i="22"/>
  <c r="C50" i="22"/>
  <c r="F117" i="22"/>
  <c r="F50" i="22" s="1"/>
  <c r="G83" i="22"/>
  <c r="U126" i="21"/>
  <c r="C114" i="22"/>
  <c r="J49" i="21"/>
  <c r="M49" i="21" s="1"/>
  <c r="H57" i="21"/>
  <c r="H59" i="21" s="1"/>
  <c r="I134" i="21"/>
  <c r="I136" i="21" s="1"/>
  <c r="J53" i="21"/>
  <c r="M53" i="21" s="1"/>
  <c r="C118" i="22"/>
  <c r="F118" i="22" s="1"/>
  <c r="U130" i="21"/>
  <c r="I55" i="21"/>
  <c r="J132" i="21"/>
  <c r="J131" i="21"/>
  <c r="I54" i="21"/>
  <c r="U133" i="21"/>
  <c r="J56" i="21"/>
  <c r="M56" i="21" s="1"/>
  <c r="C121" i="22"/>
  <c r="H17" i="14"/>
  <c r="H47" i="14" l="1"/>
  <c r="G48" i="14"/>
  <c r="G84" i="22"/>
  <c r="H83" i="22"/>
  <c r="G15" i="22"/>
  <c r="C47" i="22"/>
  <c r="F114" i="22"/>
  <c r="F51" i="22"/>
  <c r="C54" i="22"/>
  <c r="F121" i="22"/>
  <c r="F54" i="22" s="1"/>
  <c r="U131" i="21"/>
  <c r="C119" i="22"/>
  <c r="J54" i="21"/>
  <c r="M54" i="21" s="1"/>
  <c r="U132" i="21"/>
  <c r="C120" i="22"/>
  <c r="J55" i="21"/>
  <c r="C51" i="22"/>
  <c r="J134" i="21"/>
  <c r="I57" i="21"/>
  <c r="I59" i="21" s="1"/>
  <c r="H18" i="14"/>
  <c r="H15" i="22" l="1"/>
  <c r="K15" i="22" s="1"/>
  <c r="N83" i="22"/>
  <c r="G85" i="22"/>
  <c r="H84" i="22"/>
  <c r="G16" i="22"/>
  <c r="G49" i="14"/>
  <c r="H48" i="14"/>
  <c r="F47" i="22"/>
  <c r="G114" i="22"/>
  <c r="C53" i="22"/>
  <c r="F120" i="22"/>
  <c r="F53" i="22" s="1"/>
  <c r="C52" i="22"/>
  <c r="F119" i="22"/>
  <c r="F52" i="22" s="1"/>
  <c r="J57" i="21"/>
  <c r="M57" i="21" s="1"/>
  <c r="U134" i="21"/>
  <c r="C122" i="22"/>
  <c r="M55" i="21"/>
  <c r="J136" i="21"/>
  <c r="H19" i="14"/>
  <c r="G115" i="22" l="1"/>
  <c r="G47" i="22"/>
  <c r="H114" i="22"/>
  <c r="N84" i="22"/>
  <c r="H16" i="22"/>
  <c r="K16" i="22" s="1"/>
  <c r="H85" i="22"/>
  <c r="G17" i="22"/>
  <c r="G86" i="22"/>
  <c r="G50" i="14"/>
  <c r="H49" i="14"/>
  <c r="C55" i="22"/>
  <c r="F122" i="22"/>
  <c r="F55" i="22" s="1"/>
  <c r="M59" i="21"/>
  <c r="J59" i="21"/>
  <c r="J61" i="21" s="1"/>
  <c r="M61" i="21" s="1"/>
  <c r="J138" i="21"/>
  <c r="U138" i="21" s="1"/>
  <c r="J64" i="18" s="1"/>
  <c r="J66" i="18" s="1"/>
  <c r="U136" i="21"/>
  <c r="H20" i="14"/>
  <c r="G87" i="22" l="1"/>
  <c r="H86" i="22"/>
  <c r="G18" i="22"/>
  <c r="N114" i="22"/>
  <c r="H47" i="22"/>
  <c r="K47" i="22" s="1"/>
  <c r="G51" i="14"/>
  <c r="H50" i="14"/>
  <c r="H17" i="22"/>
  <c r="K17" i="22" s="1"/>
  <c r="N85" i="22"/>
  <c r="G116" i="22"/>
  <c r="G48" i="22"/>
  <c r="H115" i="22"/>
  <c r="J11" i="1"/>
  <c r="H22" i="14"/>
  <c r="H21" i="14"/>
  <c r="G117" i="22" l="1"/>
  <c r="G49" i="22"/>
  <c r="H116" i="22"/>
  <c r="G52" i="14"/>
  <c r="H51" i="14"/>
  <c r="E11" i="1"/>
  <c r="N115" i="22"/>
  <c r="H48" i="22"/>
  <c r="K48" i="22" s="1"/>
  <c r="N86" i="22"/>
  <c r="H18" i="22"/>
  <c r="K18" i="22" s="1"/>
  <c r="G88" i="22"/>
  <c r="H87" i="22"/>
  <c r="G19" i="22"/>
  <c r="H23" i="14"/>
  <c r="G89" i="22" l="1"/>
  <c r="G20" i="22"/>
  <c r="H88" i="22"/>
  <c r="G53" i="14"/>
  <c r="H52" i="14"/>
  <c r="N116" i="22"/>
  <c r="H49" i="22"/>
  <c r="K49" i="22" s="1"/>
  <c r="H19" i="22"/>
  <c r="K19" i="22" s="1"/>
  <c r="N87" i="22"/>
  <c r="G50" i="22"/>
  <c r="H117" i="22"/>
  <c r="G118" i="22"/>
  <c r="H20" i="22" l="1"/>
  <c r="K20" i="22" s="1"/>
  <c r="N88" i="22"/>
  <c r="N117" i="22"/>
  <c r="H50" i="22"/>
  <c r="K50" i="22" s="1"/>
  <c r="G54" i="14"/>
  <c r="H53" i="14"/>
  <c r="G51" i="22"/>
  <c r="H118" i="22"/>
  <c r="G119" i="22"/>
  <c r="G90" i="22"/>
  <c r="G21" i="22"/>
  <c r="H89" i="22"/>
  <c r="N118" i="22" l="1"/>
  <c r="H51" i="22"/>
  <c r="K51" i="22" s="1"/>
  <c r="G55" i="14"/>
  <c r="H54" i="14"/>
  <c r="H90" i="22"/>
  <c r="G22" i="22"/>
  <c r="G120" i="22"/>
  <c r="G52" i="22"/>
  <c r="H119" i="22"/>
  <c r="H21" i="22"/>
  <c r="K21" i="22" s="1"/>
  <c r="N89" i="22"/>
  <c r="G121" i="22" l="1"/>
  <c r="G53" i="22"/>
  <c r="H120" i="22"/>
  <c r="H22" i="22"/>
  <c r="K22" i="22" s="1"/>
  <c r="N90" i="22"/>
  <c r="H91" i="22"/>
  <c r="N119" i="22"/>
  <c r="H52" i="22"/>
  <c r="K52" i="22" s="1"/>
  <c r="G56" i="14"/>
  <c r="H56" i="14" s="1"/>
  <c r="H55" i="14"/>
  <c r="H57" i="14" l="1"/>
  <c r="N120" i="22"/>
  <c r="H53" i="22"/>
  <c r="K53" i="22" s="1"/>
  <c r="H23" i="22"/>
  <c r="N91" i="22"/>
  <c r="H93" i="22"/>
  <c r="N93" i="22" s="1"/>
  <c r="H25" i="14" s="1"/>
  <c r="H27" i="14" s="1"/>
  <c r="G13" i="1" s="1"/>
  <c r="G122" i="22"/>
  <c r="H121" i="22"/>
  <c r="G54" i="22"/>
  <c r="G15" i="1" l="1"/>
  <c r="K23" i="22"/>
  <c r="H25" i="22"/>
  <c r="K25" i="22" s="1"/>
  <c r="N121" i="22"/>
  <c r="H54" i="22"/>
  <c r="K54" i="22" s="1"/>
  <c r="H122" i="22"/>
  <c r="H123" i="22" s="1"/>
  <c r="G55" i="22"/>
  <c r="N123" i="22" l="1"/>
  <c r="H56" i="22"/>
  <c r="H125" i="22"/>
  <c r="N125" i="22" s="1"/>
  <c r="H59" i="14" s="1"/>
  <c r="H61" i="14" s="1"/>
  <c r="J13" i="1" s="1"/>
  <c r="N122" i="22"/>
  <c r="H55" i="22"/>
  <c r="K55" i="22" s="1"/>
  <c r="G19" i="1"/>
  <c r="J15" i="1" l="1"/>
  <c r="E13" i="1"/>
  <c r="K56" i="22"/>
  <c r="H58" i="22"/>
  <c r="K58" i="22" s="1"/>
  <c r="E10" i="6"/>
  <c r="F10" i="6" s="1"/>
  <c r="E7" i="6"/>
  <c r="F7" i="6" s="1"/>
  <c r="E9" i="6"/>
  <c r="F9" i="6" s="1"/>
  <c r="E8" i="6"/>
  <c r="F8" i="6" s="1"/>
  <c r="J19" i="1" l="1"/>
  <c r="E13" i="6" s="1"/>
  <c r="F13" i="6" s="1"/>
  <c r="E15" i="1"/>
</calcChain>
</file>

<file path=xl/sharedStrings.xml><?xml version="1.0" encoding="utf-8"?>
<sst xmlns="http://schemas.openxmlformats.org/spreadsheetml/2006/main" count="855" uniqueCount="334">
  <si>
    <t>CONFIDENTIAL</t>
  </si>
  <si>
    <t>DO NOT DUPLICATE</t>
  </si>
  <si>
    <t>TAP RATE RIDER 
RECONCILIATION MODEL</t>
  </si>
  <si>
    <t>Last Revised</t>
  </si>
  <si>
    <t xml:space="preserve">©Black &amp; Veatch Corporation, 2015. All Rights Reserved. The Black &amp; Veatch </t>
  </si>
  <si>
    <t>name and logo are registered trademarks of Black &amp; Veatch Holding Company.</t>
  </si>
  <si>
    <t>PHILADELPHIA WATER DEPARTMENT</t>
  </si>
  <si>
    <t>Sheet Title</t>
  </si>
  <si>
    <t xml:space="preserve">Description </t>
  </si>
  <si>
    <t>Home</t>
  </si>
  <si>
    <t>Home screen with model revision and data input dates</t>
  </si>
  <si>
    <t>Table of Contents</t>
  </si>
  <si>
    <t xml:space="preserve">Assumptions and Inputs </t>
  </si>
  <si>
    <t>Summary of assumptions and inputs including codified factors and adjustment dashboard</t>
  </si>
  <si>
    <t>Customer</t>
  </si>
  <si>
    <t xml:space="preserve">Customer data including actual and estimated TAP Program Discounts, Billed Water and Sewer Volume for the Most Recent Rate Period </t>
  </si>
  <si>
    <t xml:space="preserve">Summary </t>
  </si>
  <si>
    <t>Table 1 - Summary of TAP rate rider reconciliation calculations / Derivation of TAP-R Surcharges</t>
  </si>
  <si>
    <t>C-Factor</t>
  </si>
  <si>
    <t>Table 2 - Calculation of Projected TAP Lost Billings for the Next Rate Period</t>
  </si>
  <si>
    <t>E-Factor</t>
  </si>
  <si>
    <t>Table 3 - Calculation of Experienced &amp; Estimated Net Over/(Under) Collection (E-Factor) for Most Recent Period</t>
  </si>
  <si>
    <t>E-Factor Prior</t>
  </si>
  <si>
    <t>Table 3-A - Calculation of Experienced &amp; Estimated Net Over/(Under) Collection (E-Factor) for Prior Reconciliation Most Recent Period</t>
  </si>
  <si>
    <t>I-Factor</t>
  </si>
  <si>
    <t>Table 4 - Calculation of Interest on Experienced &amp; Estimated Net Over/(Under) Collection (I-Factor) for Most Recent Period</t>
  </si>
  <si>
    <t>I-Factor Prior</t>
  </si>
  <si>
    <t>Table 4-A - Calculation of Interest on Experienced &amp; Estimated Net Over/(Under) Collection (I-Factor) for Prior Reconciliation Most Recent Period</t>
  </si>
  <si>
    <t>Rates</t>
  </si>
  <si>
    <t xml:space="preserve">Table 5 - Application of TAP-R surcharge to adopted water and sewer quantity charges </t>
  </si>
  <si>
    <t xml:space="preserve">Philadelphia Water Department </t>
  </si>
  <si>
    <t>Tap Rate Rider - Assumptions and Inputs</t>
  </si>
  <si>
    <t>Description</t>
  </si>
  <si>
    <t>Source / Notes</t>
  </si>
  <si>
    <t xml:space="preserve">Location </t>
  </si>
  <si>
    <t>Additional Notes</t>
  </si>
  <si>
    <t>TAP Program Inputs</t>
  </si>
  <si>
    <t>Average Monthly Discount - Most Recent Period ($)</t>
  </si>
  <si>
    <t>Raftelis Financial Consultants</t>
  </si>
  <si>
    <t>TRR_Summary</t>
  </si>
  <si>
    <t xml:space="preserve">Average Monthly Usage - Most Recent Period (cf) </t>
  </si>
  <si>
    <t xml:space="preserve">Estimated TAP Participants - Next Rate Period </t>
  </si>
  <si>
    <t>Estimated TAP Total Discount</t>
  </si>
  <si>
    <t>Volume Projections</t>
  </si>
  <si>
    <t>Non-TAP Sales Adjustment Next Rate Period</t>
  </si>
  <si>
    <t>Not used at this time</t>
  </si>
  <si>
    <t>Convert CCF to MCF (Divide by)</t>
  </si>
  <si>
    <t>TAP Rider Rates</t>
  </si>
  <si>
    <t>Water TAP-R ($/MCF)</t>
  </si>
  <si>
    <t>per MCF</t>
  </si>
  <si>
    <t>Section 10.3(a)(1)</t>
  </si>
  <si>
    <t>Sewer TAP-R ($/MCF)</t>
  </si>
  <si>
    <t>Section 10.3(b)(1)</t>
  </si>
  <si>
    <t>PWD Regulations - Rates and Charges Effective September 1, 2024</t>
  </si>
  <si>
    <t xml:space="preserve">Codified Factors </t>
  </si>
  <si>
    <t xml:space="preserve">Collection Factor </t>
  </si>
  <si>
    <t>Section 10.1(b)(3)</t>
  </si>
  <si>
    <t>Water TAP Cost Allocation (%)</t>
  </si>
  <si>
    <t>Section 10.1(a)(i)</t>
  </si>
  <si>
    <t>Sewer TAP Cost Allocation (%)</t>
  </si>
  <si>
    <t>Section 10.1(a)(ii)</t>
  </si>
  <si>
    <t>Prior Reconciliation Proceeding</t>
  </si>
  <si>
    <t>Interest Rate (%)</t>
  </si>
  <si>
    <t>Section 10.1(b)(4)</t>
  </si>
  <si>
    <r>
      <t xml:space="preserve">Downloaded from: </t>
    </r>
    <r>
      <rPr>
        <u val="singleAccounting"/>
        <sz val="11"/>
        <color theme="3"/>
        <rFont val="Roboto"/>
      </rPr>
      <t xml:space="preserve">https://www.federalreserve.gov/releases/h15/  </t>
    </r>
  </si>
  <si>
    <t>as of</t>
  </si>
  <si>
    <t>Current Reconciliation Proceeding</t>
  </si>
  <si>
    <t>Treasury Constant Maturities, 1 year</t>
  </si>
  <si>
    <t>Reconciliation Period</t>
  </si>
  <si>
    <t>Number of Months</t>
  </si>
  <si>
    <t>Other Inputs</t>
  </si>
  <si>
    <t>TAP Rider Rate Effective Date</t>
  </si>
  <si>
    <t>Next Rate Period End Date</t>
  </si>
  <si>
    <t>Cost of Service Study Start Year</t>
  </si>
  <si>
    <t>Cost of Service Study End Year</t>
  </si>
  <si>
    <t>FY 2027</t>
  </si>
  <si>
    <t>Estimate Period End</t>
  </si>
  <si>
    <t>Prior Reconciliation Factors</t>
  </si>
  <si>
    <t>Water</t>
  </si>
  <si>
    <t>Sewer</t>
  </si>
  <si>
    <t xml:space="preserve">E-Factor Adjustment </t>
  </si>
  <si>
    <t xml:space="preserve">I-Factor Adjustment </t>
  </si>
  <si>
    <t>S-Factor (MCF)</t>
  </si>
  <si>
    <t xml:space="preserve">E + I Factor Component </t>
  </si>
  <si>
    <t>$/MCF</t>
  </si>
  <si>
    <t>Discount Adjustments</t>
  </si>
  <si>
    <t>Senior Discount</t>
  </si>
  <si>
    <t>Section 5.2 (b)</t>
  </si>
  <si>
    <t>PHA Discount</t>
  </si>
  <si>
    <t>PWD Regulations - Rates and Charges Effective September 1, 2025</t>
  </si>
  <si>
    <t>Section 5.2 (d)</t>
  </si>
  <si>
    <t>Non-PHA Discount (Other discount)</t>
  </si>
  <si>
    <t>PWD Regulations - Rates and Charges Effective September 1, 2026</t>
  </si>
  <si>
    <t>Section 5.2 (a), (c) through (n)</t>
  </si>
  <si>
    <t>Most Recent Period</t>
  </si>
  <si>
    <t>September</t>
  </si>
  <si>
    <t>November</t>
  </si>
  <si>
    <t>February</t>
  </si>
  <si>
    <t>March</t>
  </si>
  <si>
    <t>April</t>
  </si>
  <si>
    <t>June</t>
  </si>
  <si>
    <t>August</t>
  </si>
  <si>
    <t>October</t>
  </si>
  <si>
    <t>December</t>
  </si>
  <si>
    <t>January</t>
  </si>
  <si>
    <t>May</t>
  </si>
  <si>
    <t>July</t>
  </si>
  <si>
    <t>MOST RECENT PERIOD TOTAL</t>
  </si>
  <si>
    <t>NEXT RATE PERIOD TOTAL</t>
  </si>
  <si>
    <t>Source</t>
  </si>
  <si>
    <t>Notes</t>
  </si>
  <si>
    <t xml:space="preserve">TAP Program </t>
  </si>
  <si>
    <t>Actuals (Reconciled Period)</t>
  </si>
  <si>
    <t>Most Recent Period (Actuals)</t>
  </si>
  <si>
    <t>Most Recent Period (Estimated)</t>
  </si>
  <si>
    <t xml:space="preserve">Estimated (Next Rate Period) </t>
  </si>
  <si>
    <t>Participants (#)</t>
  </si>
  <si>
    <t>Totals</t>
  </si>
  <si>
    <t>Estimates reflect Raftelis' projections.</t>
  </si>
  <si>
    <t>TAP Discounts ($)</t>
  </si>
  <si>
    <t>Allocated TAP Discounts</t>
  </si>
  <si>
    <t xml:space="preserve">Allocated share to Water </t>
  </si>
  <si>
    <t>Allocated share to Sewer</t>
  </si>
  <si>
    <t>check</t>
  </si>
  <si>
    <t>Water - Monthly Billed Water Volume (CCF)</t>
  </si>
  <si>
    <t>TAP</t>
  </si>
  <si>
    <t>TAP Participants</t>
  </si>
  <si>
    <t>Non-TAP</t>
  </si>
  <si>
    <t xml:space="preserve">Estimates assume constant monthly average based upon prior 12 months </t>
  </si>
  <si>
    <t>No Additional Discount</t>
  </si>
  <si>
    <t xml:space="preserve">Non-TAP (Adjusted for Discounts) </t>
  </si>
  <si>
    <t>Total</t>
  </si>
  <si>
    <t>USE NON-TAP SALES</t>
  </si>
  <si>
    <t>Sewer - Monthly Billed Water Volume (CCF)</t>
  </si>
  <si>
    <t>Estimates assume constant monthly average based upon prior 12 months</t>
  </si>
  <si>
    <t>TOTAL</t>
  </si>
  <si>
    <t xml:space="preserve">Water </t>
  </si>
  <si>
    <t xml:space="preserve">Wastewater </t>
  </si>
  <si>
    <t xml:space="preserve">Amount </t>
  </si>
  <si>
    <t>(1)</t>
  </si>
  <si>
    <r>
      <t>C = Projected TAP Billing Loss</t>
    </r>
    <r>
      <rPr>
        <vertAlign val="superscript"/>
        <sz val="11"/>
        <color theme="1"/>
        <rFont val="Roboto"/>
      </rPr>
      <t>a</t>
    </r>
    <r>
      <rPr>
        <sz val="11"/>
        <color theme="1"/>
        <rFont val="Roboto"/>
      </rPr>
      <t xml:space="preserve"> </t>
    </r>
  </si>
  <si>
    <t>(2)</t>
  </si>
  <si>
    <r>
      <t xml:space="preserve">E = Experienced &amp; Estimated Net Over/Under Collection </t>
    </r>
    <r>
      <rPr>
        <vertAlign val="superscript"/>
        <sz val="11"/>
        <color theme="1"/>
        <rFont val="Roboto"/>
      </rPr>
      <t>b</t>
    </r>
  </si>
  <si>
    <t>(3)</t>
  </si>
  <si>
    <r>
      <t xml:space="preserve">I = Interest on Experienced &amp; Estimated Net Over/Under Collection </t>
    </r>
    <r>
      <rPr>
        <vertAlign val="superscript"/>
        <sz val="11"/>
        <color theme="1"/>
        <rFont val="Roboto"/>
      </rPr>
      <t>c</t>
    </r>
  </si>
  <si>
    <t>(4)</t>
  </si>
  <si>
    <r>
      <t>Net Recoverable Costs</t>
    </r>
    <r>
      <rPr>
        <vertAlign val="superscript"/>
        <sz val="11"/>
        <color theme="1"/>
        <rFont val="Roboto"/>
      </rPr>
      <t>d</t>
    </r>
    <r>
      <rPr>
        <sz val="11"/>
        <color theme="1"/>
        <rFont val="Roboto"/>
      </rPr>
      <t>: (C) - (E + I)</t>
    </r>
  </si>
  <si>
    <t>(5)</t>
  </si>
  <si>
    <r>
      <t>S = Projected Non-TAP Sales for Next Rate Period (MCF)</t>
    </r>
    <r>
      <rPr>
        <vertAlign val="superscript"/>
        <sz val="11"/>
        <color theme="1"/>
        <rFont val="Roboto"/>
      </rPr>
      <t>e</t>
    </r>
  </si>
  <si>
    <t>(6)</t>
  </si>
  <si>
    <r>
      <t>TAP-R Surcharge</t>
    </r>
    <r>
      <rPr>
        <b/>
        <vertAlign val="superscript"/>
        <sz val="11"/>
        <color theme="1"/>
        <rFont val="Roboto"/>
      </rPr>
      <t>f</t>
    </r>
    <r>
      <rPr>
        <b/>
        <sz val="11"/>
        <color theme="1"/>
        <rFont val="Roboto"/>
      </rPr>
      <t>:</t>
    </r>
    <r>
      <rPr>
        <sz val="11"/>
        <color theme="1"/>
        <rFont val="Roboto"/>
      </rPr>
      <t xml:space="preserve">   (4)/(5)</t>
    </r>
  </si>
  <si>
    <t>/MCF</t>
  </si>
  <si>
    <t xml:space="preserve">Notes: </t>
  </si>
  <si>
    <t>a</t>
  </si>
  <si>
    <t xml:space="preserve">Recoverable TAP Billing Loss for the Next Rate Period.  Refer to Table 2 for additional information. </t>
  </si>
  <si>
    <t>b</t>
  </si>
  <si>
    <t xml:space="preserve">Actual TAP Discounts versus TAP Revenue Collection for the Most Recent Period.  Refer to Tables 3-W and 3-WW for further information. </t>
  </si>
  <si>
    <t>c</t>
  </si>
  <si>
    <t>d</t>
  </si>
  <si>
    <t>Net Recoverable Costs.</t>
  </si>
  <si>
    <t>e</t>
  </si>
  <si>
    <t>f</t>
  </si>
  <si>
    <t>TAP-R Surcharge for the Next Rate Period.</t>
  </si>
  <si>
    <t xml:space="preserve">Table 2 - Projected TAP Lost Revenue (C-Factor) for Next Rate Period </t>
  </si>
  <si>
    <t>Period</t>
  </si>
  <si>
    <r>
      <t>Projected TAP Billing Loss</t>
    </r>
    <r>
      <rPr>
        <vertAlign val="superscript"/>
        <sz val="11"/>
        <color theme="1"/>
        <rFont val="Roboto"/>
      </rPr>
      <t>a</t>
    </r>
  </si>
  <si>
    <t>Table 3-W - Experienced &amp; Estimated Net Over/(Under) Collection (E-Factor) for Most Recent Period</t>
  </si>
  <si>
    <t>Billing</t>
  </si>
  <si>
    <t>Total Actual TAP</t>
  </si>
  <si>
    <t>Billed TAP</t>
  </si>
  <si>
    <t>Total TAP-R</t>
  </si>
  <si>
    <t>Adjusted Actual TAP</t>
  </si>
  <si>
    <t>Billed Non-TAP</t>
  </si>
  <si>
    <t>TAP-R Billed</t>
  </si>
  <si>
    <t>Estimated TAP-R</t>
  </si>
  <si>
    <t>Over/(Under)</t>
  </si>
  <si>
    <t>Discounts</t>
  </si>
  <si>
    <t>Water Sales</t>
  </si>
  <si>
    <t xml:space="preserve">Billed </t>
  </si>
  <si>
    <t>Non-Tap Water Sales</t>
  </si>
  <si>
    <t xml:space="preserve">Revenues </t>
  </si>
  <si>
    <t>Collection</t>
  </si>
  <si>
    <t xml:space="preserve">(Credits) </t>
  </si>
  <si>
    <t>(Mcf)</t>
  </si>
  <si>
    <t>to TAP Participants</t>
  </si>
  <si>
    <t>Experienced</t>
  </si>
  <si>
    <t>(8) = (7) - (4)</t>
  </si>
  <si>
    <t>Prior E &amp; I Factor Adjustments</t>
  </si>
  <si>
    <t>(a)</t>
  </si>
  <si>
    <t>(e)</t>
  </si>
  <si>
    <t>Adjustment for Prior Estimates</t>
  </si>
  <si>
    <t>From Table 3-W-A</t>
  </si>
  <si>
    <t>Notes:</t>
  </si>
  <si>
    <t>Total E-Factor Recovery</t>
  </si>
  <si>
    <t>Line 2 in Summary Table</t>
  </si>
  <si>
    <t>(a) - Actuals</t>
  </si>
  <si>
    <t>(e) - Estimated</t>
  </si>
  <si>
    <t>Table 3-WW - Experienced &amp; Estimated Net Over/(Under) Collection (E-Factor) for Most Recent Period</t>
  </si>
  <si>
    <t>Billed</t>
  </si>
  <si>
    <t>Sewer Volume</t>
  </si>
  <si>
    <t>From Table 3-WW-A</t>
  </si>
  <si>
    <t>Original Estimates</t>
  </si>
  <si>
    <t>Adjustment</t>
  </si>
  <si>
    <t>(9)</t>
  </si>
  <si>
    <t>(10) = (8) - (9)</t>
  </si>
  <si>
    <t xml:space="preserve">Total </t>
  </si>
  <si>
    <t xml:space="preserve"> Included in Table 3-W</t>
  </si>
  <si>
    <t xml:space="preserve">(8) - Updated Over/(Under) Collection </t>
  </si>
  <si>
    <t xml:space="preserve">(10) - Difference between Updated Over/(Under) Collection and Original Estimates. </t>
  </si>
  <si>
    <r>
      <rPr>
        <b/>
        <sz val="10"/>
        <color theme="1"/>
        <rFont val="Roboto"/>
      </rPr>
      <t>Adjustment for Prior Estimates</t>
    </r>
    <r>
      <rPr>
        <sz val="10"/>
        <color theme="1"/>
        <rFont val="Roboto"/>
      </rPr>
      <t xml:space="preserve"> </t>
    </r>
  </si>
  <si>
    <t>Included in Table 3-WW</t>
  </si>
  <si>
    <t>DETAILED VIEW - MAKE EDITS BELOW FIRST</t>
  </si>
  <si>
    <t>Table 3-W-A - Prior Reconciliation Adjustment - Experienced &amp; Estimated Net Over/(Under) Collection (E-Factor) for Most Recent Period</t>
  </si>
  <si>
    <t>Prior Reconciliation Period with Updated Actuals</t>
  </si>
  <si>
    <t>Prior Reconciliation Period with Original Estimates</t>
  </si>
  <si>
    <t xml:space="preserve">Delta </t>
  </si>
  <si>
    <t>Prior Period</t>
  </si>
  <si>
    <t>(17) = (8) - (16)</t>
  </si>
  <si>
    <t xml:space="preserve">Prior Reconciliation with Updated Actuals </t>
  </si>
  <si>
    <t>Prior Reconciliation with Original Estimates</t>
  </si>
  <si>
    <t xml:space="preserve">(10) - TAP Discounts and billed sales volume reflect projections developed by Raftelis.  Refer to 2024 Annual Rate Adjustment. </t>
  </si>
  <si>
    <t>All Calculations</t>
  </si>
  <si>
    <t xml:space="preserve">Table 3-WW-A - Prior Reconciliation Adjustment - Experienced &amp; Estimated Net Over/(Under) Collection (E-Factor) for Most Recent Period </t>
  </si>
  <si>
    <t>Table 4 -W - Interest on Experienced &amp; Estimated Net Over/(Under) Collection (I-Factor) for Most Recent Period</t>
  </si>
  <si>
    <t>Difference in</t>
  </si>
  <si>
    <t xml:space="preserve">Anticipated E+I </t>
  </si>
  <si>
    <t xml:space="preserve">Remaining E+I </t>
  </si>
  <si>
    <t xml:space="preserve">Cumulative </t>
  </si>
  <si>
    <t xml:space="preserve">Estimated Monthly </t>
  </si>
  <si>
    <t>Recovery</t>
  </si>
  <si>
    <t>Over/(Under) Collection</t>
  </si>
  <si>
    <t>Interest Owed/</t>
  </si>
  <si>
    <t>Water Portion</t>
  </si>
  <si>
    <t>Relative to Revenue Requirements</t>
  </si>
  <si>
    <t>(Interest to be Recouped)</t>
  </si>
  <si>
    <t>From Table 3-W</t>
  </si>
  <si>
    <t xml:space="preserve">(5) </t>
  </si>
  <si>
    <t>Total I-Factor Recovery</t>
  </si>
  <si>
    <t>Line 3 in Summary Table</t>
  </si>
  <si>
    <t>(1) Difference in collection from Total of Column 8 - Table 3-W.</t>
  </si>
  <si>
    <t>(2) Billed Water Sales Volume from Column 5 - Table 3-W.</t>
  </si>
  <si>
    <t xml:space="preserve">(3) Anticipated Water Portion of E+I Recovery based upon the rate component of the 2024 TAP-R Determination. </t>
  </si>
  <si>
    <t xml:space="preserve">(4) Remaining E+I to be recovered. </t>
  </si>
  <si>
    <t>Table 4 -WW - Interest on Experienced &amp; Estimated Net Over/(Under) Collection (I-Factor) for Most Recent Period</t>
  </si>
  <si>
    <t>Sewer Portion</t>
  </si>
  <si>
    <t>From Table 3-WW</t>
  </si>
  <si>
    <t>(1) Difference in collection from Total of Column 8 - Table 3-WW.</t>
  </si>
  <si>
    <t>(2) Billed Water Sales Volume from Column 5 - Table 3-WW.</t>
  </si>
  <si>
    <t>Included in Table 4-W</t>
  </si>
  <si>
    <t>(1) Difference in collection from Total of Column 8 - Table 3-W-A.</t>
  </si>
  <si>
    <t>Included in Table 4-WW</t>
  </si>
  <si>
    <t>(1) Difference in collection from Total of Column 8 - Table 3-WW-A.</t>
  </si>
  <si>
    <t xml:space="preserve">Table 4 -W-A - Interest on Experienced &amp; Estimated Net Over/(Under) Collection (I-Factor) for Most Recent Period </t>
  </si>
  <si>
    <t>Estimates</t>
  </si>
  <si>
    <t>Table 4 -WW-A - Interest on Experienced &amp; Estimated Net Over/(Under) Collection (I-Factor) for Most Recent Period</t>
  </si>
  <si>
    <t xml:space="preserve">Base </t>
  </si>
  <si>
    <t>TAP-R  Surcharge</t>
  </si>
  <si>
    <t>Proposed</t>
  </si>
  <si>
    <t>Water Quantity Charges</t>
  </si>
  <si>
    <t>($/Mcf)</t>
  </si>
  <si>
    <t>0 to 2 Mcf</t>
  </si>
  <si>
    <t>2.1 to 100 Mcf</t>
  </si>
  <si>
    <t>100.1 to 2,000 Mcf</t>
  </si>
  <si>
    <t>2,000 + Mcf</t>
  </si>
  <si>
    <t xml:space="preserve">Sewer Quantity Charges </t>
  </si>
  <si>
    <t>Sewer Volume Rate</t>
  </si>
  <si>
    <t xml:space="preserve">The final quantity charges (including the TAP-R surcharge) will be in the final PWD Rates and Charges, if approved. </t>
  </si>
  <si>
    <t>Prior Rates September 1, 2024</t>
  </si>
  <si>
    <t>Current Rates Effective September 1, 2025</t>
  </si>
  <si>
    <t>FY 2028</t>
  </si>
  <si>
    <t>August 2026</t>
  </si>
  <si>
    <t>CY 2024</t>
  </si>
  <si>
    <t>CY 2025</t>
  </si>
  <si>
    <t>CY 2026</t>
  </si>
  <si>
    <t>CY 2027</t>
  </si>
  <si>
    <t>rates-and-charges-2025-09-01.pdf</t>
  </si>
  <si>
    <t>Next Rate Period (FY 2026-27)</t>
  </si>
  <si>
    <t>From 2025 Annual Rate Adjustment Table 3-W</t>
  </si>
  <si>
    <t>From 2025 Annual Rate Adjustment Table 3-WW</t>
  </si>
  <si>
    <t>From 2025 Annual Rate Adjustment Table 4-W</t>
  </si>
  <si>
    <t>From 2025 Annual Rate Adjustment Table 4-WW</t>
  </si>
  <si>
    <t xml:space="preserve">(10) - TAP Discounts and billed sales volume reflect projections developed by Raftelis.  Refer to 2025 Annual Rate Adjustment. </t>
  </si>
  <si>
    <t xml:space="preserve">(5) - Billed Non-TAP Water Sales, updated to reflect actual billed water sales volumes for April 2025 through August 2025. </t>
  </si>
  <si>
    <t>(5) - Updated to reflect actual billed water sales volumes for April 2025 through August 2025.</t>
  </si>
  <si>
    <t>(13) - Estimated billed water sales volumes for April 2025 through August 2025 based upon average sales for prior 12 month period.</t>
  </si>
  <si>
    <t>(5) - Updated to reflect actual billed sewer volumes for April 2025 through August 2025.</t>
  </si>
  <si>
    <t>(13) - Estimated billed sewer volumes for April 2025 through August 2025 based upon average sales for prior 12 month period.</t>
  </si>
  <si>
    <t xml:space="preserve">(8) - Over/(Under) Collection is based upon Rates that are inclusive of Prior E-Factor and I-Factor.  The presented "Prior E &amp; I Factor Adjustments" includes these amounts from 2025 Annual Rate Adjustment.  </t>
  </si>
  <si>
    <t>(8) - Over/(Under) Collection is based upon Rates that are inclusive of Prior E-Factor and I-Factor. The presented "Prior E &amp; I Factor Adjustments" includes these amounts from 2025 Annual Rate Adjustment.</t>
  </si>
  <si>
    <t xml:space="preserve">(3) Anticipated Water Portion of E+I Recovery based upon the rate component of the 2025 TAP-R Determination. </t>
  </si>
  <si>
    <t>(3) Anticipated Sewer Portion of E+I Recovery based upon the rate component of the 2025 TAP-R Determination.</t>
  </si>
  <si>
    <t>(7)</t>
  </si>
  <si>
    <t xml:space="preserve">(8) </t>
  </si>
  <si>
    <t>(9) = (8) * [4.17% / 12]</t>
  </si>
  <si>
    <t>(10) = (6) - ('9)</t>
  </si>
  <si>
    <t>(7) Remaining E+I Recovery from Column 4 - Table 4-W (Prior Reconciliation).</t>
  </si>
  <si>
    <t>(7) Remaining E+I Recovery from Column 4 - Table 4-WW (Prior Reconciliation).</t>
  </si>
  <si>
    <t>(2) Billed Water Sales Volume from Column 5 - Table 3-WW-A.</t>
  </si>
  <si>
    <t>(2) Billed Water Sales Volume from Column 5 - Table 3-W-A.</t>
  </si>
  <si>
    <t>(8) = (6) - (7)</t>
  </si>
  <si>
    <t>(7) Estimated Monthly Interest Owed/(Interest to be Recouped) from Total of Column 6 - Table 4-WW (Prior Reconciliation).</t>
  </si>
  <si>
    <t>(7) Estimated Monthly Interest Owed/(Interest to be Recouped) from Total of Column 6 - Table 4-W (Prior Reconciliation).</t>
  </si>
  <si>
    <t>Anticipated E+I Recovery</t>
  </si>
  <si>
    <t>From 2025 Annual Rate Adjustment Table 4-W-A</t>
  </si>
  <si>
    <t>From 2025 Annual Rate Adjustment Table 4-WW-A</t>
  </si>
  <si>
    <t>TAP RATE RIDER RECONCILIATION WORKBOOK - SHEET INDEX</t>
  </si>
  <si>
    <t>From 2025 Annual Rate Adjustment Table 1</t>
  </si>
  <si>
    <t>Adopted</t>
  </si>
  <si>
    <t>Estimate Period Start</t>
  </si>
  <si>
    <t>(2) - Updated TAP Discounts and billed sales volume to reflect actuals for April 2025 through August 2025 as provided by Raftelis.  Refer to Schedule PWD-5.</t>
  </si>
  <si>
    <t>(10)</t>
  </si>
  <si>
    <t>(11) = (10) * $ 3.080/Mcf</t>
  </si>
  <si>
    <t>(12) = [(9) - (11)]* 0.9699</t>
  </si>
  <si>
    <t>(13)</t>
  </si>
  <si>
    <t>(14) = (13) * $ 3.080/Mcf</t>
  </si>
  <si>
    <t>(15) = (14) * 0.9699</t>
  </si>
  <si>
    <t>(16) = (15) - (12)</t>
  </si>
  <si>
    <t>(11) = (10) * $ 4.400/Mcf</t>
  </si>
  <si>
    <t>(14) = (13) * $ 4.400/Mcf</t>
  </si>
  <si>
    <t>Actuals (Prior Proceeding(s))</t>
  </si>
  <si>
    <t>PWD-5 DR_3A &amp; TRR_Projections</t>
  </si>
  <si>
    <t>PWD-5 DR_4 &amp; TRR_Projections</t>
  </si>
  <si>
    <t>PWD-5 DR_1 &amp; TRR_Projections</t>
  </si>
  <si>
    <t>PWD-5 DR_1</t>
  </si>
  <si>
    <t>PWD-5 DR_2 &amp; TRR_Projections</t>
  </si>
  <si>
    <t>PWD-5 DR_2</t>
  </si>
  <si>
    <t>Prior Most Recent Period (Prior Reconciliation Period)</t>
  </si>
  <si>
    <t>April 2026</t>
  </si>
  <si>
    <t>Note: Production data is subject to restatement.</t>
  </si>
  <si>
    <t>Updated 4/13/26</t>
  </si>
  <si>
    <t>UPDATED APRIL 13,  2026</t>
  </si>
  <si>
    <t>(a)* - Actuals based on production data are subject to restatement.</t>
  </si>
  <si>
    <t>(a)*</t>
  </si>
  <si>
    <t>(2) - Estimated TAP Discount per participant and estimated billed sales volume per participant reflect projections developed by Raftelis. Refer to the updated PWD-5.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</si>
</sst>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_);_(&quot;$&quot;* \(#,##0\);_(&quot;$&quot;* &quot;-&quot;??_);_(@_)"/>
    <numFmt numFmtId="168" formatCode="0.0%"/>
    <numFmt numFmtId="169" formatCode="[$-409]mmm\-yy;@"/>
    <numFmt numFmtId="170" formatCode="_(&quot;$&quot;* #,##0.00000_);_(&quot;$&quot;* \(#,##0.00000\);_(&quot;$&quot;* &quot;-&quot;??_);_(@_)"/>
    <numFmt numFmtId="171" formatCode="#\ ##/12"/>
    <numFmt numFmtId="172" formatCode="m/d;@"/>
    <numFmt numFmtId="173" formatCode="0.000"/>
    <numFmt numFmtId="174" formatCode="_(* #,##0.00000_);_(* \(#,##0.00000\);_(* &quot;-&quot;??_);_(@_)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vertAlign val="superscript"/>
      <sz val="11"/>
      <color theme="1"/>
      <name val="Roboto"/>
    </font>
    <font>
      <b/>
      <vertAlign val="superscript"/>
      <sz val="11"/>
      <color theme="1"/>
      <name val="Roboto"/>
    </font>
    <font>
      <sz val="10"/>
      <color theme="1"/>
      <name val="Roboto"/>
    </font>
    <font>
      <b/>
      <sz val="11"/>
      <color rgb="FFFF0000"/>
      <name val="Roboto"/>
    </font>
    <font>
      <b/>
      <sz val="11"/>
      <name val="Roboto"/>
    </font>
    <font>
      <sz val="11"/>
      <color theme="3"/>
      <name val="Roboto"/>
    </font>
    <font>
      <sz val="11"/>
      <name val="Roboto"/>
    </font>
    <font>
      <sz val="11"/>
      <color theme="0"/>
      <name val="Roboto"/>
    </font>
    <font>
      <sz val="9"/>
      <color theme="0"/>
      <name val="Roboto"/>
    </font>
    <font>
      <sz val="8"/>
      <color theme="1"/>
      <name val="Roboto"/>
    </font>
    <font>
      <sz val="11"/>
      <color theme="2"/>
      <name val="Roboto"/>
    </font>
    <font>
      <b/>
      <sz val="10"/>
      <color theme="1"/>
      <name val="Roboto"/>
    </font>
    <font>
      <b/>
      <sz val="11"/>
      <color theme="3"/>
      <name val="Roboto"/>
    </font>
    <font>
      <sz val="11"/>
      <color theme="3" tint="-0.499984740745262"/>
      <name val="Roboto"/>
    </font>
    <font>
      <u/>
      <sz val="10"/>
      <color theme="1"/>
      <name val="Roboto"/>
    </font>
    <font>
      <b/>
      <u/>
      <sz val="12"/>
      <color theme="3"/>
      <name val="Roboto"/>
    </font>
    <font>
      <b/>
      <sz val="11"/>
      <color theme="1" tint="0.499984740745262"/>
      <name val="Roboto"/>
    </font>
    <font>
      <b/>
      <i/>
      <sz val="11"/>
      <color theme="1" tint="0.499984740745262"/>
      <name val="Roboto"/>
    </font>
    <font>
      <b/>
      <sz val="11"/>
      <color theme="0"/>
      <name val="Roboto"/>
    </font>
    <font>
      <i/>
      <sz val="11"/>
      <color theme="1"/>
      <name val="Roboto"/>
    </font>
    <font>
      <sz val="11"/>
      <color rgb="FF0000FF"/>
      <name val="Roboto"/>
    </font>
    <font>
      <b/>
      <sz val="11"/>
      <color rgb="FFC00000"/>
      <name val="Roboto"/>
    </font>
    <font>
      <b/>
      <sz val="12"/>
      <color rgb="FF626662"/>
      <name val="Roboto"/>
    </font>
    <font>
      <sz val="12"/>
      <color rgb="FF626662"/>
      <name val="Roboto"/>
    </font>
    <font>
      <sz val="12"/>
      <color theme="1"/>
      <name val="Roboto"/>
    </font>
    <font>
      <b/>
      <sz val="12"/>
      <color rgb="FFC00000"/>
      <name val="Roboto"/>
    </font>
    <font>
      <b/>
      <sz val="16"/>
      <color rgb="FF626662"/>
      <name val="Roboto"/>
    </font>
    <font>
      <sz val="16"/>
      <color rgb="FF626662"/>
      <name val="Roboto"/>
    </font>
    <font>
      <b/>
      <sz val="28"/>
      <color theme="6"/>
      <name val="Roboto"/>
    </font>
    <font>
      <b/>
      <sz val="12"/>
      <color rgb="FF0000FF"/>
      <name val="Roboto"/>
    </font>
    <font>
      <sz val="10"/>
      <name val="Roboto"/>
    </font>
    <font>
      <sz val="12"/>
      <color theme="6"/>
      <name val="Roboto"/>
    </font>
    <font>
      <sz val="12"/>
      <color theme="0"/>
      <name val="Roboto"/>
    </font>
    <font>
      <u/>
      <sz val="11"/>
      <color theme="10"/>
      <name val="Roboto"/>
    </font>
    <font>
      <sz val="11"/>
      <color rgb="FFFF0000"/>
      <name val="Roboto"/>
    </font>
    <font>
      <i/>
      <sz val="11"/>
      <name val="Roboto"/>
    </font>
    <font>
      <i/>
      <sz val="11"/>
      <color rgb="FFFF0000"/>
      <name val="Roboto"/>
    </font>
    <font>
      <sz val="11"/>
      <color theme="10"/>
      <name val="Roboto"/>
    </font>
    <font>
      <u val="singleAccounting"/>
      <sz val="11"/>
      <color theme="3"/>
      <name val="Roboto"/>
    </font>
    <font>
      <sz val="11"/>
      <color theme="7"/>
      <name val="Roboto"/>
    </font>
    <font>
      <b/>
      <sz val="10"/>
      <name val="Roboto"/>
    </font>
    <font>
      <b/>
      <sz val="10"/>
      <color theme="1" tint="4.9989318521683403E-2"/>
      <name val="Roboto"/>
    </font>
    <font>
      <b/>
      <i/>
      <sz val="11"/>
      <color theme="0" tint="-0.499984740745262"/>
      <name val="Roboto"/>
    </font>
    <font>
      <sz val="11"/>
      <color theme="0" tint="-0.499984740745262"/>
      <name val="Roboto"/>
    </font>
    <font>
      <vertAlign val="superscript"/>
      <sz val="9"/>
      <color theme="1"/>
      <name val="Roboto"/>
    </font>
    <font>
      <sz val="9"/>
      <color theme="1"/>
      <name val="Roboto"/>
    </font>
    <font>
      <b/>
      <sz val="11"/>
      <color rgb="FF0000FF"/>
      <name val="Roboto"/>
    </font>
    <font>
      <sz val="11"/>
      <color rgb="FFC00000"/>
      <name val="Roboto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7" fillId="0" borderId="23" applyNumberFormat="0" applyFill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2" borderId="26" applyNumberFormat="0" applyAlignment="0" applyProtection="0"/>
    <xf numFmtId="0" fontId="13" fillId="23" borderId="27" applyNumberFormat="0" applyAlignment="0" applyProtection="0"/>
    <xf numFmtId="0" fontId="14" fillId="23" borderId="26" applyNumberFormat="0" applyAlignment="0" applyProtection="0"/>
    <xf numFmtId="0" fontId="15" fillId="0" borderId="28" applyNumberFormat="0" applyFill="0" applyAlignment="0" applyProtection="0"/>
    <xf numFmtId="0" fontId="16" fillId="24" borderId="29" applyNumberFormat="0" applyAlignment="0" applyProtection="0"/>
    <xf numFmtId="0" fontId="17" fillId="0" borderId="0" applyNumberFormat="0" applyFill="0" applyBorder="0" applyAlignment="0" applyProtection="0"/>
    <xf numFmtId="0" fontId="1" fillId="25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2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21" fillId="21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9" borderId="0" applyNumberFormat="0" applyBorder="0" applyAlignment="0" applyProtection="0"/>
    <xf numFmtId="0" fontId="3" fillId="0" borderId="0"/>
    <xf numFmtId="0" fontId="3" fillId="0" borderId="0"/>
  </cellStyleXfs>
  <cellXfs count="348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2" borderId="0" xfId="0" applyFont="1" applyFill="1" applyAlignment="1">
      <alignment horizontal="centerContinuous"/>
    </xf>
    <xf numFmtId="0" fontId="23" fillId="2" borderId="0" xfId="0" applyFont="1" applyFill="1" applyAlignment="1">
      <alignment horizontal="right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3" borderId="1" xfId="0" applyFont="1" applyFill="1" applyBorder="1"/>
    <xf numFmtId="0" fontId="22" fillId="3" borderId="2" xfId="0" applyFont="1" applyFill="1" applyBorder="1" applyAlignment="1">
      <alignment horizontal="right"/>
    </xf>
    <xf numFmtId="0" fontId="22" fillId="3" borderId="2" xfId="0" applyFont="1" applyFill="1" applyBorder="1"/>
    <xf numFmtId="0" fontId="24" fillId="3" borderId="2" xfId="0" applyFont="1" applyFill="1" applyBorder="1" applyAlignment="1">
      <alignment horizontal="centerContinuous"/>
    </xf>
    <xf numFmtId="0" fontId="24" fillId="3" borderId="2" xfId="0" applyFont="1" applyFill="1" applyBorder="1"/>
    <xf numFmtId="0" fontId="24" fillId="3" borderId="3" xfId="0" applyFont="1" applyFill="1" applyBorder="1" applyAlignment="1">
      <alignment horizontal="centerContinuous"/>
    </xf>
    <xf numFmtId="0" fontId="22" fillId="3" borderId="4" xfId="0" applyFont="1" applyFill="1" applyBorder="1"/>
    <xf numFmtId="0" fontId="22" fillId="3" borderId="0" xfId="0" applyFont="1" applyFill="1" applyAlignment="1">
      <alignment horizontal="right"/>
    </xf>
    <xf numFmtId="0" fontId="22" fillId="3" borderId="0" xfId="0" applyFont="1" applyFill="1"/>
    <xf numFmtId="0" fontId="24" fillId="3" borderId="0" xfId="0" applyFont="1" applyFill="1" applyAlignment="1">
      <alignment horizontal="centerContinuous"/>
    </xf>
    <xf numFmtId="0" fontId="24" fillId="3" borderId="0" xfId="0" applyFont="1" applyFill="1"/>
    <xf numFmtId="0" fontId="24" fillId="3" borderId="5" xfId="0" applyFont="1" applyFill="1" applyBorder="1" applyAlignment="1">
      <alignment horizontal="centerContinuous"/>
    </xf>
    <xf numFmtId="0" fontId="23" fillId="3" borderId="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2" fillId="3" borderId="4" xfId="0" quotePrefix="1" applyFont="1" applyFill="1" applyBorder="1" applyAlignment="1">
      <alignment horizontal="center"/>
    </xf>
    <xf numFmtId="0" fontId="22" fillId="3" borderId="0" xfId="0" quotePrefix="1" applyFont="1" applyFill="1" applyAlignment="1">
      <alignment horizontal="right"/>
    </xf>
    <xf numFmtId="0" fontId="22" fillId="3" borderId="0" xfId="0" quotePrefix="1" applyFont="1" applyFill="1"/>
    <xf numFmtId="167" fontId="22" fillId="3" borderId="0" xfId="0" quotePrefix="1" applyNumberFormat="1" applyFont="1" applyFill="1"/>
    <xf numFmtId="167" fontId="22" fillId="3" borderId="0" xfId="2" applyNumberFormat="1" applyFont="1" applyFill="1" applyBorder="1"/>
    <xf numFmtId="164" fontId="22" fillId="3" borderId="0" xfId="2" applyNumberFormat="1" applyFont="1" applyFill="1" applyBorder="1" applyAlignment="1">
      <alignment horizontal="left" indent="2"/>
    </xf>
    <xf numFmtId="164" fontId="22" fillId="3" borderId="5" xfId="2" applyNumberFormat="1" applyFont="1" applyFill="1" applyBorder="1" applyAlignment="1">
      <alignment horizontal="left" indent="2"/>
    </xf>
    <xf numFmtId="44" fontId="22" fillId="0" borderId="0" xfId="2" applyFont="1"/>
    <xf numFmtId="0" fontId="22" fillId="3" borderId="4" xfId="0" applyFont="1" applyFill="1" applyBorder="1" applyAlignment="1">
      <alignment horizontal="center"/>
    </xf>
    <xf numFmtId="167" fontId="22" fillId="3" borderId="0" xfId="2" applyNumberFormat="1" applyFont="1" applyFill="1" applyBorder="1" applyAlignment="1">
      <alignment horizontal="left" indent="2"/>
    </xf>
    <xf numFmtId="167" fontId="22" fillId="3" borderId="0" xfId="0" applyNumberFormat="1" applyFont="1" applyFill="1"/>
    <xf numFmtId="167" fontId="22" fillId="3" borderId="0" xfId="0" applyNumberFormat="1" applyFont="1" applyFill="1" applyAlignment="1">
      <alignment horizontal="left" indent="3"/>
    </xf>
    <xf numFmtId="167" fontId="22" fillId="3" borderId="0" xfId="0" applyNumberFormat="1" applyFont="1" applyFill="1" applyAlignment="1">
      <alignment horizontal="left" indent="2"/>
    </xf>
    <xf numFmtId="0" fontId="22" fillId="3" borderId="5" xfId="0" applyFont="1" applyFill="1" applyBorder="1" applyAlignment="1">
      <alignment horizontal="left" indent="2"/>
    </xf>
    <xf numFmtId="0" fontId="22" fillId="3" borderId="0" xfId="0" applyFont="1" applyFill="1" applyAlignment="1">
      <alignment horizontal="left" indent="3"/>
    </xf>
    <xf numFmtId="0" fontId="22" fillId="3" borderId="0" xfId="0" applyFont="1" applyFill="1" applyAlignment="1">
      <alignment horizontal="left" indent="2"/>
    </xf>
    <xf numFmtId="165" fontId="22" fillId="3" borderId="0" xfId="1" applyNumberFormat="1" applyFont="1" applyFill="1" applyBorder="1"/>
    <xf numFmtId="0" fontId="22" fillId="3" borderId="5" xfId="0" applyFont="1" applyFill="1" applyBorder="1"/>
    <xf numFmtId="0" fontId="23" fillId="3" borderId="0" xfId="0" quotePrefix="1" applyFont="1" applyFill="1" applyAlignment="1">
      <alignment horizontal="right"/>
    </xf>
    <xf numFmtId="0" fontId="23" fillId="3" borderId="0" xfId="0" applyFont="1" applyFill="1"/>
    <xf numFmtId="44" fontId="23" fillId="3" borderId="2" xfId="2" applyFont="1" applyFill="1" applyBorder="1"/>
    <xf numFmtId="0" fontId="23" fillId="3" borderId="2" xfId="0" quotePrefix="1" applyFont="1" applyFill="1" applyBorder="1"/>
    <xf numFmtId="0" fontId="23" fillId="3" borderId="0" xfId="0" quotePrefix="1" applyFont="1" applyFill="1"/>
    <xf numFmtId="0" fontId="23" fillId="3" borderId="3" xfId="0" quotePrefix="1" applyFont="1" applyFill="1" applyBorder="1"/>
    <xf numFmtId="44" fontId="22" fillId="0" borderId="0" xfId="0" applyNumberFormat="1" applyFont="1"/>
    <xf numFmtId="0" fontId="22" fillId="3" borderId="7" xfId="0" applyFont="1" applyFill="1" applyBorder="1"/>
    <xf numFmtId="0" fontId="22" fillId="3" borderId="6" xfId="0" applyFont="1" applyFill="1" applyBorder="1" applyAlignment="1">
      <alignment horizontal="right"/>
    </xf>
    <xf numFmtId="0" fontId="22" fillId="3" borderId="6" xfId="0" applyFont="1" applyFill="1" applyBorder="1"/>
    <xf numFmtId="170" fontId="22" fillId="3" borderId="6" xfId="0" applyNumberFormat="1" applyFont="1" applyFill="1" applyBorder="1"/>
    <xf numFmtId="0" fontId="23" fillId="3" borderId="6" xfId="0" quotePrefix="1" applyFont="1" applyFill="1" applyBorder="1"/>
    <xf numFmtId="0" fontId="23" fillId="3" borderId="8" xfId="0" quotePrefix="1" applyFont="1" applyFill="1" applyBorder="1"/>
    <xf numFmtId="0" fontId="27" fillId="0" borderId="0" xfId="0" applyFont="1"/>
    <xf numFmtId="165" fontId="22" fillId="0" borderId="0" xfId="1" applyNumberFormat="1" applyFont="1"/>
    <xf numFmtId="164" fontId="22" fillId="0" borderId="0" xfId="0" applyNumberFormat="1" applyFont="1"/>
    <xf numFmtId="165" fontId="22" fillId="0" borderId="0" xfId="0" applyNumberFormat="1" applyFont="1"/>
    <xf numFmtId="43" fontId="22" fillId="0" borderId="0" xfId="0" applyNumberFormat="1" applyFont="1"/>
    <xf numFmtId="0" fontId="27" fillId="0" borderId="0" xfId="0" applyFont="1" applyAlignment="1">
      <alignment horizontal="right"/>
    </xf>
    <xf numFmtId="167" fontId="27" fillId="0" borderId="0" xfId="0" applyNumberFormat="1" applyFont="1"/>
    <xf numFmtId="167" fontId="28" fillId="0" borderId="0" xfId="0" quotePrefix="1" applyNumberFormat="1" applyFont="1" applyAlignment="1">
      <alignment horizontal="right"/>
    </xf>
    <xf numFmtId="2" fontId="22" fillId="0" borderId="0" xfId="2" applyNumberFormat="1" applyFont="1"/>
    <xf numFmtId="167" fontId="22" fillId="0" borderId="0" xfId="0" quotePrefix="1" applyNumberFormat="1" applyFont="1"/>
    <xf numFmtId="0" fontId="23" fillId="4" borderId="0" xfId="0" applyFont="1" applyFill="1" applyAlignment="1">
      <alignment horizontal="centerContinuous"/>
    </xf>
    <xf numFmtId="0" fontId="22" fillId="4" borderId="0" xfId="0" applyFont="1" applyFill="1" applyAlignment="1">
      <alignment horizontal="centerContinuous"/>
    </xf>
    <xf numFmtId="0" fontId="22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9" fontId="31" fillId="3" borderId="0" xfId="3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168" fontId="22" fillId="3" borderId="0" xfId="3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left" indent="1"/>
    </xf>
    <xf numFmtId="167" fontId="31" fillId="3" borderId="0" xfId="2" applyNumberFormat="1" applyFont="1" applyFill="1" applyBorder="1"/>
    <xf numFmtId="0" fontId="27" fillId="3" borderId="0" xfId="0" applyFont="1" applyFill="1" applyAlignment="1">
      <alignment horizontal="left" indent="1"/>
    </xf>
    <xf numFmtId="0" fontId="22" fillId="3" borderId="7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left" indent="1"/>
    </xf>
    <xf numFmtId="167" fontId="22" fillId="3" borderId="6" xfId="0" applyNumberFormat="1" applyFont="1" applyFill="1" applyBorder="1"/>
    <xf numFmtId="0" fontId="22" fillId="3" borderId="8" xfId="0" applyFont="1" applyFill="1" applyBorder="1"/>
    <xf numFmtId="0" fontId="27" fillId="0" borderId="2" xfId="0" applyFont="1" applyBorder="1" applyAlignment="1">
      <alignment horizontal="left" indent="1"/>
    </xf>
    <xf numFmtId="0" fontId="22" fillId="0" borderId="2" xfId="0" applyFont="1" applyBorder="1"/>
    <xf numFmtId="167" fontId="22" fillId="0" borderId="0" xfId="0" applyNumberFormat="1" applyFont="1"/>
    <xf numFmtId="14" fontId="22" fillId="0" borderId="0" xfId="0" applyNumberFormat="1" applyFont="1"/>
    <xf numFmtId="0" fontId="32" fillId="6" borderId="11" xfId="0" applyFont="1" applyFill="1" applyBorder="1" applyAlignment="1">
      <alignment horizontal="center"/>
    </xf>
    <xf numFmtId="0" fontId="32" fillId="6" borderId="1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166" fontId="33" fillId="6" borderId="12" xfId="2" applyNumberFormat="1" applyFont="1" applyFill="1" applyBorder="1"/>
    <xf numFmtId="10" fontId="33" fillId="6" borderId="12" xfId="3" applyNumberFormat="1" applyFont="1" applyFill="1" applyBorder="1" applyAlignment="1">
      <alignment horizontal="center"/>
    </xf>
    <xf numFmtId="168" fontId="33" fillId="6" borderId="12" xfId="0" applyNumberFormat="1" applyFont="1" applyFill="1" applyBorder="1" applyAlignment="1">
      <alignment horizontal="center"/>
    </xf>
    <xf numFmtId="0" fontId="32" fillId="6" borderId="13" xfId="0" applyFont="1" applyFill="1" applyBorder="1" applyAlignment="1">
      <alignment horizontal="center"/>
    </xf>
    <xf numFmtId="0" fontId="33" fillId="6" borderId="13" xfId="0" quotePrefix="1" applyFont="1" applyFill="1" applyBorder="1" applyAlignment="1">
      <alignment horizontal="center"/>
    </xf>
    <xf numFmtId="0" fontId="33" fillId="6" borderId="13" xfId="0" applyFont="1" applyFill="1" applyBorder="1" applyAlignment="1">
      <alignment horizontal="center"/>
    </xf>
    <xf numFmtId="0" fontId="23" fillId="12" borderId="0" xfId="0" applyFont="1" applyFill="1"/>
    <xf numFmtId="0" fontId="22" fillId="12" borderId="0" xfId="0" applyFont="1" applyFill="1"/>
    <xf numFmtId="0" fontId="23" fillId="12" borderId="0" xfId="0" applyFont="1" applyFill="1" applyAlignment="1">
      <alignment horizontal="right"/>
    </xf>
    <xf numFmtId="167" fontId="23" fillId="12" borderId="0" xfId="2" applyNumberFormat="1" applyFont="1" applyFill="1"/>
    <xf numFmtId="0" fontId="23" fillId="0" borderId="0" xfId="0" applyFont="1"/>
    <xf numFmtId="169" fontId="22" fillId="11" borderId="0" xfId="0" applyNumberFormat="1" applyFont="1" applyFill="1" applyAlignment="1">
      <alignment horizontal="right"/>
    </xf>
    <xf numFmtId="167" fontId="22" fillId="11" borderId="0" xfId="0" applyNumberFormat="1" applyFont="1" applyFill="1"/>
    <xf numFmtId="165" fontId="22" fillId="11" borderId="0" xfId="1" applyNumberFormat="1" applyFont="1" applyFill="1" applyBorder="1"/>
    <xf numFmtId="167" fontId="22" fillId="11" borderId="0" xfId="2" applyNumberFormat="1" applyFont="1" applyFill="1" applyBorder="1"/>
    <xf numFmtId="169" fontId="22" fillId="4" borderId="0" xfId="0" applyNumberFormat="1" applyFont="1" applyFill="1" applyAlignment="1">
      <alignment horizontal="right"/>
    </xf>
    <xf numFmtId="167" fontId="22" fillId="4" borderId="0" xfId="2" applyNumberFormat="1" applyFont="1" applyFill="1" applyBorder="1"/>
    <xf numFmtId="165" fontId="22" fillId="4" borderId="0" xfId="1" applyNumberFormat="1" applyFont="1" applyFill="1" applyBorder="1"/>
    <xf numFmtId="167" fontId="22" fillId="4" borderId="0" xfId="0" applyNumberFormat="1" applyFont="1" applyFill="1"/>
    <xf numFmtId="0" fontId="23" fillId="11" borderId="0" xfId="0" applyFont="1" applyFill="1"/>
    <xf numFmtId="167" fontId="22" fillId="0" borderId="0" xfId="2" applyNumberFormat="1" applyFont="1" applyFill="1"/>
    <xf numFmtId="165" fontId="22" fillId="0" borderId="0" xfId="1" applyNumberFormat="1" applyFont="1" applyFill="1"/>
    <xf numFmtId="0" fontId="23" fillId="4" borderId="0" xfId="0" applyFont="1" applyFill="1"/>
    <xf numFmtId="167" fontId="22" fillId="4" borderId="0" xfId="2" applyNumberFormat="1" applyFont="1" applyFill="1"/>
    <xf numFmtId="167" fontId="23" fillId="4" borderId="0" xfId="2" applyNumberFormat="1" applyFont="1" applyFill="1" applyAlignment="1">
      <alignment horizontal="right"/>
    </xf>
    <xf numFmtId="0" fontId="34" fillId="0" borderId="0" xfId="0" applyFont="1" applyAlignment="1">
      <alignment horizontal="left" indent="1"/>
    </xf>
    <xf numFmtId="0" fontId="23" fillId="2" borderId="14" xfId="0" applyFont="1" applyFill="1" applyBorder="1"/>
    <xf numFmtId="167" fontId="23" fillId="2" borderId="15" xfId="0" applyNumberFormat="1" applyFont="1" applyFill="1" applyBorder="1"/>
    <xf numFmtId="0" fontId="27" fillId="0" borderId="0" xfId="0" applyFont="1" applyAlignment="1">
      <alignment horizontal="left" indent="1"/>
    </xf>
    <xf numFmtId="10" fontId="33" fillId="6" borderId="12" xfId="0" applyNumberFormat="1" applyFont="1" applyFill="1" applyBorder="1" applyAlignment="1">
      <alignment horizontal="center"/>
    </xf>
    <xf numFmtId="167" fontId="22" fillId="4" borderId="6" xfId="2" applyNumberFormat="1" applyFont="1" applyFill="1" applyBorder="1"/>
    <xf numFmtId="165" fontId="22" fillId="4" borderId="6" xfId="1" applyNumberFormat="1" applyFont="1" applyFill="1" applyBorder="1"/>
    <xf numFmtId="167" fontId="22" fillId="0" borderId="2" xfId="0" applyNumberFormat="1" applyFont="1" applyBorder="1"/>
    <xf numFmtId="165" fontId="22" fillId="0" borderId="2" xfId="1" applyNumberFormat="1" applyFont="1" applyFill="1" applyBorder="1"/>
    <xf numFmtId="167" fontId="22" fillId="0" borderId="2" xfId="2" applyNumberFormat="1" applyFont="1" applyFill="1" applyBorder="1"/>
    <xf numFmtId="165" fontId="22" fillId="4" borderId="0" xfId="1" applyNumberFormat="1" applyFont="1" applyFill="1"/>
    <xf numFmtId="169" fontId="22" fillId="0" borderId="0" xfId="0" applyNumberFormat="1" applyFont="1"/>
    <xf numFmtId="3" fontId="22" fillId="0" borderId="0" xfId="0" applyNumberFormat="1" applyFont="1"/>
    <xf numFmtId="41" fontId="22" fillId="0" borderId="0" xfId="0" applyNumberFormat="1" applyFont="1"/>
    <xf numFmtId="0" fontId="23" fillId="16" borderId="16" xfId="0" applyFont="1" applyFill="1" applyBorder="1" applyAlignment="1">
      <alignment horizontal="centerContinuous"/>
    </xf>
    <xf numFmtId="0" fontId="23" fillId="16" borderId="17" xfId="0" applyFont="1" applyFill="1" applyBorder="1" applyAlignment="1">
      <alignment horizontal="centerContinuous"/>
    </xf>
    <xf numFmtId="0" fontId="23" fillId="16" borderId="18" xfId="0" applyFont="1" applyFill="1" applyBorder="1" applyAlignment="1">
      <alignment horizontal="centerContinuous"/>
    </xf>
    <xf numFmtId="0" fontId="23" fillId="17" borderId="20" xfId="0" applyFont="1" applyFill="1" applyBorder="1" applyAlignment="1">
      <alignment horizontal="centerContinuous"/>
    </xf>
    <xf numFmtId="167" fontId="23" fillId="2" borderId="20" xfId="0" applyNumberFormat="1" applyFont="1" applyFill="1" applyBorder="1" applyAlignment="1">
      <alignment horizontal="center" vertical="center"/>
    </xf>
    <xf numFmtId="167" fontId="22" fillId="12" borderId="0" xfId="0" applyNumberFormat="1" applyFont="1" applyFill="1"/>
    <xf numFmtId="0" fontId="35" fillId="0" borderId="0" xfId="0" applyFont="1"/>
    <xf numFmtId="165" fontId="22" fillId="11" borderId="0" xfId="1" applyNumberFormat="1" applyFont="1" applyFill="1"/>
    <xf numFmtId="167" fontId="22" fillId="11" borderId="0" xfId="2" applyNumberFormat="1" applyFont="1" applyFill="1"/>
    <xf numFmtId="0" fontId="23" fillId="16" borderId="14" xfId="0" applyFont="1" applyFill="1" applyBorder="1"/>
    <xf numFmtId="167" fontId="23" fillId="16" borderId="15" xfId="0" applyNumberFormat="1" applyFont="1" applyFill="1" applyBorder="1"/>
    <xf numFmtId="167" fontId="23" fillId="17" borderId="19" xfId="0" applyNumberFormat="1" applyFont="1" applyFill="1" applyBorder="1"/>
    <xf numFmtId="167" fontId="23" fillId="2" borderId="19" xfId="0" applyNumberFormat="1" applyFont="1" applyFill="1" applyBorder="1"/>
    <xf numFmtId="0" fontId="36" fillId="0" borderId="0" xfId="0" applyFont="1"/>
    <xf numFmtId="0" fontId="27" fillId="0" borderId="0" xfId="0" quotePrefix="1" applyFont="1" applyAlignment="1">
      <alignment horizontal="left" indent="1"/>
    </xf>
    <xf numFmtId="167" fontId="23" fillId="12" borderId="0" xfId="0" applyNumberFormat="1" applyFont="1" applyFill="1"/>
    <xf numFmtId="0" fontId="37" fillId="18" borderId="0" xfId="0" applyFont="1" applyFill="1" applyAlignment="1">
      <alignment horizontal="centerContinuous"/>
    </xf>
    <xf numFmtId="0" fontId="27" fillId="18" borderId="0" xfId="0" quotePrefix="1" applyFont="1" applyFill="1" applyAlignment="1">
      <alignment horizontal="centerContinuous"/>
    </xf>
    <xf numFmtId="0" fontId="22" fillId="18" borderId="0" xfId="0" applyFont="1" applyFill="1" applyAlignment="1">
      <alignment horizontal="centerContinuous"/>
    </xf>
    <xf numFmtId="0" fontId="23" fillId="17" borderId="16" xfId="0" applyFont="1" applyFill="1" applyBorder="1" applyAlignment="1">
      <alignment horizontal="centerContinuous"/>
    </xf>
    <xf numFmtId="0" fontId="23" fillId="17" borderId="17" xfId="0" applyFont="1" applyFill="1" applyBorder="1" applyAlignment="1">
      <alignment horizontal="centerContinuous"/>
    </xf>
    <xf numFmtId="0" fontId="23" fillId="17" borderId="18" xfId="0" applyFont="1" applyFill="1" applyBorder="1" applyAlignment="1">
      <alignment horizontal="centerContinuous"/>
    </xf>
    <xf numFmtId="0" fontId="35" fillId="0" borderId="0" xfId="0" applyFont="1" applyAlignment="1">
      <alignment horizontal="right"/>
    </xf>
    <xf numFmtId="167" fontId="38" fillId="11" borderId="0" xfId="0" applyNumberFormat="1" applyFont="1" applyFill="1"/>
    <xf numFmtId="165" fontId="38" fillId="11" borderId="0" xfId="1" applyNumberFormat="1" applyFont="1" applyFill="1"/>
    <xf numFmtId="167" fontId="38" fillId="11" borderId="0" xfId="2" applyNumberFormat="1" applyFont="1" applyFill="1"/>
    <xf numFmtId="167" fontId="38" fillId="4" borderId="0" xfId="2" applyNumberFormat="1" applyFont="1" applyFill="1"/>
    <xf numFmtId="165" fontId="38" fillId="4" borderId="0" xfId="1" applyNumberFormat="1" applyFont="1" applyFill="1"/>
    <xf numFmtId="167" fontId="38" fillId="4" borderId="0" xfId="0" applyNumberFormat="1" applyFont="1" applyFill="1"/>
    <xf numFmtId="165" fontId="38" fillId="11" borderId="0" xfId="1" applyNumberFormat="1" applyFont="1" applyFill="1" applyBorder="1"/>
    <xf numFmtId="167" fontId="38" fillId="11" borderId="0" xfId="2" applyNumberFormat="1" applyFont="1" applyFill="1" applyBorder="1"/>
    <xf numFmtId="167" fontId="38" fillId="4" borderId="0" xfId="2" applyNumberFormat="1" applyFont="1" applyFill="1" applyBorder="1"/>
    <xf numFmtId="165" fontId="38" fillId="4" borderId="0" xfId="1" applyNumberFormat="1" applyFont="1" applyFill="1" applyBorder="1"/>
    <xf numFmtId="172" fontId="22" fillId="0" borderId="0" xfId="0" applyNumberFormat="1" applyFont="1"/>
    <xf numFmtId="0" fontId="39" fillId="0" borderId="0" xfId="0" applyFont="1" applyAlignment="1">
      <alignment horizontal="left" indent="1"/>
    </xf>
    <xf numFmtId="44" fontId="23" fillId="12" borderId="0" xfId="2" applyFont="1" applyFill="1"/>
    <xf numFmtId="167" fontId="22" fillId="11" borderId="0" xfId="0" applyNumberFormat="1" applyFont="1" applyFill="1" applyAlignment="1">
      <alignment horizontal="right"/>
    </xf>
    <xf numFmtId="165" fontId="22" fillId="11" borderId="0" xfId="1" applyNumberFormat="1" applyFont="1" applyFill="1" applyAlignment="1">
      <alignment horizontal="right"/>
    </xf>
    <xf numFmtId="44" fontId="22" fillId="11" borderId="0" xfId="0" applyNumberFormat="1" applyFont="1" applyFill="1" applyAlignment="1">
      <alignment horizontal="right"/>
    </xf>
    <xf numFmtId="0" fontId="22" fillId="0" borderId="0" xfId="0" quotePrefix="1" applyFont="1"/>
    <xf numFmtId="167" fontId="22" fillId="4" borderId="0" xfId="0" applyNumberFormat="1" applyFont="1" applyFill="1" applyAlignment="1">
      <alignment horizontal="right"/>
    </xf>
    <xf numFmtId="165" fontId="22" fillId="4" borderId="0" xfId="1" applyNumberFormat="1" applyFont="1" applyFill="1" applyAlignment="1">
      <alignment horizontal="right"/>
    </xf>
    <xf numFmtId="44" fontId="22" fillId="4" borderId="0" xfId="0" applyNumberFormat="1" applyFont="1" applyFill="1" applyAlignment="1">
      <alignment horizontal="right"/>
    </xf>
    <xf numFmtId="167" fontId="22" fillId="11" borderId="0" xfId="3" applyNumberFormat="1" applyFont="1" applyFill="1"/>
    <xf numFmtId="167" fontId="22" fillId="0" borderId="0" xfId="3" applyNumberFormat="1" applyFont="1" applyFill="1"/>
    <xf numFmtId="171" fontId="22" fillId="0" borderId="0" xfId="0" applyNumberFormat="1" applyFont="1"/>
    <xf numFmtId="10" fontId="22" fillId="11" borderId="0" xfId="3" applyNumberFormat="1" applyFont="1" applyFill="1"/>
    <xf numFmtId="0" fontId="22" fillId="16" borderId="17" xfId="0" applyFont="1" applyFill="1" applyBorder="1" applyAlignment="1">
      <alignment horizontal="centerContinuous"/>
    </xf>
    <xf numFmtId="0" fontId="22" fillId="16" borderId="18" xfId="0" applyFont="1" applyFill="1" applyBorder="1" applyAlignment="1">
      <alignment horizontal="centerContinuous"/>
    </xf>
    <xf numFmtId="167" fontId="23" fillId="0" borderId="21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3" xfId="0" quotePrefix="1" applyFont="1" applyBorder="1" applyAlignment="1">
      <alignment horizontal="center"/>
    </xf>
    <xf numFmtId="44" fontId="22" fillId="0" borderId="0" xfId="0" applyNumberFormat="1" applyFont="1" applyAlignment="1">
      <alignment horizontal="right"/>
    </xf>
    <xf numFmtId="0" fontId="23" fillId="2" borderId="16" xfId="0" applyFont="1" applyFill="1" applyBorder="1"/>
    <xf numFmtId="167" fontId="23" fillId="2" borderId="18" xfId="0" applyNumberFormat="1" applyFont="1" applyFill="1" applyBorder="1"/>
    <xf numFmtId="167" fontId="23" fillId="17" borderId="20" xfId="0" applyNumberFormat="1" applyFont="1" applyFill="1" applyBorder="1" applyAlignment="1">
      <alignment horizontal="centerContinuous"/>
    </xf>
    <xf numFmtId="0" fontId="22" fillId="17" borderId="17" xfId="0" applyFont="1" applyFill="1" applyBorder="1" applyAlignment="1">
      <alignment horizontal="centerContinuous"/>
    </xf>
    <xf numFmtId="0" fontId="22" fillId="17" borderId="18" xfId="0" applyFont="1" applyFill="1" applyBorder="1" applyAlignment="1">
      <alignment horizontal="centerContinuous"/>
    </xf>
    <xf numFmtId="44" fontId="22" fillId="11" borderId="0" xfId="2" applyFont="1" applyFill="1"/>
    <xf numFmtId="0" fontId="22" fillId="0" borderId="0" xfId="0" applyFont="1" applyAlignment="1">
      <alignment horizontal="center"/>
    </xf>
    <xf numFmtId="0" fontId="40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13" borderId="9" xfId="0" applyFont="1" applyFill="1" applyBorder="1" applyAlignment="1">
      <alignment horizontal="center"/>
    </xf>
    <xf numFmtId="0" fontId="23" fillId="11" borderId="0" xfId="0" applyFont="1" applyFill="1" applyAlignment="1">
      <alignment horizontal="left" indent="2"/>
    </xf>
    <xf numFmtId="0" fontId="23" fillId="11" borderId="0" xfId="0" applyFont="1" applyFill="1" applyAlignment="1">
      <alignment horizontal="center"/>
    </xf>
    <xf numFmtId="0" fontId="27" fillId="11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44" fontId="45" fillId="9" borderId="0" xfId="2" applyFont="1" applyFill="1" applyBorder="1"/>
    <xf numFmtId="44" fontId="30" fillId="0" borderId="0" xfId="2" applyFont="1" applyFill="1" applyBorder="1"/>
    <xf numFmtId="9" fontId="22" fillId="0" borderId="0" xfId="3" applyFont="1"/>
    <xf numFmtId="0" fontId="23" fillId="0" borderId="0" xfId="0" applyFont="1" applyAlignment="1">
      <alignment horizontal="center"/>
    </xf>
    <xf numFmtId="44" fontId="23" fillId="0" borderId="0" xfId="0" applyNumberFormat="1" applyFont="1" applyAlignment="1">
      <alignment horizontal="center"/>
    </xf>
    <xf numFmtId="44" fontId="27" fillId="11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 applyAlignment="1">
      <alignment horizontal="right"/>
    </xf>
    <xf numFmtId="0" fontId="51" fillId="0" borderId="0" xfId="0" applyFont="1"/>
    <xf numFmtId="0" fontId="52" fillId="0" borderId="0" xfId="0" applyFont="1"/>
    <xf numFmtId="0" fontId="23" fillId="0" borderId="0" xfId="0" applyFont="1" applyAlignment="1">
      <alignment horizontal="right"/>
    </xf>
    <xf numFmtId="14" fontId="54" fillId="9" borderId="0" xfId="0" applyNumberFormat="1" applyFont="1" applyFill="1"/>
    <xf numFmtId="14" fontId="54" fillId="0" borderId="0" xfId="0" applyNumberFormat="1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58" fillId="0" borderId="0" xfId="6" quotePrefix="1" applyFont="1"/>
    <xf numFmtId="0" fontId="58" fillId="0" borderId="0" xfId="6" quotePrefix="1" applyFont="1" applyFill="1"/>
    <xf numFmtId="0" fontId="58" fillId="0" borderId="0" xfId="6" applyFont="1" applyFill="1"/>
    <xf numFmtId="0" fontId="29" fillId="0" borderId="10" xfId="5" applyFont="1" applyBorder="1" applyAlignment="1">
      <alignment horizontal="center"/>
    </xf>
    <xf numFmtId="0" fontId="43" fillId="7" borderId="0" xfId="0" applyFont="1" applyFill="1"/>
    <xf numFmtId="0" fontId="22" fillId="7" borderId="0" xfId="0" applyFont="1" applyFill="1"/>
    <xf numFmtId="0" fontId="23" fillId="0" borderId="0" xfId="0" applyFont="1" applyAlignment="1">
      <alignment horizontal="left" indent="1"/>
    </xf>
    <xf numFmtId="0" fontId="30" fillId="0" borderId="0" xfId="0" applyFont="1"/>
    <xf numFmtId="9" fontId="30" fillId="0" borderId="0" xfId="3" applyFont="1" applyFill="1"/>
    <xf numFmtId="9" fontId="31" fillId="0" borderId="0" xfId="3" applyFont="1" applyFill="1" applyAlignment="1">
      <alignment horizontal="left"/>
    </xf>
    <xf numFmtId="167" fontId="31" fillId="0" borderId="0" xfId="2" applyNumberFormat="1" applyFont="1" applyFill="1" applyAlignment="1">
      <alignment horizontal="left"/>
    </xf>
    <xf numFmtId="44" fontId="59" fillId="0" borderId="0" xfId="2" applyFont="1" applyFill="1"/>
    <xf numFmtId="165" fontId="45" fillId="9" borderId="0" xfId="1" applyNumberFormat="1" applyFont="1" applyFill="1"/>
    <xf numFmtId="1" fontId="59" fillId="0" borderId="0" xfId="2" applyNumberFormat="1" applyFont="1" applyFill="1"/>
    <xf numFmtId="8" fontId="59" fillId="0" borderId="0" xfId="0" applyNumberFormat="1" applyFont="1"/>
    <xf numFmtId="0" fontId="29" fillId="11" borderId="0" xfId="0" applyFont="1" applyFill="1"/>
    <xf numFmtId="0" fontId="31" fillId="11" borderId="0" xfId="0" applyFont="1" applyFill="1"/>
    <xf numFmtId="10" fontId="45" fillId="9" borderId="0" xfId="3" applyNumberFormat="1" applyFont="1" applyFill="1"/>
    <xf numFmtId="167" fontId="60" fillId="0" borderId="0" xfId="2" applyNumberFormat="1" applyFont="1" applyFill="1" applyAlignment="1">
      <alignment horizontal="left"/>
    </xf>
    <xf numFmtId="0" fontId="44" fillId="0" borderId="0" xfId="0" applyFont="1"/>
    <xf numFmtId="0" fontId="45" fillId="9" borderId="0" xfId="0" applyFont="1" applyFill="1"/>
    <xf numFmtId="0" fontId="43" fillId="0" borderId="0" xfId="0" applyFont="1"/>
    <xf numFmtId="0" fontId="37" fillId="0" borderId="0" xfId="0" applyFont="1"/>
    <xf numFmtId="0" fontId="22" fillId="0" borderId="0" xfId="0" applyFont="1" applyAlignment="1">
      <alignment horizontal="left" indent="1"/>
    </xf>
    <xf numFmtId="44" fontId="45" fillId="9" borderId="0" xfId="1" applyNumberFormat="1" applyFont="1" applyFill="1"/>
    <xf numFmtId="0" fontId="31" fillId="0" borderId="0" xfId="0" applyFont="1"/>
    <xf numFmtId="0" fontId="43" fillId="8" borderId="0" xfId="0" applyFont="1" applyFill="1"/>
    <xf numFmtId="0" fontId="22" fillId="8" borderId="0" xfId="0" applyFont="1" applyFill="1"/>
    <xf numFmtId="0" fontId="59" fillId="0" borderId="0" xfId="0" applyFont="1"/>
    <xf numFmtId="167" fontId="61" fillId="0" borderId="0" xfId="2" applyNumberFormat="1" applyFont="1" applyFill="1" applyAlignment="1">
      <alignment horizontal="left"/>
    </xf>
    <xf numFmtId="167" fontId="62" fillId="0" borderId="0" xfId="6" applyNumberFormat="1" applyFont="1" applyFill="1" applyAlignment="1">
      <alignment horizontal="left"/>
    </xf>
    <xf numFmtId="14" fontId="45" fillId="9" borderId="0" xfId="0" applyNumberFormat="1" applyFont="1" applyFill="1"/>
    <xf numFmtId="14" fontId="45" fillId="0" borderId="0" xfId="0" applyNumberFormat="1" applyFont="1"/>
    <xf numFmtId="0" fontId="45" fillId="9" borderId="0" xfId="0" applyFont="1" applyFill="1" applyAlignment="1">
      <alignment horizontal="right"/>
    </xf>
    <xf numFmtId="14" fontId="45" fillId="9" borderId="0" xfId="0" applyNumberFormat="1" applyFont="1" applyFill="1" applyAlignment="1">
      <alignment horizontal="right"/>
    </xf>
    <xf numFmtId="49" fontId="45" fillId="9" borderId="0" xfId="0" applyNumberFormat="1" applyFont="1" applyFill="1" applyAlignment="1">
      <alignment horizontal="right"/>
    </xf>
    <xf numFmtId="167" fontId="45" fillId="9" borderId="0" xfId="2" applyNumberFormat="1" applyFont="1" applyFill="1" applyAlignment="1">
      <alignment horizontal="right"/>
    </xf>
    <xf numFmtId="0" fontId="29" fillId="0" borderId="0" xfId="0" applyFont="1"/>
    <xf numFmtId="9" fontId="45" fillId="9" borderId="0" xfId="3" applyFont="1" applyFill="1" applyAlignment="1">
      <alignment horizontal="right"/>
    </xf>
    <xf numFmtId="0" fontId="23" fillId="0" borderId="10" xfId="0" applyFont="1" applyBorder="1" applyAlignment="1">
      <alignment horizontal="center"/>
    </xf>
    <xf numFmtId="165" fontId="23" fillId="0" borderId="10" xfId="0" applyNumberFormat="1" applyFont="1" applyBorder="1" applyAlignment="1">
      <alignment horizontal="center"/>
    </xf>
    <xf numFmtId="165" fontId="23" fillId="0" borderId="10" xfId="0" applyNumberFormat="1" applyFont="1" applyBorder="1" applyAlignment="1">
      <alignment horizontal="center" wrapText="1"/>
    </xf>
    <xf numFmtId="0" fontId="29" fillId="0" borderId="0" xfId="5" applyFont="1" applyAlignment="1">
      <alignment horizontal="center"/>
    </xf>
    <xf numFmtId="0" fontId="35" fillId="0" borderId="0" xfId="0" applyFont="1" applyAlignment="1">
      <alignment horizontal="center"/>
    </xf>
    <xf numFmtId="0" fontId="23" fillId="14" borderId="9" xfId="5" applyFont="1" applyFill="1" applyBorder="1" applyAlignment="1">
      <alignment horizontal="center"/>
    </xf>
    <xf numFmtId="0" fontId="23" fillId="14" borderId="9" xfId="5" applyFont="1" applyFill="1" applyBorder="1" applyAlignment="1">
      <alignment horizontal="left"/>
    </xf>
    <xf numFmtId="14" fontId="64" fillId="14" borderId="9" xfId="5" applyNumberFormat="1" applyFont="1" applyFill="1" applyBorder="1"/>
    <xf numFmtId="165" fontId="22" fillId="14" borderId="9" xfId="5" applyNumberFormat="1" applyFont="1" applyFill="1" applyBorder="1"/>
    <xf numFmtId="0" fontId="23" fillId="12" borderId="22" xfId="0" applyFont="1" applyFill="1" applyBorder="1"/>
    <xf numFmtId="0" fontId="23" fillId="0" borderId="22" xfId="0" applyFont="1" applyBorder="1"/>
    <xf numFmtId="165" fontId="23" fillId="0" borderId="0" xfId="0" applyNumberFormat="1" applyFont="1" applyAlignment="1">
      <alignment horizontal="centerContinuous"/>
    </xf>
    <xf numFmtId="0" fontId="29" fillId="11" borderId="0" xfId="5" applyFont="1" applyFill="1" applyAlignment="1">
      <alignment horizontal="left"/>
    </xf>
    <xf numFmtId="0" fontId="29" fillId="11" borderId="0" xfId="5" applyFont="1" applyFill="1" applyAlignment="1">
      <alignment horizontal="center"/>
    </xf>
    <xf numFmtId="165" fontId="23" fillId="11" borderId="0" xfId="0" applyNumberFormat="1" applyFont="1" applyFill="1" applyAlignment="1">
      <alignment horizontal="center"/>
    </xf>
    <xf numFmtId="0" fontId="65" fillId="11" borderId="0" xfId="5" applyFont="1" applyFill="1" applyAlignment="1">
      <alignment horizontal="center"/>
    </xf>
    <xf numFmtId="0" fontId="29" fillId="0" borderId="0" xfId="5" applyFont="1" applyAlignment="1">
      <alignment horizontal="left"/>
    </xf>
    <xf numFmtId="0" fontId="66" fillId="0" borderId="0" xfId="5" applyFont="1" applyAlignment="1">
      <alignment horizontal="center"/>
    </xf>
    <xf numFmtId="165" fontId="45" fillId="9" borderId="0" xfId="1" applyNumberFormat="1" applyFont="1" applyFill="1" applyBorder="1" applyAlignment="1">
      <alignment horizontal="center"/>
    </xf>
    <xf numFmtId="0" fontId="66" fillId="0" borderId="0" xfId="5" applyFont="1" applyAlignment="1">
      <alignment horizontal="left"/>
    </xf>
    <xf numFmtId="165" fontId="23" fillId="0" borderId="0" xfId="0" applyNumberFormat="1" applyFont="1" applyAlignment="1">
      <alignment horizontal="center"/>
    </xf>
    <xf numFmtId="8" fontId="45" fillId="9" borderId="0" xfId="2" applyNumberFormat="1" applyFont="1" applyFill="1" applyBorder="1" applyAlignment="1">
      <alignment horizontal="center"/>
    </xf>
    <xf numFmtId="8" fontId="22" fillId="0" borderId="0" xfId="2" applyNumberFormat="1" applyFont="1" applyFill="1" applyBorder="1" applyAlignment="1">
      <alignment horizontal="center"/>
    </xf>
    <xf numFmtId="165" fontId="23" fillId="0" borderId="0" xfId="0" applyNumberFormat="1" applyFont="1"/>
    <xf numFmtId="43" fontId="23" fillId="0" borderId="0" xfId="2" applyNumberFormat="1" applyFont="1" applyBorder="1" applyAlignment="1">
      <alignment horizontal="center"/>
    </xf>
    <xf numFmtId="0" fontId="31" fillId="0" borderId="0" xfId="5" applyFont="1" applyAlignment="1">
      <alignment horizontal="left" indent="1"/>
    </xf>
    <xf numFmtId="44" fontId="22" fillId="0" borderId="0" xfId="2" applyFont="1" applyBorder="1" applyAlignment="1">
      <alignment horizontal="center"/>
    </xf>
    <xf numFmtId="43" fontId="22" fillId="0" borderId="0" xfId="2" applyNumberFormat="1" applyFont="1" applyBorder="1" applyAlignment="1">
      <alignment horizontal="center"/>
    </xf>
    <xf numFmtId="0" fontId="67" fillId="0" borderId="0" xfId="5" applyFont="1" applyAlignment="1">
      <alignment horizontal="center"/>
    </xf>
    <xf numFmtId="43" fontId="68" fillId="0" borderId="0" xfId="2" applyNumberFormat="1" applyFont="1" applyBorder="1" applyAlignment="1">
      <alignment horizontal="center"/>
    </xf>
    <xf numFmtId="0" fontId="43" fillId="6" borderId="9" xfId="5" applyFont="1" applyFill="1" applyBorder="1"/>
    <xf numFmtId="0" fontId="23" fillId="6" borderId="9" xfId="5" applyFont="1" applyFill="1" applyBorder="1" applyAlignment="1">
      <alignment horizontal="center"/>
    </xf>
    <xf numFmtId="0" fontId="23" fillId="6" borderId="9" xfId="5" applyFont="1" applyFill="1" applyBorder="1" applyAlignment="1">
      <alignment horizontal="left"/>
    </xf>
    <xf numFmtId="0" fontId="22" fillId="6" borderId="9" xfId="5" applyFont="1" applyFill="1" applyBorder="1"/>
    <xf numFmtId="165" fontId="22" fillId="6" borderId="9" xfId="5" applyNumberFormat="1" applyFont="1" applyFill="1" applyBorder="1"/>
    <xf numFmtId="0" fontId="65" fillId="11" borderId="0" xfId="5" applyFont="1" applyFill="1" applyAlignment="1">
      <alignment horizontal="left"/>
    </xf>
    <xf numFmtId="3" fontId="45" fillId="9" borderId="0" xfId="0" applyNumberFormat="1" applyFont="1" applyFill="1"/>
    <xf numFmtId="10" fontId="22" fillId="0" borderId="0" xfId="3" applyNumberFormat="1" applyFont="1"/>
    <xf numFmtId="165" fontId="22" fillId="0" borderId="4" xfId="0" applyNumberFormat="1" applyFont="1" applyBorder="1"/>
    <xf numFmtId="0" fontId="22" fillId="0" borderId="4" xfId="0" applyFont="1" applyBorder="1"/>
    <xf numFmtId="0" fontId="23" fillId="0" borderId="0" xfId="0" applyFont="1" applyAlignment="1">
      <alignment horizontal="left"/>
    </xf>
    <xf numFmtId="3" fontId="22" fillId="0" borderId="4" xfId="0" applyNumberFormat="1" applyFont="1" applyBorder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43" fillId="5" borderId="9" xfId="5" applyFont="1" applyFill="1" applyBorder="1"/>
    <xf numFmtId="0" fontId="23" fillId="5" borderId="9" xfId="5" applyFont="1" applyFill="1" applyBorder="1" applyAlignment="1">
      <alignment horizontal="center"/>
    </xf>
    <xf numFmtId="0" fontId="23" fillId="5" borderId="9" xfId="5" applyFont="1" applyFill="1" applyBorder="1" applyAlignment="1">
      <alignment horizontal="left"/>
    </xf>
    <xf numFmtId="0" fontId="22" fillId="5" borderId="9" xfId="5" applyFont="1" applyFill="1" applyBorder="1"/>
    <xf numFmtId="165" fontId="22" fillId="5" borderId="9" xfId="5" applyNumberFormat="1" applyFont="1" applyFill="1" applyBorder="1"/>
    <xf numFmtId="0" fontId="69" fillId="0" borderId="0" xfId="0" applyFont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left" indent="1"/>
    </xf>
    <xf numFmtId="0" fontId="70" fillId="0" borderId="0" xfId="0" quotePrefix="1" applyFont="1" applyAlignment="1">
      <alignment horizontal="left" indent="1"/>
    </xf>
    <xf numFmtId="0" fontId="70" fillId="0" borderId="0" xfId="0" applyFont="1" applyAlignment="1">
      <alignment horizontal="left" indent="3"/>
    </xf>
    <xf numFmtId="167" fontId="60" fillId="0" borderId="0" xfId="2" applyNumberFormat="1" applyFont="1" applyAlignment="1">
      <alignment horizontal="left"/>
    </xf>
    <xf numFmtId="165" fontId="45" fillId="9" borderId="0" xfId="1" applyNumberFormat="1" applyFont="1" applyFill="1" applyAlignment="1">
      <alignment horizontal="right"/>
    </xf>
    <xf numFmtId="167" fontId="31" fillId="0" borderId="0" xfId="2" applyNumberFormat="1" applyFont="1" applyFill="1"/>
    <xf numFmtId="44" fontId="45" fillId="9" borderId="0" xfId="2" applyFont="1" applyFill="1"/>
    <xf numFmtId="0" fontId="43" fillId="53" borderId="9" xfId="5" applyFont="1" applyFill="1" applyBorder="1"/>
    <xf numFmtId="173" fontId="22" fillId="0" borderId="0" xfId="0" applyNumberFormat="1" applyFont="1"/>
    <xf numFmtId="0" fontId="4" fillId="0" borderId="0" xfId="6"/>
    <xf numFmtId="0" fontId="71" fillId="52" borderId="22" xfId="0" applyFont="1" applyFill="1" applyBorder="1"/>
    <xf numFmtId="0" fontId="71" fillId="12" borderId="22" xfId="0" applyFont="1" applyFill="1" applyBorder="1"/>
    <xf numFmtId="0" fontId="23" fillId="12" borderId="0" xfId="0" applyFont="1" applyFill="1" applyAlignment="1">
      <alignment horizontal="center"/>
    </xf>
    <xf numFmtId="0" fontId="23" fillId="12" borderId="10" xfId="0" applyFont="1" applyFill="1" applyBorder="1" applyAlignment="1">
      <alignment horizontal="center"/>
    </xf>
    <xf numFmtId="10" fontId="72" fillId="11" borderId="0" xfId="0" applyNumberFormat="1" applyFont="1" applyFill="1" applyAlignment="1">
      <alignment horizontal="center"/>
    </xf>
    <xf numFmtId="8" fontId="22" fillId="0" borderId="0" xfId="2" applyNumberFormat="1" applyFont="1" applyBorder="1" applyAlignment="1">
      <alignment horizontal="center"/>
    </xf>
    <xf numFmtId="8" fontId="45" fillId="0" borderId="0" xfId="2" applyNumberFormat="1" applyFont="1" applyBorder="1" applyAlignment="1">
      <alignment horizontal="center"/>
    </xf>
    <xf numFmtId="165" fontId="22" fillId="11" borderId="0" xfId="0" applyNumberFormat="1" applyFont="1" applyFill="1" applyAlignment="1">
      <alignment horizontal="right"/>
    </xf>
    <xf numFmtId="165" fontId="22" fillId="4" borderId="0" xfId="0" applyNumberFormat="1" applyFont="1" applyFill="1" applyAlignment="1">
      <alignment horizontal="right"/>
    </xf>
    <xf numFmtId="174" fontId="45" fillId="9" borderId="0" xfId="1" applyNumberFormat="1" applyFont="1" applyFill="1" applyAlignment="1">
      <alignment horizontal="right"/>
    </xf>
    <xf numFmtId="0" fontId="23" fillId="51" borderId="22" xfId="0" applyFont="1" applyFill="1" applyBorder="1"/>
    <xf numFmtId="0" fontId="28" fillId="11" borderId="0" xfId="5" applyFont="1" applyFill="1" applyAlignment="1">
      <alignment horizontal="left"/>
    </xf>
    <xf numFmtId="0" fontId="22" fillId="54" borderId="0" xfId="0" applyFont="1" applyFill="1"/>
    <xf numFmtId="0" fontId="43" fillId="54" borderId="0" xfId="0" applyFont="1" applyFill="1" applyAlignment="1">
      <alignment horizontal="center"/>
    </xf>
    <xf numFmtId="0" fontId="28" fillId="0" borderId="0" xfId="0" applyFont="1"/>
    <xf numFmtId="165" fontId="71" fillId="9" borderId="0" xfId="1" applyNumberFormat="1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3" fontId="71" fillId="9" borderId="0" xfId="0" applyNumberFormat="1" applyFont="1" applyFill="1"/>
    <xf numFmtId="0" fontId="53" fillId="0" borderId="0" xfId="0" applyFont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43" fillId="15" borderId="0" xfId="0" applyFont="1" applyFill="1" applyAlignment="1">
      <alignment horizontal="center"/>
    </xf>
    <xf numFmtId="0" fontId="43" fillId="10" borderId="0" xfId="0" applyFont="1" applyFill="1" applyAlignment="1">
      <alignment horizontal="center"/>
    </xf>
    <xf numFmtId="0" fontId="29" fillId="11" borderId="0" xfId="0" applyFont="1" applyFill="1" applyAlignment="1">
      <alignment horizontal="center"/>
    </xf>
    <xf numFmtId="0" fontId="23" fillId="16" borderId="6" xfId="0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50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</cellXfs>
  <cellStyles count="51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3" xr:uid="{445D9C41-1D5E-455F-8CC7-232339A7C810}"/>
    <cellStyle name="60% - Accent2 2" xfId="44" xr:uid="{D90867AF-A2F1-4059-9EF4-670490571792}"/>
    <cellStyle name="60% - Accent3 2" xfId="45" xr:uid="{1B109D9E-BBF3-4CB8-84AD-A6BF78F62F4E}"/>
    <cellStyle name="60% - Accent4 2" xfId="46" xr:uid="{25E7A770-9DDD-4CCE-BCCF-B32A5C5559F4}"/>
    <cellStyle name="60% - Accent5 2" xfId="47" xr:uid="{7EE7BFFF-A37F-4F5D-BB55-5B9966A72C71}"/>
    <cellStyle name="60% - Accent6 2" xfId="48" xr:uid="{0E1E6B63-CD11-42DA-BE77-F4137442402F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" xfId="1" builtinId="3"/>
    <cellStyle name="Currency" xfId="2" builtinId="4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6" builtinId="8"/>
    <cellStyle name="Input" xfId="15" builtinId="20" customBuiltin="1"/>
    <cellStyle name="Linked Cell" xfId="18" builtinId="24" customBuiltin="1"/>
    <cellStyle name="Neutral 2" xfId="42" xr:uid="{2D142405-B321-4954-B25A-E1E8AD5DD3AB}"/>
    <cellStyle name="Normal" xfId="0" builtinId="0"/>
    <cellStyle name="Normal 10" xfId="5" xr:uid="{00000000-0005-0000-0000-000004000000}"/>
    <cellStyle name="Normal 2" xfId="4" xr:uid="{00000000-0005-0000-0000-000005000000}"/>
    <cellStyle name="Normal 2 2" xfId="49" xr:uid="{AC821D66-A76D-485E-B325-AFEAB4FD5A56}"/>
    <cellStyle name="Normal 3" xfId="7" xr:uid="{00000000-0005-0000-0000-000006000000}"/>
    <cellStyle name="Normal 3 2" xfId="50" xr:uid="{650E7019-F95F-4365-8F79-787ADC58021D}"/>
    <cellStyle name="Note" xfId="21" builtinId="10" customBuiltin="1"/>
    <cellStyle name="Output" xfId="16" builtinId="21" customBuiltin="1"/>
    <cellStyle name="Percent" xfId="3" builtinId="5"/>
    <cellStyle name="Title" xfId="8" builtinId="15" customBuiltin="1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0000FF"/>
      <color rgb="FF8064A2"/>
      <color rgb="FFFFFFCC"/>
      <color rgb="FF006699"/>
      <color rgb="FFADC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627062</xdr:colOff>
      <xdr:row>9</xdr:row>
      <xdr:rowOff>142875</xdr:rowOff>
    </xdr:from>
    <xdr:to>
      <xdr:col>12</xdr:col>
      <xdr:colOff>679449</xdr:colOff>
      <xdr:row>12</xdr:row>
      <xdr:rowOff>0</xdr:rowOff>
    </xdr:to>
    <xdr:pic>
      <xdr:nvPicPr>
        <xdr:cNvPr id="3" name="Picture 2" descr="2011 Logo Horizontal Color">
          <a:extLst>
            <a:ext uri="{FF2B5EF4-FFF2-40B4-BE49-F238E27FC236}">
              <a16:creationId xmlns:a16="http://schemas.microsoft.com/office/drawing/2014/main" id="{CA9C3C71-BDA5-40F5-A117-F01869B698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746875" y="3825875"/>
          <a:ext cx="3033712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35719</xdr:colOff>
      <xdr:row>0</xdr:row>
      <xdr:rowOff>51594</xdr:rowOff>
    </xdr:from>
    <xdr:ext cx="1587843" cy="700519"/>
    <xdr:pic>
      <xdr:nvPicPr>
        <xdr:cNvPr id="5" name="Picture 4">
          <a:extLst>
            <a:ext uri="{FF2B5EF4-FFF2-40B4-BE49-F238E27FC236}">
              <a16:creationId xmlns:a16="http://schemas.microsoft.com/office/drawing/2014/main" id="{5899742D-38A3-482D-BBEB-5E69DF091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0" t="25429" r="17442" b="26888"/>
        <a:stretch/>
      </xdr:blipFill>
      <xdr:spPr>
        <a:xfrm>
          <a:off x="35719" y="51594"/>
          <a:ext cx="1587843" cy="7005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ater.phila.gov/wp-content/uploads/files/rates-and-charges-2025-09-01.pdf" TargetMode="External"/><Relationship Id="rId2" Type="http://schemas.openxmlformats.org/officeDocument/2006/relationships/hyperlink" Target="https://www.federalreserve.gov/releases/h15/" TargetMode="External"/><Relationship Id="rId1" Type="http://schemas.openxmlformats.org/officeDocument/2006/relationships/hyperlink" Target="https://www.federalreserve.gov/releases/h15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M13"/>
  <sheetViews>
    <sheetView workbookViewId="0">
      <selection activeCell="A8" sqref="A8"/>
    </sheetView>
  </sheetViews>
  <sheetFormatPr defaultColWidth="0" defaultRowHeight="15.75" customHeight="1" zeroHeight="1" x14ac:dyDescent="0.35"/>
  <cols>
    <col min="1" max="3" width="11.26953125" style="1" customWidth="1"/>
    <col min="4" max="4" width="13.453125" style="1" customWidth="1"/>
    <col min="5" max="13" width="11.26953125" style="1" customWidth="1"/>
    <col min="14" max="16384" width="9.26953125" style="1" hidden="1"/>
  </cols>
  <sheetData>
    <row r="1" spans="1:13" ht="15.5" x14ac:dyDescent="0.35">
      <c r="A1" s="201"/>
      <c r="B1" s="202"/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4" t="s">
        <v>0</v>
      </c>
    </row>
    <row r="2" spans="1:13" ht="15.5" x14ac:dyDescent="0.35">
      <c r="A2" s="201"/>
      <c r="B2" s="202"/>
      <c r="C2" s="202"/>
      <c r="D2" s="203"/>
      <c r="E2" s="203"/>
      <c r="F2" s="203"/>
      <c r="G2" s="203"/>
      <c r="H2" s="203"/>
      <c r="I2" s="203"/>
      <c r="J2" s="203"/>
      <c r="K2" s="203"/>
      <c r="L2" s="203"/>
      <c r="M2" s="204" t="s">
        <v>1</v>
      </c>
    </row>
    <row r="3" spans="1:13" ht="20.5" x14ac:dyDescent="0.45">
      <c r="A3" s="205"/>
      <c r="B3" s="206"/>
      <c r="C3" s="202"/>
      <c r="M3" s="207"/>
    </row>
    <row r="4" spans="1:13" ht="20.5" x14ac:dyDescent="0.45">
      <c r="A4" s="201"/>
      <c r="B4" s="206"/>
      <c r="C4" s="202"/>
      <c r="M4" s="207"/>
    </row>
    <row r="5" spans="1:13" ht="114.75" customHeight="1" x14ac:dyDescent="0.35">
      <c r="A5" s="333" t="s">
        <v>2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</row>
    <row r="6" spans="1:13" ht="20.5" x14ac:dyDescent="0.45">
      <c r="A6" s="205"/>
      <c r="B6" s="206"/>
      <c r="C6" s="202"/>
      <c r="M6" s="207"/>
    </row>
    <row r="7" spans="1:13" ht="20.5" x14ac:dyDescent="0.45">
      <c r="A7" s="205"/>
      <c r="B7" s="206"/>
      <c r="C7" s="202"/>
      <c r="M7" s="207"/>
    </row>
    <row r="8" spans="1:13" ht="15.5" x14ac:dyDescent="0.35">
      <c r="A8" s="201" t="s">
        <v>3</v>
      </c>
      <c r="B8" s="202"/>
      <c r="C8" s="202"/>
      <c r="D8" s="208">
        <v>46126</v>
      </c>
      <c r="E8" s="203"/>
      <c r="F8" s="203"/>
      <c r="G8" s="203"/>
      <c r="H8" s="203"/>
      <c r="M8" s="207"/>
    </row>
    <row r="9" spans="1:13" ht="15.5" x14ac:dyDescent="0.35">
      <c r="A9" s="201"/>
      <c r="B9" s="202"/>
      <c r="C9" s="202"/>
      <c r="D9" s="209"/>
      <c r="E9" s="203"/>
      <c r="F9" s="203"/>
      <c r="G9" s="203"/>
      <c r="H9" s="203"/>
      <c r="M9" s="207"/>
    </row>
    <row r="10" spans="1:13" ht="15.5" x14ac:dyDescent="0.35">
      <c r="A10" s="201"/>
      <c r="B10" s="202"/>
      <c r="C10" s="202"/>
      <c r="D10" s="203"/>
      <c r="E10" s="203"/>
      <c r="F10" s="203"/>
      <c r="G10" s="203"/>
      <c r="H10" s="203"/>
      <c r="M10" s="207"/>
    </row>
    <row r="11" spans="1:13" ht="15.5" x14ac:dyDescent="0.35">
      <c r="A11" s="334" t="s">
        <v>4</v>
      </c>
      <c r="B11" s="335"/>
      <c r="C11" s="335"/>
      <c r="D11" s="335"/>
      <c r="E11" s="335"/>
      <c r="F11" s="335"/>
      <c r="G11" s="336"/>
      <c r="H11" s="336"/>
      <c r="M11" s="207"/>
    </row>
    <row r="12" spans="1:13" ht="15.5" x14ac:dyDescent="0.35">
      <c r="A12" s="210" t="s">
        <v>5</v>
      </c>
      <c r="B12" s="211"/>
      <c r="C12" s="211"/>
      <c r="D12" s="211"/>
      <c r="E12" s="211"/>
      <c r="F12" s="211"/>
      <c r="G12" s="212"/>
      <c r="H12" s="212"/>
      <c r="M12" s="207"/>
    </row>
    <row r="13" spans="1:13" ht="14.5" hidden="1" x14ac:dyDescent="0.35"/>
  </sheetData>
  <mergeCells count="2">
    <mergeCell ref="A5:M5"/>
    <mergeCell ref="A11:H1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0EC7-FD91-4EDE-B640-AB737F953BE9}">
  <sheetPr codeName="Sheet10">
    <tabColor theme="4" tint="-0.249977111117893"/>
    <pageSetUpPr fitToPage="1"/>
  </sheetPr>
  <dimension ref="A1:N185"/>
  <sheetViews>
    <sheetView workbookViewId="0">
      <selection activeCell="B30" sqref="B30"/>
    </sheetView>
  </sheetViews>
  <sheetFormatPr defaultColWidth="9.26953125" defaultRowHeight="14.5" zeroHeight="1" x14ac:dyDescent="0.35"/>
  <cols>
    <col min="1" max="1" width="9.26953125" style="1" customWidth="1"/>
    <col min="2" max="2" width="20.54296875" style="1" customWidth="1"/>
    <col min="3" max="8" width="30.54296875" style="1" customWidth="1"/>
    <col min="9" max="9" width="1.7265625" style="1" customWidth="1"/>
    <col min="10" max="10" width="24" style="1" customWidth="1"/>
    <col min="11" max="11" width="34.453125" style="1" bestFit="1" customWidth="1"/>
    <col min="12" max="12" width="30.7265625" style="1" customWidth="1"/>
    <col min="13" max="13" width="1.54296875" style="1" customWidth="1"/>
    <col min="14" max="14" width="15.26953125" style="1" customWidth="1"/>
    <col min="15" max="16" width="9.26953125" style="1" customWidth="1"/>
    <col min="17" max="16384" width="9.26953125" style="1"/>
  </cols>
  <sheetData>
    <row r="1" spans="2:12" x14ac:dyDescent="0.35"/>
    <row r="2" spans="2:12" x14ac:dyDescent="0.35">
      <c r="B2" s="62" t="str">
        <f>B70</f>
        <v xml:space="preserve">Philadelphia Water Department </v>
      </c>
      <c r="C2" s="62"/>
      <c r="D2" s="62"/>
      <c r="E2" s="62"/>
      <c r="F2" s="62"/>
      <c r="G2" s="62"/>
      <c r="H2" s="62"/>
      <c r="I2" s="62"/>
      <c r="J2" s="62"/>
      <c r="K2" s="62"/>
      <c r="L2" s="5"/>
    </row>
    <row r="3" spans="2:12" ht="15" thickBot="1" x14ac:dyDescent="0.4">
      <c r="B3" s="62" t="str">
        <f>B71</f>
        <v xml:space="preserve">Table 4 -W-A - Interest on Experienced &amp; Estimated Net Over/(Under) Collection (I-Factor) for Most Recent Period </v>
      </c>
      <c r="C3" s="62"/>
      <c r="D3" s="62"/>
      <c r="E3" s="62"/>
      <c r="F3" s="62"/>
      <c r="G3" s="62"/>
      <c r="H3" s="62"/>
      <c r="I3" s="62"/>
      <c r="J3" s="62"/>
      <c r="K3" s="62"/>
      <c r="L3" s="5"/>
    </row>
    <row r="4" spans="2:12" ht="15" thickBot="1" x14ac:dyDescent="0.4">
      <c r="C4" s="125" t="str">
        <f t="shared" ref="C4:F9" si="0">C72</f>
        <v>Prior Reconciliation Period with Updated Actuals</v>
      </c>
      <c r="D4" s="126"/>
      <c r="E4" s="126"/>
      <c r="F4" s="126"/>
      <c r="G4" s="172"/>
      <c r="H4" s="173"/>
      <c r="J4" s="128" t="s">
        <v>201</v>
      </c>
      <c r="K4" s="129" t="s">
        <v>202</v>
      </c>
      <c r="L4" s="174"/>
    </row>
    <row r="5" spans="2:12" x14ac:dyDescent="0.35">
      <c r="B5" s="83" t="str">
        <f>B73</f>
        <v>Billing</v>
      </c>
      <c r="C5" s="84" t="str">
        <f t="shared" si="0"/>
        <v>Difference in</v>
      </c>
      <c r="D5" s="84" t="str">
        <f t="shared" si="0"/>
        <v>Billed Non-TAP</v>
      </c>
      <c r="E5" s="84" t="str">
        <f t="shared" si="0"/>
        <v xml:space="preserve">Anticipated E+I </v>
      </c>
      <c r="F5" s="84" t="str">
        <f t="shared" si="0"/>
        <v xml:space="preserve">Remaining E+I </v>
      </c>
      <c r="G5" s="84" t="str">
        <f t="shared" ref="G5:H7" si="1">G73</f>
        <v xml:space="preserve">Cumulative </v>
      </c>
      <c r="H5" s="84" t="str">
        <f t="shared" si="1"/>
        <v xml:space="preserve">Estimated Monthly </v>
      </c>
      <c r="J5" s="84" t="s">
        <v>228</v>
      </c>
      <c r="K5" s="84" t="str">
        <f>K73</f>
        <v xml:space="preserve">Cumulative </v>
      </c>
      <c r="L5" s="175"/>
    </row>
    <row r="6" spans="2:12" x14ac:dyDescent="0.35">
      <c r="B6" s="84" t="str">
        <f>B74</f>
        <v>Period</v>
      </c>
      <c r="C6" s="84" t="str">
        <f t="shared" si="0"/>
        <v>Collection</v>
      </c>
      <c r="D6" s="84" t="str">
        <f t="shared" si="0"/>
        <v>Water Sales</v>
      </c>
      <c r="E6" s="84" t="str">
        <f t="shared" si="0"/>
        <v>Recovery</v>
      </c>
      <c r="F6" s="84" t="str">
        <f t="shared" si="0"/>
        <v>Recovery</v>
      </c>
      <c r="G6" s="84" t="str">
        <f t="shared" si="1"/>
        <v>Over/(Under) Collection</v>
      </c>
      <c r="H6" s="84" t="str">
        <f t="shared" si="1"/>
        <v>Interest Owed/</v>
      </c>
      <c r="J6" s="84" t="str">
        <f>L74</f>
        <v>Interest Owed/</v>
      </c>
      <c r="K6" s="84" t="str">
        <f t="shared" ref="K6" si="2">K74</f>
        <v>Over/(Under) Collection</v>
      </c>
      <c r="L6" s="175"/>
    </row>
    <row r="7" spans="2:12" x14ac:dyDescent="0.35">
      <c r="B7" s="84"/>
      <c r="C7" s="84" t="str">
        <f t="shared" si="0"/>
        <v>Water Portion</v>
      </c>
      <c r="D7" s="84" t="str">
        <f t="shared" si="0"/>
        <v>(Mcf)</v>
      </c>
      <c r="E7" s="84" t="str">
        <f t="shared" si="0"/>
        <v>Water Portion</v>
      </c>
      <c r="F7" s="84" t="str">
        <f t="shared" si="0"/>
        <v>Water Portion</v>
      </c>
      <c r="G7" s="84" t="str">
        <f t="shared" si="1"/>
        <v>Water Portion</v>
      </c>
      <c r="H7" s="84" t="str">
        <f t="shared" si="1"/>
        <v>(Interest to be Recouped)</v>
      </c>
      <c r="J7" s="84" t="str">
        <f>L75</f>
        <v>(Interest to be Recouped)</v>
      </c>
      <c r="K7" s="84" t="str">
        <f t="shared" ref="K7" si="3">K75</f>
        <v>Water Portion</v>
      </c>
      <c r="L7" s="175"/>
    </row>
    <row r="8" spans="2:12" x14ac:dyDescent="0.35">
      <c r="B8" s="84"/>
      <c r="C8" s="84" t="str">
        <f t="shared" si="0"/>
        <v>From Table 3-W-A</v>
      </c>
      <c r="D8" s="84" t="str">
        <f t="shared" si="0"/>
        <v>From Table 3-W-A</v>
      </c>
      <c r="E8" s="86">
        <f t="shared" si="0"/>
        <v>-0.9694262811148262</v>
      </c>
      <c r="F8" s="84"/>
      <c r="G8" s="85"/>
      <c r="H8" s="84" t="str">
        <f>H76</f>
        <v>Water Portion</v>
      </c>
      <c r="J8" s="84" t="str">
        <f>L76</f>
        <v>Water Portion</v>
      </c>
      <c r="K8" s="84"/>
      <c r="L8" s="175"/>
    </row>
    <row r="9" spans="2:12" x14ac:dyDescent="0.35">
      <c r="B9" s="89"/>
      <c r="C9" s="90" t="str">
        <f t="shared" si="0"/>
        <v>(1)</v>
      </c>
      <c r="D9" s="90" t="str">
        <f t="shared" si="0"/>
        <v>(2)</v>
      </c>
      <c r="E9" s="90" t="str">
        <f t="shared" si="0"/>
        <v>(3) = (2) * $ -0.969/Mcf</v>
      </c>
      <c r="F9" s="90" t="str">
        <f t="shared" si="0"/>
        <v>(4) = (3) + (1)</v>
      </c>
      <c r="G9" s="90" t="str">
        <f>G77</f>
        <v xml:space="preserve">(5) </v>
      </c>
      <c r="H9" s="90" t="str">
        <f>H77</f>
        <v>(6) = (5) * [4.17% / 12]</v>
      </c>
      <c r="J9" s="90" t="s">
        <v>291</v>
      </c>
      <c r="K9" s="90" t="s">
        <v>299</v>
      </c>
      <c r="L9" s="176"/>
    </row>
    <row r="10" spans="2:12" x14ac:dyDescent="0.35">
      <c r="B10" s="92"/>
      <c r="C10" s="93"/>
      <c r="D10" s="93"/>
      <c r="E10" s="93"/>
      <c r="F10" s="93"/>
      <c r="G10" s="93"/>
      <c r="H10" s="93"/>
      <c r="J10" s="93"/>
      <c r="K10" s="93"/>
    </row>
    <row r="11" spans="2:12" x14ac:dyDescent="0.35">
      <c r="B11" s="97">
        <f t="shared" ref="B11:H22" si="4">B79</f>
        <v>45536</v>
      </c>
      <c r="C11" s="161">
        <f t="shared" si="4"/>
        <v>295352.06232041982</v>
      </c>
      <c r="D11" s="322">
        <f t="shared" ref="D11:F11" si="5">D79</f>
        <v>490921.995</v>
      </c>
      <c r="E11" s="161">
        <f t="shared" si="5"/>
        <v>-475912.68393032131</v>
      </c>
      <c r="F11" s="161">
        <f t="shared" si="5"/>
        <v>-180560.62160990149</v>
      </c>
      <c r="G11" s="161">
        <f t="shared" si="4"/>
        <v>-180560.62160990149</v>
      </c>
      <c r="H11" s="163">
        <f t="shared" si="4"/>
        <v>-627.44816009440763</v>
      </c>
      <c r="J11" s="163">
        <f t="shared" ref="J11:J23" si="6">L79</f>
        <v>-627.4472992936096</v>
      </c>
      <c r="K11" s="163">
        <f>H11-J11</f>
        <v>-8.6080079802286491E-4</v>
      </c>
      <c r="L11" s="177"/>
    </row>
    <row r="12" spans="2:12" x14ac:dyDescent="0.35">
      <c r="B12" s="101">
        <f t="shared" si="4"/>
        <v>45566</v>
      </c>
      <c r="C12" s="165">
        <f t="shared" si="4"/>
        <v>110477.46838998003</v>
      </c>
      <c r="D12" s="323">
        <f t="shared" ref="D12:F12" si="7">D80</f>
        <v>458132.77999999997</v>
      </c>
      <c r="E12" s="165">
        <f t="shared" si="7"/>
        <v>-444125.95717219682</v>
      </c>
      <c r="F12" s="165">
        <f t="shared" si="7"/>
        <v>-333648.48878221679</v>
      </c>
      <c r="G12" s="165">
        <f t="shared" si="4"/>
        <v>-514209.11039211828</v>
      </c>
      <c r="H12" s="167">
        <f t="shared" si="4"/>
        <v>-1786.8766586126112</v>
      </c>
      <c r="J12" s="167">
        <f t="shared" si="6"/>
        <v>-1786.8756710846792</v>
      </c>
      <c r="K12" s="167">
        <f t="shared" ref="K12:K23" si="8">H12-J12</f>
        <v>-9.8752793201128952E-4</v>
      </c>
      <c r="L12" s="177"/>
    </row>
    <row r="13" spans="2:12" x14ac:dyDescent="0.35">
      <c r="B13" s="97">
        <f t="shared" si="4"/>
        <v>45597</v>
      </c>
      <c r="C13" s="161">
        <f t="shared" si="4"/>
        <v>161967.9566269198</v>
      </c>
      <c r="D13" s="322">
        <f t="shared" ref="D13:F13" si="9">D81</f>
        <v>424733.95499999996</v>
      </c>
      <c r="E13" s="161">
        <f t="shared" si="9"/>
        <v>-411748.25845884188</v>
      </c>
      <c r="F13" s="161">
        <f t="shared" si="9"/>
        <v>-249780.30183192209</v>
      </c>
      <c r="G13" s="161">
        <f t="shared" si="4"/>
        <v>-763989.41222404037</v>
      </c>
      <c r="H13" s="163">
        <f t="shared" si="4"/>
        <v>-2654.8632074785405</v>
      </c>
      <c r="J13" s="163">
        <f t="shared" si="6"/>
        <v>-2654.8608091001206</v>
      </c>
      <c r="K13" s="163">
        <f t="shared" si="8"/>
        <v>-2.3983784199117508E-3</v>
      </c>
      <c r="L13" s="177"/>
    </row>
    <row r="14" spans="2:12" x14ac:dyDescent="0.35">
      <c r="B14" s="101">
        <f t="shared" si="4"/>
        <v>45627</v>
      </c>
      <c r="C14" s="165">
        <f t="shared" si="4"/>
        <v>95970.034149960149</v>
      </c>
      <c r="D14" s="323">
        <f t="shared" ref="D14:F14" si="10">D82</f>
        <v>428037.62</v>
      </c>
      <c r="E14" s="165">
        <f t="shared" si="10"/>
        <v>-414950.91813384113</v>
      </c>
      <c r="F14" s="165">
        <f t="shared" si="10"/>
        <v>-318980.88398388098</v>
      </c>
      <c r="G14" s="165">
        <f t="shared" si="4"/>
        <v>-1082970.2962079213</v>
      </c>
      <c r="H14" s="167">
        <f t="shared" si="4"/>
        <v>-3763.3217793225267</v>
      </c>
      <c r="J14" s="167">
        <f t="shared" si="6"/>
        <v>-3763.318941443622</v>
      </c>
      <c r="K14" s="167">
        <f t="shared" si="8"/>
        <v>-2.8378789047565078E-3</v>
      </c>
      <c r="L14" s="177"/>
    </row>
    <row r="15" spans="2:12" x14ac:dyDescent="0.35">
      <c r="B15" s="97">
        <f t="shared" si="4"/>
        <v>45658</v>
      </c>
      <c r="C15" s="161">
        <f t="shared" si="4"/>
        <v>-20838.5639549396</v>
      </c>
      <c r="D15" s="322">
        <f t="shared" ref="D15:F15" si="11">D83</f>
        <v>446981.625</v>
      </c>
      <c r="E15" s="161">
        <f t="shared" si="11"/>
        <v>-433315.73445041181</v>
      </c>
      <c r="F15" s="161">
        <f t="shared" si="11"/>
        <v>-454154.29840535141</v>
      </c>
      <c r="G15" s="161">
        <f t="shared" si="4"/>
        <v>-1537124.5946132727</v>
      </c>
      <c r="H15" s="163">
        <f t="shared" si="4"/>
        <v>-5341.5079662811231</v>
      </c>
      <c r="J15" s="163">
        <f t="shared" si="6"/>
        <v>-5341.5064934152297</v>
      </c>
      <c r="K15" s="163">
        <f t="shared" si="8"/>
        <v>-1.472865893447306E-3</v>
      </c>
      <c r="L15" s="177"/>
    </row>
    <row r="16" spans="2:12" x14ac:dyDescent="0.35">
      <c r="B16" s="101">
        <f t="shared" si="4"/>
        <v>45689</v>
      </c>
      <c r="C16" s="165">
        <f t="shared" si="4"/>
        <v>54047.958383040037</v>
      </c>
      <c r="D16" s="323">
        <f t="shared" ref="D16:F16" si="12">D84</f>
        <v>389903.54</v>
      </c>
      <c r="E16" s="165">
        <f t="shared" si="12"/>
        <v>-377982.73877570586</v>
      </c>
      <c r="F16" s="165">
        <f t="shared" si="12"/>
        <v>-323934.78039266582</v>
      </c>
      <c r="G16" s="165">
        <f t="shared" si="4"/>
        <v>-1861059.3750059386</v>
      </c>
      <c r="H16" s="167">
        <f t="shared" si="4"/>
        <v>-6467.1813281456371</v>
      </c>
      <c r="J16" s="167">
        <f t="shared" si="6"/>
        <v>-6467.1795290247828</v>
      </c>
      <c r="K16" s="167">
        <f t="shared" si="8"/>
        <v>-1.7991208542298409E-3</v>
      </c>
      <c r="L16" s="177"/>
    </row>
    <row r="17" spans="2:14" x14ac:dyDescent="0.35">
      <c r="B17" s="97">
        <f t="shared" si="4"/>
        <v>45717</v>
      </c>
      <c r="C17" s="161">
        <f t="shared" si="4"/>
        <v>36461.548853880027</v>
      </c>
      <c r="D17" s="322">
        <f t="shared" ref="D17:F17" si="13">D85</f>
        <v>394954.18</v>
      </c>
      <c r="E17" s="161">
        <f t="shared" si="13"/>
        <v>-382878.96192815568</v>
      </c>
      <c r="F17" s="161">
        <f t="shared" si="13"/>
        <v>-346417.41307427565</v>
      </c>
      <c r="G17" s="161">
        <f t="shared" si="4"/>
        <v>-2207476.7880802141</v>
      </c>
      <c r="H17" s="163">
        <f t="shared" si="4"/>
        <v>-7670.9818385787439</v>
      </c>
      <c r="J17" s="163">
        <f t="shared" si="6"/>
        <v>-7670.979616135337</v>
      </c>
      <c r="K17" s="163">
        <f t="shared" si="8"/>
        <v>-2.2224434069357812E-3</v>
      </c>
      <c r="L17" s="177"/>
    </row>
    <row r="18" spans="2:14" x14ac:dyDescent="0.35">
      <c r="B18" s="101">
        <f t="shared" si="4"/>
        <v>45748</v>
      </c>
      <c r="C18" s="165">
        <f t="shared" si="4"/>
        <v>34307.428887000075</v>
      </c>
      <c r="D18" s="323">
        <f t="shared" ref="D18:F18" si="14">D86</f>
        <v>399841.21499999997</v>
      </c>
      <c r="E18" s="165">
        <f t="shared" si="14"/>
        <v>-387616.58209388366</v>
      </c>
      <c r="F18" s="165">
        <f t="shared" si="14"/>
        <v>-353309.15320688358</v>
      </c>
      <c r="G18" s="165">
        <f t="shared" si="4"/>
        <v>-2560785.9412870975</v>
      </c>
      <c r="H18" s="167">
        <f t="shared" si="4"/>
        <v>-8898.7311459726643</v>
      </c>
      <c r="J18" s="167">
        <f t="shared" si="6"/>
        <v>-8267.7329852468247</v>
      </c>
      <c r="K18" s="167">
        <f t="shared" si="8"/>
        <v>-630.99816072583963</v>
      </c>
      <c r="L18" s="177"/>
    </row>
    <row r="19" spans="2:14" x14ac:dyDescent="0.35">
      <c r="B19" s="97">
        <f t="shared" si="4"/>
        <v>45778</v>
      </c>
      <c r="C19" s="161">
        <f t="shared" si="4"/>
        <v>51003.021540420363</v>
      </c>
      <c r="D19" s="322">
        <f t="shared" ref="D19:F19" si="15">D87</f>
        <v>419823.69000000006</v>
      </c>
      <c r="E19" s="161">
        <f t="shared" si="15"/>
        <v>-406988.11852060369</v>
      </c>
      <c r="F19" s="161">
        <f t="shared" si="15"/>
        <v>-355985.09698018333</v>
      </c>
      <c r="G19" s="161">
        <f t="shared" si="4"/>
        <v>-2916771.0382672809</v>
      </c>
      <c r="H19" s="163">
        <f t="shared" si="4"/>
        <v>-10135.779357978801</v>
      </c>
      <c r="J19" s="163">
        <f t="shared" si="6"/>
        <v>-8864.4863543583106</v>
      </c>
      <c r="K19" s="163">
        <f t="shared" si="8"/>
        <v>-1271.2930036204907</v>
      </c>
      <c r="L19" s="177"/>
    </row>
    <row r="20" spans="2:14" x14ac:dyDescent="0.35">
      <c r="B20" s="101">
        <f t="shared" si="4"/>
        <v>45809</v>
      </c>
      <c r="C20" s="165">
        <f t="shared" si="4"/>
        <v>11580.843237539986</v>
      </c>
      <c r="D20" s="323">
        <f t="shared" ref="D20:F20" si="16">D88</f>
        <v>437385.55</v>
      </c>
      <c r="E20" s="165">
        <f t="shared" si="16"/>
        <v>-424013.04714986286</v>
      </c>
      <c r="F20" s="165">
        <f t="shared" si="16"/>
        <v>-412432.20391232288</v>
      </c>
      <c r="G20" s="165">
        <f t="shared" si="4"/>
        <v>-3329203.2421796038</v>
      </c>
      <c r="H20" s="167">
        <f t="shared" si="4"/>
        <v>-11568.981266574125</v>
      </c>
      <c r="J20" s="167">
        <f t="shared" si="6"/>
        <v>-9461.2397234697983</v>
      </c>
      <c r="K20" s="167">
        <f t="shared" si="8"/>
        <v>-2107.7415431043264</v>
      </c>
      <c r="L20" s="177"/>
    </row>
    <row r="21" spans="2:14" x14ac:dyDescent="0.35">
      <c r="B21" s="97">
        <f t="shared" si="4"/>
        <v>45839</v>
      </c>
      <c r="C21" s="161">
        <f t="shared" si="4"/>
        <v>54675.480385380331</v>
      </c>
      <c r="D21" s="322">
        <f t="shared" ref="D21:F21" si="17">D89</f>
        <v>456809.04500000004</v>
      </c>
      <c r="E21" s="161">
        <f t="shared" si="17"/>
        <v>-442842.69367396535</v>
      </c>
      <c r="F21" s="161">
        <f t="shared" si="17"/>
        <v>-388167.21328858502</v>
      </c>
      <c r="G21" s="161">
        <f t="shared" si="4"/>
        <v>-3717370.455468189</v>
      </c>
      <c r="H21" s="163">
        <f t="shared" si="4"/>
        <v>-12917.862332751958</v>
      </c>
      <c r="J21" s="163">
        <f t="shared" si="6"/>
        <v>-10057.993092581282</v>
      </c>
      <c r="K21" s="163">
        <f t="shared" si="8"/>
        <v>-2859.8692401706758</v>
      </c>
      <c r="L21" s="177"/>
    </row>
    <row r="22" spans="2:14" x14ac:dyDescent="0.35">
      <c r="B22" s="101">
        <f t="shared" si="4"/>
        <v>45870</v>
      </c>
      <c r="C22" s="165">
        <f t="shared" si="4"/>
        <v>8173.8549456601031</v>
      </c>
      <c r="D22" s="323">
        <f t="shared" ref="D22:F22" si="18">D90</f>
        <v>472709.625</v>
      </c>
      <c r="E22" s="165">
        <f t="shared" si="18"/>
        <v>-458257.13381093409</v>
      </c>
      <c r="F22" s="165">
        <f t="shared" si="18"/>
        <v>-450083.27886527398</v>
      </c>
      <c r="G22" s="165">
        <f t="shared" si="4"/>
        <v>-4167453.734333463</v>
      </c>
      <c r="H22" s="167">
        <f t="shared" si="4"/>
        <v>-14481.901726808785</v>
      </c>
      <c r="J22" s="167">
        <f t="shared" si="6"/>
        <v>-10654.74646169277</v>
      </c>
      <c r="K22" s="167">
        <f>H22-J22</f>
        <v>-3827.1552651160146</v>
      </c>
      <c r="L22" s="177"/>
    </row>
    <row r="23" spans="2:14" x14ac:dyDescent="0.35">
      <c r="B23" s="105" t="str">
        <f>B91</f>
        <v>Total</v>
      </c>
      <c r="C23" s="133"/>
      <c r="D23" s="133"/>
      <c r="E23" s="133"/>
      <c r="F23" s="133"/>
      <c r="G23" s="168"/>
      <c r="H23" s="133">
        <f>H91</f>
        <v>-86315.436768599931</v>
      </c>
      <c r="J23" s="133">
        <f t="shared" si="6"/>
        <v>-75618.366976846373</v>
      </c>
      <c r="K23" s="133">
        <f t="shared" si="8"/>
        <v>-10697.069791753558</v>
      </c>
      <c r="L23" s="106"/>
    </row>
    <row r="24" spans="2:14" ht="5.15" customHeight="1" thickBot="1" x14ac:dyDescent="0.4">
      <c r="C24" s="81"/>
      <c r="D24" s="81"/>
      <c r="E24" s="81"/>
      <c r="F24" s="81"/>
      <c r="H24" s="45"/>
      <c r="J24" s="45"/>
      <c r="K24" s="81"/>
      <c r="L24" s="81"/>
    </row>
    <row r="25" spans="2:14" ht="15" thickBot="1" x14ac:dyDescent="0.4">
      <c r="G25" s="178" t="s">
        <v>131</v>
      </c>
      <c r="H25" s="179">
        <f>H23</f>
        <v>-86315.436768599931</v>
      </c>
      <c r="I25" s="111"/>
      <c r="J25" s="180">
        <f>J23</f>
        <v>-75618.366976846373</v>
      </c>
      <c r="K25" s="129">
        <f>H25-J25</f>
        <v>-10697.069791753558</v>
      </c>
      <c r="L25" s="96" t="s">
        <v>190</v>
      </c>
    </row>
    <row r="26" spans="2:14" x14ac:dyDescent="0.35">
      <c r="B26" s="52"/>
      <c r="H26" s="45"/>
      <c r="J26" s="52"/>
      <c r="L26" s="45" t="s">
        <v>248</v>
      </c>
      <c r="N26" s="81"/>
    </row>
    <row r="27" spans="2:14" x14ac:dyDescent="0.35">
      <c r="B27" s="52" t="s">
        <v>192</v>
      </c>
      <c r="J27" s="114"/>
    </row>
    <row r="28" spans="2:14" x14ac:dyDescent="0.35">
      <c r="B28" s="305" t="s">
        <v>249</v>
      </c>
    </row>
    <row r="29" spans="2:14" x14ac:dyDescent="0.35">
      <c r="B29" s="114" t="s">
        <v>298</v>
      </c>
    </row>
    <row r="30" spans="2:14" x14ac:dyDescent="0.35">
      <c r="B30" s="114" t="s">
        <v>241</v>
      </c>
    </row>
    <row r="31" spans="2:14" x14ac:dyDescent="0.35">
      <c r="B31" s="114" t="s">
        <v>242</v>
      </c>
    </row>
    <row r="32" spans="2:14" x14ac:dyDescent="0.35">
      <c r="B32" s="305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33" spans="2:12" x14ac:dyDescent="0.35">
      <c r="B33" s="305" t="s">
        <v>301</v>
      </c>
    </row>
    <row r="34" spans="2:12" x14ac:dyDescent="0.35">
      <c r="B34" s="114"/>
    </row>
    <row r="35" spans="2:12" x14ac:dyDescent="0.35">
      <c r="B35" s="62" t="str">
        <f>B102</f>
        <v xml:space="preserve">Philadelphia Water Department </v>
      </c>
      <c r="C35" s="62"/>
      <c r="D35" s="62"/>
      <c r="E35" s="62"/>
      <c r="F35" s="62"/>
      <c r="G35" s="62"/>
      <c r="H35" s="62"/>
      <c r="I35" s="62"/>
      <c r="J35" s="62"/>
      <c r="K35" s="62"/>
      <c r="L35" s="5"/>
    </row>
    <row r="36" spans="2:12" ht="15" thickBot="1" x14ac:dyDescent="0.4">
      <c r="B36" s="62" t="str">
        <f>B103</f>
        <v>Table 4 -WW-A - Interest on Experienced &amp; Estimated Net Over/(Under) Collection (I-Factor) for Most Recent Period</v>
      </c>
      <c r="C36" s="62"/>
      <c r="D36" s="62"/>
      <c r="E36" s="62"/>
      <c r="F36" s="62"/>
      <c r="G36" s="62"/>
      <c r="H36" s="62"/>
      <c r="I36" s="62"/>
      <c r="J36" s="62"/>
      <c r="K36" s="62"/>
      <c r="L36" s="5"/>
    </row>
    <row r="37" spans="2:12" ht="15" thickBot="1" x14ac:dyDescent="0.4">
      <c r="C37" s="125" t="str">
        <f>C104</f>
        <v>Prior Reconciliation Period with Updated Actuals</v>
      </c>
      <c r="D37" s="126"/>
      <c r="E37" s="126"/>
      <c r="F37" s="126"/>
      <c r="G37" s="172"/>
      <c r="H37" s="173"/>
      <c r="J37" s="128" t="s">
        <v>201</v>
      </c>
      <c r="K37" s="129" t="s">
        <v>202</v>
      </c>
      <c r="L37" s="174"/>
    </row>
    <row r="38" spans="2:12" x14ac:dyDescent="0.35">
      <c r="B38" s="83" t="str">
        <f>B105</f>
        <v>Billing</v>
      </c>
      <c r="C38" s="84" t="str">
        <f t="shared" ref="C38:H38" si="19">C105</f>
        <v>Difference in</v>
      </c>
      <c r="D38" s="84" t="str">
        <f t="shared" ref="D38" si="20">D105</f>
        <v>Billed Non-TAP</v>
      </c>
      <c r="E38" s="84" t="str">
        <f t="shared" ref="E38:F38" si="21">E105</f>
        <v xml:space="preserve">Anticipated E+I </v>
      </c>
      <c r="F38" s="84" t="str">
        <f t="shared" si="21"/>
        <v xml:space="preserve">Remaining E+I </v>
      </c>
      <c r="G38" s="84" t="str">
        <f t="shared" ref="G38" si="22">G105</f>
        <v xml:space="preserve">Cumulative </v>
      </c>
      <c r="H38" s="84" t="str">
        <f t="shared" si="19"/>
        <v xml:space="preserve">Estimated Monthly </v>
      </c>
      <c r="J38" s="84" t="str">
        <f>L105</f>
        <v xml:space="preserve">Estimated Monthly </v>
      </c>
      <c r="K38" s="84" t="str">
        <f>N105</f>
        <v xml:space="preserve">Delta </v>
      </c>
      <c r="L38" s="175"/>
    </row>
    <row r="39" spans="2:12" x14ac:dyDescent="0.35">
      <c r="B39" s="84" t="str">
        <f t="shared" ref="B39:H39" si="23">B106</f>
        <v>Period</v>
      </c>
      <c r="C39" s="84" t="str">
        <f t="shared" si="23"/>
        <v>Collection</v>
      </c>
      <c r="D39" s="84" t="str">
        <f t="shared" ref="D39" si="24">D106</f>
        <v>Sewer Volume</v>
      </c>
      <c r="E39" s="84" t="str">
        <f t="shared" ref="E39:F39" si="25">E106</f>
        <v>Recovery</v>
      </c>
      <c r="F39" s="84" t="str">
        <f t="shared" si="25"/>
        <v>Recovery</v>
      </c>
      <c r="G39" s="84" t="str">
        <f t="shared" ref="G39" si="26">G106</f>
        <v>Over/(Under) Collection</v>
      </c>
      <c r="H39" s="84" t="str">
        <f t="shared" si="23"/>
        <v>Interest Owed/</v>
      </c>
      <c r="J39" s="84" t="str">
        <f>L106</f>
        <v>Interest Owed/</v>
      </c>
      <c r="K39" s="84" t="str">
        <f>N106</f>
        <v>Prior Period</v>
      </c>
      <c r="L39" s="175"/>
    </row>
    <row r="40" spans="2:12" x14ac:dyDescent="0.35">
      <c r="B40" s="84"/>
      <c r="C40" s="84" t="str">
        <f t="shared" ref="C40:H40" si="27">C107</f>
        <v>Sewer Portion</v>
      </c>
      <c r="D40" s="84" t="str">
        <f t="shared" si="27"/>
        <v>(Mcf)</v>
      </c>
      <c r="E40" s="84" t="str">
        <f t="shared" si="27"/>
        <v>Sewer Portion</v>
      </c>
      <c r="F40" s="84" t="str">
        <f t="shared" si="27"/>
        <v>Sewer Portion</v>
      </c>
      <c r="G40" s="84" t="str">
        <f t="shared" si="27"/>
        <v>Sewer Portion</v>
      </c>
      <c r="H40" s="84" t="str">
        <f t="shared" si="27"/>
        <v>(Interest to be Recouped)</v>
      </c>
      <c r="J40" s="84" t="str">
        <f>L107</f>
        <v>(Interest to be Recouped)</v>
      </c>
      <c r="K40" s="84" t="str">
        <f>N107</f>
        <v>Estimates</v>
      </c>
      <c r="L40" s="175"/>
    </row>
    <row r="41" spans="2:12" x14ac:dyDescent="0.35">
      <c r="B41" s="84"/>
      <c r="C41" s="84" t="str">
        <f t="shared" ref="C41:E42" si="28">C108</f>
        <v>From Table 3-WW-A</v>
      </c>
      <c r="D41" s="84" t="str">
        <f t="shared" si="28"/>
        <v>From Table 3-WW-A</v>
      </c>
      <c r="E41" s="86">
        <f t="shared" si="28"/>
        <v>-1.3238407275056514</v>
      </c>
      <c r="F41" s="84"/>
      <c r="G41" s="84"/>
      <c r="H41" s="84" t="str">
        <f>H108</f>
        <v>Sewer Portion</v>
      </c>
      <c r="J41" s="84" t="str">
        <f>L108</f>
        <v>Sewer Portion</v>
      </c>
      <c r="K41" s="84"/>
      <c r="L41" s="175"/>
    </row>
    <row r="42" spans="2:12" x14ac:dyDescent="0.35">
      <c r="B42" s="89"/>
      <c r="C42" s="90" t="str">
        <f t="shared" si="28"/>
        <v>(1)</v>
      </c>
      <c r="D42" s="90" t="str">
        <f t="shared" si="28"/>
        <v>(2)</v>
      </c>
      <c r="E42" s="90" t="str">
        <f t="shared" si="28"/>
        <v>(3) = (2) * $ -1.324/Mcf</v>
      </c>
      <c r="F42" s="90" t="str">
        <f>F109</f>
        <v>(4) = (3) + (1)</v>
      </c>
      <c r="G42" s="90" t="str">
        <f>G109</f>
        <v xml:space="preserve">(5) </v>
      </c>
      <c r="H42" s="90" t="str">
        <f>H109</f>
        <v>(6) = (5) * [4.17% / 12]</v>
      </c>
      <c r="J42" s="90" t="s">
        <v>291</v>
      </c>
      <c r="K42" s="90" t="s">
        <v>299</v>
      </c>
      <c r="L42" s="176"/>
    </row>
    <row r="43" spans="2:12" x14ac:dyDescent="0.35">
      <c r="B43" s="92"/>
      <c r="C43" s="93"/>
      <c r="D43" s="93"/>
      <c r="E43" s="93"/>
      <c r="F43" s="93"/>
      <c r="G43" s="93"/>
      <c r="H43" s="93"/>
      <c r="J43" s="93"/>
      <c r="K43" s="93"/>
    </row>
    <row r="44" spans="2:12" x14ac:dyDescent="0.35">
      <c r="B44" s="97">
        <f t="shared" ref="B44:H44" si="29">B111</f>
        <v>45536</v>
      </c>
      <c r="C44" s="161">
        <f t="shared" si="29"/>
        <v>355925.33661912009</v>
      </c>
      <c r="D44" s="322">
        <f t="shared" ref="D44:F44" si="30">D111</f>
        <v>461019.51500000001</v>
      </c>
      <c r="E44" s="161">
        <f t="shared" si="30"/>
        <v>-610316.41013190255</v>
      </c>
      <c r="F44" s="161">
        <f t="shared" si="30"/>
        <v>-254391.07351278246</v>
      </c>
      <c r="G44" s="161">
        <f t="shared" si="29"/>
        <v>-254391.07351278246</v>
      </c>
      <c r="H44" s="163">
        <f t="shared" si="29"/>
        <v>-884.00898045691918</v>
      </c>
      <c r="J44" s="163">
        <f t="shared" ref="J44:J54" si="31">L111</f>
        <v>-884.00938490521946</v>
      </c>
      <c r="K44" s="163">
        <f>H44-J44</f>
        <v>4.044483002871857E-4</v>
      </c>
      <c r="L44" s="177"/>
    </row>
    <row r="45" spans="2:12" x14ac:dyDescent="0.35">
      <c r="B45" s="101">
        <f t="shared" ref="B45:H45" si="32">B112</f>
        <v>45566</v>
      </c>
      <c r="C45" s="165">
        <f t="shared" si="32"/>
        <v>106208.87253677985</v>
      </c>
      <c r="D45" s="323">
        <f t="shared" ref="D45:F45" si="33">D112</f>
        <v>430672.32500000001</v>
      </c>
      <c r="E45" s="165">
        <f t="shared" si="33"/>
        <v>-570141.56404455041</v>
      </c>
      <c r="F45" s="165">
        <f t="shared" si="33"/>
        <v>-463932.69150777056</v>
      </c>
      <c r="G45" s="165">
        <f t="shared" si="32"/>
        <v>-718323.76502055302</v>
      </c>
      <c r="H45" s="167">
        <f t="shared" si="32"/>
        <v>-2496.1750834464219</v>
      </c>
      <c r="J45" s="167">
        <f t="shared" si="31"/>
        <v>-2496.1753530786223</v>
      </c>
      <c r="K45" s="167">
        <f t="shared" ref="K45:K56" si="34">H45-J45</f>
        <v>2.6963220034303959E-4</v>
      </c>
      <c r="L45" s="177"/>
    </row>
    <row r="46" spans="2:12" x14ac:dyDescent="0.35">
      <c r="B46" s="97">
        <f t="shared" ref="B46:H46" si="35">B113</f>
        <v>45597</v>
      </c>
      <c r="C46" s="161">
        <f t="shared" si="35"/>
        <v>189027.80756993988</v>
      </c>
      <c r="D46" s="322">
        <f t="shared" ref="D46:F46" si="36">D113</f>
        <v>401299.14500000002</v>
      </c>
      <c r="E46" s="161">
        <f t="shared" si="36"/>
        <v>-531256.15206419595</v>
      </c>
      <c r="F46" s="161">
        <f t="shared" si="36"/>
        <v>-342228.34449425607</v>
      </c>
      <c r="G46" s="161">
        <f t="shared" si="35"/>
        <v>-1060552.1095148092</v>
      </c>
      <c r="H46" s="163">
        <f t="shared" si="35"/>
        <v>-3685.4185805639622</v>
      </c>
      <c r="J46" s="163">
        <f t="shared" si="31"/>
        <v>-3685.4187153800613</v>
      </c>
      <c r="K46" s="163">
        <f t="shared" si="34"/>
        <v>1.3481609903465142E-4</v>
      </c>
      <c r="L46" s="177"/>
    </row>
    <row r="47" spans="2:12" x14ac:dyDescent="0.35">
      <c r="B47" s="101">
        <f t="shared" ref="B47:H47" si="37">B114</f>
        <v>45627</v>
      </c>
      <c r="C47" s="165">
        <f t="shared" si="37"/>
        <v>107490.35970108001</v>
      </c>
      <c r="D47" s="323">
        <f t="shared" ref="D47:F47" si="38">D114</f>
        <v>406659.43</v>
      </c>
      <c r="E47" s="165">
        <f t="shared" si="38"/>
        <v>-538352.31565823348</v>
      </c>
      <c r="F47" s="165">
        <f t="shared" si="38"/>
        <v>-430861.95595715346</v>
      </c>
      <c r="G47" s="165">
        <f t="shared" si="37"/>
        <v>-1491414.0654719626</v>
      </c>
      <c r="H47" s="167">
        <f t="shared" si="37"/>
        <v>-5182.6638775150705</v>
      </c>
      <c r="J47" s="167">
        <f t="shared" si="31"/>
        <v>-5182.664012331169</v>
      </c>
      <c r="K47" s="167">
        <f t="shared" si="34"/>
        <v>1.3481609857990406E-4</v>
      </c>
      <c r="L47" s="177"/>
    </row>
    <row r="48" spans="2:12" x14ac:dyDescent="0.35">
      <c r="B48" s="97">
        <f t="shared" ref="B48:H48" si="39">B115</f>
        <v>45658</v>
      </c>
      <c r="C48" s="161">
        <f t="shared" si="39"/>
        <v>-54399.580885559553</v>
      </c>
      <c r="D48" s="322">
        <f t="shared" ref="D48:F48" si="40">D115</f>
        <v>424665.15499999997</v>
      </c>
      <c r="E48" s="161">
        <f t="shared" si="40"/>
        <v>-562189.02774150018</v>
      </c>
      <c r="F48" s="161">
        <f t="shared" si="40"/>
        <v>-616588.60862705973</v>
      </c>
      <c r="G48" s="161">
        <f t="shared" si="39"/>
        <v>-2108002.6740990225</v>
      </c>
      <c r="H48" s="163">
        <f t="shared" si="39"/>
        <v>-7325.3092924941038</v>
      </c>
      <c r="J48" s="163">
        <f t="shared" si="31"/>
        <v>-7325.3083487814029</v>
      </c>
      <c r="K48" s="163">
        <f t="shared" si="34"/>
        <v>-9.4371270097326487E-4</v>
      </c>
      <c r="L48" s="177"/>
    </row>
    <row r="49" spans="2:12" x14ac:dyDescent="0.35">
      <c r="B49" s="101">
        <f t="shared" ref="B49:H49" si="41">B116</f>
        <v>45689</v>
      </c>
      <c r="C49" s="165">
        <f t="shared" si="41"/>
        <v>67880.559674639953</v>
      </c>
      <c r="D49" s="323">
        <f t="shared" ref="D49:F49" si="42">D116</f>
        <v>374138</v>
      </c>
      <c r="E49" s="165">
        <f t="shared" si="42"/>
        <v>-495299.12210750941</v>
      </c>
      <c r="F49" s="165">
        <f t="shared" si="42"/>
        <v>-427418.56243286945</v>
      </c>
      <c r="G49" s="165">
        <f t="shared" si="41"/>
        <v>-2535421.2365318919</v>
      </c>
      <c r="H49" s="167">
        <f t="shared" si="41"/>
        <v>-8810.5887969483247</v>
      </c>
      <c r="J49" s="167">
        <f t="shared" si="31"/>
        <v>-8810.5866398907237</v>
      </c>
      <c r="K49" s="167">
        <f t="shared" si="34"/>
        <v>-2.1570576009253273E-3</v>
      </c>
      <c r="L49" s="177"/>
    </row>
    <row r="50" spans="2:12" x14ac:dyDescent="0.35">
      <c r="B50" s="97">
        <f t="shared" ref="B50:H50" si="43">B117</f>
        <v>45717</v>
      </c>
      <c r="C50" s="161">
        <f t="shared" si="43"/>
        <v>18242.105380680179</v>
      </c>
      <c r="D50" s="322">
        <f t="shared" ref="D50:F50" si="44">D117</f>
        <v>373030.42000000004</v>
      </c>
      <c r="E50" s="161">
        <f t="shared" si="44"/>
        <v>-493832.86259453878</v>
      </c>
      <c r="F50" s="161">
        <f t="shared" si="44"/>
        <v>-475590.7572138586</v>
      </c>
      <c r="G50" s="161">
        <f t="shared" si="43"/>
        <v>-3011011.9937457503</v>
      </c>
      <c r="H50" s="163">
        <f t="shared" si="43"/>
        <v>-10463.266678266482</v>
      </c>
      <c r="J50" s="163">
        <f t="shared" si="31"/>
        <v>-10463.264251576682</v>
      </c>
      <c r="K50" s="163">
        <f t="shared" si="34"/>
        <v>-2.4266897999041248E-3</v>
      </c>
      <c r="L50" s="177"/>
    </row>
    <row r="51" spans="2:12" x14ac:dyDescent="0.35">
      <c r="B51" s="101">
        <f t="shared" ref="B51:H51" si="45">B118</f>
        <v>45748</v>
      </c>
      <c r="C51" s="165">
        <f t="shared" si="45"/>
        <v>29222.507193780271</v>
      </c>
      <c r="D51" s="323">
        <f t="shared" ref="D51:F51" si="46">D118</f>
        <v>381012.39500000002</v>
      </c>
      <c r="E51" s="165">
        <f t="shared" si="46"/>
        <v>-504399.72618547064</v>
      </c>
      <c r="F51" s="165">
        <f t="shared" si="46"/>
        <v>-475177.21899169037</v>
      </c>
      <c r="G51" s="165">
        <f t="shared" si="45"/>
        <v>-3486189.2127374406</v>
      </c>
      <c r="H51" s="167">
        <f t="shared" si="45"/>
        <v>-12114.507514262606</v>
      </c>
      <c r="J51" s="167">
        <f t="shared" si="31"/>
        <v>-11282.151113671178</v>
      </c>
      <c r="K51" s="167">
        <f t="shared" si="34"/>
        <v>-832.35640059142861</v>
      </c>
      <c r="L51" s="177"/>
    </row>
    <row r="52" spans="2:12" x14ac:dyDescent="0.35">
      <c r="B52" s="97">
        <f t="shared" ref="B52:H52" si="47">B119</f>
        <v>45778</v>
      </c>
      <c r="C52" s="161">
        <f t="shared" si="47"/>
        <v>32977.491726059932</v>
      </c>
      <c r="D52" s="322">
        <f t="shared" ref="D52:F52" si="48">D119</f>
        <v>395766.63</v>
      </c>
      <c r="E52" s="161">
        <f t="shared" si="48"/>
        <v>-523931.98338165996</v>
      </c>
      <c r="F52" s="161">
        <f t="shared" si="48"/>
        <v>-490954.49165560002</v>
      </c>
      <c r="G52" s="161">
        <f t="shared" si="47"/>
        <v>-3977143.7043930404</v>
      </c>
      <c r="H52" s="163">
        <f t="shared" si="47"/>
        <v>-13820.574372765817</v>
      </c>
      <c r="J52" s="163">
        <f t="shared" si="31"/>
        <v>-12101.037975765676</v>
      </c>
      <c r="K52" s="163">
        <f t="shared" si="34"/>
        <v>-1719.5363970001417</v>
      </c>
      <c r="L52" s="177"/>
    </row>
    <row r="53" spans="2:12" x14ac:dyDescent="0.35">
      <c r="B53" s="101">
        <f t="shared" ref="B53:H55" si="49">B120</f>
        <v>45809</v>
      </c>
      <c r="C53" s="165">
        <f t="shared" si="49"/>
        <v>-20350.30659593991</v>
      </c>
      <c r="D53" s="323">
        <f t="shared" ref="D53:F53" si="50">D120</f>
        <v>412924.63</v>
      </c>
      <c r="E53" s="165">
        <f t="shared" si="50"/>
        <v>-546646.44258420193</v>
      </c>
      <c r="F53" s="165">
        <f t="shared" si="50"/>
        <v>-566996.74918014184</v>
      </c>
      <c r="G53" s="165">
        <f t="shared" si="49"/>
        <v>-4544140.4535731822</v>
      </c>
      <c r="H53" s="167">
        <f t="shared" si="49"/>
        <v>-15790.88807616681</v>
      </c>
      <c r="J53" s="167">
        <f t="shared" si="31"/>
        <v>-12919.924837860171</v>
      </c>
      <c r="K53" s="167">
        <f t="shared" si="34"/>
        <v>-2870.9632383066382</v>
      </c>
      <c r="L53" s="177"/>
    </row>
    <row r="54" spans="2:12" x14ac:dyDescent="0.35">
      <c r="B54" s="97">
        <f t="shared" ref="B54:H54" si="51">B121</f>
        <v>45839</v>
      </c>
      <c r="C54" s="161">
        <f t="shared" si="51"/>
        <v>21409.371248760028</v>
      </c>
      <c r="D54" s="322">
        <f t="shared" ref="D54:F54" si="52">D121</f>
        <v>427530</v>
      </c>
      <c r="E54" s="161">
        <f t="shared" si="52"/>
        <v>-565981.62623049109</v>
      </c>
      <c r="F54" s="161">
        <f t="shared" si="52"/>
        <v>-544572.25498173106</v>
      </c>
      <c r="G54" s="161">
        <f t="shared" si="51"/>
        <v>-5088712.7085549133</v>
      </c>
      <c r="H54" s="163">
        <f t="shared" si="51"/>
        <v>-17683.276662228323</v>
      </c>
      <c r="J54" s="163">
        <f t="shared" si="31"/>
        <v>-13738.811699954667</v>
      </c>
      <c r="K54" s="163">
        <f t="shared" si="34"/>
        <v>-3944.4649622736561</v>
      </c>
      <c r="L54" s="177"/>
    </row>
    <row r="55" spans="2:12" x14ac:dyDescent="0.35">
      <c r="B55" s="101">
        <f t="shared" si="49"/>
        <v>45870</v>
      </c>
      <c r="C55" s="165">
        <f t="shared" si="49"/>
        <v>-40539.025136159733</v>
      </c>
      <c r="D55" s="323">
        <f t="shared" ref="D55:F55" si="53">D122</f>
        <v>443338.47499999998</v>
      </c>
      <c r="E55" s="165">
        <f t="shared" si="53"/>
        <v>-586909.52927524596</v>
      </c>
      <c r="F55" s="165">
        <f t="shared" si="53"/>
        <v>-627448.5544114057</v>
      </c>
      <c r="G55" s="165">
        <f t="shared" si="49"/>
        <v>-5716161.262966319</v>
      </c>
      <c r="H55" s="167">
        <f t="shared" si="49"/>
        <v>-19863.660388807959</v>
      </c>
      <c r="J55" s="167">
        <f t="shared" ref="J55" si="54">L122</f>
        <v>-14557.698562049163</v>
      </c>
      <c r="K55" s="167">
        <f>H55-J55</f>
        <v>-5305.9618267587957</v>
      </c>
      <c r="L55" s="177"/>
    </row>
    <row r="56" spans="2:12" x14ac:dyDescent="0.35">
      <c r="B56" s="105" t="str">
        <f t="shared" ref="B56" si="55">B123</f>
        <v>Total</v>
      </c>
      <c r="C56" s="133"/>
      <c r="D56" s="133"/>
      <c r="E56" s="133"/>
      <c r="F56" s="133"/>
      <c r="G56" s="168"/>
      <c r="H56" s="133">
        <f>H123</f>
        <v>-118120.33830392279</v>
      </c>
      <c r="J56" s="133">
        <f>L123</f>
        <v>-103447.05089524474</v>
      </c>
      <c r="K56" s="133">
        <f t="shared" si="34"/>
        <v>-14673.28740867805</v>
      </c>
      <c r="L56" s="106"/>
    </row>
    <row r="57" spans="2:12" ht="5.15" customHeight="1" thickBot="1" x14ac:dyDescent="0.4">
      <c r="C57" s="81"/>
      <c r="D57" s="81"/>
      <c r="E57" s="81"/>
      <c r="F57" s="81"/>
      <c r="H57" s="45"/>
      <c r="J57" s="45"/>
      <c r="K57" s="81"/>
      <c r="L57" s="81"/>
    </row>
    <row r="58" spans="2:12" ht="15" thickBot="1" x14ac:dyDescent="0.4">
      <c r="G58" s="178" t="s">
        <v>131</v>
      </c>
      <c r="H58" s="179">
        <f>H56</f>
        <v>-118120.33830392279</v>
      </c>
      <c r="I58" s="111"/>
      <c r="J58" s="180">
        <f>J56</f>
        <v>-103447.05089524474</v>
      </c>
      <c r="K58" s="129">
        <f>H58-J58</f>
        <v>-14673.28740867805</v>
      </c>
      <c r="L58" s="96" t="s">
        <v>190</v>
      </c>
    </row>
    <row r="59" spans="2:12" x14ac:dyDescent="0.35">
      <c r="B59" s="52"/>
      <c r="H59" s="45"/>
      <c r="J59" s="52"/>
      <c r="L59" s="45" t="s">
        <v>250</v>
      </c>
    </row>
    <row r="60" spans="2:12" x14ac:dyDescent="0.35">
      <c r="B60" s="52" t="s">
        <v>192</v>
      </c>
      <c r="J60" s="114"/>
    </row>
    <row r="61" spans="2:12" x14ac:dyDescent="0.35">
      <c r="B61" s="305" t="s">
        <v>251</v>
      </c>
    </row>
    <row r="62" spans="2:12" x14ac:dyDescent="0.35">
      <c r="B62" s="114" t="s">
        <v>297</v>
      </c>
    </row>
    <row r="63" spans="2:12" x14ac:dyDescent="0.35">
      <c r="B63" s="114" t="s">
        <v>241</v>
      </c>
    </row>
    <row r="64" spans="2:12" x14ac:dyDescent="0.35">
      <c r="B64" s="114" t="s">
        <v>242</v>
      </c>
    </row>
    <row r="65" spans="1:14" x14ac:dyDescent="0.35">
      <c r="B65" s="305" t="str">
        <f>"(6) Interest calculated monthly based on 1-year interest rate for constant maturity U.S. Treasury Securities as published in the Federal Reserve Statistical Release H.15 (519) on "&amp;TEXT('Assumptions and Inputs'!$C$53,"MMMM DD, YYYY")&amp;"."</f>
        <v>(6) Interest calculated monthly based on 1-year interest rate for constant maturity U.S. Treasury Securities as published in the Federal Reserve Statistical Release H.15 (519) on January 02, 2025.</v>
      </c>
    </row>
    <row r="66" spans="1:14" x14ac:dyDescent="0.35">
      <c r="B66" s="305" t="s">
        <v>300</v>
      </c>
    </row>
    <row r="67" spans="1:14" x14ac:dyDescent="0.35"/>
    <row r="68" spans="1:14" x14ac:dyDescent="0.35">
      <c r="A68" s="141" t="s">
        <v>211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</row>
    <row r="69" spans="1:14" x14ac:dyDescent="0.35"/>
    <row r="70" spans="1:14" x14ac:dyDescent="0.35">
      <c r="B70" s="62" t="s">
        <v>30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ht="15" thickBot="1" x14ac:dyDescent="0.4">
      <c r="B71" s="62" t="s">
        <v>252</v>
      </c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ht="15" thickBot="1" x14ac:dyDescent="0.4">
      <c r="C72" s="125" t="s">
        <v>213</v>
      </c>
      <c r="D72" s="126"/>
      <c r="E72" s="126"/>
      <c r="F72" s="126"/>
      <c r="G72" s="172"/>
      <c r="H72" s="173"/>
      <c r="J72" s="144" t="s">
        <v>214</v>
      </c>
      <c r="K72" s="181"/>
      <c r="L72" s="182"/>
      <c r="N72" s="129" t="s">
        <v>202</v>
      </c>
    </row>
    <row r="73" spans="1:14" x14ac:dyDescent="0.35">
      <c r="B73" s="83" t="s">
        <v>167</v>
      </c>
      <c r="C73" s="84" t="s">
        <v>224</v>
      </c>
      <c r="D73" s="83" t="s">
        <v>172</v>
      </c>
      <c r="E73" s="84" t="s">
        <v>225</v>
      </c>
      <c r="F73" s="84" t="s">
        <v>226</v>
      </c>
      <c r="G73" s="84" t="s">
        <v>227</v>
      </c>
      <c r="H73" s="84" t="s">
        <v>228</v>
      </c>
      <c r="J73" s="84" t="s">
        <v>226</v>
      </c>
      <c r="K73" s="84" t="s">
        <v>227</v>
      </c>
      <c r="L73" s="84" t="s">
        <v>228</v>
      </c>
      <c r="N73" s="84" t="s">
        <v>215</v>
      </c>
    </row>
    <row r="74" spans="1:14" x14ac:dyDescent="0.35">
      <c r="B74" s="84" t="s">
        <v>164</v>
      </c>
      <c r="C74" s="84" t="s">
        <v>181</v>
      </c>
      <c r="D74" s="84" t="s">
        <v>177</v>
      </c>
      <c r="E74" s="84" t="s">
        <v>229</v>
      </c>
      <c r="F74" s="84" t="s">
        <v>229</v>
      </c>
      <c r="G74" s="84" t="s">
        <v>230</v>
      </c>
      <c r="H74" s="84" t="s">
        <v>231</v>
      </c>
      <c r="J74" s="84" t="s">
        <v>229</v>
      </c>
      <c r="K74" s="84" t="s">
        <v>230</v>
      </c>
      <c r="L74" s="84" t="s">
        <v>231</v>
      </c>
      <c r="N74" s="84" t="s">
        <v>216</v>
      </c>
    </row>
    <row r="75" spans="1:14" x14ac:dyDescent="0.35">
      <c r="B75" s="84"/>
      <c r="C75" s="84" t="s">
        <v>232</v>
      </c>
      <c r="D75" s="84" t="s">
        <v>183</v>
      </c>
      <c r="E75" s="84" t="s">
        <v>232</v>
      </c>
      <c r="F75" s="84" t="s">
        <v>232</v>
      </c>
      <c r="G75" s="84" t="s">
        <v>232</v>
      </c>
      <c r="H75" s="84" t="s">
        <v>234</v>
      </c>
      <c r="J75" s="84" t="s">
        <v>232</v>
      </c>
      <c r="K75" s="84" t="s">
        <v>232</v>
      </c>
      <c r="L75" s="84" t="s">
        <v>234</v>
      </c>
      <c r="N75" s="84" t="s">
        <v>253</v>
      </c>
    </row>
    <row r="76" spans="1:14" x14ac:dyDescent="0.35">
      <c r="B76" s="84"/>
      <c r="C76" s="84" t="s">
        <v>191</v>
      </c>
      <c r="D76" s="84" t="s">
        <v>191</v>
      </c>
      <c r="E76" s="86">
        <f>'Assumptions and Inputs'!C99</f>
        <v>-0.9694262811148262</v>
      </c>
      <c r="F76" s="86"/>
      <c r="G76" s="85"/>
      <c r="H76" s="84" t="s">
        <v>232</v>
      </c>
      <c r="J76" s="84"/>
      <c r="K76" s="85"/>
      <c r="L76" s="84" t="s">
        <v>232</v>
      </c>
      <c r="N76" s="84"/>
    </row>
    <row r="77" spans="1:14" x14ac:dyDescent="0.35">
      <c r="B77" s="89"/>
      <c r="C77" s="90" t="s">
        <v>139</v>
      </c>
      <c r="D77" s="90" t="s">
        <v>141</v>
      </c>
      <c r="E77" s="90" t="str">
        <f>"(3) = (2) * $ "&amp;FIXED(E76,3,)&amp;"/Mcf"</f>
        <v>(3) = (2) * $ -0.969/Mcf</v>
      </c>
      <c r="F77" s="90" t="str">
        <f>"(4) = (3) + (1)"</f>
        <v>(4) = (3) + (1)</v>
      </c>
      <c r="G77" s="90" t="s">
        <v>236</v>
      </c>
      <c r="H77" s="90" t="str">
        <f>"(6) = (5) * ["&amp;FIXED('Assumptions and Inputs'!$C$52*100,2,TRUE)&amp;"% / 12]"</f>
        <v>(6) = (5) * [4.17% / 12]</v>
      </c>
      <c r="J77" s="90" t="s">
        <v>291</v>
      </c>
      <c r="K77" s="90" t="s">
        <v>292</v>
      </c>
      <c r="L77" s="90" t="s">
        <v>293</v>
      </c>
      <c r="N77" s="90" t="s">
        <v>294</v>
      </c>
    </row>
    <row r="78" spans="1:14" x14ac:dyDescent="0.35">
      <c r="B78" s="92"/>
      <c r="C78" s="93"/>
      <c r="D78" s="93"/>
      <c r="E78" s="93"/>
      <c r="F78" s="93"/>
      <c r="G78" s="93"/>
      <c r="H78" s="93"/>
      <c r="J78" s="93"/>
      <c r="K78" s="93"/>
      <c r="L78" s="93"/>
      <c r="N78" s="93"/>
    </row>
    <row r="79" spans="1:14" x14ac:dyDescent="0.35">
      <c r="B79" s="97">
        <f>'E-Factor PRIOR'!B83</f>
        <v>45536</v>
      </c>
      <c r="C79" s="161">
        <f>'E-Factor PRIOR'!J83</f>
        <v>295352.06232041982</v>
      </c>
      <c r="D79" s="322">
        <f>'E-Factor PRIOR'!G83</f>
        <v>490921.995</v>
      </c>
      <c r="E79" s="161">
        <f>$E$76*$D79</f>
        <v>-475912.68393032131</v>
      </c>
      <c r="F79" s="161">
        <f>E79+C79</f>
        <v>-180560.62160990149</v>
      </c>
      <c r="G79" s="161">
        <f>F79</f>
        <v>-180560.62160990149</v>
      </c>
      <c r="H79" s="163">
        <f>G79*('Assumptions and Inputs'!$C$52)/12</f>
        <v>-627.44816009440763</v>
      </c>
      <c r="J79" s="161">
        <v>-180560.3738974416</v>
      </c>
      <c r="K79" s="161">
        <v>-180560.3738974416</v>
      </c>
      <c r="L79" s="163">
        <v>-627.4472992936096</v>
      </c>
      <c r="N79" s="163">
        <f t="shared" ref="N79:N91" si="56">H79-L79</f>
        <v>-8.6080079802286491E-4</v>
      </c>
    </row>
    <row r="80" spans="1:14" x14ac:dyDescent="0.35">
      <c r="B80" s="101">
        <f>'E-Factor PRIOR'!B84</f>
        <v>45566</v>
      </c>
      <c r="C80" s="165">
        <f>'E-Factor PRIOR'!J84</f>
        <v>110477.46838998003</v>
      </c>
      <c r="D80" s="323">
        <f>'E-Factor PRIOR'!G84</f>
        <v>458132.77999999997</v>
      </c>
      <c r="E80" s="165">
        <f t="shared" ref="E80:E90" si="57">$E$76*$D80</f>
        <v>-444125.95717219682</v>
      </c>
      <c r="F80" s="165">
        <f t="shared" ref="F80:F90" si="58">E80+C80</f>
        <v>-333648.48878221679</v>
      </c>
      <c r="G80" s="165">
        <f>G79+F80</f>
        <v>-514209.11039211828</v>
      </c>
      <c r="H80" s="167">
        <f>G80*('Assumptions and Inputs'!$C$52)/12</f>
        <v>-1786.8766586126112</v>
      </c>
      <c r="J80" s="165">
        <v>-333648.45231397683</v>
      </c>
      <c r="K80" s="165">
        <v>-514208.82621141843</v>
      </c>
      <c r="L80" s="167">
        <v>-1786.8756710846792</v>
      </c>
      <c r="N80" s="167">
        <f t="shared" si="56"/>
        <v>-9.8752793201128952E-4</v>
      </c>
    </row>
    <row r="81" spans="2:14" x14ac:dyDescent="0.35">
      <c r="B81" s="97">
        <f>'E-Factor PRIOR'!B85</f>
        <v>45597</v>
      </c>
      <c r="C81" s="161">
        <f>'E-Factor PRIOR'!J85</f>
        <v>161967.9566269198</v>
      </c>
      <c r="D81" s="322">
        <f>'E-Factor PRIOR'!G85</f>
        <v>424733.95499999996</v>
      </c>
      <c r="E81" s="161">
        <f t="shared" si="57"/>
        <v>-411748.25845884188</v>
      </c>
      <c r="F81" s="161">
        <f t="shared" si="58"/>
        <v>-249780.30183192209</v>
      </c>
      <c r="G81" s="161">
        <f t="shared" ref="G81:G90" si="59">G80+F81</f>
        <v>-763989.41222404037</v>
      </c>
      <c r="H81" s="163">
        <f>G81*('Assumptions and Inputs'!$C$52)/12</f>
        <v>-2654.8632074785405</v>
      </c>
      <c r="J81" s="161">
        <v>-249779.89583178173</v>
      </c>
      <c r="K81" s="161">
        <v>-763988.72204320016</v>
      </c>
      <c r="L81" s="163">
        <v>-2654.8608091001206</v>
      </c>
      <c r="N81" s="163">
        <f t="shared" si="56"/>
        <v>-2.3983784199117508E-3</v>
      </c>
    </row>
    <row r="82" spans="2:14" x14ac:dyDescent="0.35">
      <c r="B82" s="101">
        <f>'E-Factor PRIOR'!B86</f>
        <v>45627</v>
      </c>
      <c r="C82" s="165">
        <f>'E-Factor PRIOR'!J86</f>
        <v>95970.034149960149</v>
      </c>
      <c r="D82" s="323">
        <f>'E-Factor PRIOR'!G86</f>
        <v>428037.62</v>
      </c>
      <c r="E82" s="165">
        <f t="shared" si="57"/>
        <v>-414950.91813384113</v>
      </c>
      <c r="F82" s="165">
        <f t="shared" si="58"/>
        <v>-318980.88398388098</v>
      </c>
      <c r="G82" s="165">
        <f t="shared" si="59"/>
        <v>-1082970.2962079213</v>
      </c>
      <c r="H82" s="167">
        <f>G82*('Assumptions and Inputs'!$C$52)/12</f>
        <v>-3763.3217793225267</v>
      </c>
      <c r="J82" s="165">
        <v>-318980.7575089212</v>
      </c>
      <c r="K82" s="165">
        <v>-1082969.4795521214</v>
      </c>
      <c r="L82" s="167">
        <v>-3763.318941443622</v>
      </c>
      <c r="N82" s="167">
        <f t="shared" si="56"/>
        <v>-2.8378789047565078E-3</v>
      </c>
    </row>
    <row r="83" spans="2:14" x14ac:dyDescent="0.35">
      <c r="B83" s="97">
        <f>'E-Factor PRIOR'!B87</f>
        <v>45658</v>
      </c>
      <c r="C83" s="161">
        <f>'E-Factor PRIOR'!J87</f>
        <v>-20838.5639549396</v>
      </c>
      <c r="D83" s="322">
        <f>'E-Factor PRIOR'!G87</f>
        <v>446981.625</v>
      </c>
      <c r="E83" s="161">
        <f t="shared" si="57"/>
        <v>-433315.73445041181</v>
      </c>
      <c r="F83" s="161">
        <f t="shared" si="58"/>
        <v>-454154.29840535141</v>
      </c>
      <c r="G83" s="161">
        <f t="shared" si="59"/>
        <v>-1537124.5946132727</v>
      </c>
      <c r="H83" s="163">
        <f>G83*('Assumptions and Inputs'!$C$52)/12</f>
        <v>-5341.5079662811231</v>
      </c>
      <c r="J83" s="161">
        <v>-454154.69121485139</v>
      </c>
      <c r="K83" s="161">
        <v>-1537124.1707669727</v>
      </c>
      <c r="L83" s="163">
        <v>-5341.5064934152297</v>
      </c>
      <c r="N83" s="163">
        <f t="shared" si="56"/>
        <v>-1.472865893447306E-3</v>
      </c>
    </row>
    <row r="84" spans="2:14" x14ac:dyDescent="0.35">
      <c r="B84" s="101">
        <f>'E-Factor PRIOR'!B88</f>
        <v>45689</v>
      </c>
      <c r="C84" s="165">
        <f>'E-Factor PRIOR'!J88</f>
        <v>54047.958383040037</v>
      </c>
      <c r="D84" s="323">
        <f>'E-Factor PRIOR'!G88</f>
        <v>389903.54</v>
      </c>
      <c r="E84" s="165">
        <f t="shared" si="57"/>
        <v>-377982.73877570586</v>
      </c>
      <c r="F84" s="165">
        <f t="shared" si="58"/>
        <v>-323934.78039266582</v>
      </c>
      <c r="G84" s="165">
        <f t="shared" si="59"/>
        <v>-1861059.3750059386</v>
      </c>
      <c r="H84" s="167">
        <f>G84*('Assumptions and Inputs'!$C$52)/12</f>
        <v>-6467.1813281456371</v>
      </c>
      <c r="J84" s="165">
        <v>-323934.68650634604</v>
      </c>
      <c r="K84" s="165">
        <v>-1861058.8572733188</v>
      </c>
      <c r="L84" s="167">
        <v>-6467.1795290247828</v>
      </c>
      <c r="N84" s="167">
        <f t="shared" si="56"/>
        <v>-1.7991208542298409E-3</v>
      </c>
    </row>
    <row r="85" spans="2:14" x14ac:dyDescent="0.35">
      <c r="B85" s="97">
        <f>'E-Factor PRIOR'!B89</f>
        <v>45717</v>
      </c>
      <c r="C85" s="161">
        <f>'E-Factor PRIOR'!J89</f>
        <v>36461.548853880027</v>
      </c>
      <c r="D85" s="322">
        <f>'E-Factor PRIOR'!G89</f>
        <v>394954.18</v>
      </c>
      <c r="E85" s="161">
        <f t="shared" si="57"/>
        <v>-382878.96192815568</v>
      </c>
      <c r="F85" s="161">
        <f t="shared" si="58"/>
        <v>-346417.41307427565</v>
      </c>
      <c r="G85" s="161">
        <f t="shared" si="59"/>
        <v>-2207476.7880802141</v>
      </c>
      <c r="H85" s="163">
        <f>G85*('Assumptions and Inputs'!$C$52)/12</f>
        <v>-7670.9818385787439</v>
      </c>
      <c r="J85" s="161">
        <v>-346417.29125483561</v>
      </c>
      <c r="K85" s="161">
        <v>-2207476.1485281545</v>
      </c>
      <c r="L85" s="163">
        <v>-7670.979616135337</v>
      </c>
      <c r="N85" s="163">
        <f t="shared" si="56"/>
        <v>-2.2224434069357812E-3</v>
      </c>
    </row>
    <row r="86" spans="2:14" x14ac:dyDescent="0.35">
      <c r="B86" s="101">
        <f>'E-Factor PRIOR'!B90</f>
        <v>45748</v>
      </c>
      <c r="C86" s="165">
        <f>'E-Factor PRIOR'!J90</f>
        <v>34307.428887000075</v>
      </c>
      <c r="D86" s="323">
        <f>'E-Factor PRIOR'!G90</f>
        <v>399841.21499999997</v>
      </c>
      <c r="E86" s="165">
        <f t="shared" si="57"/>
        <v>-387616.58209388366</v>
      </c>
      <c r="F86" s="165">
        <f t="shared" si="58"/>
        <v>-353309.15320688358</v>
      </c>
      <c r="G86" s="165">
        <f t="shared" si="59"/>
        <v>-2560785.9412870975</v>
      </c>
      <c r="H86" s="167">
        <f>G86*('Assumptions and Inputs'!$C$52)/12</f>
        <v>-8898.7311459726643</v>
      </c>
      <c r="J86" s="165">
        <v>-171727.58823352144</v>
      </c>
      <c r="K86" s="165">
        <v>-2379203.7367616761</v>
      </c>
      <c r="L86" s="167">
        <v>-8267.7329852468247</v>
      </c>
      <c r="N86" s="167">
        <f t="shared" si="56"/>
        <v>-630.99816072583963</v>
      </c>
    </row>
    <row r="87" spans="2:14" x14ac:dyDescent="0.35">
      <c r="B87" s="97">
        <f>'E-Factor PRIOR'!B91</f>
        <v>45778</v>
      </c>
      <c r="C87" s="161">
        <f>'E-Factor PRIOR'!J91</f>
        <v>51003.021540420363</v>
      </c>
      <c r="D87" s="322">
        <f>'E-Factor PRIOR'!G91</f>
        <v>419823.69000000006</v>
      </c>
      <c r="E87" s="161">
        <f t="shared" si="57"/>
        <v>-406988.11852060369</v>
      </c>
      <c r="F87" s="161">
        <f t="shared" si="58"/>
        <v>-355985.09698018333</v>
      </c>
      <c r="G87" s="161">
        <f t="shared" si="59"/>
        <v>-2916771.0382672809</v>
      </c>
      <c r="H87" s="163">
        <f>G87*('Assumptions and Inputs'!$C$52)/12</f>
        <v>-10135.779357978801</v>
      </c>
      <c r="J87" s="161">
        <v>-171727.58823352144</v>
      </c>
      <c r="K87" s="161">
        <v>-2550931.3249951974</v>
      </c>
      <c r="L87" s="163">
        <v>-8864.4863543583106</v>
      </c>
      <c r="N87" s="163">
        <f t="shared" si="56"/>
        <v>-1271.2930036204907</v>
      </c>
    </row>
    <row r="88" spans="2:14" x14ac:dyDescent="0.35">
      <c r="B88" s="101">
        <f>'E-Factor PRIOR'!B92</f>
        <v>45809</v>
      </c>
      <c r="C88" s="165">
        <f>'E-Factor PRIOR'!J92</f>
        <v>11580.843237539986</v>
      </c>
      <c r="D88" s="323">
        <f>'E-Factor PRIOR'!G92</f>
        <v>437385.55</v>
      </c>
      <c r="E88" s="165">
        <f t="shared" si="57"/>
        <v>-424013.04714986286</v>
      </c>
      <c r="F88" s="165">
        <f t="shared" si="58"/>
        <v>-412432.20391232288</v>
      </c>
      <c r="G88" s="165">
        <f t="shared" si="59"/>
        <v>-3329203.2421796038</v>
      </c>
      <c r="H88" s="167">
        <f>G88*('Assumptions and Inputs'!$C$52)/12</f>
        <v>-11568.981266574125</v>
      </c>
      <c r="J88" s="165">
        <v>-171727.58823352144</v>
      </c>
      <c r="K88" s="165">
        <v>-2722658.9132287186</v>
      </c>
      <c r="L88" s="167">
        <v>-9461.2397234697983</v>
      </c>
      <c r="N88" s="167">
        <f t="shared" si="56"/>
        <v>-2107.7415431043264</v>
      </c>
    </row>
    <row r="89" spans="2:14" x14ac:dyDescent="0.35">
      <c r="B89" s="97">
        <f>'E-Factor PRIOR'!B93</f>
        <v>45839</v>
      </c>
      <c r="C89" s="161">
        <f>'E-Factor PRIOR'!J93</f>
        <v>54675.480385380331</v>
      </c>
      <c r="D89" s="322">
        <f>'E-Factor PRIOR'!G93</f>
        <v>456809.04500000004</v>
      </c>
      <c r="E89" s="161">
        <f t="shared" si="57"/>
        <v>-442842.69367396535</v>
      </c>
      <c r="F89" s="161">
        <f t="shared" si="58"/>
        <v>-388167.21328858502</v>
      </c>
      <c r="G89" s="161">
        <f t="shared" si="59"/>
        <v>-3717370.455468189</v>
      </c>
      <c r="H89" s="163">
        <f>G89*('Assumptions and Inputs'!$C$52)/12</f>
        <v>-12917.862332751958</v>
      </c>
      <c r="J89" s="161">
        <v>-171727.58823352144</v>
      </c>
      <c r="K89" s="161">
        <v>-2894386.5014622398</v>
      </c>
      <c r="L89" s="163">
        <v>-10057.993092581282</v>
      </c>
      <c r="N89" s="163">
        <f t="shared" si="56"/>
        <v>-2859.8692401706758</v>
      </c>
    </row>
    <row r="90" spans="2:14" x14ac:dyDescent="0.35">
      <c r="B90" s="101">
        <f>'E-Factor PRIOR'!B94</f>
        <v>45870</v>
      </c>
      <c r="C90" s="165">
        <f>'E-Factor PRIOR'!J94</f>
        <v>8173.8549456601031</v>
      </c>
      <c r="D90" s="323">
        <f>'E-Factor PRIOR'!G94</f>
        <v>472709.625</v>
      </c>
      <c r="E90" s="165">
        <f t="shared" si="57"/>
        <v>-458257.13381093409</v>
      </c>
      <c r="F90" s="165">
        <f t="shared" si="58"/>
        <v>-450083.27886527398</v>
      </c>
      <c r="G90" s="165">
        <f t="shared" si="59"/>
        <v>-4167453.734333463</v>
      </c>
      <c r="H90" s="167">
        <f>G90*('Assumptions and Inputs'!$C$52)/12</f>
        <v>-14481.901726808785</v>
      </c>
      <c r="J90" s="165">
        <v>-171727.58823352144</v>
      </c>
      <c r="K90" s="165">
        <v>-3066114.089695761</v>
      </c>
      <c r="L90" s="167">
        <v>-10654.74646169277</v>
      </c>
      <c r="N90" s="167">
        <f t="shared" si="56"/>
        <v>-3827.1552651160146</v>
      </c>
    </row>
    <row r="91" spans="2:14" x14ac:dyDescent="0.35">
      <c r="B91" s="105" t="s">
        <v>131</v>
      </c>
      <c r="C91" s="133"/>
      <c r="D91" s="133"/>
      <c r="E91" s="133"/>
      <c r="F91" s="133"/>
      <c r="G91" s="168"/>
      <c r="H91" s="133">
        <f>SUM(H79:H90)</f>
        <v>-86315.436768599931</v>
      </c>
      <c r="J91" s="133"/>
      <c r="K91" s="168"/>
      <c r="L91" s="133">
        <v>-75618.366976846373</v>
      </c>
      <c r="N91" s="183">
        <f t="shared" si="56"/>
        <v>-10697.069791753558</v>
      </c>
    </row>
    <row r="92" spans="2:14" x14ac:dyDescent="0.35">
      <c r="C92" s="81"/>
      <c r="D92" s="81"/>
      <c r="E92" s="81"/>
      <c r="F92" s="81"/>
      <c r="H92" s="45"/>
      <c r="J92" s="81"/>
      <c r="L92" s="45"/>
      <c r="N92" s="81"/>
    </row>
    <row r="93" spans="2:14" x14ac:dyDescent="0.35">
      <c r="G93" s="112" t="s">
        <v>237</v>
      </c>
      <c r="H93" s="113">
        <f>H91</f>
        <v>-86315.436768599931</v>
      </c>
      <c r="I93" s="111"/>
      <c r="K93" s="112" t="s">
        <v>237</v>
      </c>
      <c r="L93" s="113">
        <f>L91</f>
        <v>-75618.366976846373</v>
      </c>
      <c r="N93" s="137">
        <f>H93-L93</f>
        <v>-10697.069791753558</v>
      </c>
    </row>
    <row r="94" spans="2:14" x14ac:dyDescent="0.35">
      <c r="B94" s="52" t="s">
        <v>192</v>
      </c>
      <c r="H94" s="45"/>
      <c r="J94" s="52"/>
      <c r="L94" s="45"/>
      <c r="N94" s="81"/>
    </row>
    <row r="95" spans="2:14" x14ac:dyDescent="0.35">
      <c r="B95" s="114" t="s">
        <v>249</v>
      </c>
      <c r="J95" s="114"/>
    </row>
    <row r="96" spans="2:14" x14ac:dyDescent="0.35">
      <c r="B96" s="114" t="s">
        <v>298</v>
      </c>
      <c r="J96" s="114"/>
    </row>
    <row r="97" spans="2:14" x14ac:dyDescent="0.35">
      <c r="B97" s="114" t="s">
        <v>241</v>
      </c>
      <c r="J97" s="114"/>
    </row>
    <row r="98" spans="2:14" x14ac:dyDescent="0.35">
      <c r="B98" s="114" t="s">
        <v>242</v>
      </c>
      <c r="J98" s="114"/>
    </row>
    <row r="99" spans="2:14" x14ac:dyDescent="0.35">
      <c r="B99" s="114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00" spans="2:14" x14ac:dyDescent="0.35">
      <c r="B100" s="114" t="s">
        <v>295</v>
      </c>
    </row>
    <row r="101" spans="2:14" x14ac:dyDescent="0.35">
      <c r="B101" s="114"/>
    </row>
    <row r="102" spans="2:14" x14ac:dyDescent="0.35">
      <c r="B102" s="62" t="s">
        <v>30</v>
      </c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2:14" ht="15" thickBot="1" x14ac:dyDescent="0.4">
      <c r="B103" s="62" t="s">
        <v>254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2:14" ht="15" thickBot="1" x14ac:dyDescent="0.4">
      <c r="C104" s="125" t="s">
        <v>213</v>
      </c>
      <c r="D104" s="126"/>
      <c r="E104" s="126"/>
      <c r="F104" s="126"/>
      <c r="G104" s="172"/>
      <c r="H104" s="173"/>
      <c r="J104" s="144" t="s">
        <v>214</v>
      </c>
      <c r="K104" s="181"/>
      <c r="L104" s="182"/>
      <c r="N104" s="129" t="s">
        <v>202</v>
      </c>
    </row>
    <row r="105" spans="2:14" x14ac:dyDescent="0.35">
      <c r="B105" s="83" t="s">
        <v>167</v>
      </c>
      <c r="C105" s="83" t="s">
        <v>224</v>
      </c>
      <c r="D105" s="83" t="s">
        <v>172</v>
      </c>
      <c r="E105" s="84" t="s">
        <v>225</v>
      </c>
      <c r="F105" s="84" t="s">
        <v>226</v>
      </c>
      <c r="G105" s="83" t="s">
        <v>227</v>
      </c>
      <c r="H105" s="83" t="s">
        <v>228</v>
      </c>
      <c r="J105" s="83" t="s">
        <v>226</v>
      </c>
      <c r="K105" s="83" t="s">
        <v>227</v>
      </c>
      <c r="L105" s="83" t="s">
        <v>228</v>
      </c>
      <c r="N105" s="84" t="s">
        <v>215</v>
      </c>
    </row>
    <row r="106" spans="2:14" x14ac:dyDescent="0.35">
      <c r="B106" s="84" t="s">
        <v>164</v>
      </c>
      <c r="C106" s="84" t="s">
        <v>181</v>
      </c>
      <c r="D106" s="84" t="s">
        <v>199</v>
      </c>
      <c r="E106" s="84" t="s">
        <v>229</v>
      </c>
      <c r="F106" s="84" t="s">
        <v>229</v>
      </c>
      <c r="G106" s="84" t="s">
        <v>230</v>
      </c>
      <c r="H106" s="84" t="s">
        <v>231</v>
      </c>
      <c r="J106" s="84" t="s">
        <v>229</v>
      </c>
      <c r="K106" s="84" t="s">
        <v>230</v>
      </c>
      <c r="L106" s="84" t="s">
        <v>231</v>
      </c>
      <c r="N106" s="84" t="s">
        <v>216</v>
      </c>
    </row>
    <row r="107" spans="2:14" x14ac:dyDescent="0.35">
      <c r="B107" s="84"/>
      <c r="C107" s="84" t="s">
        <v>244</v>
      </c>
      <c r="D107" s="84" t="s">
        <v>183</v>
      </c>
      <c r="E107" s="84" t="s">
        <v>244</v>
      </c>
      <c r="F107" s="84" t="s">
        <v>244</v>
      </c>
      <c r="G107" s="84" t="s">
        <v>244</v>
      </c>
      <c r="H107" s="84" t="s">
        <v>234</v>
      </c>
      <c r="J107" s="84" t="s">
        <v>244</v>
      </c>
      <c r="K107" s="84" t="s">
        <v>233</v>
      </c>
      <c r="L107" s="84" t="s">
        <v>234</v>
      </c>
      <c r="N107" s="84" t="s">
        <v>253</v>
      </c>
    </row>
    <row r="108" spans="2:14" x14ac:dyDescent="0.35">
      <c r="B108" s="84"/>
      <c r="C108" s="84" t="s">
        <v>200</v>
      </c>
      <c r="D108" s="84" t="s">
        <v>200</v>
      </c>
      <c r="E108" s="86">
        <f>'Assumptions and Inputs'!C100</f>
        <v>-1.3238407275056514</v>
      </c>
      <c r="F108" s="86"/>
      <c r="G108" s="85"/>
      <c r="H108" s="84" t="s">
        <v>244</v>
      </c>
      <c r="J108" s="84"/>
      <c r="K108" s="84" t="s">
        <v>244</v>
      </c>
      <c r="L108" s="84" t="s">
        <v>244</v>
      </c>
      <c r="N108" s="84"/>
    </row>
    <row r="109" spans="2:14" x14ac:dyDescent="0.35">
      <c r="B109" s="89"/>
      <c r="C109" s="90" t="s">
        <v>139</v>
      </c>
      <c r="D109" s="90" t="s">
        <v>141</v>
      </c>
      <c r="E109" s="90" t="str">
        <f>"(3) = (2) * $ "&amp;FIXED(E108,3,)&amp;"/Mcf"</f>
        <v>(3) = (2) * $ -1.324/Mcf</v>
      </c>
      <c r="F109" s="90" t="str">
        <f>"(4) = (3) + (1)"</f>
        <v>(4) = (3) + (1)</v>
      </c>
      <c r="G109" s="90" t="s">
        <v>236</v>
      </c>
      <c r="H109" s="90" t="str">
        <f>"(6) = (5) * ["&amp;FIXED('Assumptions and Inputs'!$C$52*100,2,TRUE)&amp;"% / 12]"</f>
        <v>(6) = (5) * [4.17% / 12]</v>
      </c>
      <c r="J109" s="90" t="s">
        <v>291</v>
      </c>
      <c r="K109" s="90" t="s">
        <v>292</v>
      </c>
      <c r="L109" s="90" t="s">
        <v>293</v>
      </c>
      <c r="N109" s="90" t="s">
        <v>294</v>
      </c>
    </row>
    <row r="110" spans="2:14" x14ac:dyDescent="0.35">
      <c r="B110" s="92"/>
      <c r="C110" s="93"/>
      <c r="D110" s="93"/>
      <c r="E110" s="93"/>
      <c r="F110" s="93"/>
      <c r="G110" s="93"/>
      <c r="H110" s="93"/>
      <c r="J110" s="93"/>
      <c r="K110" s="93"/>
      <c r="L110" s="93"/>
      <c r="N110" s="93"/>
    </row>
    <row r="111" spans="2:14" x14ac:dyDescent="0.35">
      <c r="B111" s="97">
        <f>+'E-Factor PRIOR'!B123</f>
        <v>45536</v>
      </c>
      <c r="C111" s="161">
        <f>'E-Factor PRIOR'!J123</f>
        <v>355925.33661912009</v>
      </c>
      <c r="D111" s="322">
        <f>'E-Factor PRIOR'!G123</f>
        <v>461019.51500000001</v>
      </c>
      <c r="E111" s="161">
        <f>$E$108*$D111</f>
        <v>-610316.41013190255</v>
      </c>
      <c r="F111" s="161">
        <f>E111+C111</f>
        <v>-254391.07351278246</v>
      </c>
      <c r="G111" s="161">
        <f>F111</f>
        <v>-254391.07351278246</v>
      </c>
      <c r="H111" s="163">
        <f>G111*('Assumptions and Inputs'!$C$52)/12</f>
        <v>-884.00898045691918</v>
      </c>
      <c r="J111" s="161">
        <v>-254391.18990078254</v>
      </c>
      <c r="K111" s="161">
        <v>-254391.18990078254</v>
      </c>
      <c r="L111" s="163">
        <v>-884.00938490521946</v>
      </c>
      <c r="N111" s="163">
        <f t="shared" ref="N111:N123" si="60">H111-L111</f>
        <v>4.044483002871857E-4</v>
      </c>
    </row>
    <row r="112" spans="2:14" x14ac:dyDescent="0.35">
      <c r="B112" s="101">
        <f>+'E-Factor PRIOR'!B124</f>
        <v>45566</v>
      </c>
      <c r="C112" s="165">
        <f>'E-Factor PRIOR'!J124</f>
        <v>106208.87253677985</v>
      </c>
      <c r="D112" s="323">
        <f>'E-Factor PRIOR'!G124</f>
        <v>430672.32500000001</v>
      </c>
      <c r="E112" s="165">
        <f t="shared" ref="E112:E122" si="61">$E$108*$D112</f>
        <v>-570141.56404455041</v>
      </c>
      <c r="F112" s="165">
        <f t="shared" ref="F112:F122" si="62">E112+C112</f>
        <v>-463932.69150777056</v>
      </c>
      <c r="G112" s="165">
        <f>G111+F112</f>
        <v>-718323.76502055302</v>
      </c>
      <c r="H112" s="167">
        <f>G112*('Assumptions and Inputs'!$C$52)/12</f>
        <v>-2496.1750834464219</v>
      </c>
      <c r="J112" s="165">
        <v>-463932.65271177061</v>
      </c>
      <c r="K112" s="165">
        <v>-718323.84261255316</v>
      </c>
      <c r="L112" s="167">
        <v>-2496.1753530786223</v>
      </c>
      <c r="N112" s="167">
        <f t="shared" si="60"/>
        <v>2.6963220034303959E-4</v>
      </c>
    </row>
    <row r="113" spans="2:14" x14ac:dyDescent="0.35">
      <c r="B113" s="97">
        <f>+'E-Factor PRIOR'!B125</f>
        <v>45597</v>
      </c>
      <c r="C113" s="161">
        <f>'E-Factor PRIOR'!J125</f>
        <v>189027.80756993988</v>
      </c>
      <c r="D113" s="322">
        <f>'E-Factor PRIOR'!G125</f>
        <v>401299.14500000002</v>
      </c>
      <c r="E113" s="161">
        <f t="shared" si="61"/>
        <v>-531256.15206419595</v>
      </c>
      <c r="F113" s="161">
        <f t="shared" si="62"/>
        <v>-342228.34449425607</v>
      </c>
      <c r="G113" s="161">
        <f t="shared" ref="G113:G122" si="63">G112+F113</f>
        <v>-1060552.1095148092</v>
      </c>
      <c r="H113" s="163">
        <f>G113*('Assumptions and Inputs'!$C$52)/12</f>
        <v>-3685.4185805639622</v>
      </c>
      <c r="J113" s="161">
        <v>-342228.30569825589</v>
      </c>
      <c r="K113" s="161">
        <v>-1060552.1483108089</v>
      </c>
      <c r="L113" s="163">
        <v>-3685.4187153800613</v>
      </c>
      <c r="N113" s="163">
        <f t="shared" si="60"/>
        <v>1.3481609903465142E-4</v>
      </c>
    </row>
    <row r="114" spans="2:14" x14ac:dyDescent="0.35">
      <c r="B114" s="101">
        <f>+'E-Factor PRIOR'!B126</f>
        <v>45627</v>
      </c>
      <c r="C114" s="165">
        <f>'E-Factor PRIOR'!J126</f>
        <v>107490.35970108001</v>
      </c>
      <c r="D114" s="323">
        <f>'E-Factor PRIOR'!G126</f>
        <v>406659.43</v>
      </c>
      <c r="E114" s="165">
        <f t="shared" si="61"/>
        <v>-538352.31565823348</v>
      </c>
      <c r="F114" s="165">
        <f t="shared" si="62"/>
        <v>-430861.95595715346</v>
      </c>
      <c r="G114" s="165">
        <f t="shared" si="63"/>
        <v>-1491414.0654719626</v>
      </c>
      <c r="H114" s="167">
        <f>G114*('Assumptions and Inputs'!$C$52)/12</f>
        <v>-5182.6638775150705</v>
      </c>
      <c r="J114" s="165">
        <v>-430861.95595715346</v>
      </c>
      <c r="K114" s="165">
        <v>-1491414.1042679623</v>
      </c>
      <c r="L114" s="167">
        <v>-5182.664012331169</v>
      </c>
      <c r="N114" s="167">
        <f t="shared" si="60"/>
        <v>1.3481609857990406E-4</v>
      </c>
    </row>
    <row r="115" spans="2:14" x14ac:dyDescent="0.35">
      <c r="B115" s="97">
        <f>+'E-Factor PRIOR'!B127</f>
        <v>45658</v>
      </c>
      <c r="C115" s="161">
        <f>'E-Factor PRIOR'!J127</f>
        <v>-54399.580885559553</v>
      </c>
      <c r="D115" s="322">
        <f>'E-Factor PRIOR'!G127</f>
        <v>424665.15499999997</v>
      </c>
      <c r="E115" s="161">
        <f t="shared" si="61"/>
        <v>-562189.02774150018</v>
      </c>
      <c r="F115" s="161">
        <f t="shared" si="62"/>
        <v>-616588.60862705973</v>
      </c>
      <c r="G115" s="161">
        <f t="shared" si="63"/>
        <v>-2108002.6740990225</v>
      </c>
      <c r="H115" s="163">
        <f>G115*('Assumptions and Inputs'!$C$52)/12</f>
        <v>-7325.3092924941038</v>
      </c>
      <c r="J115" s="161">
        <v>-616588.29825905967</v>
      </c>
      <c r="K115" s="161">
        <v>-2108002.4025270222</v>
      </c>
      <c r="L115" s="163">
        <v>-7325.3083487814029</v>
      </c>
      <c r="N115" s="163">
        <f t="shared" si="60"/>
        <v>-9.4371270097326487E-4</v>
      </c>
    </row>
    <row r="116" spans="2:14" x14ac:dyDescent="0.35">
      <c r="B116" s="101">
        <f>+'E-Factor PRIOR'!B128</f>
        <v>45689</v>
      </c>
      <c r="C116" s="165">
        <f>'E-Factor PRIOR'!J128</f>
        <v>67880.559674639953</v>
      </c>
      <c r="D116" s="323">
        <f>'E-Factor PRIOR'!G128</f>
        <v>374138</v>
      </c>
      <c r="E116" s="165">
        <f t="shared" si="61"/>
        <v>-495299.12210750941</v>
      </c>
      <c r="F116" s="165">
        <f t="shared" si="62"/>
        <v>-427418.56243286945</v>
      </c>
      <c r="G116" s="165">
        <f t="shared" si="63"/>
        <v>-2535421.2365318919</v>
      </c>
      <c r="H116" s="167">
        <f>G116*('Assumptions and Inputs'!$C$52)/12</f>
        <v>-8810.5887969483247</v>
      </c>
      <c r="J116" s="165">
        <v>-427418.21326886944</v>
      </c>
      <c r="K116" s="165">
        <v>-2535420.6157958917</v>
      </c>
      <c r="L116" s="167">
        <v>-8810.5866398907237</v>
      </c>
      <c r="N116" s="167">
        <f t="shared" si="60"/>
        <v>-2.1570576009253273E-3</v>
      </c>
    </row>
    <row r="117" spans="2:14" x14ac:dyDescent="0.35">
      <c r="B117" s="97">
        <f>+'E-Factor PRIOR'!B129</f>
        <v>45717</v>
      </c>
      <c r="C117" s="161">
        <f>'E-Factor PRIOR'!J129</f>
        <v>18242.105380680179</v>
      </c>
      <c r="D117" s="322">
        <f>'E-Factor PRIOR'!G129</f>
        <v>373030.42000000004</v>
      </c>
      <c r="E117" s="161">
        <f t="shared" si="61"/>
        <v>-493832.86259453878</v>
      </c>
      <c r="F117" s="161">
        <f t="shared" si="62"/>
        <v>-475590.7572138586</v>
      </c>
      <c r="G117" s="161">
        <f t="shared" si="63"/>
        <v>-3011011.9937457503</v>
      </c>
      <c r="H117" s="163">
        <f>G117*('Assumptions and Inputs'!$C$52)/12</f>
        <v>-10463.266678266482</v>
      </c>
      <c r="J117" s="161">
        <v>-475590.67962185846</v>
      </c>
      <c r="K117" s="161">
        <v>-3011011.2954177503</v>
      </c>
      <c r="L117" s="163">
        <v>-10463.264251576682</v>
      </c>
      <c r="N117" s="163">
        <f t="shared" si="60"/>
        <v>-2.4266897999041248E-3</v>
      </c>
    </row>
    <row r="118" spans="2:14" x14ac:dyDescent="0.35">
      <c r="B118" s="101">
        <f>+'E-Factor PRIOR'!B130</f>
        <v>45748</v>
      </c>
      <c r="C118" s="165">
        <f>'E-Factor PRIOR'!J130</f>
        <v>29222.507193780271</v>
      </c>
      <c r="D118" s="323">
        <f>'E-Factor PRIOR'!G130</f>
        <v>381012.39500000002</v>
      </c>
      <c r="E118" s="165">
        <f t="shared" si="61"/>
        <v>-504399.72618547064</v>
      </c>
      <c r="F118" s="165">
        <f t="shared" si="62"/>
        <v>-475177.21899169037</v>
      </c>
      <c r="G118" s="165">
        <f t="shared" si="63"/>
        <v>-3486189.2127374406</v>
      </c>
      <c r="H118" s="167">
        <f>G118*('Assumptions and Inputs'!$C$52)/12</f>
        <v>-12114.507514262606</v>
      </c>
      <c r="J118" s="165">
        <v>-235650.89556676173</v>
      </c>
      <c r="K118" s="165">
        <v>-3246662.1909845117</v>
      </c>
      <c r="L118" s="167">
        <v>-11282.151113671178</v>
      </c>
      <c r="N118" s="167">
        <f t="shared" si="60"/>
        <v>-832.35640059142861</v>
      </c>
    </row>
    <row r="119" spans="2:14" x14ac:dyDescent="0.35">
      <c r="B119" s="97">
        <f>+'E-Factor PRIOR'!B131</f>
        <v>45778</v>
      </c>
      <c r="C119" s="161">
        <f>'E-Factor PRIOR'!J131</f>
        <v>32977.491726059932</v>
      </c>
      <c r="D119" s="322">
        <f>'E-Factor PRIOR'!G131</f>
        <v>395766.63</v>
      </c>
      <c r="E119" s="161">
        <f t="shared" si="61"/>
        <v>-523931.98338165996</v>
      </c>
      <c r="F119" s="161">
        <f t="shared" si="62"/>
        <v>-490954.49165560002</v>
      </c>
      <c r="G119" s="161">
        <f t="shared" si="63"/>
        <v>-3977143.7043930404</v>
      </c>
      <c r="H119" s="163">
        <f>G119*('Assumptions and Inputs'!$C$52)/12</f>
        <v>-13820.574372765817</v>
      </c>
      <c r="J119" s="161">
        <v>-235650.89556676173</v>
      </c>
      <c r="K119" s="161">
        <v>-3482313.0865512732</v>
      </c>
      <c r="L119" s="163">
        <v>-12101.037975765676</v>
      </c>
      <c r="N119" s="163">
        <f t="shared" si="60"/>
        <v>-1719.5363970001417</v>
      </c>
    </row>
    <row r="120" spans="2:14" x14ac:dyDescent="0.35">
      <c r="B120" s="101">
        <f>+'E-Factor PRIOR'!B132</f>
        <v>45809</v>
      </c>
      <c r="C120" s="165">
        <f>'E-Factor PRIOR'!J132</f>
        <v>-20350.30659593991</v>
      </c>
      <c r="D120" s="323">
        <f>'E-Factor PRIOR'!G132</f>
        <v>412924.63</v>
      </c>
      <c r="E120" s="165">
        <f t="shared" si="61"/>
        <v>-546646.44258420193</v>
      </c>
      <c r="F120" s="165">
        <f t="shared" si="62"/>
        <v>-566996.74918014184</v>
      </c>
      <c r="G120" s="165">
        <f t="shared" si="63"/>
        <v>-4544140.4535731822</v>
      </c>
      <c r="H120" s="167">
        <f>G120*('Assumptions and Inputs'!$C$52)/12</f>
        <v>-15790.88807616681</v>
      </c>
      <c r="J120" s="165">
        <v>-235650.89556676173</v>
      </c>
      <c r="K120" s="165">
        <v>-3717963.9821180347</v>
      </c>
      <c r="L120" s="167">
        <v>-12919.924837860171</v>
      </c>
      <c r="N120" s="167">
        <f t="shared" si="60"/>
        <v>-2870.9632383066382</v>
      </c>
    </row>
    <row r="121" spans="2:14" x14ac:dyDescent="0.35">
      <c r="B121" s="97">
        <f>+'E-Factor PRIOR'!B133</f>
        <v>45839</v>
      </c>
      <c r="C121" s="161">
        <f>'E-Factor PRIOR'!J133</f>
        <v>21409.371248760028</v>
      </c>
      <c r="D121" s="322">
        <f>'E-Factor PRIOR'!G133</f>
        <v>427530</v>
      </c>
      <c r="E121" s="161">
        <f t="shared" si="61"/>
        <v>-565981.62623049109</v>
      </c>
      <c r="F121" s="161">
        <f t="shared" si="62"/>
        <v>-544572.25498173106</v>
      </c>
      <c r="G121" s="161">
        <f t="shared" si="63"/>
        <v>-5088712.7085549133</v>
      </c>
      <c r="H121" s="163">
        <f>G121*('Assumptions and Inputs'!$C$52)/12</f>
        <v>-17683.276662228323</v>
      </c>
      <c r="J121" s="161">
        <v>-235650.89556676173</v>
      </c>
      <c r="K121" s="161">
        <v>-3953614.8776847962</v>
      </c>
      <c r="L121" s="163">
        <v>-13738.811699954667</v>
      </c>
      <c r="N121" s="163">
        <f t="shared" si="60"/>
        <v>-3944.4649622736561</v>
      </c>
    </row>
    <row r="122" spans="2:14" x14ac:dyDescent="0.35">
      <c r="B122" s="101">
        <f>+'E-Factor PRIOR'!B134</f>
        <v>45870</v>
      </c>
      <c r="C122" s="165">
        <f>'E-Factor PRIOR'!J134</f>
        <v>-40539.025136159733</v>
      </c>
      <c r="D122" s="323">
        <f>'E-Factor PRIOR'!G134</f>
        <v>443338.47499999998</v>
      </c>
      <c r="E122" s="165">
        <f t="shared" si="61"/>
        <v>-586909.52927524596</v>
      </c>
      <c r="F122" s="165">
        <f t="shared" si="62"/>
        <v>-627448.5544114057</v>
      </c>
      <c r="G122" s="165">
        <f t="shared" si="63"/>
        <v>-5716161.262966319</v>
      </c>
      <c r="H122" s="167">
        <f>G122*('Assumptions and Inputs'!$C$52)/12</f>
        <v>-19863.660388807959</v>
      </c>
      <c r="J122" s="165">
        <v>-235650.89556676173</v>
      </c>
      <c r="K122" s="165">
        <v>-4189265.7732515577</v>
      </c>
      <c r="L122" s="167">
        <v>-14557.698562049163</v>
      </c>
      <c r="N122" s="167">
        <f t="shared" si="60"/>
        <v>-5305.9618267587957</v>
      </c>
    </row>
    <row r="123" spans="2:14" x14ac:dyDescent="0.35">
      <c r="B123" s="105" t="s">
        <v>131</v>
      </c>
      <c r="C123" s="133"/>
      <c r="D123" s="133"/>
      <c r="E123" s="133"/>
      <c r="F123" s="133"/>
      <c r="G123" s="171"/>
      <c r="H123" s="133">
        <f>SUM(H111:H122)</f>
        <v>-118120.33830392279</v>
      </c>
      <c r="J123" s="133"/>
      <c r="K123" s="171"/>
      <c r="L123" s="133">
        <v>-103447.05089524474</v>
      </c>
      <c r="N123" s="163">
        <f t="shared" si="60"/>
        <v>-14673.28740867805</v>
      </c>
    </row>
    <row r="124" spans="2:14" x14ac:dyDescent="0.35">
      <c r="H124" s="45"/>
      <c r="L124" s="45"/>
      <c r="N124" s="45"/>
    </row>
    <row r="125" spans="2:14" x14ac:dyDescent="0.35">
      <c r="G125" s="112" t="s">
        <v>237</v>
      </c>
      <c r="H125" s="113">
        <f>H123</f>
        <v>-118120.33830392279</v>
      </c>
      <c r="I125" s="111"/>
      <c r="K125" s="112" t="s">
        <v>237</v>
      </c>
      <c r="L125" s="113">
        <f>L123</f>
        <v>-103447.05089524474</v>
      </c>
      <c r="N125" s="137">
        <f>H125-L125</f>
        <v>-14673.28740867805</v>
      </c>
    </row>
    <row r="126" spans="2:14" x14ac:dyDescent="0.35">
      <c r="B126" s="52" t="s">
        <v>192</v>
      </c>
      <c r="H126" s="45"/>
      <c r="J126" s="52"/>
      <c r="L126" s="45"/>
    </row>
    <row r="127" spans="2:14" x14ac:dyDescent="0.35">
      <c r="B127" s="114" t="s">
        <v>251</v>
      </c>
    </row>
    <row r="128" spans="2:14" x14ac:dyDescent="0.35">
      <c r="B128" s="114" t="s">
        <v>297</v>
      </c>
    </row>
    <row r="129" spans="2:2" x14ac:dyDescent="0.35">
      <c r="B129" s="114" t="s">
        <v>241</v>
      </c>
    </row>
    <row r="130" spans="2:2" x14ac:dyDescent="0.35">
      <c r="B130" s="114" t="s">
        <v>242</v>
      </c>
    </row>
    <row r="131" spans="2:2" x14ac:dyDescent="0.35">
      <c r="B131" s="114" t="str">
        <f>"(6) &amp; (9) Interest calculated monthly based on 1-year interest rate for constant maturity U.S. Treasury Securities as published in the Federal Reserve Statistical Release H.15 (519) on "&amp;TEXT('Assumptions and Inputs'!$C$53,"MMMM DD, YYYY")&amp;"."</f>
        <v>(6) &amp; (9) Interest calculated monthly based on 1-year interest rate for constant maturity U.S. Treasury Securities as published in the Federal Reserve Statistical Release H.15 (519) on January 02, 2025.</v>
      </c>
    </row>
    <row r="132" spans="2:2" x14ac:dyDescent="0.35">
      <c r="B132" s="114" t="s">
        <v>296</v>
      </c>
    </row>
    <row r="133" spans="2:2" x14ac:dyDescent="0.35">
      <c r="B133" s="114"/>
    </row>
    <row r="134" spans="2:2" x14ac:dyDescent="0.35"/>
    <row r="135" spans="2:2" x14ac:dyDescent="0.35"/>
    <row r="136" spans="2:2" x14ac:dyDescent="0.35"/>
    <row r="137" spans="2:2" x14ac:dyDescent="0.35"/>
    <row r="138" spans="2:2" x14ac:dyDescent="0.35"/>
    <row r="139" spans="2:2" x14ac:dyDescent="0.35"/>
    <row r="140" spans="2:2" x14ac:dyDescent="0.35"/>
    <row r="141" spans="2:2" x14ac:dyDescent="0.35"/>
    <row r="142" spans="2:2" x14ac:dyDescent="0.35"/>
    <row r="143" spans="2:2" x14ac:dyDescent="0.35"/>
    <row r="144" spans="2:2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</sheetData>
  <printOptions horizontalCentered="1"/>
  <pageMargins left="0.7" right="0.7" top="0.75" bottom="0.75" header="0.3" footer="0.3"/>
  <pageSetup scale="39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109 C7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4" tint="-0.249977111117893"/>
    <pageSetUpPr fitToPage="1"/>
  </sheetPr>
  <dimension ref="B2:J19"/>
  <sheetViews>
    <sheetView workbookViewId="0">
      <selection activeCell="E22" sqref="E22"/>
    </sheetView>
  </sheetViews>
  <sheetFormatPr defaultColWidth="9.26953125" defaultRowHeight="14.5" x14ac:dyDescent="0.35"/>
  <cols>
    <col min="1" max="1" width="9.26953125" style="1"/>
    <col min="2" max="2" width="8.54296875" style="1" customWidth="1"/>
    <col min="3" max="3" width="27.26953125" style="1" customWidth="1"/>
    <col min="4" max="4" width="18.7265625" style="1" customWidth="1"/>
    <col min="5" max="5" width="20.7265625" style="1" bestFit="1" customWidth="1"/>
    <col min="6" max="6" width="15" style="1" customWidth="1"/>
    <col min="7" max="7" width="4.26953125" style="1" customWidth="1"/>
    <col min="8" max="8" width="4.453125" style="1" customWidth="1"/>
    <col min="9" max="16384" width="9.26953125" style="1"/>
  </cols>
  <sheetData>
    <row r="2" spans="2:10" hidden="1" x14ac:dyDescent="0.35">
      <c r="B2" s="3" t="s">
        <v>30</v>
      </c>
      <c r="C2" s="3"/>
      <c r="D2" s="3"/>
      <c r="E2" s="3"/>
      <c r="F2" s="3"/>
    </row>
    <row r="3" spans="2:10" x14ac:dyDescent="0.35">
      <c r="B3" s="3" t="str">
        <f>"Table 5 - Application of TAP Rate Rider Adjustment Effective "&amp;TEXT('Assumptions and Inputs'!C65,"MMMM D, YYYY")</f>
        <v>Table 5 - Application of TAP Rate Rider Adjustment Effective September 1, 2026</v>
      </c>
      <c r="C3" s="3"/>
      <c r="D3" s="3"/>
      <c r="E3" s="3"/>
      <c r="F3" s="3"/>
    </row>
    <row r="4" spans="2:10" ht="15.5" x14ac:dyDescent="0.35">
      <c r="B4" s="184"/>
      <c r="C4" s="185"/>
      <c r="D4" s="186" t="s">
        <v>255</v>
      </c>
      <c r="E4" s="186" t="s">
        <v>256</v>
      </c>
      <c r="F4" s="187" t="s">
        <v>131</v>
      </c>
    </row>
    <row r="5" spans="2:10" x14ac:dyDescent="0.35">
      <c r="B5" s="188"/>
      <c r="C5" s="188" t="s">
        <v>28</v>
      </c>
      <c r="D5" s="188" t="s">
        <v>307</v>
      </c>
      <c r="E5" s="188" t="s">
        <v>257</v>
      </c>
      <c r="F5" s="188" t="s">
        <v>131</v>
      </c>
    </row>
    <row r="6" spans="2:10" x14ac:dyDescent="0.35">
      <c r="B6" s="189"/>
      <c r="C6" s="190" t="s">
        <v>258</v>
      </c>
      <c r="D6" s="191" t="s">
        <v>259</v>
      </c>
      <c r="E6" s="191" t="s">
        <v>259</v>
      </c>
      <c r="F6" s="191" t="s">
        <v>259</v>
      </c>
    </row>
    <row r="7" spans="2:10" x14ac:dyDescent="0.35">
      <c r="B7" s="192">
        <v>1</v>
      </c>
      <c r="C7" s="192" t="s">
        <v>260</v>
      </c>
      <c r="D7" s="193">
        <v>73.13</v>
      </c>
      <c r="E7" s="194">
        <f>Summary!$G$19</f>
        <v>5.83</v>
      </c>
      <c r="F7" s="194">
        <f>D7+E7</f>
        <v>78.959999999999994</v>
      </c>
      <c r="J7" s="195"/>
    </row>
    <row r="8" spans="2:10" x14ac:dyDescent="0.35">
      <c r="B8" s="192">
        <f>B7+1</f>
        <v>2</v>
      </c>
      <c r="C8" s="192" t="s">
        <v>261</v>
      </c>
      <c r="D8" s="193">
        <v>68.72</v>
      </c>
      <c r="E8" s="194">
        <f>Summary!$G$19</f>
        <v>5.83</v>
      </c>
      <c r="F8" s="194">
        <f t="shared" ref="F8:F10" si="0">D8+E8</f>
        <v>74.55</v>
      </c>
    </row>
    <row r="9" spans="2:10" x14ac:dyDescent="0.35">
      <c r="B9" s="192">
        <f>B8+1</f>
        <v>3</v>
      </c>
      <c r="C9" s="192" t="s">
        <v>262</v>
      </c>
      <c r="D9" s="193">
        <v>53.87</v>
      </c>
      <c r="E9" s="194">
        <f>Summary!$G$19</f>
        <v>5.83</v>
      </c>
      <c r="F9" s="194">
        <f t="shared" si="0"/>
        <v>59.699999999999996</v>
      </c>
    </row>
    <row r="10" spans="2:10" x14ac:dyDescent="0.35">
      <c r="B10" s="192">
        <f>B9+1</f>
        <v>4</v>
      </c>
      <c r="C10" s="192" t="s">
        <v>263</v>
      </c>
      <c r="D10" s="193">
        <v>52.4</v>
      </c>
      <c r="E10" s="194">
        <f>Summary!$G$19</f>
        <v>5.83</v>
      </c>
      <c r="F10" s="194">
        <f t="shared" si="0"/>
        <v>58.23</v>
      </c>
    </row>
    <row r="11" spans="2:10" ht="15.5" x14ac:dyDescent="0.35">
      <c r="B11" s="184"/>
      <c r="C11" s="185"/>
      <c r="D11" s="196"/>
      <c r="E11" s="197"/>
      <c r="F11" s="197"/>
    </row>
    <row r="12" spans="2:10" x14ac:dyDescent="0.35">
      <c r="B12" s="189"/>
      <c r="C12" s="189" t="s">
        <v>264</v>
      </c>
      <c r="D12" s="191" t="s">
        <v>259</v>
      </c>
      <c r="E12" s="198" t="s">
        <v>259</v>
      </c>
      <c r="F12" s="198" t="s">
        <v>259</v>
      </c>
    </row>
    <row r="13" spans="2:10" x14ac:dyDescent="0.35">
      <c r="B13" s="184">
        <f>B10+1</f>
        <v>5</v>
      </c>
      <c r="C13" s="184" t="s">
        <v>265</v>
      </c>
      <c r="D13" s="193">
        <v>49.53</v>
      </c>
      <c r="E13" s="194">
        <f>Summary!$J$19</f>
        <v>8.14</v>
      </c>
      <c r="F13" s="194">
        <f>D13+E13</f>
        <v>57.67</v>
      </c>
    </row>
    <row r="14" spans="2:10" x14ac:dyDescent="0.35">
      <c r="B14" s="184"/>
      <c r="C14" s="184"/>
      <c r="D14" s="194"/>
      <c r="E14" s="194"/>
      <c r="F14" s="194"/>
    </row>
    <row r="15" spans="2:10" x14ac:dyDescent="0.35">
      <c r="B15" s="52" t="s">
        <v>192</v>
      </c>
      <c r="D15" s="199"/>
    </row>
    <row r="16" spans="2:10" x14ac:dyDescent="0.35">
      <c r="B16" s="114" t="str">
        <f>"Approved Base Rates reflect the "&amp;TEXT('Assumptions and Inputs'!C69,)&amp;" quantity charges, per the 2025 Rate Determination."</f>
        <v>Approved Base Rates reflect the FY 2027 quantity charges, per the 2025 Rate Determination.</v>
      </c>
    </row>
    <row r="17" spans="2:2" x14ac:dyDescent="0.35">
      <c r="B17" s="114" t="str">
        <f>"TAP-R Rates are proposed to be effective on "&amp;TEXT('Assumptions and Inputs'!C65,"MMMM DD, YYYY")&amp;"."</f>
        <v>TAP-R Rates are proposed to be effective on September 01, 2026.</v>
      </c>
    </row>
    <row r="18" spans="2:2" x14ac:dyDescent="0.35">
      <c r="B18" s="114" t="s">
        <v>266</v>
      </c>
    </row>
    <row r="19" spans="2:2" x14ac:dyDescent="0.35">
      <c r="B19" s="200"/>
    </row>
  </sheetData>
  <printOptions horizontalCentered="1"/>
  <pageMargins left="0.7" right="0.7" top="0.75" bottom="0.75" header="0.3" footer="0.3"/>
  <pageSetup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  <pageSetUpPr fitToPage="1"/>
  </sheetPr>
  <dimension ref="A1:XFC19"/>
  <sheetViews>
    <sheetView workbookViewId="0">
      <selection activeCell="B17" sqref="B17"/>
    </sheetView>
  </sheetViews>
  <sheetFormatPr defaultColWidth="0" defaultRowHeight="14.5" zeroHeight="1" x14ac:dyDescent="0.35"/>
  <cols>
    <col min="1" max="1" width="25.26953125" style="1" bestFit="1" customWidth="1"/>
    <col min="2" max="2" width="143.453125" style="1" bestFit="1" customWidth="1"/>
    <col min="3" max="16383" width="9.26953125" style="1" hidden="1"/>
    <col min="16384" max="16384" width="8.453125" style="1" hidden="1" customWidth="1"/>
  </cols>
  <sheetData>
    <row r="1" spans="1:2" x14ac:dyDescent="0.35">
      <c r="A1" s="337" t="s">
        <v>6</v>
      </c>
      <c r="B1" s="337"/>
    </row>
    <row r="2" spans="1:2" x14ac:dyDescent="0.35">
      <c r="A2" s="338" t="s">
        <v>305</v>
      </c>
      <c r="B2" s="338"/>
    </row>
    <row r="3" spans="1:2" x14ac:dyDescent="0.35">
      <c r="A3" s="339"/>
      <c r="B3" s="339"/>
    </row>
    <row r="4" spans="1:2" x14ac:dyDescent="0.35">
      <c r="A4" s="340"/>
      <c r="B4" s="340"/>
    </row>
    <row r="5" spans="1:2" x14ac:dyDescent="0.35">
      <c r="A5" s="213"/>
      <c r="B5" s="213"/>
    </row>
    <row r="6" spans="1:2" x14ac:dyDescent="0.35">
      <c r="A6" s="96" t="s">
        <v>7</v>
      </c>
      <c r="B6" s="96" t="s">
        <v>8</v>
      </c>
    </row>
    <row r="7" spans="1:2" x14ac:dyDescent="0.35">
      <c r="A7" s="214" t="s">
        <v>9</v>
      </c>
      <c r="B7" s="1" t="s">
        <v>10</v>
      </c>
    </row>
    <row r="8" spans="1:2" x14ac:dyDescent="0.35">
      <c r="A8" s="215" t="s">
        <v>11</v>
      </c>
      <c r="B8" s="1" t="s">
        <v>11</v>
      </c>
    </row>
    <row r="9" spans="1:2" x14ac:dyDescent="0.35">
      <c r="A9" s="215" t="s">
        <v>12</v>
      </c>
      <c r="B9" s="1" t="s">
        <v>13</v>
      </c>
    </row>
    <row r="10" spans="1:2" x14ac:dyDescent="0.35">
      <c r="A10" s="216" t="s">
        <v>14</v>
      </c>
      <c r="B10" s="1" t="s">
        <v>15</v>
      </c>
    </row>
    <row r="11" spans="1:2" x14ac:dyDescent="0.35">
      <c r="A11" s="216" t="s">
        <v>16</v>
      </c>
      <c r="B11" s="1" t="s">
        <v>17</v>
      </c>
    </row>
    <row r="12" spans="1:2" x14ac:dyDescent="0.35">
      <c r="A12" s="216" t="s">
        <v>18</v>
      </c>
      <c r="B12" s="1" t="s">
        <v>19</v>
      </c>
    </row>
    <row r="13" spans="1:2" x14ac:dyDescent="0.35">
      <c r="A13" s="216" t="s">
        <v>20</v>
      </c>
      <c r="B13" s="1" t="s">
        <v>21</v>
      </c>
    </row>
    <row r="14" spans="1:2" x14ac:dyDescent="0.35">
      <c r="A14" s="216" t="s">
        <v>22</v>
      </c>
      <c r="B14" s="1" t="s">
        <v>23</v>
      </c>
    </row>
    <row r="15" spans="1:2" x14ac:dyDescent="0.35">
      <c r="A15" s="216" t="s">
        <v>24</v>
      </c>
      <c r="B15" s="1" t="s">
        <v>25</v>
      </c>
    </row>
    <row r="16" spans="1:2" x14ac:dyDescent="0.35">
      <c r="A16" s="216" t="s">
        <v>26</v>
      </c>
      <c r="B16" s="1" t="s">
        <v>27</v>
      </c>
    </row>
    <row r="17" spans="1:2" x14ac:dyDescent="0.35">
      <c r="A17" s="216" t="s">
        <v>28</v>
      </c>
      <c r="B17" s="1" t="s">
        <v>29</v>
      </c>
    </row>
    <row r="18" spans="1:2" x14ac:dyDescent="0.35"/>
    <row r="19" spans="1:2" x14ac:dyDescent="0.35"/>
  </sheetData>
  <mergeCells count="4">
    <mergeCell ref="A1:B1"/>
    <mergeCell ref="A2:B2"/>
    <mergeCell ref="A3:B3"/>
    <mergeCell ref="A4:B4"/>
  </mergeCells>
  <hyperlinks>
    <hyperlink ref="A7" location="Home!A1" display="Home" xr:uid="{00000000-0004-0000-0100-000000000000}"/>
    <hyperlink ref="A8" location="'Table of Contents'!A1" display="Table of Contents" xr:uid="{00000000-0004-0000-0100-000001000000}"/>
    <hyperlink ref="A9" location="'Assumptions and Inputs'!A1" display="Assumptions and Inputs " xr:uid="{00000000-0004-0000-0100-000002000000}"/>
    <hyperlink ref="A10" location="Customer!A1" display="Customer" xr:uid="{00000000-0004-0000-0100-000003000000}"/>
    <hyperlink ref="A11" location="Summary!A1" display="Summary " xr:uid="{00000000-0004-0000-0100-000004000000}"/>
    <hyperlink ref="A12" location="'C-Factor'!A1" display="C-Factor" xr:uid="{00000000-0004-0000-0100-000005000000}"/>
    <hyperlink ref="A13" location="'E-Factor'!A1" display="E-Factor" xr:uid="{00000000-0004-0000-0100-000006000000}"/>
    <hyperlink ref="A15" location="'I-Factor'!A1" display="I-Factor" xr:uid="{00000000-0004-0000-0100-000007000000}"/>
    <hyperlink ref="A17" location="Rates!A1" display="Rates" xr:uid="{00000000-0004-0000-0100-000008000000}"/>
    <hyperlink ref="A14" location="'E-Factor PRIOR'!A1" display="E-Factor Prior" xr:uid="{D98F2539-414F-44E7-AD81-67F9A6AE3DB6}"/>
    <hyperlink ref="A16" location="'I-Factor PRIOR'!A1" display="I-Factor Prior" xr:uid="{80DC8295-C8A1-4AF9-86EA-2F65B4B95CC8}"/>
  </hyperlink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Z145"/>
  <sheetViews>
    <sheetView tabSelected="1" zoomScale="90" zoomScaleNormal="90" workbookViewId="0"/>
  </sheetViews>
  <sheetFormatPr defaultColWidth="0" defaultRowHeight="14.5" zeroHeight="1" x14ac:dyDescent="0.35"/>
  <cols>
    <col min="1" max="1" width="4.7265625" style="1" customWidth="1"/>
    <col min="2" max="2" width="53.26953125" style="1" customWidth="1"/>
    <col min="3" max="3" width="20.7265625" style="1" customWidth="1"/>
    <col min="4" max="4" width="17.54296875" style="1" customWidth="1"/>
    <col min="5" max="5" width="3.26953125" style="1" customWidth="1"/>
    <col min="6" max="6" width="66.54296875" style="1" customWidth="1"/>
    <col min="7" max="7" width="33" style="1" customWidth="1"/>
    <col min="8" max="8" width="62.26953125" style="1" customWidth="1"/>
    <col min="9" max="25" width="9.26953125" style="1" customWidth="1"/>
    <col min="26" max="26" width="0" style="1" hidden="1" customWidth="1"/>
    <col min="27" max="16384" width="9.26953125" style="1" hidden="1"/>
  </cols>
  <sheetData>
    <row r="1" spans="2:8" x14ac:dyDescent="0.35"/>
    <row r="2" spans="2:8" x14ac:dyDescent="0.35">
      <c r="B2" s="3" t="s">
        <v>30</v>
      </c>
      <c r="C2" s="3"/>
      <c r="D2" s="3"/>
      <c r="E2" s="3"/>
      <c r="F2" s="3"/>
      <c r="G2" s="3"/>
      <c r="H2" s="3"/>
    </row>
    <row r="3" spans="2:8" x14ac:dyDescent="0.35">
      <c r="B3" s="3" t="s">
        <v>31</v>
      </c>
      <c r="C3" s="3"/>
      <c r="D3" s="3"/>
      <c r="E3" s="3"/>
      <c r="F3" s="3"/>
      <c r="G3" s="3"/>
      <c r="H3" s="3"/>
    </row>
    <row r="4" spans="2:8" x14ac:dyDescent="0.35"/>
    <row r="5" spans="2:8" x14ac:dyDescent="0.35">
      <c r="B5" s="217" t="s">
        <v>32</v>
      </c>
      <c r="C5" s="217"/>
      <c r="D5" s="217"/>
      <c r="E5" s="217"/>
      <c r="F5" s="217" t="s">
        <v>33</v>
      </c>
      <c r="G5" s="217" t="s">
        <v>34</v>
      </c>
      <c r="H5" s="217" t="s">
        <v>35</v>
      </c>
    </row>
    <row r="6" spans="2:8" x14ac:dyDescent="0.35">
      <c r="B6" s="329" t="s">
        <v>328</v>
      </c>
    </row>
    <row r="7" spans="2:8" x14ac:dyDescent="0.35">
      <c r="B7" s="218" t="s">
        <v>36</v>
      </c>
      <c r="C7" s="219"/>
      <c r="D7" s="219"/>
      <c r="E7" s="219"/>
      <c r="F7" s="219"/>
      <c r="G7" s="219"/>
      <c r="H7" s="219"/>
    </row>
    <row r="8" spans="2:8" x14ac:dyDescent="0.35">
      <c r="B8" s="220"/>
      <c r="D8" s="221"/>
      <c r="E8" s="222"/>
      <c r="F8" s="223"/>
      <c r="G8" s="224"/>
      <c r="H8" s="224"/>
    </row>
    <row r="9" spans="2:8" x14ac:dyDescent="0.35">
      <c r="B9" s="220" t="s">
        <v>37</v>
      </c>
      <c r="C9" s="311">
        <v>64.494897570416924</v>
      </c>
      <c r="E9" s="222"/>
      <c r="F9" s="224" t="s">
        <v>38</v>
      </c>
      <c r="G9" s="224" t="s">
        <v>39</v>
      </c>
      <c r="H9" s="224" t="s">
        <v>329</v>
      </c>
    </row>
    <row r="10" spans="2:8" x14ac:dyDescent="0.35">
      <c r="B10" s="220"/>
      <c r="C10" s="225"/>
      <c r="E10" s="222"/>
      <c r="F10" s="223"/>
      <c r="G10" s="224"/>
      <c r="H10" s="224"/>
    </row>
    <row r="11" spans="2:8" x14ac:dyDescent="0.35">
      <c r="B11" s="220" t="s">
        <v>40</v>
      </c>
      <c r="C11" s="226">
        <v>668.60547991185763</v>
      </c>
      <c r="E11" s="222"/>
      <c r="F11" s="224" t="s">
        <v>38</v>
      </c>
      <c r="G11" s="224" t="s">
        <v>39</v>
      </c>
      <c r="H11" s="224" t="s">
        <v>329</v>
      </c>
    </row>
    <row r="12" spans="2:8" x14ac:dyDescent="0.35">
      <c r="B12" s="220"/>
      <c r="C12" s="227"/>
      <c r="E12" s="222"/>
      <c r="F12" s="224"/>
      <c r="G12" s="224"/>
      <c r="H12" s="224"/>
    </row>
    <row r="13" spans="2:8" x14ac:dyDescent="0.35">
      <c r="B13" s="220" t="s">
        <v>41</v>
      </c>
      <c r="C13" s="226">
        <v>70400.276454953608</v>
      </c>
      <c r="E13" s="222"/>
      <c r="F13" s="224" t="s">
        <v>38</v>
      </c>
      <c r="G13" s="224" t="s">
        <v>39</v>
      </c>
      <c r="H13" s="224" t="s">
        <v>329</v>
      </c>
    </row>
    <row r="14" spans="2:8" x14ac:dyDescent="0.35">
      <c r="B14" s="220"/>
      <c r="C14" s="228"/>
      <c r="E14" s="222"/>
      <c r="F14" s="224"/>
      <c r="G14" s="224"/>
      <c r="H14" s="224"/>
    </row>
    <row r="15" spans="2:8" x14ac:dyDescent="0.35">
      <c r="B15" s="220" t="s">
        <v>42</v>
      </c>
      <c r="C15" s="310">
        <f>C9*C13*12</f>
        <v>54485503.426695205</v>
      </c>
      <c r="D15" s="45"/>
      <c r="E15" s="222"/>
      <c r="F15" s="224" t="s">
        <v>38</v>
      </c>
      <c r="G15" s="224" t="s">
        <v>39</v>
      </c>
      <c r="H15" s="224" t="s">
        <v>329</v>
      </c>
    </row>
    <row r="16" spans="2:8" x14ac:dyDescent="0.35">
      <c r="C16" s="45"/>
    </row>
    <row r="17" spans="2:14" x14ac:dyDescent="0.35">
      <c r="B17" s="229" t="s">
        <v>43</v>
      </c>
      <c r="C17" s="230"/>
      <c r="D17" s="230"/>
      <c r="E17" s="230"/>
      <c r="F17" s="230"/>
      <c r="G17" s="230"/>
      <c r="H17" s="230"/>
    </row>
    <row r="18" spans="2:14" x14ac:dyDescent="0.35"/>
    <row r="19" spans="2:14" x14ac:dyDescent="0.35">
      <c r="B19" s="1" t="s">
        <v>44</v>
      </c>
      <c r="C19" s="231">
        <v>0</v>
      </c>
      <c r="F19" s="1" t="s">
        <v>45</v>
      </c>
      <c r="G19" s="232"/>
      <c r="J19" s="232"/>
      <c r="N19" s="232"/>
    </row>
    <row r="20" spans="2:14" x14ac:dyDescent="0.35">
      <c r="G20" s="233"/>
    </row>
    <row r="21" spans="2:14" x14ac:dyDescent="0.35">
      <c r="B21" s="1" t="s">
        <v>46</v>
      </c>
      <c r="C21" s="234">
        <v>10</v>
      </c>
    </row>
    <row r="22" spans="2:14" x14ac:dyDescent="0.35"/>
    <row r="23" spans="2:14" x14ac:dyDescent="0.35">
      <c r="B23" s="218" t="s">
        <v>47</v>
      </c>
      <c r="C23" s="219"/>
      <c r="D23" s="219"/>
      <c r="E23" s="219"/>
      <c r="F23" s="219"/>
      <c r="G23" s="219"/>
      <c r="H23" s="219"/>
    </row>
    <row r="24" spans="2:14" x14ac:dyDescent="0.35">
      <c r="B24" s="218"/>
      <c r="C24" s="219"/>
      <c r="D24" s="219"/>
      <c r="E24" s="219"/>
      <c r="F24" s="219"/>
      <c r="G24" s="219"/>
      <c r="H24" s="219"/>
    </row>
    <row r="25" spans="2:14" x14ac:dyDescent="0.35">
      <c r="B25" s="235"/>
    </row>
    <row r="26" spans="2:14" x14ac:dyDescent="0.35">
      <c r="B26" s="236" t="s">
        <v>267</v>
      </c>
    </row>
    <row r="27" spans="2:14" x14ac:dyDescent="0.35">
      <c r="B27" s="237" t="s">
        <v>48</v>
      </c>
      <c r="C27" s="238">
        <v>3.08</v>
      </c>
      <c r="D27" s="1" t="s">
        <v>49</v>
      </c>
      <c r="F27" s="232" t="s">
        <v>53</v>
      </c>
      <c r="G27" s="232" t="s">
        <v>50</v>
      </c>
      <c r="H27" s="232"/>
    </row>
    <row r="28" spans="2:14" x14ac:dyDescent="0.35">
      <c r="B28" s="237"/>
    </row>
    <row r="29" spans="2:14" x14ac:dyDescent="0.35">
      <c r="B29" s="237" t="s">
        <v>51</v>
      </c>
      <c r="C29" s="238">
        <v>4.4000000000000004</v>
      </c>
      <c r="D29" s="1" t="s">
        <v>49</v>
      </c>
      <c r="F29" s="232" t="s">
        <v>53</v>
      </c>
      <c r="G29" s="232" t="s">
        <v>52</v>
      </c>
      <c r="H29" s="232"/>
    </row>
    <row r="30" spans="2:14" x14ac:dyDescent="0.35">
      <c r="F30" s="232"/>
      <c r="G30" s="232"/>
      <c r="H30" s="232"/>
    </row>
    <row r="31" spans="2:14" x14ac:dyDescent="0.35">
      <c r="B31" s="236" t="s">
        <v>268</v>
      </c>
      <c r="F31" s="232"/>
      <c r="G31" s="232"/>
      <c r="H31" s="232"/>
    </row>
    <row r="32" spans="2:14" x14ac:dyDescent="0.35">
      <c r="B32" s="237" t="s">
        <v>48</v>
      </c>
      <c r="C32" s="238">
        <v>3.59</v>
      </c>
      <c r="D32" s="1" t="s">
        <v>49</v>
      </c>
      <c r="F32" s="232" t="s">
        <v>89</v>
      </c>
      <c r="G32" s="232" t="s">
        <v>50</v>
      </c>
      <c r="H32" s="232"/>
    </row>
    <row r="33" spans="2:8" x14ac:dyDescent="0.35">
      <c r="B33" s="237"/>
      <c r="F33" s="239"/>
      <c r="H33" s="232"/>
    </row>
    <row r="34" spans="2:8" x14ac:dyDescent="0.35">
      <c r="B34" s="237" t="s">
        <v>51</v>
      </c>
      <c r="C34" s="238">
        <v>5.07</v>
      </c>
      <c r="D34" s="1" t="s">
        <v>49</v>
      </c>
      <c r="F34" s="232" t="s">
        <v>89</v>
      </c>
      <c r="G34" s="232" t="s">
        <v>52</v>
      </c>
      <c r="H34" s="232"/>
    </row>
    <row r="35" spans="2:8" x14ac:dyDescent="0.35"/>
    <row r="36" spans="2:8" x14ac:dyDescent="0.35">
      <c r="B36" s="240" t="s">
        <v>54</v>
      </c>
      <c r="C36" s="241"/>
      <c r="D36" s="241"/>
      <c r="E36" s="241"/>
      <c r="F36" s="241"/>
      <c r="G36" s="241"/>
      <c r="H36" s="241"/>
    </row>
    <row r="37" spans="2:8" x14ac:dyDescent="0.35"/>
    <row r="38" spans="2:8" x14ac:dyDescent="0.35">
      <c r="B38" s="220" t="s">
        <v>55</v>
      </c>
      <c r="C38" s="231">
        <v>0.96930000000000005</v>
      </c>
      <c r="F38" s="232" t="s">
        <v>89</v>
      </c>
      <c r="G38" s="232" t="s">
        <v>56</v>
      </c>
      <c r="H38" s="314" t="s">
        <v>275</v>
      </c>
    </row>
    <row r="39" spans="2:8" x14ac:dyDescent="0.35">
      <c r="C39" s="242"/>
      <c r="F39" s="242"/>
    </row>
    <row r="40" spans="2:8" x14ac:dyDescent="0.35">
      <c r="B40" s="220" t="s">
        <v>57</v>
      </c>
      <c r="C40" s="231">
        <v>0.43</v>
      </c>
      <c r="F40" s="232" t="s">
        <v>89</v>
      </c>
      <c r="G40" s="232" t="s">
        <v>58</v>
      </c>
      <c r="H40" s="314"/>
    </row>
    <row r="41" spans="2:8" x14ac:dyDescent="0.35">
      <c r="B41" s="220"/>
      <c r="C41" s="242"/>
      <c r="F41" s="232"/>
      <c r="G41" s="232"/>
      <c r="H41" s="232"/>
    </row>
    <row r="42" spans="2:8" x14ac:dyDescent="0.35">
      <c r="B42" s="220" t="s">
        <v>59</v>
      </c>
      <c r="C42" s="231">
        <v>0.56999999999999995</v>
      </c>
      <c r="F42" s="232" t="s">
        <v>89</v>
      </c>
      <c r="G42" s="232" t="s">
        <v>60</v>
      </c>
      <c r="H42" s="232"/>
    </row>
    <row r="43" spans="2:8" x14ac:dyDescent="0.35">
      <c r="B43" s="220"/>
      <c r="C43" s="242"/>
      <c r="F43" s="243"/>
      <c r="G43" s="232"/>
      <c r="H43" s="232"/>
    </row>
    <row r="44" spans="2:8" x14ac:dyDescent="0.35">
      <c r="B44" s="236" t="s">
        <v>61</v>
      </c>
      <c r="C44" s="242"/>
      <c r="F44" s="232"/>
      <c r="G44" s="232"/>
      <c r="H44" s="232"/>
    </row>
    <row r="45" spans="2:8" x14ac:dyDescent="0.35">
      <c r="B45" s="220" t="s">
        <v>55</v>
      </c>
      <c r="C45" s="231">
        <v>0.96989999999999998</v>
      </c>
      <c r="F45" s="232" t="s">
        <v>53</v>
      </c>
      <c r="G45" s="232" t="s">
        <v>56</v>
      </c>
      <c r="H45" s="232"/>
    </row>
    <row r="46" spans="2:8" x14ac:dyDescent="0.35">
      <c r="C46" s="242"/>
      <c r="H46" s="232"/>
    </row>
    <row r="47" spans="2:8" x14ac:dyDescent="0.35">
      <c r="B47" s="220" t="s">
        <v>57</v>
      </c>
      <c r="C47" s="231">
        <v>0.42</v>
      </c>
      <c r="F47" s="232" t="s">
        <v>53</v>
      </c>
      <c r="G47" s="232" t="s">
        <v>58</v>
      </c>
      <c r="H47" s="232"/>
    </row>
    <row r="48" spans="2:8" x14ac:dyDescent="0.35">
      <c r="B48" s="220"/>
      <c r="C48" s="242"/>
      <c r="F48" s="232"/>
      <c r="G48" s="232"/>
      <c r="H48" s="232"/>
    </row>
    <row r="49" spans="2:8" x14ac:dyDescent="0.35">
      <c r="B49" s="220" t="s">
        <v>59</v>
      </c>
      <c r="C49" s="231">
        <v>0.57999999999999996</v>
      </c>
      <c r="F49" s="232" t="s">
        <v>53</v>
      </c>
      <c r="G49" s="232" t="s">
        <v>60</v>
      </c>
      <c r="H49" s="232"/>
    </row>
    <row r="50" spans="2:8" x14ac:dyDescent="0.35">
      <c r="B50" s="220"/>
      <c r="F50" s="232"/>
      <c r="G50" s="232"/>
      <c r="H50" s="232"/>
    </row>
    <row r="51" spans="2:8" x14ac:dyDescent="0.35">
      <c r="B51" s="236" t="s">
        <v>61</v>
      </c>
    </row>
    <row r="52" spans="2:8" ht="16" x14ac:dyDescent="0.5">
      <c r="B52" s="220" t="s">
        <v>62</v>
      </c>
      <c r="C52" s="231">
        <v>4.1700000000000001E-2</v>
      </c>
      <c r="D52" s="2"/>
      <c r="F52" s="232" t="s">
        <v>53</v>
      </c>
      <c r="G52" s="232" t="s">
        <v>63</v>
      </c>
      <c r="H52" s="244" t="s">
        <v>64</v>
      </c>
    </row>
    <row r="53" spans="2:8" x14ac:dyDescent="0.35">
      <c r="B53" s="2" t="s">
        <v>65</v>
      </c>
      <c r="C53" s="245">
        <v>45659</v>
      </c>
      <c r="F53" s="242"/>
    </row>
    <row r="54" spans="2:8" x14ac:dyDescent="0.35">
      <c r="B54" s="2"/>
      <c r="C54" s="246"/>
    </row>
    <row r="55" spans="2:8" x14ac:dyDescent="0.35">
      <c r="B55" s="236" t="s">
        <v>66</v>
      </c>
    </row>
    <row r="56" spans="2:8" ht="16" x14ac:dyDescent="0.5">
      <c r="B56" s="220" t="s">
        <v>62</v>
      </c>
      <c r="C56" s="231">
        <v>3.4700000000000002E-2</v>
      </c>
      <c r="D56" s="2"/>
      <c r="F56" s="232" t="s">
        <v>53</v>
      </c>
      <c r="G56" s="232" t="s">
        <v>63</v>
      </c>
      <c r="H56" s="244" t="s">
        <v>64</v>
      </c>
    </row>
    <row r="57" spans="2:8" x14ac:dyDescent="0.35">
      <c r="B57" s="2" t="s">
        <v>65</v>
      </c>
      <c r="C57" s="245">
        <v>46024</v>
      </c>
      <c r="H57" s="1" t="s">
        <v>67</v>
      </c>
    </row>
    <row r="58" spans="2:8" x14ac:dyDescent="0.35"/>
    <row r="59" spans="2:8" x14ac:dyDescent="0.35">
      <c r="B59" s="229" t="s">
        <v>68</v>
      </c>
      <c r="C59" s="230"/>
      <c r="D59" s="230"/>
      <c r="E59" s="230"/>
      <c r="F59" s="230"/>
      <c r="G59" s="230"/>
      <c r="H59" s="230"/>
    </row>
    <row r="60" spans="2:8" x14ac:dyDescent="0.35">
      <c r="C60" s="5"/>
      <c r="D60" s="5"/>
    </row>
    <row r="61" spans="2:8" x14ac:dyDescent="0.35">
      <c r="B61" s="207" t="s">
        <v>69</v>
      </c>
      <c r="C61" s="247">
        <v>12</v>
      </c>
    </row>
    <row r="62" spans="2:8" x14ac:dyDescent="0.35"/>
    <row r="63" spans="2:8" x14ac:dyDescent="0.35">
      <c r="B63" s="229" t="s">
        <v>70</v>
      </c>
      <c r="C63" s="230"/>
      <c r="D63" s="230"/>
      <c r="E63" s="230"/>
      <c r="F63" s="230"/>
      <c r="G63" s="230"/>
      <c r="H63" s="230"/>
    </row>
    <row r="64" spans="2:8" x14ac:dyDescent="0.35"/>
    <row r="65" spans="2:6" x14ac:dyDescent="0.35">
      <c r="B65" s="207" t="s">
        <v>71</v>
      </c>
      <c r="C65" s="248">
        <v>46266</v>
      </c>
    </row>
    <row r="66" spans="2:6" x14ac:dyDescent="0.35"/>
    <row r="67" spans="2:6" x14ac:dyDescent="0.35">
      <c r="B67" s="207" t="s">
        <v>72</v>
      </c>
      <c r="C67" s="248">
        <v>46630</v>
      </c>
    </row>
    <row r="68" spans="2:6" x14ac:dyDescent="0.35"/>
    <row r="69" spans="2:6" x14ac:dyDescent="0.35">
      <c r="B69" s="207" t="s">
        <v>73</v>
      </c>
      <c r="C69" s="247" t="s">
        <v>75</v>
      </c>
    </row>
    <row r="70" spans="2:6" x14ac:dyDescent="0.35"/>
    <row r="71" spans="2:6" x14ac:dyDescent="0.35">
      <c r="B71" s="207" t="s">
        <v>74</v>
      </c>
      <c r="C71" s="247" t="s">
        <v>269</v>
      </c>
    </row>
    <row r="72" spans="2:6" x14ac:dyDescent="0.35"/>
    <row r="73" spans="2:6" x14ac:dyDescent="0.35">
      <c r="B73" s="207" t="s">
        <v>308</v>
      </c>
      <c r="C73" s="249" t="s">
        <v>327</v>
      </c>
    </row>
    <row r="74" spans="2:6" x14ac:dyDescent="0.35"/>
    <row r="75" spans="2:6" x14ac:dyDescent="0.35">
      <c r="B75" s="207" t="s">
        <v>76</v>
      </c>
      <c r="C75" s="249" t="s">
        <v>270</v>
      </c>
    </row>
    <row r="76" spans="2:6" x14ac:dyDescent="0.35"/>
    <row r="77" spans="2:6" x14ac:dyDescent="0.35">
      <c r="B77" s="236" t="s">
        <v>77</v>
      </c>
    </row>
    <row r="78" spans="2:6" x14ac:dyDescent="0.35">
      <c r="B78" s="207" t="s">
        <v>18</v>
      </c>
    </row>
    <row r="79" spans="2:6" x14ac:dyDescent="0.35">
      <c r="B79" s="2" t="s">
        <v>78</v>
      </c>
      <c r="C79" s="250">
        <v>15314734</v>
      </c>
      <c r="F79" s="233" t="s">
        <v>306</v>
      </c>
    </row>
    <row r="80" spans="2:6" x14ac:dyDescent="0.35">
      <c r="B80" s="2" t="s">
        <v>79</v>
      </c>
      <c r="C80" s="250">
        <v>20300927</v>
      </c>
      <c r="F80" s="233" t="s">
        <v>306</v>
      </c>
    </row>
    <row r="81" spans="2:6" x14ac:dyDescent="0.35">
      <c r="B81" s="236"/>
    </row>
    <row r="82" spans="2:6" x14ac:dyDescent="0.35">
      <c r="B82" s="207" t="s">
        <v>80</v>
      </c>
    </row>
    <row r="83" spans="2:6" x14ac:dyDescent="0.35">
      <c r="B83" s="2" t="s">
        <v>78</v>
      </c>
      <c r="C83" s="250">
        <v>-3538857</v>
      </c>
      <c r="F83" s="233" t="s">
        <v>277</v>
      </c>
    </row>
    <row r="84" spans="2:6" x14ac:dyDescent="0.35">
      <c r="B84" s="2" t="s">
        <v>79</v>
      </c>
      <c r="C84" s="250">
        <v>-4848766</v>
      </c>
      <c r="F84" s="233" t="s">
        <v>278</v>
      </c>
    </row>
    <row r="85" spans="2:6" x14ac:dyDescent="0.35"/>
    <row r="86" spans="2:6" x14ac:dyDescent="0.35">
      <c r="B86" s="207" t="s">
        <v>81</v>
      </c>
    </row>
    <row r="87" spans="2:6" x14ac:dyDescent="0.35">
      <c r="B87" s="2" t="s">
        <v>78</v>
      </c>
      <c r="C87" s="250">
        <v>-77685</v>
      </c>
      <c r="F87" s="233" t="s">
        <v>279</v>
      </c>
    </row>
    <row r="88" spans="2:6" x14ac:dyDescent="0.35">
      <c r="B88" s="2" t="s">
        <v>79</v>
      </c>
      <c r="C88" s="250">
        <v>-106349</v>
      </c>
      <c r="F88" s="233" t="s">
        <v>280</v>
      </c>
    </row>
    <row r="89" spans="2:6" x14ac:dyDescent="0.35"/>
    <row r="90" spans="2:6" x14ac:dyDescent="0.35">
      <c r="B90" s="207" t="s">
        <v>82</v>
      </c>
    </row>
    <row r="91" spans="2:6" x14ac:dyDescent="0.35">
      <c r="B91" s="2" t="s">
        <v>78</v>
      </c>
      <c r="C91" s="309">
        <v>5274429</v>
      </c>
      <c r="F91" s="233" t="s">
        <v>306</v>
      </c>
    </row>
    <row r="92" spans="2:6" x14ac:dyDescent="0.35">
      <c r="B92" s="2" t="s">
        <v>79</v>
      </c>
      <c r="C92" s="309">
        <v>4976897</v>
      </c>
      <c r="F92" s="233" t="s">
        <v>306</v>
      </c>
    </row>
    <row r="93" spans="2:6" x14ac:dyDescent="0.35"/>
    <row r="94" spans="2:6" x14ac:dyDescent="0.35">
      <c r="B94" s="207" t="s">
        <v>83</v>
      </c>
    </row>
    <row r="95" spans="2:6" x14ac:dyDescent="0.35">
      <c r="B95" s="2" t="s">
        <v>78</v>
      </c>
      <c r="C95" s="313">
        <f>($C$83+$C$87)/$C$91</f>
        <v>-0.68567460098524413</v>
      </c>
      <c r="D95" s="1" t="s">
        <v>84</v>
      </c>
    </row>
    <row r="96" spans="2:6" x14ac:dyDescent="0.35">
      <c r="B96" s="2" t="s">
        <v>79</v>
      </c>
      <c r="C96" s="313">
        <f>($C$84+$C$88)/$C$92</f>
        <v>-0.9956233773775105</v>
      </c>
      <c r="D96" s="1" t="s">
        <v>84</v>
      </c>
    </row>
    <row r="97" spans="2:8" x14ac:dyDescent="0.35">
      <c r="B97" s="2"/>
      <c r="C97" s="313"/>
    </row>
    <row r="98" spans="2:8" x14ac:dyDescent="0.35">
      <c r="B98" s="207" t="s">
        <v>302</v>
      </c>
      <c r="C98" s="313"/>
    </row>
    <row r="99" spans="2:8" x14ac:dyDescent="0.35">
      <c r="B99" s="2" t="s">
        <v>78</v>
      </c>
      <c r="C99" s="324">
        <v>-0.9694262811148262</v>
      </c>
      <c r="F99" s="233" t="s">
        <v>303</v>
      </c>
    </row>
    <row r="100" spans="2:8" x14ac:dyDescent="0.35">
      <c r="B100" s="2" t="s">
        <v>79</v>
      </c>
      <c r="C100" s="324">
        <v>-1.3238407275056514</v>
      </c>
      <c r="F100" s="233" t="s">
        <v>304</v>
      </c>
    </row>
    <row r="101" spans="2:8" x14ac:dyDescent="0.35"/>
    <row r="102" spans="2:8" x14ac:dyDescent="0.35">
      <c r="B102" s="229" t="s">
        <v>85</v>
      </c>
      <c r="C102" s="230"/>
      <c r="D102" s="230"/>
      <c r="E102" s="230"/>
      <c r="F102" s="230"/>
      <c r="G102" s="230"/>
      <c r="H102" s="230"/>
    </row>
    <row r="103" spans="2:8" s="96" customFormat="1" x14ac:dyDescent="0.35">
      <c r="B103" s="251"/>
      <c r="C103" s="251"/>
      <c r="D103" s="251"/>
      <c r="E103" s="251"/>
      <c r="F103" s="251"/>
      <c r="G103" s="251"/>
      <c r="H103" s="251"/>
    </row>
    <row r="104" spans="2:8" x14ac:dyDescent="0.35">
      <c r="B104" s="237" t="s">
        <v>86</v>
      </c>
      <c r="C104" s="252">
        <v>0.25</v>
      </c>
      <c r="F104" s="308" t="s">
        <v>53</v>
      </c>
      <c r="G104" s="308" t="s">
        <v>87</v>
      </c>
    </row>
    <row r="105" spans="2:8" x14ac:dyDescent="0.35">
      <c r="B105" s="237" t="s">
        <v>88</v>
      </c>
      <c r="C105" s="252">
        <v>0.05</v>
      </c>
      <c r="F105" s="308" t="s">
        <v>89</v>
      </c>
      <c r="G105" s="308" t="s">
        <v>90</v>
      </c>
    </row>
    <row r="106" spans="2:8" x14ac:dyDescent="0.35">
      <c r="B106" s="237" t="s">
        <v>91</v>
      </c>
      <c r="C106" s="252">
        <v>0.25</v>
      </c>
      <c r="F106" s="308" t="s">
        <v>92</v>
      </c>
      <c r="G106" s="308" t="s">
        <v>93</v>
      </c>
    </row>
    <row r="107" spans="2:8" x14ac:dyDescent="0.35"/>
    <row r="108" spans="2:8" x14ac:dyDescent="0.35"/>
    <row r="109" spans="2:8" x14ac:dyDescent="0.35"/>
    <row r="110" spans="2:8" x14ac:dyDescent="0.35"/>
    <row r="111" spans="2:8" x14ac:dyDescent="0.35"/>
    <row r="112" spans="2:8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</sheetData>
  <hyperlinks>
    <hyperlink ref="H52" r:id="rId1" display="https://www.federalreserve.gov/releases/h15/" xr:uid="{00000000-0004-0000-0200-000000000000}"/>
    <hyperlink ref="H56" r:id="rId2" display="https://www.federalreserve.gov/releases/h15/" xr:uid="{7AD51F90-01FF-4DC8-BE14-85147F35CADC}"/>
    <hyperlink ref="H38" r:id="rId3" display="https://water.phila.gov/wp-content/uploads/files/rates-and-charges-2025-09-01.pdf" xr:uid="{5AAF5542-B114-485A-9672-6BE621E5B797}"/>
  </hyperlinks>
  <pageMargins left="0.7" right="0.7" top="0.75" bottom="0.75" header="0.3" footer="0.3"/>
  <pageSetup scale="3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EM133"/>
  <sheetViews>
    <sheetView zoomScale="60" zoomScaleNormal="60" zoomScaleSheetLayoutView="80" workbookViewId="0">
      <pane xSplit="3" ySplit="4" topLeftCell="Z13" activePane="bottomRight" state="frozen"/>
      <selection pane="topRight" activeCell="D1" sqref="D1"/>
      <selection pane="bottomLeft" activeCell="A5" sqref="A5"/>
      <selection pane="bottomRight" activeCell="AQ65" sqref="AQ65"/>
    </sheetView>
  </sheetViews>
  <sheetFormatPr defaultColWidth="0" defaultRowHeight="14.5" zeroHeight="1" x14ac:dyDescent="0.35"/>
  <cols>
    <col min="1" max="1" width="5.453125" style="1" customWidth="1"/>
    <col min="2" max="2" width="40.7265625" style="1" customWidth="1"/>
    <col min="3" max="3" width="5.54296875" style="184" customWidth="1"/>
    <col min="4" max="10" width="16.453125" style="1" customWidth="1"/>
    <col min="11" max="11" width="18.453125" style="1" customWidth="1"/>
    <col min="12" max="12" width="18.7265625" style="1" customWidth="1"/>
    <col min="13" max="13" width="18.453125" style="1" customWidth="1"/>
    <col min="14" max="15" width="19.54296875" style="1" customWidth="1"/>
    <col min="16" max="16" width="24" style="1" customWidth="1"/>
    <col min="17" max="17" width="19.54296875" style="1" bestFit="1" customWidth="1"/>
    <col min="18" max="19" width="18.453125" style="1" customWidth="1"/>
    <col min="20" max="24" width="16.453125" style="1" customWidth="1"/>
    <col min="25" max="25" width="17.453125" style="1" customWidth="1"/>
    <col min="26" max="36" width="16.453125" style="1" customWidth="1"/>
    <col min="37" max="37" width="16.7265625" style="1" customWidth="1"/>
    <col min="38" max="39" width="16.453125" style="1" customWidth="1"/>
    <col min="40" max="40" width="1.54296875" style="55" customWidth="1"/>
    <col min="41" max="41" width="23" style="55" customWidth="1"/>
    <col min="42" max="42" width="2.54296875" style="55" customWidth="1"/>
    <col min="43" max="43" width="23" style="55" customWidth="1"/>
    <col min="44" max="44" width="1.54296875" style="55" customWidth="1"/>
    <col min="45" max="45" width="30" style="1" customWidth="1"/>
    <col min="46" max="46" width="59.26953125" style="1" customWidth="1"/>
    <col min="47" max="51" width="9.26953125" style="1" customWidth="1"/>
    <col min="52" max="52" width="16.7265625" style="1" customWidth="1"/>
    <col min="53" max="53" width="15.453125" style="1" customWidth="1"/>
    <col min="54" max="54" width="12.7265625" style="1" customWidth="1"/>
    <col min="55" max="55" width="9.26953125" style="1" customWidth="1"/>
    <col min="56" max="56" width="14.7265625" style="1" customWidth="1"/>
    <col min="57" max="59" width="9.26953125" style="1" customWidth="1"/>
    <col min="60" max="60" width="14.7265625" style="1" customWidth="1"/>
    <col min="61" max="65" width="9.26953125" style="1" customWidth="1"/>
    <col min="66" max="143" width="0" style="1" hidden="1" customWidth="1"/>
    <col min="144" max="16384" width="9.26953125" style="1" hidden="1"/>
  </cols>
  <sheetData>
    <row r="1" spans="2:61" x14ac:dyDescent="0.35">
      <c r="D1" s="340" t="s">
        <v>326</v>
      </c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39" t="s">
        <v>94</v>
      </c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 t="s">
        <v>276</v>
      </c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</row>
    <row r="2" spans="2:61" x14ac:dyDescent="0.35">
      <c r="D2" s="341" t="s">
        <v>271</v>
      </c>
      <c r="E2" s="341"/>
      <c r="F2" s="341"/>
      <c r="G2" s="341"/>
      <c r="H2" s="342" t="s">
        <v>272</v>
      </c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1" t="s">
        <v>273</v>
      </c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2" t="s">
        <v>274</v>
      </c>
      <c r="AF2" s="342"/>
      <c r="AG2" s="342"/>
      <c r="AH2" s="342"/>
      <c r="AI2" s="342"/>
      <c r="AJ2" s="342"/>
      <c r="AK2" s="342"/>
      <c r="AL2" s="342"/>
      <c r="AM2" s="342"/>
    </row>
    <row r="3" spans="2:61" ht="29" x14ac:dyDescent="0.35">
      <c r="B3" s="217" t="s">
        <v>32</v>
      </c>
      <c r="C3" s="217"/>
      <c r="D3" s="253" t="s">
        <v>95</v>
      </c>
      <c r="E3" s="253" t="s">
        <v>102</v>
      </c>
      <c r="F3" s="253" t="s">
        <v>96</v>
      </c>
      <c r="G3" s="253" t="s">
        <v>103</v>
      </c>
      <c r="H3" s="253" t="s">
        <v>104</v>
      </c>
      <c r="I3" s="253" t="s">
        <v>97</v>
      </c>
      <c r="J3" s="253" t="s">
        <v>98</v>
      </c>
      <c r="K3" s="253" t="s">
        <v>99</v>
      </c>
      <c r="L3" s="253" t="s">
        <v>105</v>
      </c>
      <c r="M3" s="253" t="s">
        <v>100</v>
      </c>
      <c r="N3" s="253" t="s">
        <v>106</v>
      </c>
      <c r="O3" s="253" t="s">
        <v>101</v>
      </c>
      <c r="P3" s="318" t="s">
        <v>95</v>
      </c>
      <c r="Q3" s="318" t="s">
        <v>102</v>
      </c>
      <c r="R3" s="318" t="s">
        <v>96</v>
      </c>
      <c r="S3" s="318" t="s">
        <v>103</v>
      </c>
      <c r="T3" s="318" t="s">
        <v>104</v>
      </c>
      <c r="U3" s="318" t="s">
        <v>97</v>
      </c>
      <c r="V3" s="318" t="s">
        <v>98</v>
      </c>
      <c r="W3" s="318" t="s">
        <v>99</v>
      </c>
      <c r="X3" s="318" t="s">
        <v>105</v>
      </c>
      <c r="Y3" s="318" t="s">
        <v>100</v>
      </c>
      <c r="Z3" s="318" t="s">
        <v>106</v>
      </c>
      <c r="AA3" s="318" t="s">
        <v>101</v>
      </c>
      <c r="AB3" s="253" t="s">
        <v>95</v>
      </c>
      <c r="AC3" s="253" t="s">
        <v>102</v>
      </c>
      <c r="AD3" s="253" t="s">
        <v>96</v>
      </c>
      <c r="AE3" s="253" t="s">
        <v>103</v>
      </c>
      <c r="AF3" s="253" t="s">
        <v>104</v>
      </c>
      <c r="AG3" s="253" t="s">
        <v>97</v>
      </c>
      <c r="AH3" s="253" t="s">
        <v>98</v>
      </c>
      <c r="AI3" s="253" t="s">
        <v>99</v>
      </c>
      <c r="AJ3" s="253" t="s">
        <v>105</v>
      </c>
      <c r="AK3" s="253" t="s">
        <v>100</v>
      </c>
      <c r="AL3" s="253" t="s">
        <v>106</v>
      </c>
      <c r="AM3" s="253" t="s">
        <v>101</v>
      </c>
      <c r="AN3" s="254"/>
      <c r="AO3" s="255" t="s">
        <v>107</v>
      </c>
      <c r="AP3" s="255"/>
      <c r="AQ3" s="255" t="s">
        <v>108</v>
      </c>
      <c r="AR3" s="254"/>
      <c r="AS3" s="217" t="s">
        <v>109</v>
      </c>
      <c r="AT3" s="217" t="s">
        <v>110</v>
      </c>
    </row>
    <row r="4" spans="2:61" x14ac:dyDescent="0.35">
      <c r="B4" s="256"/>
      <c r="C4" s="256"/>
      <c r="D4" s="257">
        <v>1</v>
      </c>
      <c r="E4" s="257">
        <v>2</v>
      </c>
      <c r="F4" s="257">
        <v>3</v>
      </c>
      <c r="G4" s="257">
        <v>4</v>
      </c>
      <c r="H4" s="257">
        <v>5</v>
      </c>
      <c r="I4" s="257">
        <v>6</v>
      </c>
      <c r="J4" s="257">
        <v>7</v>
      </c>
      <c r="K4" s="257">
        <v>8</v>
      </c>
      <c r="L4" s="257">
        <v>9</v>
      </c>
      <c r="M4" s="257">
        <v>10</v>
      </c>
      <c r="N4" s="257">
        <v>11</v>
      </c>
      <c r="O4" s="257">
        <v>12</v>
      </c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S4" s="256"/>
    </row>
    <row r="5" spans="2:61" x14ac:dyDescent="0.35">
      <c r="B5" s="312" t="s">
        <v>111</v>
      </c>
      <c r="C5" s="258"/>
      <c r="D5" s="260">
        <v>45536</v>
      </c>
      <c r="E5" s="260">
        <v>45566</v>
      </c>
      <c r="F5" s="260">
        <v>45597</v>
      </c>
      <c r="G5" s="260">
        <v>45627</v>
      </c>
      <c r="H5" s="260">
        <v>45658</v>
      </c>
      <c r="I5" s="260">
        <v>45689</v>
      </c>
      <c r="J5" s="260">
        <v>45717</v>
      </c>
      <c r="K5" s="260">
        <v>45748</v>
      </c>
      <c r="L5" s="260">
        <v>45778</v>
      </c>
      <c r="M5" s="260">
        <v>45809</v>
      </c>
      <c r="N5" s="260">
        <v>45839</v>
      </c>
      <c r="O5" s="260">
        <v>45870</v>
      </c>
      <c r="P5" s="260">
        <v>45901</v>
      </c>
      <c r="Q5" s="260">
        <v>45931</v>
      </c>
      <c r="R5" s="260">
        <v>45962</v>
      </c>
      <c r="S5" s="260">
        <v>45992</v>
      </c>
      <c r="T5" s="260">
        <v>46023</v>
      </c>
      <c r="U5" s="260">
        <v>46054</v>
      </c>
      <c r="V5" s="260">
        <v>46082</v>
      </c>
      <c r="W5" s="260">
        <v>46113</v>
      </c>
      <c r="X5" s="260">
        <v>46143</v>
      </c>
      <c r="Y5" s="260">
        <v>46174</v>
      </c>
      <c r="Z5" s="260">
        <v>46204</v>
      </c>
      <c r="AA5" s="260">
        <v>46235</v>
      </c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1"/>
      <c r="AO5" s="261"/>
      <c r="AP5" s="261"/>
      <c r="AQ5" s="261"/>
      <c r="AR5" s="261"/>
      <c r="AS5" s="259"/>
      <c r="AT5" s="259"/>
    </row>
    <row r="6" spans="2:61" x14ac:dyDescent="0.35">
      <c r="B6" s="256"/>
      <c r="C6" s="256"/>
      <c r="D6" s="325" t="s">
        <v>319</v>
      </c>
      <c r="E6" s="325"/>
      <c r="F6" s="325"/>
      <c r="G6" s="325"/>
      <c r="H6" s="325"/>
      <c r="I6" s="325"/>
      <c r="J6" s="325"/>
      <c r="K6" s="316" t="s">
        <v>112</v>
      </c>
      <c r="L6" s="262"/>
      <c r="M6" s="262"/>
      <c r="N6" s="262"/>
      <c r="O6" s="262"/>
      <c r="P6" s="315" t="s">
        <v>113</v>
      </c>
      <c r="Q6" s="196"/>
      <c r="R6" s="196"/>
      <c r="S6" s="196"/>
      <c r="T6" s="327"/>
      <c r="U6" s="328" t="s">
        <v>330</v>
      </c>
      <c r="V6" s="327"/>
      <c r="W6" s="316" t="s">
        <v>114</v>
      </c>
      <c r="X6" s="317"/>
      <c r="Y6" s="317"/>
      <c r="Z6" s="317"/>
      <c r="AA6" s="317"/>
      <c r="AB6" s="263" t="s">
        <v>115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264"/>
      <c r="AO6" s="264"/>
      <c r="AP6" s="264"/>
      <c r="AQ6" s="264"/>
      <c r="AR6" s="264"/>
      <c r="AS6" s="256"/>
      <c r="AT6" s="256"/>
    </row>
    <row r="7" spans="2:61" x14ac:dyDescent="0.35">
      <c r="B7" s="265" t="s">
        <v>116</v>
      </c>
      <c r="C7" s="266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267"/>
      <c r="AO7" s="267"/>
      <c r="AP7" s="267"/>
      <c r="AQ7" s="267"/>
      <c r="AR7" s="267"/>
      <c r="AS7" s="268" t="s">
        <v>320</v>
      </c>
      <c r="AT7" s="266"/>
    </row>
    <row r="8" spans="2:61" x14ac:dyDescent="0.35">
      <c r="B8" s="269" t="s">
        <v>117</v>
      </c>
      <c r="C8" s="270"/>
      <c r="D8" s="271">
        <v>59251</v>
      </c>
      <c r="E8" s="271">
        <v>60118</v>
      </c>
      <c r="F8" s="271">
        <v>56340</v>
      </c>
      <c r="G8" s="271">
        <v>60300</v>
      </c>
      <c r="H8" s="271">
        <v>60481</v>
      </c>
      <c r="I8" s="271">
        <v>59037</v>
      </c>
      <c r="J8" s="271">
        <v>64283</v>
      </c>
      <c r="K8" s="271">
        <v>64762</v>
      </c>
      <c r="L8" s="271">
        <v>65114</v>
      </c>
      <c r="M8" s="271">
        <v>65257</v>
      </c>
      <c r="N8" s="271">
        <v>65853</v>
      </c>
      <c r="O8" s="271">
        <v>66393</v>
      </c>
      <c r="P8" s="271">
        <v>66827</v>
      </c>
      <c r="Q8" s="271">
        <v>67155</v>
      </c>
      <c r="R8" s="271">
        <v>56281</v>
      </c>
      <c r="S8" s="271">
        <v>67815</v>
      </c>
      <c r="T8" s="330">
        <v>67686</v>
      </c>
      <c r="U8" s="330">
        <v>64634</v>
      </c>
      <c r="V8" s="330">
        <v>68405</v>
      </c>
      <c r="W8" s="271">
        <v>68576.012499999997</v>
      </c>
      <c r="X8" s="271">
        <v>68747.45253124999</v>
      </c>
      <c r="Y8" s="271">
        <v>68919.321162578111</v>
      </c>
      <c r="Z8" s="271">
        <v>69091.619465484546</v>
      </c>
      <c r="AA8" s="271">
        <v>69264.348514148252</v>
      </c>
      <c r="AB8" s="271">
        <v>69437.509385433616</v>
      </c>
      <c r="AC8" s="271">
        <v>69611.103158897196</v>
      </c>
      <c r="AD8" s="271">
        <v>69785.130916794442</v>
      </c>
      <c r="AE8" s="271">
        <v>69959.593744086422</v>
      </c>
      <c r="AF8" s="271">
        <v>70134.492728446639</v>
      </c>
      <c r="AG8" s="271">
        <v>70309.828960267754</v>
      </c>
      <c r="AH8" s="271">
        <v>70485.603532668421</v>
      </c>
      <c r="AI8" s="271">
        <v>70661.817541500088</v>
      </c>
      <c r="AJ8" s="271">
        <v>70838.472085353831</v>
      </c>
      <c r="AK8" s="271">
        <v>71015.568265567214</v>
      </c>
      <c r="AL8" s="271">
        <v>71193.107186231122</v>
      </c>
      <c r="AM8" s="271">
        <v>71371.089954196694</v>
      </c>
      <c r="AO8" s="55">
        <f>SUM(P8:AA8)</f>
        <v>803401.75417346077</v>
      </c>
      <c r="AQ8" s="55">
        <f>SUM(AB8:AM8)</f>
        <v>844803.31745944335</v>
      </c>
      <c r="AS8" s="272"/>
      <c r="AT8" s="1" t="s">
        <v>118</v>
      </c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</row>
    <row r="9" spans="2:61" x14ac:dyDescent="0.35">
      <c r="B9" s="269"/>
      <c r="C9" s="25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273"/>
      <c r="P9" s="196"/>
      <c r="Q9" s="196"/>
      <c r="R9" s="196"/>
      <c r="S9" s="196"/>
      <c r="T9" s="331"/>
      <c r="U9" s="331"/>
      <c r="V9" s="331"/>
      <c r="W9" s="196"/>
      <c r="X9" s="196"/>
      <c r="Y9" s="196"/>
      <c r="Z9" s="196"/>
      <c r="AA9" s="273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S9" s="256"/>
    </row>
    <row r="10" spans="2:61" x14ac:dyDescent="0.35">
      <c r="B10" s="265" t="s">
        <v>119</v>
      </c>
      <c r="C10" s="266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267"/>
      <c r="AO10" s="267"/>
      <c r="AP10" s="267"/>
      <c r="AQ10" s="267"/>
      <c r="AR10" s="267"/>
      <c r="AS10" s="268" t="s">
        <v>321</v>
      </c>
      <c r="AT10" s="266"/>
    </row>
    <row r="11" spans="2:61" x14ac:dyDescent="0.35">
      <c r="B11" s="269" t="s">
        <v>117</v>
      </c>
      <c r="C11" s="270"/>
      <c r="D11" s="274">
        <v>3183451.64</v>
      </c>
      <c r="E11" s="274">
        <v>3388687.91</v>
      </c>
      <c r="F11" s="274">
        <v>2979735.93</v>
      </c>
      <c r="G11" s="274">
        <v>3184189.2600000002</v>
      </c>
      <c r="H11" s="274">
        <v>3646630.1799999997</v>
      </c>
      <c r="I11" s="274">
        <v>2993649.08</v>
      </c>
      <c r="J11" s="274">
        <v>3084799.46</v>
      </c>
      <c r="K11" s="274">
        <v>3128342.4099999997</v>
      </c>
      <c r="L11" s="274">
        <v>3243724.07</v>
      </c>
      <c r="M11" s="274">
        <v>3486841.07</v>
      </c>
      <c r="N11" s="274">
        <v>3526644.22</v>
      </c>
      <c r="O11" s="274">
        <v>3776526.48</v>
      </c>
      <c r="P11" s="274">
        <v>3997140.2</v>
      </c>
      <c r="Q11" s="274">
        <v>4545754.26</v>
      </c>
      <c r="R11" s="274">
        <v>3282881.9</v>
      </c>
      <c r="S11" s="274">
        <v>4386029.1899999995</v>
      </c>
      <c r="T11" s="274">
        <v>4712907.8499999996</v>
      </c>
      <c r="U11" s="274">
        <v>4147095.5700000003</v>
      </c>
      <c r="V11" s="274">
        <v>4518643.5199999996</v>
      </c>
      <c r="W11" s="275">
        <f>W$8*'Assumptions and Inputs'!$C$9</f>
        <v>4422802.9019751307</v>
      </c>
      <c r="X11" s="275">
        <f>X$8*'Assumptions and Inputs'!$C$9</f>
        <v>4433859.9092300674</v>
      </c>
      <c r="Y11" s="275">
        <f>Y$8*'Assumptions and Inputs'!$C$9</f>
        <v>4444944.5590031426</v>
      </c>
      <c r="Z11" s="275">
        <f>Z$8*'Assumptions and Inputs'!$C$9</f>
        <v>4456056.9204006502</v>
      </c>
      <c r="AA11" s="275">
        <f>AA$8*'Assumptions and Inputs'!$C$9</f>
        <v>4467197.0627016509</v>
      </c>
      <c r="AB11" s="275">
        <f>AB$8*'Assumptions and Inputs'!$C$9</f>
        <v>4478365.0553584052</v>
      </c>
      <c r="AC11" s="275">
        <f>AC$8*'Assumptions and Inputs'!$C$9</f>
        <v>4489560.9679968003</v>
      </c>
      <c r="AD11" s="275">
        <f>AD$8*'Assumptions and Inputs'!$C$9</f>
        <v>4500784.870416793</v>
      </c>
      <c r="AE11" s="275">
        <f>AE$8*'Assumptions and Inputs'!$C$9</f>
        <v>4512036.8325928347</v>
      </c>
      <c r="AF11" s="275">
        <f>AF$8*'Assumptions and Inputs'!$C$9</f>
        <v>4523316.9246743163</v>
      </c>
      <c r="AG11" s="275">
        <f>AG$8*'Assumptions and Inputs'!$C$9</f>
        <v>4534625.2169860024</v>
      </c>
      <c r="AH11" s="275">
        <f>AH$8*'Assumptions and Inputs'!$C$9</f>
        <v>4545961.7800284671</v>
      </c>
      <c r="AI11" s="275">
        <f>AI$8*'Assumptions and Inputs'!$C$9</f>
        <v>4557326.6844785381</v>
      </c>
      <c r="AJ11" s="275">
        <f>AJ$8*'Assumptions and Inputs'!$C$9</f>
        <v>4568720.0011897339</v>
      </c>
      <c r="AK11" s="275">
        <f>AK$8*'Assumptions and Inputs'!$C$9</f>
        <v>4580141.8011927083</v>
      </c>
      <c r="AL11" s="275">
        <f>AL$8*'Assumptions and Inputs'!$C$9</f>
        <v>4591592.1556956889</v>
      </c>
      <c r="AM11" s="275">
        <f>AM$8*'Assumptions and Inputs'!$C$9</f>
        <v>4603071.1360849282</v>
      </c>
      <c r="AN11" s="276"/>
      <c r="AO11" s="55">
        <f>SUM(P11:AA11)</f>
        <v>51815313.843310639</v>
      </c>
      <c r="AQ11" s="55">
        <f>SUM(AB11:AM11)</f>
        <v>54485503.42669522</v>
      </c>
      <c r="AR11" s="276"/>
      <c r="AS11" s="272"/>
      <c r="AT11" s="1" t="s">
        <v>118</v>
      </c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</row>
    <row r="12" spans="2:61" x14ac:dyDescent="0.35">
      <c r="B12" s="269"/>
      <c r="C12" s="256"/>
      <c r="D12" s="277"/>
      <c r="E12" s="277"/>
      <c r="F12" s="277"/>
      <c r="G12" s="277"/>
      <c r="H12" s="277"/>
      <c r="I12" s="277"/>
      <c r="J12" s="277"/>
      <c r="K12" s="277"/>
      <c r="L12" s="277"/>
      <c r="M12" s="320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321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321"/>
      <c r="AL12" s="277"/>
      <c r="AM12" s="277"/>
      <c r="AS12" s="256"/>
    </row>
    <row r="13" spans="2:61" x14ac:dyDescent="0.35">
      <c r="B13" s="265" t="s">
        <v>120</v>
      </c>
      <c r="C13" s="266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</row>
    <row r="14" spans="2:61" x14ac:dyDescent="0.35">
      <c r="B14" s="278" t="str">
        <f>"Water  - "&amp;FIXED(('Assumptions and Inputs'!$C$40)*100,0,TRUE)&amp;" %"</f>
        <v>Water  - 43 %</v>
      </c>
      <c r="C14" s="256"/>
      <c r="D14" s="279">
        <f>D$11*'Assumptions and Inputs'!$C$40</f>
        <v>1368884.2052</v>
      </c>
      <c r="E14" s="279">
        <f>E$11*'Assumptions and Inputs'!$C$40</f>
        <v>1457135.8012999999</v>
      </c>
      <c r="F14" s="279">
        <f>F$11*'Assumptions and Inputs'!$C$40</f>
        <v>1281286.4499000001</v>
      </c>
      <c r="G14" s="279">
        <f>G$11*'Assumptions and Inputs'!$C$40</f>
        <v>1369201.3818000001</v>
      </c>
      <c r="H14" s="279">
        <f>H$11*'Assumptions and Inputs'!$C$40</f>
        <v>1568050.9773999997</v>
      </c>
      <c r="I14" s="279">
        <f>I$11*'Assumptions and Inputs'!$C$40</f>
        <v>1287269.1044000001</v>
      </c>
      <c r="J14" s="279">
        <f>J$11*'Assumptions and Inputs'!$C$40</f>
        <v>1326463.7678</v>
      </c>
      <c r="K14" s="279">
        <f>K$11*'Assumptions and Inputs'!$C$40</f>
        <v>1345187.2362999998</v>
      </c>
      <c r="L14" s="279">
        <f>L$11*'Assumptions and Inputs'!$C$40</f>
        <v>1394801.3500999999</v>
      </c>
      <c r="M14" s="279">
        <f>M$11*'Assumptions and Inputs'!$C$40</f>
        <v>1499341.6601</v>
      </c>
      <c r="N14" s="279">
        <f>N$11*'Assumptions and Inputs'!$C$40</f>
        <v>1516457.0146000001</v>
      </c>
      <c r="O14" s="279">
        <f>O$11*'Assumptions and Inputs'!$C$40</f>
        <v>1623906.3864</v>
      </c>
      <c r="P14" s="279">
        <f>P$11*'Assumptions and Inputs'!$C$40</f>
        <v>1718770.2860000001</v>
      </c>
      <c r="Q14" s="279">
        <f>Q$11*'Assumptions and Inputs'!$C$40</f>
        <v>1954674.3317999998</v>
      </c>
      <c r="R14" s="279">
        <f>R$11*'Assumptions and Inputs'!$C$40</f>
        <v>1411639.2169999999</v>
      </c>
      <c r="S14" s="279">
        <f>S$11*'Assumptions and Inputs'!$C$40</f>
        <v>1885992.5516999997</v>
      </c>
      <c r="T14" s="279">
        <f>T$11*'Assumptions and Inputs'!$C$40</f>
        <v>2026550.3754999998</v>
      </c>
      <c r="U14" s="279">
        <f>U$11*'Assumptions and Inputs'!$C$40</f>
        <v>1783251.0951</v>
      </c>
      <c r="V14" s="279">
        <f>V$11*'Assumptions and Inputs'!$C$40</f>
        <v>1943016.7135999997</v>
      </c>
      <c r="W14" s="279">
        <f>W$11*'Assumptions and Inputs'!$C$40</f>
        <v>1901805.2478493061</v>
      </c>
      <c r="X14" s="279">
        <f>X$11*'Assumptions and Inputs'!$C$40</f>
        <v>1906559.7609689289</v>
      </c>
      <c r="Y14" s="279">
        <f>Y$11*'Assumptions and Inputs'!$C$40</f>
        <v>1911326.1603713513</v>
      </c>
      <c r="Z14" s="279">
        <f>Z$11*'Assumptions and Inputs'!$C$40</f>
        <v>1916104.4757722795</v>
      </c>
      <c r="AA14" s="279">
        <f>AA$11*'Assumptions and Inputs'!$C$40</f>
        <v>1920894.7369617098</v>
      </c>
      <c r="AB14" s="279">
        <f>AB$11*'Assumptions and Inputs'!$C$40</f>
        <v>1925696.9738041142</v>
      </c>
      <c r="AC14" s="279">
        <f>AC$11*'Assumptions and Inputs'!$C$40</f>
        <v>1930511.2162386242</v>
      </c>
      <c r="AD14" s="279">
        <f>AD$11*'Assumptions and Inputs'!$C$40</f>
        <v>1935337.4942792209</v>
      </c>
      <c r="AE14" s="279">
        <f>AE$11*'Assumptions and Inputs'!$C$40</f>
        <v>1940175.8380149188</v>
      </c>
      <c r="AF14" s="279">
        <f>AF$11*'Assumptions and Inputs'!$C$40</f>
        <v>1945026.277609956</v>
      </c>
      <c r="AG14" s="279">
        <f>AG$11*'Assumptions and Inputs'!$C$40</f>
        <v>1949888.843303981</v>
      </c>
      <c r="AH14" s="279">
        <f>AH$11*'Assumptions and Inputs'!$C$40</f>
        <v>1954763.5654122408</v>
      </c>
      <c r="AI14" s="279">
        <f>AI$11*'Assumptions and Inputs'!$C$40</f>
        <v>1959650.4743257714</v>
      </c>
      <c r="AJ14" s="279">
        <f>AJ$11*'Assumptions and Inputs'!$C$40</f>
        <v>1964549.6005115856</v>
      </c>
      <c r="AK14" s="279">
        <f>AK$11*'Assumptions and Inputs'!$C$40</f>
        <v>1969460.9745128646</v>
      </c>
      <c r="AL14" s="279">
        <f>AL$11*'Assumptions and Inputs'!$C$40</f>
        <v>1974384.6269491462</v>
      </c>
      <c r="AM14" s="279">
        <f>AM$11*'Assumptions and Inputs'!$C$40</f>
        <v>1979320.5885165192</v>
      </c>
      <c r="AO14" s="55">
        <f>SUM(P14:AA14)</f>
        <v>22280584.95262358</v>
      </c>
      <c r="AQ14" s="55">
        <f>SUM(AB14:AM14)</f>
        <v>23428766.473478939</v>
      </c>
      <c r="AS14" s="256"/>
      <c r="AT14" s="1" t="s">
        <v>121</v>
      </c>
    </row>
    <row r="15" spans="2:61" x14ac:dyDescent="0.35">
      <c r="B15" s="278" t="str">
        <f>"Wastewater  - "&amp;FIXED(('Assumptions and Inputs'!$C$42)*100,0,TRUE)&amp;" %"</f>
        <v>Wastewater  - 57 %</v>
      </c>
      <c r="C15" s="256"/>
      <c r="D15" s="280">
        <f>D$11*'Assumptions and Inputs'!$C$42</f>
        <v>1814567.4347999999</v>
      </c>
      <c r="E15" s="280">
        <f>E$11*'Assumptions and Inputs'!$C$42</f>
        <v>1931552.1087</v>
      </c>
      <c r="F15" s="280">
        <f>F$11*'Assumptions and Inputs'!$C$42</f>
        <v>1698449.4801</v>
      </c>
      <c r="G15" s="280">
        <f>G$11*'Assumptions and Inputs'!$C$42</f>
        <v>1814987.8781999999</v>
      </c>
      <c r="H15" s="280">
        <f>H$11*'Assumptions and Inputs'!$C$42</f>
        <v>2078579.2025999997</v>
      </c>
      <c r="I15" s="280">
        <f>I$11*'Assumptions and Inputs'!$C$42</f>
        <v>1706379.9756</v>
      </c>
      <c r="J15" s="280">
        <f>J$11*'Assumptions and Inputs'!$C$42</f>
        <v>1758335.6921999999</v>
      </c>
      <c r="K15" s="280">
        <f>K$11*'Assumptions and Inputs'!$C$42</f>
        <v>1783155.1736999997</v>
      </c>
      <c r="L15" s="280">
        <f>L$11*'Assumptions and Inputs'!$C$42</f>
        <v>1848922.7198999997</v>
      </c>
      <c r="M15" s="280">
        <f>M$11*'Assumptions and Inputs'!$C$42</f>
        <v>1987499.4098999996</v>
      </c>
      <c r="N15" s="280">
        <f>N$11*'Assumptions and Inputs'!$C$42</f>
        <v>2010187.2053999999</v>
      </c>
      <c r="O15" s="280">
        <f>O$11*'Assumptions and Inputs'!$C$42</f>
        <v>2152620.0935999998</v>
      </c>
      <c r="P15" s="280">
        <f>P$11*'Assumptions and Inputs'!$C$42</f>
        <v>2278369.9139999999</v>
      </c>
      <c r="Q15" s="280">
        <f>Q$11*'Assumptions and Inputs'!$C$42</f>
        <v>2591079.9281999995</v>
      </c>
      <c r="R15" s="280">
        <f>R$11*'Assumptions and Inputs'!$C$42</f>
        <v>1871242.6829999997</v>
      </c>
      <c r="S15" s="280">
        <f>S$11*'Assumptions and Inputs'!$C$42</f>
        <v>2500036.6382999993</v>
      </c>
      <c r="T15" s="280">
        <f>T$11*'Assumptions and Inputs'!$C$42</f>
        <v>2686357.4744999995</v>
      </c>
      <c r="U15" s="280">
        <f>U$11*'Assumptions and Inputs'!$C$42</f>
        <v>2363844.4748999998</v>
      </c>
      <c r="V15" s="280">
        <f>V$11*'Assumptions and Inputs'!$C$42</f>
        <v>2575626.8063999997</v>
      </c>
      <c r="W15" s="280">
        <f>W$11*'Assumptions and Inputs'!$C$42</f>
        <v>2520997.6541258241</v>
      </c>
      <c r="X15" s="280">
        <f>X$11*'Assumptions and Inputs'!$C$42</f>
        <v>2527300.1482611382</v>
      </c>
      <c r="Y15" s="280">
        <f>Y$11*'Assumptions and Inputs'!$C$42</f>
        <v>2533618.3986317911</v>
      </c>
      <c r="Z15" s="280">
        <f>Z$11*'Assumptions and Inputs'!$C$42</f>
        <v>2539952.4446283705</v>
      </c>
      <c r="AA15" s="280">
        <f>AA$11*'Assumptions and Inputs'!$C$42</f>
        <v>2546302.3257399406</v>
      </c>
      <c r="AB15" s="280">
        <f>AB$11*'Assumptions and Inputs'!$C$42</f>
        <v>2552668.0815542908</v>
      </c>
      <c r="AC15" s="280">
        <f>AC$11*'Assumptions and Inputs'!$C$42</f>
        <v>2559049.7517581759</v>
      </c>
      <c r="AD15" s="280">
        <f>AD$11*'Assumptions and Inputs'!$C$42</f>
        <v>2565447.3761375719</v>
      </c>
      <c r="AE15" s="280">
        <f>AE$11*'Assumptions and Inputs'!$C$42</f>
        <v>2571860.9945779154</v>
      </c>
      <c r="AF15" s="280">
        <f>AF$11*'Assumptions and Inputs'!$C$42</f>
        <v>2578290.6470643599</v>
      </c>
      <c r="AG15" s="280">
        <f>AG$11*'Assumptions and Inputs'!$C$42</f>
        <v>2584736.3736820212</v>
      </c>
      <c r="AH15" s="280">
        <f>AH$11*'Assumptions and Inputs'!$C$42</f>
        <v>2591198.214616226</v>
      </c>
      <c r="AI15" s="280">
        <f>AI$11*'Assumptions and Inputs'!$C$42</f>
        <v>2597676.2101527667</v>
      </c>
      <c r="AJ15" s="280">
        <f>AJ$11*'Assumptions and Inputs'!$C$42</f>
        <v>2604170.400678148</v>
      </c>
      <c r="AK15" s="280">
        <f>AK$11*'Assumptions and Inputs'!$C$42</f>
        <v>2610680.8266798435</v>
      </c>
      <c r="AL15" s="280">
        <f>AL$11*'Assumptions and Inputs'!$C$42</f>
        <v>2617207.5287465425</v>
      </c>
      <c r="AM15" s="280">
        <f>AM$11*'Assumptions and Inputs'!$C$42</f>
        <v>2623750.5475684088</v>
      </c>
      <c r="AO15" s="55">
        <f>SUM(P15:AA15)</f>
        <v>29534728.890687063</v>
      </c>
      <c r="AQ15" s="55">
        <f>SUM(AB15:AM15)</f>
        <v>31056736.95321627</v>
      </c>
      <c r="AS15" s="256"/>
      <c r="AT15" s="1" t="s">
        <v>122</v>
      </c>
    </row>
    <row r="16" spans="2:61" x14ac:dyDescent="0.35">
      <c r="B16" s="281" t="s">
        <v>123</v>
      </c>
      <c r="C16" s="281"/>
      <c r="D16" s="282">
        <f t="shared" ref="D16:O16" si="0">SUM(D14:D15)-D11</f>
        <v>0</v>
      </c>
      <c r="E16" s="282">
        <f t="shared" si="0"/>
        <v>0</v>
      </c>
      <c r="F16" s="282">
        <f t="shared" si="0"/>
        <v>0</v>
      </c>
      <c r="G16" s="282">
        <f t="shared" si="0"/>
        <v>0</v>
      </c>
      <c r="H16" s="282">
        <f t="shared" si="0"/>
        <v>0</v>
      </c>
      <c r="I16" s="282">
        <f t="shared" si="0"/>
        <v>0</v>
      </c>
      <c r="J16" s="282">
        <f t="shared" si="0"/>
        <v>0</v>
      </c>
      <c r="K16" s="282">
        <f t="shared" si="0"/>
        <v>0</v>
      </c>
      <c r="L16" s="282">
        <f t="shared" si="0"/>
        <v>0</v>
      </c>
      <c r="M16" s="282">
        <f t="shared" si="0"/>
        <v>0</v>
      </c>
      <c r="N16" s="282">
        <f t="shared" si="0"/>
        <v>0</v>
      </c>
      <c r="O16" s="282">
        <f t="shared" si="0"/>
        <v>0</v>
      </c>
      <c r="P16" s="282">
        <f t="shared" ref="P16:AM16" si="1">SUM(P14:P15)-P11</f>
        <v>0</v>
      </c>
      <c r="Q16" s="282">
        <f t="shared" si="1"/>
        <v>0</v>
      </c>
      <c r="R16" s="282">
        <f t="shared" si="1"/>
        <v>0</v>
      </c>
      <c r="S16" s="282">
        <f t="shared" si="1"/>
        <v>0</v>
      </c>
      <c r="T16" s="282">
        <f t="shared" si="1"/>
        <v>0</v>
      </c>
      <c r="U16" s="282">
        <f t="shared" si="1"/>
        <v>0</v>
      </c>
      <c r="V16" s="282">
        <f t="shared" si="1"/>
        <v>0</v>
      </c>
      <c r="W16" s="282">
        <f t="shared" si="1"/>
        <v>0</v>
      </c>
      <c r="X16" s="282">
        <f t="shared" si="1"/>
        <v>0</v>
      </c>
      <c r="Y16" s="282">
        <f t="shared" si="1"/>
        <v>0</v>
      </c>
      <c r="Z16" s="282">
        <f t="shared" si="1"/>
        <v>0</v>
      </c>
      <c r="AA16" s="282">
        <f t="shared" si="1"/>
        <v>0</v>
      </c>
      <c r="AB16" s="282">
        <f t="shared" si="1"/>
        <v>0</v>
      </c>
      <c r="AC16" s="282">
        <f t="shared" si="1"/>
        <v>0</v>
      </c>
      <c r="AD16" s="282">
        <f t="shared" si="1"/>
        <v>0</v>
      </c>
      <c r="AE16" s="282">
        <f t="shared" si="1"/>
        <v>0</v>
      </c>
      <c r="AF16" s="282">
        <f t="shared" si="1"/>
        <v>0</v>
      </c>
      <c r="AG16" s="282">
        <f t="shared" si="1"/>
        <v>0</v>
      </c>
      <c r="AH16" s="282">
        <f t="shared" si="1"/>
        <v>0</v>
      </c>
      <c r="AI16" s="282">
        <f t="shared" si="1"/>
        <v>0</v>
      </c>
      <c r="AJ16" s="282">
        <f t="shared" si="1"/>
        <v>0</v>
      </c>
      <c r="AK16" s="282">
        <f t="shared" si="1"/>
        <v>0</v>
      </c>
      <c r="AL16" s="282">
        <f t="shared" si="1"/>
        <v>0</v>
      </c>
      <c r="AM16" s="282">
        <f t="shared" si="1"/>
        <v>0</v>
      </c>
      <c r="AP16" s="282"/>
      <c r="AQ16" s="55">
        <f>SUM(AB16:AM16)</f>
        <v>0</v>
      </c>
      <c r="AS16" s="281"/>
    </row>
    <row r="17" spans="2:65" x14ac:dyDescent="0.35"/>
    <row r="18" spans="2:65" x14ac:dyDescent="0.35">
      <c r="B18" s="283" t="s">
        <v>124</v>
      </c>
      <c r="C18" s="284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7"/>
      <c r="AO18" s="287"/>
      <c r="AP18" s="287"/>
      <c r="AQ18" s="287"/>
      <c r="AR18" s="287"/>
      <c r="AS18" s="285"/>
      <c r="AT18" s="285"/>
    </row>
    <row r="19" spans="2:65" x14ac:dyDescent="0.35"/>
    <row r="20" spans="2:65" x14ac:dyDescent="0.35">
      <c r="B20" s="265" t="s">
        <v>125</v>
      </c>
      <c r="C20" s="266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88" t="s">
        <v>322</v>
      </c>
      <c r="AT20" s="265"/>
    </row>
    <row r="21" spans="2:65" x14ac:dyDescent="0.35">
      <c r="B21" s="237" t="s">
        <v>126</v>
      </c>
      <c r="D21" s="289">
        <v>420544</v>
      </c>
      <c r="E21" s="289">
        <v>409435</v>
      </c>
      <c r="F21" s="289">
        <v>358125</v>
      </c>
      <c r="G21" s="289">
        <v>382960</v>
      </c>
      <c r="H21" s="289">
        <v>433104</v>
      </c>
      <c r="I21" s="289">
        <v>364141</v>
      </c>
      <c r="J21" s="289">
        <v>379057</v>
      </c>
      <c r="K21" s="289">
        <v>382353</v>
      </c>
      <c r="L21" s="289">
        <v>395758</v>
      </c>
      <c r="M21" s="289">
        <v>419696</v>
      </c>
      <c r="N21" s="289">
        <v>423997</v>
      </c>
      <c r="O21" s="289">
        <v>450076</v>
      </c>
      <c r="P21" s="289">
        <v>444157</v>
      </c>
      <c r="Q21" s="289">
        <v>466827</v>
      </c>
      <c r="R21" s="289">
        <v>340206</v>
      </c>
      <c r="S21" s="289">
        <v>453729</v>
      </c>
      <c r="T21" s="332">
        <v>474801</v>
      </c>
      <c r="U21" s="332">
        <v>423513</v>
      </c>
      <c r="V21" s="332">
        <v>464349</v>
      </c>
      <c r="W21" s="123">
        <f>W$8*'Assumptions and Inputs'!$C$11/100</f>
        <v>458502.97748004051</v>
      </c>
      <c r="X21" s="123">
        <f>X$8*'Assumptions and Inputs'!$C$11/100</f>
        <v>459649.2349237405</v>
      </c>
      <c r="Y21" s="123">
        <f>Y$8*'Assumptions and Inputs'!$C$11/100</f>
        <v>460798.35801104986</v>
      </c>
      <c r="Z21" s="123">
        <f>Z$8*'Assumptions and Inputs'!$C$11/100</f>
        <v>461950.35390607739</v>
      </c>
      <c r="AA21" s="123">
        <f>AA$8*'Assumptions and Inputs'!$C$11/100</f>
        <v>463105.22979084251</v>
      </c>
      <c r="AB21" s="123">
        <f>AB$8*'Assumptions and Inputs'!$C$11/100</f>
        <v>464262.9928653196</v>
      </c>
      <c r="AC21" s="123">
        <f>AC$8*'Assumptions and Inputs'!$C$11/100</f>
        <v>465423.65034748288</v>
      </c>
      <c r="AD21" s="123">
        <f>AD$8*'Assumptions and Inputs'!$C$11/100</f>
        <v>466587.2094733516</v>
      </c>
      <c r="AE21" s="123">
        <f>AE$8*'Assumptions and Inputs'!$C$11/100</f>
        <v>467753.67749703495</v>
      </c>
      <c r="AF21" s="123">
        <f>AF$8*'Assumptions and Inputs'!$C$11/100</f>
        <v>468923.06169077754</v>
      </c>
      <c r="AG21" s="123">
        <f>AG$8*'Assumptions and Inputs'!$C$11/100</f>
        <v>470095.3693450045</v>
      </c>
      <c r="AH21" s="123">
        <f>AH$8*'Assumptions and Inputs'!$C$11/100</f>
        <v>471270.60776836699</v>
      </c>
      <c r="AI21" s="123">
        <f>AI$8*'Assumptions and Inputs'!$C$11/100</f>
        <v>472448.7842877878</v>
      </c>
      <c r="AJ21" s="123">
        <f>AJ$8*'Assumptions and Inputs'!$C$11/100</f>
        <v>473629.90624850726</v>
      </c>
      <c r="AK21" s="123">
        <f>AK$8*'Assumptions and Inputs'!$C$11/100</f>
        <v>474813.98101412854</v>
      </c>
      <c r="AL21" s="123">
        <f>AL$8*'Assumptions and Inputs'!$C$11/100</f>
        <v>476001.01596666384</v>
      </c>
      <c r="AM21" s="123">
        <f>AM$8*'Assumptions and Inputs'!$C$11/100</f>
        <v>477191.01850658044</v>
      </c>
      <c r="AO21" s="55">
        <f>SUM(P21:AA21)</f>
        <v>5371588.1541117504</v>
      </c>
      <c r="AQ21" s="55">
        <f>SUM(AB21:AM21)</f>
        <v>5648401.2750110067</v>
      </c>
      <c r="AT21" s="1" t="s">
        <v>118</v>
      </c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</row>
    <row r="22" spans="2:65" x14ac:dyDescent="0.35"/>
    <row r="23" spans="2:65" x14ac:dyDescent="0.35">
      <c r="B23" s="265" t="s">
        <v>127</v>
      </c>
      <c r="C23" s="266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88" t="s">
        <v>323</v>
      </c>
      <c r="AT23" s="265"/>
    </row>
    <row r="24" spans="2:65" x14ac:dyDescent="0.35">
      <c r="B24" s="237" t="s">
        <v>86</v>
      </c>
      <c r="D24" s="289">
        <v>57534</v>
      </c>
      <c r="E24" s="289">
        <v>52597</v>
      </c>
      <c r="F24" s="289">
        <v>47037</v>
      </c>
      <c r="G24" s="289">
        <v>49616</v>
      </c>
      <c r="H24" s="289">
        <v>59093</v>
      </c>
      <c r="I24" s="289">
        <v>48459</v>
      </c>
      <c r="J24" s="289">
        <v>49929</v>
      </c>
      <c r="K24" s="289">
        <v>47494</v>
      </c>
      <c r="L24" s="289">
        <v>47241</v>
      </c>
      <c r="M24" s="289">
        <v>47522</v>
      </c>
      <c r="N24" s="289">
        <v>47557</v>
      </c>
      <c r="O24" s="289">
        <v>49689</v>
      </c>
      <c r="P24" s="289">
        <v>47307</v>
      </c>
      <c r="Q24" s="289">
        <v>49343</v>
      </c>
      <c r="R24" s="289">
        <v>34367</v>
      </c>
      <c r="S24" s="289">
        <v>47086</v>
      </c>
      <c r="T24" s="332">
        <v>50118</v>
      </c>
      <c r="U24" s="332">
        <v>46428</v>
      </c>
      <c r="V24" s="332">
        <v>52854</v>
      </c>
      <c r="W24" s="123">
        <f>AVERAGE($K24:$V24)</f>
        <v>47250.5</v>
      </c>
      <c r="X24" s="123">
        <f t="shared" ref="X24:AM27" si="2">AVERAGE($K24:$V24)</f>
        <v>47250.5</v>
      </c>
      <c r="Y24" s="123">
        <f t="shared" si="2"/>
        <v>47250.5</v>
      </c>
      <c r="Z24" s="123">
        <f t="shared" si="2"/>
        <v>47250.5</v>
      </c>
      <c r="AA24" s="123">
        <f t="shared" si="2"/>
        <v>47250.5</v>
      </c>
      <c r="AB24" s="123">
        <f t="shared" si="2"/>
        <v>47250.5</v>
      </c>
      <c r="AC24" s="123">
        <f t="shared" si="2"/>
        <v>47250.5</v>
      </c>
      <c r="AD24" s="123">
        <f t="shared" si="2"/>
        <v>47250.5</v>
      </c>
      <c r="AE24" s="123">
        <f t="shared" si="2"/>
        <v>47250.5</v>
      </c>
      <c r="AF24" s="123">
        <f t="shared" si="2"/>
        <v>47250.5</v>
      </c>
      <c r="AG24" s="123">
        <f t="shared" si="2"/>
        <v>47250.5</v>
      </c>
      <c r="AH24" s="123">
        <f t="shared" si="2"/>
        <v>47250.5</v>
      </c>
      <c r="AI24" s="123">
        <f t="shared" si="2"/>
        <v>47250.5</v>
      </c>
      <c r="AJ24" s="123">
        <f t="shared" si="2"/>
        <v>47250.5</v>
      </c>
      <c r="AK24" s="123">
        <f t="shared" si="2"/>
        <v>47250.5</v>
      </c>
      <c r="AL24" s="123">
        <f t="shared" si="2"/>
        <v>47250.5</v>
      </c>
      <c r="AM24" s="123">
        <f t="shared" si="2"/>
        <v>47250.5</v>
      </c>
      <c r="AO24" s="55">
        <f>SUM(P24:AA24)</f>
        <v>563755.5</v>
      </c>
      <c r="AQ24" s="55">
        <f>SUM(AB24:AM24)</f>
        <v>567006</v>
      </c>
      <c r="AS24" s="55"/>
      <c r="AT24" s="1" t="s">
        <v>128</v>
      </c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</row>
    <row r="25" spans="2:65" x14ac:dyDescent="0.35">
      <c r="B25" s="237" t="s">
        <v>88</v>
      </c>
      <c r="D25" s="289">
        <v>124561</v>
      </c>
      <c r="E25" s="289">
        <v>118464</v>
      </c>
      <c r="F25" s="289">
        <v>114459</v>
      </c>
      <c r="G25" s="289">
        <v>115086</v>
      </c>
      <c r="H25" s="289">
        <v>121240</v>
      </c>
      <c r="I25" s="289">
        <v>109977</v>
      </c>
      <c r="J25" s="289">
        <v>105559</v>
      </c>
      <c r="K25" s="289">
        <v>103127</v>
      </c>
      <c r="L25" s="289">
        <v>120137</v>
      </c>
      <c r="M25" s="289">
        <v>106380</v>
      </c>
      <c r="N25" s="289">
        <v>112691</v>
      </c>
      <c r="O25" s="289">
        <v>113145</v>
      </c>
      <c r="P25" s="289">
        <v>111990</v>
      </c>
      <c r="Q25" s="289">
        <v>107777</v>
      </c>
      <c r="R25" s="289">
        <v>98283</v>
      </c>
      <c r="S25" s="289">
        <v>106611</v>
      </c>
      <c r="T25" s="332">
        <v>116739</v>
      </c>
      <c r="U25" s="332">
        <v>101717</v>
      </c>
      <c r="V25" s="332">
        <v>103297</v>
      </c>
      <c r="W25" s="123">
        <f>AVERAGE($K25:$V25)</f>
        <v>108491.16666666667</v>
      </c>
      <c r="X25" s="123">
        <f t="shared" ref="X25:AL25" si="3">AVERAGE($K25:$V25)</f>
        <v>108491.16666666667</v>
      </c>
      <c r="Y25" s="123">
        <f t="shared" si="3"/>
        <v>108491.16666666667</v>
      </c>
      <c r="Z25" s="123">
        <f t="shared" si="3"/>
        <v>108491.16666666667</v>
      </c>
      <c r="AA25" s="123">
        <f t="shared" si="3"/>
        <v>108491.16666666667</v>
      </c>
      <c r="AB25" s="123">
        <f t="shared" si="3"/>
        <v>108491.16666666667</v>
      </c>
      <c r="AC25" s="123">
        <f t="shared" si="3"/>
        <v>108491.16666666667</v>
      </c>
      <c r="AD25" s="123">
        <f t="shared" si="3"/>
        <v>108491.16666666667</v>
      </c>
      <c r="AE25" s="123">
        <f t="shared" si="3"/>
        <v>108491.16666666667</v>
      </c>
      <c r="AF25" s="123">
        <f t="shared" si="3"/>
        <v>108491.16666666667</v>
      </c>
      <c r="AG25" s="123">
        <f t="shared" si="3"/>
        <v>108491.16666666667</v>
      </c>
      <c r="AH25" s="123">
        <f t="shared" si="3"/>
        <v>108491.16666666667</v>
      </c>
      <c r="AI25" s="123">
        <f t="shared" si="3"/>
        <v>108491.16666666667</v>
      </c>
      <c r="AJ25" s="123">
        <f t="shared" si="3"/>
        <v>108491.16666666667</v>
      </c>
      <c r="AK25" s="123">
        <f t="shared" si="3"/>
        <v>108491.16666666667</v>
      </c>
      <c r="AL25" s="123">
        <f t="shared" si="3"/>
        <v>108491.16666666667</v>
      </c>
      <c r="AM25" s="123">
        <f t="shared" si="2"/>
        <v>108491.16666666667</v>
      </c>
      <c r="AO25" s="55">
        <f t="shared" ref="AO25:AO26" si="4">SUM(P25:AA25)</f>
        <v>1288869.8333333335</v>
      </c>
      <c r="AQ25" s="55">
        <f t="shared" ref="AQ25:AQ27" si="5">SUM(AB25:AM25)</f>
        <v>1301894</v>
      </c>
      <c r="AS25" s="56"/>
      <c r="AT25" s="1" t="s">
        <v>128</v>
      </c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</row>
    <row r="26" spans="2:65" x14ac:dyDescent="0.35">
      <c r="B26" s="237" t="s">
        <v>91</v>
      </c>
      <c r="D26" s="289">
        <v>188234</v>
      </c>
      <c r="E26" s="289">
        <v>169899</v>
      </c>
      <c r="F26" s="289">
        <v>159529</v>
      </c>
      <c r="G26" s="289">
        <v>153934</v>
      </c>
      <c r="H26" s="289">
        <v>140562</v>
      </c>
      <c r="I26" s="289">
        <v>135320</v>
      </c>
      <c r="J26" s="289">
        <v>141288</v>
      </c>
      <c r="K26" s="289">
        <v>128264</v>
      </c>
      <c r="L26" s="289">
        <v>141544</v>
      </c>
      <c r="M26" s="289">
        <v>151644</v>
      </c>
      <c r="N26" s="289">
        <v>157139</v>
      </c>
      <c r="O26" s="289">
        <v>167773</v>
      </c>
      <c r="P26" s="289">
        <v>162033</v>
      </c>
      <c r="Q26" s="289">
        <v>181080</v>
      </c>
      <c r="R26" s="289">
        <v>131467</v>
      </c>
      <c r="S26" s="289">
        <v>139021</v>
      </c>
      <c r="T26" s="332">
        <v>145123</v>
      </c>
      <c r="U26" s="332">
        <v>132277</v>
      </c>
      <c r="V26" s="332">
        <v>129595</v>
      </c>
      <c r="W26" s="123">
        <f>AVERAGE($K26:$V26)</f>
        <v>147246.66666666666</v>
      </c>
      <c r="X26" s="123">
        <f t="shared" si="2"/>
        <v>147246.66666666666</v>
      </c>
      <c r="Y26" s="123">
        <f t="shared" si="2"/>
        <v>147246.66666666666</v>
      </c>
      <c r="Z26" s="123">
        <f t="shared" si="2"/>
        <v>147246.66666666666</v>
      </c>
      <c r="AA26" s="123">
        <f t="shared" si="2"/>
        <v>147246.66666666666</v>
      </c>
      <c r="AB26" s="123">
        <f t="shared" si="2"/>
        <v>147246.66666666666</v>
      </c>
      <c r="AC26" s="123">
        <f t="shared" si="2"/>
        <v>147246.66666666666</v>
      </c>
      <c r="AD26" s="123">
        <f t="shared" si="2"/>
        <v>147246.66666666666</v>
      </c>
      <c r="AE26" s="123">
        <f t="shared" si="2"/>
        <v>147246.66666666666</v>
      </c>
      <c r="AF26" s="123">
        <f t="shared" si="2"/>
        <v>147246.66666666666</v>
      </c>
      <c r="AG26" s="123">
        <f t="shared" si="2"/>
        <v>147246.66666666666</v>
      </c>
      <c r="AH26" s="123">
        <f t="shared" si="2"/>
        <v>147246.66666666666</v>
      </c>
      <c r="AI26" s="123">
        <f t="shared" si="2"/>
        <v>147246.66666666666</v>
      </c>
      <c r="AJ26" s="123">
        <f t="shared" si="2"/>
        <v>147246.66666666666</v>
      </c>
      <c r="AK26" s="123">
        <f t="shared" si="2"/>
        <v>147246.66666666666</v>
      </c>
      <c r="AL26" s="123">
        <f t="shared" si="2"/>
        <v>147246.66666666666</v>
      </c>
      <c r="AM26" s="123">
        <f t="shared" si="2"/>
        <v>147246.66666666666</v>
      </c>
      <c r="AO26" s="55">
        <f t="shared" si="4"/>
        <v>1756829.3333333337</v>
      </c>
      <c r="AQ26" s="55">
        <f t="shared" si="5"/>
        <v>1766960.0000000002</v>
      </c>
      <c r="AS26" s="56"/>
      <c r="AT26" s="1" t="s">
        <v>128</v>
      </c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</row>
    <row r="27" spans="2:65" x14ac:dyDescent="0.35">
      <c r="B27" s="237" t="s">
        <v>129</v>
      </c>
      <c r="D27" s="289">
        <v>4606561</v>
      </c>
      <c r="E27" s="289">
        <v>4301915</v>
      </c>
      <c r="F27" s="289">
        <v>3983679</v>
      </c>
      <c r="G27" s="289">
        <v>4018382</v>
      </c>
      <c r="H27" s="289">
        <v>4204897</v>
      </c>
      <c r="I27" s="289">
        <v>3656723</v>
      </c>
      <c r="J27" s="289">
        <v>3705848</v>
      </c>
      <c r="K27" s="289">
        <v>3768623</v>
      </c>
      <c r="L27" s="289">
        <v>3942518</v>
      </c>
      <c r="M27" s="289">
        <v>4123420</v>
      </c>
      <c r="N27" s="289">
        <v>4307512</v>
      </c>
      <c r="O27" s="289">
        <v>4456512</v>
      </c>
      <c r="P27" s="289">
        <v>4324158</v>
      </c>
      <c r="Q27" s="289">
        <v>4440404</v>
      </c>
      <c r="R27" s="289">
        <v>3355146</v>
      </c>
      <c r="S27" s="289">
        <v>4051393</v>
      </c>
      <c r="T27" s="332">
        <v>4167268</v>
      </c>
      <c r="U27" s="332">
        <v>3744303</v>
      </c>
      <c r="V27" s="332">
        <v>3987806</v>
      </c>
      <c r="W27" s="123">
        <f>AVERAGE($K27:$V27)</f>
        <v>4055755.25</v>
      </c>
      <c r="X27" s="123">
        <f t="shared" si="2"/>
        <v>4055755.25</v>
      </c>
      <c r="Y27" s="123">
        <f t="shared" si="2"/>
        <v>4055755.25</v>
      </c>
      <c r="Z27" s="123">
        <f t="shared" si="2"/>
        <v>4055755.25</v>
      </c>
      <c r="AA27" s="123">
        <f t="shared" si="2"/>
        <v>4055755.25</v>
      </c>
      <c r="AB27" s="123">
        <f t="shared" si="2"/>
        <v>4055755.25</v>
      </c>
      <c r="AC27" s="123">
        <f t="shared" si="2"/>
        <v>4055755.25</v>
      </c>
      <c r="AD27" s="123">
        <f t="shared" si="2"/>
        <v>4055755.25</v>
      </c>
      <c r="AE27" s="123">
        <f t="shared" si="2"/>
        <v>4055755.25</v>
      </c>
      <c r="AF27" s="123">
        <f t="shared" si="2"/>
        <v>4055755.25</v>
      </c>
      <c r="AG27" s="123">
        <f t="shared" si="2"/>
        <v>4055755.25</v>
      </c>
      <c r="AH27" s="123">
        <f t="shared" si="2"/>
        <v>4055755.25</v>
      </c>
      <c r="AI27" s="123">
        <f t="shared" si="2"/>
        <v>4055755.25</v>
      </c>
      <c r="AJ27" s="123">
        <f t="shared" si="2"/>
        <v>4055755.25</v>
      </c>
      <c r="AK27" s="123">
        <f t="shared" si="2"/>
        <v>4055755.25</v>
      </c>
      <c r="AL27" s="123">
        <f t="shared" si="2"/>
        <v>4055755.25</v>
      </c>
      <c r="AM27" s="123">
        <f t="shared" si="2"/>
        <v>4055755.25</v>
      </c>
      <c r="AO27" s="55">
        <f>SUM(P27:AA27)</f>
        <v>48349254.25</v>
      </c>
      <c r="AQ27" s="55">
        <f t="shared" si="5"/>
        <v>48669063</v>
      </c>
      <c r="AS27" s="56"/>
      <c r="AT27" s="1" t="s">
        <v>128</v>
      </c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</row>
    <row r="28" spans="2:65" x14ac:dyDescent="0.35">
      <c r="B28" s="237"/>
      <c r="AS28" s="290"/>
    </row>
    <row r="29" spans="2:65" x14ac:dyDescent="0.35">
      <c r="B29" s="265" t="s">
        <v>130</v>
      </c>
      <c r="C29" s="266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88"/>
      <c r="AT29" s="265"/>
    </row>
    <row r="30" spans="2:65" x14ac:dyDescent="0.35">
      <c r="B30" s="237" t="str">
        <f>B24</f>
        <v>Senior Discount</v>
      </c>
      <c r="D30" s="291">
        <f>D$24*(1-'Assumptions and Inputs'!$C$104)</f>
        <v>43150.5</v>
      </c>
      <c r="E30" s="55">
        <f>E$24*(1-'Assumptions and Inputs'!$C$104)</f>
        <v>39447.75</v>
      </c>
      <c r="F30" s="55">
        <f>F$24*(1-'Assumptions and Inputs'!$C$104)</f>
        <v>35277.75</v>
      </c>
      <c r="G30" s="55">
        <f>G$24*(1-'Assumptions and Inputs'!$C$104)</f>
        <v>37212</v>
      </c>
      <c r="H30" s="55">
        <f>H$24*(1-'Assumptions and Inputs'!$C$104)</f>
        <v>44319.75</v>
      </c>
      <c r="I30" s="55">
        <f>I$24*(1-'Assumptions and Inputs'!$C$104)</f>
        <v>36344.25</v>
      </c>
      <c r="J30" s="55">
        <f>J$24*(1-'Assumptions and Inputs'!$C$104)</f>
        <v>37446.75</v>
      </c>
      <c r="K30" s="55">
        <f>K$24*(1-'Assumptions and Inputs'!$C$104)</f>
        <v>35620.5</v>
      </c>
      <c r="L30" s="55">
        <f>L$24*(1-'Assumptions and Inputs'!$C$104)</f>
        <v>35430.75</v>
      </c>
      <c r="M30" s="55">
        <f>M$24*(1-'Assumptions and Inputs'!$C$104)</f>
        <v>35641.5</v>
      </c>
      <c r="N30" s="55">
        <f>N$24*(1-'Assumptions and Inputs'!$C$104)</f>
        <v>35667.75</v>
      </c>
      <c r="O30" s="55">
        <f>O$24*(1-'Assumptions and Inputs'!$C$104)</f>
        <v>37266.75</v>
      </c>
      <c r="P30" s="55">
        <f>P$24*(1-'Assumptions and Inputs'!$C$104)</f>
        <v>35480.25</v>
      </c>
      <c r="Q30" s="55">
        <f>Q$24*(1-'Assumptions and Inputs'!$C$104)</f>
        <v>37007.25</v>
      </c>
      <c r="R30" s="55">
        <f>R$24*(1-'Assumptions and Inputs'!$C$104)</f>
        <v>25775.25</v>
      </c>
      <c r="S30" s="55">
        <f>S$24*(1-'Assumptions and Inputs'!$C$104)</f>
        <v>35314.5</v>
      </c>
      <c r="T30" s="55">
        <f>T$24*(1-'Assumptions and Inputs'!$C$104)</f>
        <v>37588.5</v>
      </c>
      <c r="U30" s="55">
        <f>U$24*(1-'Assumptions and Inputs'!$C$104)</f>
        <v>34821</v>
      </c>
      <c r="V30" s="55">
        <f>V$24*(1-'Assumptions and Inputs'!$C$104)</f>
        <v>39640.5</v>
      </c>
      <c r="W30" s="55">
        <f>W$24*(1-'Assumptions and Inputs'!$C$104)</f>
        <v>35437.875</v>
      </c>
      <c r="X30" s="55">
        <f>X$24*(1-'Assumptions and Inputs'!$C$104)</f>
        <v>35437.875</v>
      </c>
      <c r="Y30" s="55">
        <f>Y$24*(1-'Assumptions and Inputs'!$C$104)</f>
        <v>35437.875</v>
      </c>
      <c r="Z30" s="55">
        <f>Z$24*(1-'Assumptions and Inputs'!$C$104)</f>
        <v>35437.875</v>
      </c>
      <c r="AA30" s="55">
        <f>AA$24*(1-'Assumptions and Inputs'!$C$104)</f>
        <v>35437.875</v>
      </c>
      <c r="AB30" s="55">
        <f>AB$24*(1-'Assumptions and Inputs'!$C$104)</f>
        <v>35437.875</v>
      </c>
      <c r="AC30" s="55">
        <f>AC$24*(1-'Assumptions and Inputs'!$C$104)</f>
        <v>35437.875</v>
      </c>
      <c r="AD30" s="55">
        <f>AD$24*(1-'Assumptions and Inputs'!$C$104)</f>
        <v>35437.875</v>
      </c>
      <c r="AE30" s="55">
        <f>AE$24*(1-'Assumptions and Inputs'!$C$104)</f>
        <v>35437.875</v>
      </c>
      <c r="AF30" s="55">
        <f>AF$24*(1-'Assumptions and Inputs'!$C$104)</f>
        <v>35437.875</v>
      </c>
      <c r="AG30" s="55">
        <f>AG$24*(1-'Assumptions and Inputs'!$C$104)</f>
        <v>35437.875</v>
      </c>
      <c r="AH30" s="55">
        <f>AH$24*(1-'Assumptions and Inputs'!$C$104)</f>
        <v>35437.875</v>
      </c>
      <c r="AI30" s="55">
        <f>AI$24*(1-'Assumptions and Inputs'!$C$104)</f>
        <v>35437.875</v>
      </c>
      <c r="AJ30" s="55">
        <f>AJ$24*(1-'Assumptions and Inputs'!$C$104)</f>
        <v>35437.875</v>
      </c>
      <c r="AK30" s="55">
        <f>AK$24*(1-'Assumptions and Inputs'!$C$104)</f>
        <v>35437.875</v>
      </c>
      <c r="AL30" s="55">
        <f>AL$24*(1-'Assumptions and Inputs'!$C$104)</f>
        <v>35437.875</v>
      </c>
      <c r="AM30" s="55">
        <f>AM$24*(1-'Assumptions and Inputs'!$C$104)</f>
        <v>35437.875</v>
      </c>
      <c r="AN30" s="1"/>
      <c r="AO30" s="55">
        <f>AO$24*(1-'Assumptions and Inputs'!$C$104)</f>
        <v>422816.625</v>
      </c>
      <c r="AQ30" s="55">
        <f>SUM(AB30:AM30)</f>
        <v>425254.5</v>
      </c>
    </row>
    <row r="31" spans="2:65" x14ac:dyDescent="0.35">
      <c r="B31" s="237" t="str">
        <f t="shared" ref="B31:B33" si="6">B25</f>
        <v>PHA Discount</v>
      </c>
      <c r="D31" s="291">
        <f>D$25*(1-'Assumptions and Inputs'!$C$105)</f>
        <v>118332.95</v>
      </c>
      <c r="E31" s="55">
        <f>E$25*(1-'Assumptions and Inputs'!$C$105)</f>
        <v>112540.79999999999</v>
      </c>
      <c r="F31" s="55">
        <f>F$25*(1-'Assumptions and Inputs'!$C$105)</f>
        <v>108736.04999999999</v>
      </c>
      <c r="G31" s="55">
        <f>G$25*(1-'Assumptions and Inputs'!$C$105)</f>
        <v>109331.7</v>
      </c>
      <c r="H31" s="55">
        <f>H$25*(1-'Assumptions and Inputs'!$C$105)</f>
        <v>115178</v>
      </c>
      <c r="I31" s="55">
        <f>I$25*(1-'Assumptions and Inputs'!$C$105)</f>
        <v>104478.15</v>
      </c>
      <c r="J31" s="55">
        <f>J$25*(1-'Assumptions and Inputs'!$C$105)</f>
        <v>100281.04999999999</v>
      </c>
      <c r="K31" s="55">
        <f>K$25*(1-'Assumptions and Inputs'!$C$105)</f>
        <v>97970.65</v>
      </c>
      <c r="L31" s="55">
        <f>L$25*(1-'Assumptions and Inputs'!$C$105)</f>
        <v>114130.15</v>
      </c>
      <c r="M31" s="55">
        <f>M$25*(1-'Assumptions and Inputs'!$C$105)</f>
        <v>101061</v>
      </c>
      <c r="N31" s="55">
        <f>N$25*(1-'Assumptions and Inputs'!$C$105)</f>
        <v>107056.45</v>
      </c>
      <c r="O31" s="55">
        <f>O$25*(1-'Assumptions and Inputs'!$C$105)</f>
        <v>107487.75</v>
      </c>
      <c r="P31" s="55">
        <f>P$25*(1-'Assumptions and Inputs'!$C$105)</f>
        <v>106390.5</v>
      </c>
      <c r="Q31" s="55">
        <f>Q$25*(1-'Assumptions and Inputs'!$C$105)</f>
        <v>102388.15</v>
      </c>
      <c r="R31" s="55">
        <f>R$25*(1-'Assumptions and Inputs'!$C$105)</f>
        <v>93368.849999999991</v>
      </c>
      <c r="S31" s="55">
        <f>S$25*(1-'Assumptions and Inputs'!$C$105)</f>
        <v>101280.45</v>
      </c>
      <c r="T31" s="55">
        <f>T$25*(1-'Assumptions and Inputs'!$C$105)</f>
        <v>110902.04999999999</v>
      </c>
      <c r="U31" s="55">
        <f>U$25*(1-'Assumptions and Inputs'!$C$105)</f>
        <v>96631.15</v>
      </c>
      <c r="V31" s="55">
        <f>V$25*(1-'Assumptions and Inputs'!$C$105)</f>
        <v>98132.15</v>
      </c>
      <c r="W31" s="55">
        <f>W$25*(1-'Assumptions and Inputs'!$C$105)</f>
        <v>103066.60833333334</v>
      </c>
      <c r="X31" s="55">
        <f>X$25*(1-'Assumptions and Inputs'!$C$105)</f>
        <v>103066.60833333334</v>
      </c>
      <c r="Y31" s="55">
        <f>Y$25*(1-'Assumptions and Inputs'!$C$105)</f>
        <v>103066.60833333334</v>
      </c>
      <c r="Z31" s="55">
        <f>Z$25*(1-'Assumptions and Inputs'!$C$105)</f>
        <v>103066.60833333334</v>
      </c>
      <c r="AA31" s="55">
        <f>AA$25*(1-'Assumptions and Inputs'!$C$105)</f>
        <v>103066.60833333334</v>
      </c>
      <c r="AB31" s="55">
        <f>AB$25*(1-'Assumptions and Inputs'!$C$105)</f>
        <v>103066.60833333334</v>
      </c>
      <c r="AC31" s="55">
        <f>AC$25*(1-'Assumptions and Inputs'!$C$105)</f>
        <v>103066.60833333334</v>
      </c>
      <c r="AD31" s="55">
        <f>AD$25*(1-'Assumptions and Inputs'!$C$105)</f>
        <v>103066.60833333334</v>
      </c>
      <c r="AE31" s="55">
        <f>AE$25*(1-'Assumptions and Inputs'!$C$105)</f>
        <v>103066.60833333334</v>
      </c>
      <c r="AF31" s="55">
        <f>AF$25*(1-'Assumptions and Inputs'!$C$105)</f>
        <v>103066.60833333334</v>
      </c>
      <c r="AG31" s="55">
        <f>AG$25*(1-'Assumptions and Inputs'!$C$105)</f>
        <v>103066.60833333334</v>
      </c>
      <c r="AH31" s="55">
        <f>AH$25*(1-'Assumptions and Inputs'!$C$105)</f>
        <v>103066.60833333334</v>
      </c>
      <c r="AI31" s="55">
        <f>AI$25*(1-'Assumptions and Inputs'!$C$105)</f>
        <v>103066.60833333334</v>
      </c>
      <c r="AJ31" s="55">
        <f>AJ$25*(1-'Assumptions and Inputs'!$C$105)</f>
        <v>103066.60833333334</v>
      </c>
      <c r="AK31" s="55">
        <f>AK$25*(1-'Assumptions and Inputs'!$C$105)</f>
        <v>103066.60833333334</v>
      </c>
      <c r="AL31" s="55">
        <f>AL$25*(1-'Assumptions and Inputs'!$C$105)</f>
        <v>103066.60833333334</v>
      </c>
      <c r="AM31" s="55">
        <f>AM$25*(1-'Assumptions and Inputs'!$C$105)</f>
        <v>103066.60833333334</v>
      </c>
      <c r="AN31" s="1"/>
      <c r="AO31" s="55">
        <f>AO$25*(1-'Assumptions and Inputs'!$C$105)</f>
        <v>1224426.3416666668</v>
      </c>
      <c r="AQ31" s="55">
        <f t="shared" ref="AQ31:AQ33" si="7">SUM(AB31:AM31)</f>
        <v>1236799.3000000003</v>
      </c>
    </row>
    <row r="32" spans="2:65" x14ac:dyDescent="0.35">
      <c r="B32" s="237" t="str">
        <f t="shared" si="6"/>
        <v>Non-PHA Discount (Other discount)</v>
      </c>
      <c r="D32" s="291">
        <f>D$26*(1-'Assumptions and Inputs'!$C$106)</f>
        <v>141175.5</v>
      </c>
      <c r="E32" s="55">
        <f>E$26*(1-'Assumptions and Inputs'!$C$106)</f>
        <v>127424.25</v>
      </c>
      <c r="F32" s="55">
        <f>F$26*(1-'Assumptions and Inputs'!$C$106)</f>
        <v>119646.75</v>
      </c>
      <c r="G32" s="55">
        <f>G$26*(1-'Assumptions and Inputs'!$C$106)</f>
        <v>115450.5</v>
      </c>
      <c r="H32" s="55">
        <f>H$26*(1-'Assumptions and Inputs'!$C$106)</f>
        <v>105421.5</v>
      </c>
      <c r="I32" s="55">
        <f>I$26*(1-'Assumptions and Inputs'!$C$106)</f>
        <v>101490</v>
      </c>
      <c r="J32" s="55">
        <f>J$26*(1-'Assumptions and Inputs'!$C$106)</f>
        <v>105966</v>
      </c>
      <c r="K32" s="55">
        <f>K$26*(1-'Assumptions and Inputs'!$C$106)</f>
        <v>96198</v>
      </c>
      <c r="L32" s="55">
        <f>L$26*(1-'Assumptions and Inputs'!$C$106)</f>
        <v>106158</v>
      </c>
      <c r="M32" s="55">
        <f>M$26*(1-'Assumptions and Inputs'!$C$106)</f>
        <v>113733</v>
      </c>
      <c r="N32" s="55">
        <f>N$26*(1-'Assumptions and Inputs'!$C$106)</f>
        <v>117854.25</v>
      </c>
      <c r="O32" s="55">
        <f>O$26*(1-'Assumptions and Inputs'!$C$106)</f>
        <v>125829.75</v>
      </c>
      <c r="P32" s="55">
        <f>P$26*(1-'Assumptions and Inputs'!$C$106)</f>
        <v>121524.75</v>
      </c>
      <c r="Q32" s="55">
        <f>Q$26*(1-'Assumptions and Inputs'!$C$106)</f>
        <v>135810</v>
      </c>
      <c r="R32" s="55">
        <f>R$26*(1-'Assumptions and Inputs'!$C$106)</f>
        <v>98600.25</v>
      </c>
      <c r="S32" s="55">
        <f>S$26*(1-'Assumptions and Inputs'!$C$106)</f>
        <v>104265.75</v>
      </c>
      <c r="T32" s="55">
        <f>T$26*(1-'Assumptions and Inputs'!$C$106)</f>
        <v>108842.25</v>
      </c>
      <c r="U32" s="55">
        <f>U$26*(1-'Assumptions and Inputs'!$C$106)</f>
        <v>99207.75</v>
      </c>
      <c r="V32" s="55">
        <f>V$26*(1-'Assumptions and Inputs'!$C$106)</f>
        <v>97196.25</v>
      </c>
      <c r="W32" s="55">
        <f>W$26*(1-'Assumptions and Inputs'!$C$106)</f>
        <v>110435</v>
      </c>
      <c r="X32" s="55">
        <f>X$26*(1-'Assumptions and Inputs'!$C$106)</f>
        <v>110435</v>
      </c>
      <c r="Y32" s="55">
        <f>Y$26*(1-'Assumptions and Inputs'!$C$106)</f>
        <v>110435</v>
      </c>
      <c r="Z32" s="55">
        <f>Z$26*(1-'Assumptions and Inputs'!$C$106)</f>
        <v>110435</v>
      </c>
      <c r="AA32" s="55">
        <f>AA$26*(1-'Assumptions and Inputs'!$C$106)</f>
        <v>110435</v>
      </c>
      <c r="AB32" s="55">
        <f>AB$26*(1-'Assumptions and Inputs'!$C$106)</f>
        <v>110435</v>
      </c>
      <c r="AC32" s="55">
        <f>AC$26*(1-'Assumptions and Inputs'!$C$106)</f>
        <v>110435</v>
      </c>
      <c r="AD32" s="55">
        <f>AD$26*(1-'Assumptions and Inputs'!$C$106)</f>
        <v>110435</v>
      </c>
      <c r="AE32" s="55">
        <f>AE$26*(1-'Assumptions and Inputs'!$C$106)</f>
        <v>110435</v>
      </c>
      <c r="AF32" s="55">
        <f>AF$26*(1-'Assumptions and Inputs'!$C$106)</f>
        <v>110435</v>
      </c>
      <c r="AG32" s="55">
        <f>AG$26*(1-'Assumptions and Inputs'!$C$106)</f>
        <v>110435</v>
      </c>
      <c r="AH32" s="55">
        <f>AH$26*(1-'Assumptions and Inputs'!$C$106)</f>
        <v>110435</v>
      </c>
      <c r="AI32" s="55">
        <f>AI$26*(1-'Assumptions and Inputs'!$C$106)</f>
        <v>110435</v>
      </c>
      <c r="AJ32" s="55">
        <f>AJ$26*(1-'Assumptions and Inputs'!$C$106)</f>
        <v>110435</v>
      </c>
      <c r="AK32" s="55">
        <f>AK$26*(1-'Assumptions and Inputs'!$C$106)</f>
        <v>110435</v>
      </c>
      <c r="AL32" s="55">
        <f>AL$26*(1-'Assumptions and Inputs'!$C$106)</f>
        <v>110435</v>
      </c>
      <c r="AM32" s="55">
        <f>AM$26*(1-'Assumptions and Inputs'!$C$106)</f>
        <v>110435</v>
      </c>
      <c r="AN32" s="1"/>
      <c r="AO32" s="55">
        <f>AO$26*(1-'Assumptions and Inputs'!$C$106)</f>
        <v>1317622.0000000002</v>
      </c>
      <c r="AQ32" s="55">
        <f t="shared" si="7"/>
        <v>1325220</v>
      </c>
    </row>
    <row r="33" spans="2:65" x14ac:dyDescent="0.35">
      <c r="B33" s="237" t="str">
        <f t="shared" si="6"/>
        <v>No Additional Discount</v>
      </c>
      <c r="D33" s="291">
        <f>D27</f>
        <v>4606561</v>
      </c>
      <c r="E33" s="55">
        <f t="shared" ref="E33:AO33" si="8">E27</f>
        <v>4301915</v>
      </c>
      <c r="F33" s="55">
        <f t="shared" si="8"/>
        <v>3983679</v>
      </c>
      <c r="G33" s="55">
        <f t="shared" si="8"/>
        <v>4018382</v>
      </c>
      <c r="H33" s="55">
        <f t="shared" si="8"/>
        <v>4204897</v>
      </c>
      <c r="I33" s="55">
        <f t="shared" si="8"/>
        <v>3656723</v>
      </c>
      <c r="J33" s="55">
        <f t="shared" si="8"/>
        <v>3705848</v>
      </c>
      <c r="K33" s="55">
        <f t="shared" si="8"/>
        <v>3768623</v>
      </c>
      <c r="L33" s="55">
        <f t="shared" si="8"/>
        <v>3942518</v>
      </c>
      <c r="M33" s="55">
        <f t="shared" si="8"/>
        <v>4123420</v>
      </c>
      <c r="N33" s="55">
        <f t="shared" si="8"/>
        <v>4307512</v>
      </c>
      <c r="O33" s="55">
        <f t="shared" si="8"/>
        <v>4456512</v>
      </c>
      <c r="P33" s="55">
        <f t="shared" si="8"/>
        <v>4324158</v>
      </c>
      <c r="Q33" s="55">
        <f t="shared" si="8"/>
        <v>4440404</v>
      </c>
      <c r="R33" s="55">
        <f t="shared" si="8"/>
        <v>3355146</v>
      </c>
      <c r="S33" s="55">
        <f t="shared" si="8"/>
        <v>4051393</v>
      </c>
      <c r="T33" s="55">
        <f t="shared" si="8"/>
        <v>4167268</v>
      </c>
      <c r="U33" s="55">
        <f t="shared" si="8"/>
        <v>3744303</v>
      </c>
      <c r="V33" s="55">
        <f t="shared" si="8"/>
        <v>3987806</v>
      </c>
      <c r="W33" s="55">
        <f t="shared" si="8"/>
        <v>4055755.25</v>
      </c>
      <c r="X33" s="55">
        <f t="shared" si="8"/>
        <v>4055755.25</v>
      </c>
      <c r="Y33" s="55">
        <f t="shared" si="8"/>
        <v>4055755.25</v>
      </c>
      <c r="Z33" s="55">
        <f t="shared" si="8"/>
        <v>4055755.25</v>
      </c>
      <c r="AA33" s="55">
        <f t="shared" si="8"/>
        <v>4055755.25</v>
      </c>
      <c r="AB33" s="55">
        <f t="shared" ref="AB33:AM33" si="9">AB27</f>
        <v>4055755.25</v>
      </c>
      <c r="AC33" s="55">
        <f t="shared" si="9"/>
        <v>4055755.25</v>
      </c>
      <c r="AD33" s="55">
        <f t="shared" si="9"/>
        <v>4055755.25</v>
      </c>
      <c r="AE33" s="55">
        <f t="shared" si="9"/>
        <v>4055755.25</v>
      </c>
      <c r="AF33" s="55">
        <f t="shared" si="9"/>
        <v>4055755.25</v>
      </c>
      <c r="AG33" s="55">
        <f t="shared" si="9"/>
        <v>4055755.25</v>
      </c>
      <c r="AH33" s="55">
        <f t="shared" si="9"/>
        <v>4055755.25</v>
      </c>
      <c r="AI33" s="55">
        <f t="shared" si="9"/>
        <v>4055755.25</v>
      </c>
      <c r="AJ33" s="55">
        <f t="shared" si="9"/>
        <v>4055755.25</v>
      </c>
      <c r="AK33" s="55">
        <f t="shared" si="9"/>
        <v>4055755.25</v>
      </c>
      <c r="AL33" s="55">
        <f t="shared" si="9"/>
        <v>4055755.25</v>
      </c>
      <c r="AM33" s="55">
        <f t="shared" si="9"/>
        <v>4055755.25</v>
      </c>
      <c r="AN33" s="123"/>
      <c r="AO33" s="55">
        <f t="shared" si="8"/>
        <v>48349254.25</v>
      </c>
      <c r="AQ33" s="55">
        <f t="shared" si="7"/>
        <v>48669063</v>
      </c>
    </row>
    <row r="34" spans="2:65" x14ac:dyDescent="0.35">
      <c r="B34" s="237"/>
      <c r="D34" s="292"/>
      <c r="AS34" s="290"/>
    </row>
    <row r="35" spans="2:65" x14ac:dyDescent="0.35">
      <c r="B35" s="293" t="s">
        <v>125</v>
      </c>
      <c r="C35" s="270"/>
      <c r="D35" s="294">
        <f t="shared" ref="D35:O35" si="10">SUM(D21:D21)</f>
        <v>420544</v>
      </c>
      <c r="E35" s="123">
        <f t="shared" si="10"/>
        <v>409435</v>
      </c>
      <c r="F35" s="123">
        <f t="shared" si="10"/>
        <v>358125</v>
      </c>
      <c r="G35" s="123">
        <f t="shared" si="10"/>
        <v>382960</v>
      </c>
      <c r="H35" s="123">
        <f t="shared" si="10"/>
        <v>433104</v>
      </c>
      <c r="I35" s="123">
        <f t="shared" si="10"/>
        <v>364141</v>
      </c>
      <c r="J35" s="123">
        <f t="shared" si="10"/>
        <v>379057</v>
      </c>
      <c r="K35" s="123">
        <f t="shared" si="10"/>
        <v>382353</v>
      </c>
      <c r="L35" s="123">
        <f t="shared" si="10"/>
        <v>395758</v>
      </c>
      <c r="M35" s="123">
        <f t="shared" si="10"/>
        <v>419696</v>
      </c>
      <c r="N35" s="123">
        <f t="shared" si="10"/>
        <v>423997</v>
      </c>
      <c r="O35" s="123">
        <f t="shared" si="10"/>
        <v>450076</v>
      </c>
      <c r="P35" s="123">
        <f t="shared" ref="P35:AA35" si="11">SUM(P21:P21)</f>
        <v>444157</v>
      </c>
      <c r="Q35" s="123">
        <f t="shared" si="11"/>
        <v>466827</v>
      </c>
      <c r="R35" s="123">
        <f t="shared" si="11"/>
        <v>340206</v>
      </c>
      <c r="S35" s="123">
        <f t="shared" si="11"/>
        <v>453729</v>
      </c>
      <c r="T35" s="123">
        <f t="shared" si="11"/>
        <v>474801</v>
      </c>
      <c r="U35" s="123">
        <f t="shared" si="11"/>
        <v>423513</v>
      </c>
      <c r="V35" s="123">
        <f t="shared" si="11"/>
        <v>464349</v>
      </c>
      <c r="W35" s="123">
        <f t="shared" si="11"/>
        <v>458502.97748004051</v>
      </c>
      <c r="X35" s="123">
        <f t="shared" si="11"/>
        <v>459649.2349237405</v>
      </c>
      <c r="Y35" s="123">
        <f t="shared" si="11"/>
        <v>460798.35801104986</v>
      </c>
      <c r="Z35" s="123">
        <f t="shared" si="11"/>
        <v>461950.35390607739</v>
      </c>
      <c r="AA35" s="123">
        <f t="shared" si="11"/>
        <v>463105.22979084251</v>
      </c>
      <c r="AB35" s="123">
        <f t="shared" ref="AB35:AM35" si="12">SUM(AB21:AB21)</f>
        <v>464262.9928653196</v>
      </c>
      <c r="AC35" s="123">
        <f t="shared" si="12"/>
        <v>465423.65034748288</v>
      </c>
      <c r="AD35" s="123">
        <f t="shared" si="12"/>
        <v>466587.2094733516</v>
      </c>
      <c r="AE35" s="123">
        <f t="shared" si="12"/>
        <v>467753.67749703495</v>
      </c>
      <c r="AF35" s="123">
        <f t="shared" si="12"/>
        <v>468923.06169077754</v>
      </c>
      <c r="AG35" s="123">
        <f t="shared" si="12"/>
        <v>470095.3693450045</v>
      </c>
      <c r="AH35" s="123">
        <f t="shared" si="12"/>
        <v>471270.60776836699</v>
      </c>
      <c r="AI35" s="123">
        <f t="shared" si="12"/>
        <v>472448.7842877878</v>
      </c>
      <c r="AJ35" s="123">
        <f t="shared" si="12"/>
        <v>473629.90624850726</v>
      </c>
      <c r="AK35" s="123">
        <f t="shared" si="12"/>
        <v>474813.98101412854</v>
      </c>
      <c r="AL35" s="123">
        <f t="shared" si="12"/>
        <v>476001.01596666384</v>
      </c>
      <c r="AM35" s="123">
        <f t="shared" si="12"/>
        <v>477191.01850658044</v>
      </c>
      <c r="AO35" s="55">
        <f t="shared" ref="AO35:AO38" si="13">SUM(P35:AA35)</f>
        <v>5371588.1541117504</v>
      </c>
      <c r="AQ35" s="55">
        <f t="shared" ref="AQ35:AQ38" si="14">SUM(AB35:AM35)</f>
        <v>5648401.2750110067</v>
      </c>
      <c r="AS35" s="272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</row>
    <row r="36" spans="2:65" x14ac:dyDescent="0.35">
      <c r="B36" s="293" t="s">
        <v>127</v>
      </c>
      <c r="C36" s="295"/>
      <c r="D36" s="294">
        <f>SUM(D30:D33)</f>
        <v>4909219.95</v>
      </c>
      <c r="E36" s="123">
        <f t="shared" ref="E36:AA36" si="15">SUM(E30:E33)</f>
        <v>4581327.8</v>
      </c>
      <c r="F36" s="123">
        <f t="shared" si="15"/>
        <v>4247339.55</v>
      </c>
      <c r="G36" s="123">
        <f t="shared" si="15"/>
        <v>4280376.2</v>
      </c>
      <c r="H36" s="123">
        <f t="shared" si="15"/>
        <v>4469816.25</v>
      </c>
      <c r="I36" s="123">
        <f t="shared" si="15"/>
        <v>3899035.4</v>
      </c>
      <c r="J36" s="123">
        <f t="shared" si="15"/>
        <v>3949541.8</v>
      </c>
      <c r="K36" s="123">
        <f t="shared" si="15"/>
        <v>3998412.15</v>
      </c>
      <c r="L36" s="123">
        <f t="shared" si="15"/>
        <v>4198236.9000000004</v>
      </c>
      <c r="M36" s="123">
        <f t="shared" si="15"/>
        <v>4373855.5</v>
      </c>
      <c r="N36" s="123">
        <f t="shared" si="15"/>
        <v>4568090.45</v>
      </c>
      <c r="O36" s="123">
        <f t="shared" si="15"/>
        <v>4727096.25</v>
      </c>
      <c r="P36" s="123">
        <f t="shared" si="15"/>
        <v>4587553.5</v>
      </c>
      <c r="Q36" s="123">
        <f t="shared" si="15"/>
        <v>4715609.4000000004</v>
      </c>
      <c r="R36" s="123">
        <f t="shared" si="15"/>
        <v>3572890.35</v>
      </c>
      <c r="S36" s="123">
        <f t="shared" si="15"/>
        <v>4292253.7</v>
      </c>
      <c r="T36" s="123">
        <f t="shared" si="15"/>
        <v>4424600.8</v>
      </c>
      <c r="U36" s="123">
        <f t="shared" si="15"/>
        <v>3974962.9</v>
      </c>
      <c r="V36" s="123">
        <f t="shared" si="15"/>
        <v>4222774.9000000004</v>
      </c>
      <c r="W36" s="123">
        <f t="shared" si="15"/>
        <v>4304694.7333333334</v>
      </c>
      <c r="X36" s="123">
        <f t="shared" si="15"/>
        <v>4304694.7333333334</v>
      </c>
      <c r="Y36" s="123">
        <f t="shared" si="15"/>
        <v>4304694.7333333334</v>
      </c>
      <c r="Z36" s="123">
        <f t="shared" si="15"/>
        <v>4304694.7333333334</v>
      </c>
      <c r="AA36" s="123">
        <f t="shared" si="15"/>
        <v>4304694.7333333334</v>
      </c>
      <c r="AB36" s="123">
        <f t="shared" ref="AB36:AM36" si="16">SUM(AB30:AB33)</f>
        <v>4304694.7333333334</v>
      </c>
      <c r="AC36" s="123">
        <f t="shared" si="16"/>
        <v>4304694.7333333334</v>
      </c>
      <c r="AD36" s="123">
        <f t="shared" si="16"/>
        <v>4304694.7333333334</v>
      </c>
      <c r="AE36" s="123">
        <f t="shared" si="16"/>
        <v>4304694.7333333334</v>
      </c>
      <c r="AF36" s="123">
        <f t="shared" si="16"/>
        <v>4304694.7333333334</v>
      </c>
      <c r="AG36" s="123">
        <f t="shared" si="16"/>
        <v>4304694.7333333334</v>
      </c>
      <c r="AH36" s="123">
        <f t="shared" si="16"/>
        <v>4304694.7333333334</v>
      </c>
      <c r="AI36" s="123">
        <f t="shared" si="16"/>
        <v>4304694.7333333334</v>
      </c>
      <c r="AJ36" s="123">
        <f t="shared" si="16"/>
        <v>4304694.7333333334</v>
      </c>
      <c r="AK36" s="123">
        <f t="shared" si="16"/>
        <v>4304694.7333333334</v>
      </c>
      <c r="AL36" s="123">
        <f t="shared" si="16"/>
        <v>4304694.7333333334</v>
      </c>
      <c r="AM36" s="123">
        <f t="shared" si="16"/>
        <v>4304694.7333333334</v>
      </c>
      <c r="AO36" s="55">
        <f t="shared" si="13"/>
        <v>51314119.216666669</v>
      </c>
      <c r="AQ36" s="55">
        <f t="shared" si="14"/>
        <v>51656336.800000004</v>
      </c>
      <c r="AS36" s="296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</row>
    <row r="37" spans="2:65" x14ac:dyDescent="0.35">
      <c r="B37" s="293"/>
      <c r="D37" s="294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</row>
    <row r="38" spans="2:65" x14ac:dyDescent="0.35">
      <c r="B38" s="96" t="s">
        <v>131</v>
      </c>
      <c r="D38" s="294">
        <f t="shared" ref="D38:O38" si="17">SUM(D35:D36)</f>
        <v>5329763.95</v>
      </c>
      <c r="E38" s="123">
        <f t="shared" si="17"/>
        <v>4990762.8</v>
      </c>
      <c r="F38" s="123">
        <f t="shared" si="17"/>
        <v>4605464.55</v>
      </c>
      <c r="G38" s="123">
        <f t="shared" si="17"/>
        <v>4663336.2</v>
      </c>
      <c r="H38" s="123">
        <f t="shared" si="17"/>
        <v>4902920.25</v>
      </c>
      <c r="I38" s="123">
        <f t="shared" si="17"/>
        <v>4263176.4000000004</v>
      </c>
      <c r="J38" s="123">
        <f t="shared" si="17"/>
        <v>4328598.8</v>
      </c>
      <c r="K38" s="123">
        <f t="shared" si="17"/>
        <v>4380765.1500000004</v>
      </c>
      <c r="L38" s="123">
        <f t="shared" si="17"/>
        <v>4593994.9000000004</v>
      </c>
      <c r="M38" s="123">
        <f t="shared" si="17"/>
        <v>4793551.5</v>
      </c>
      <c r="N38" s="123">
        <f t="shared" si="17"/>
        <v>4992087.45</v>
      </c>
      <c r="O38" s="123">
        <f t="shared" si="17"/>
        <v>5177172.25</v>
      </c>
      <c r="P38" s="123">
        <f t="shared" ref="P38:AA38" si="18">SUM(P35:P36)</f>
        <v>5031710.5</v>
      </c>
      <c r="Q38" s="123">
        <f t="shared" si="18"/>
        <v>5182436.4000000004</v>
      </c>
      <c r="R38" s="123">
        <f t="shared" si="18"/>
        <v>3913096.35</v>
      </c>
      <c r="S38" s="123">
        <f t="shared" si="18"/>
        <v>4745982.7</v>
      </c>
      <c r="T38" s="123">
        <f t="shared" si="18"/>
        <v>4899401.8</v>
      </c>
      <c r="U38" s="123">
        <f t="shared" si="18"/>
        <v>4398475.9000000004</v>
      </c>
      <c r="V38" s="123">
        <f t="shared" si="18"/>
        <v>4687123.9000000004</v>
      </c>
      <c r="W38" s="123">
        <f t="shared" si="18"/>
        <v>4763197.7108133743</v>
      </c>
      <c r="X38" s="123">
        <f t="shared" si="18"/>
        <v>4764343.9682570742</v>
      </c>
      <c r="Y38" s="123">
        <f t="shared" si="18"/>
        <v>4765493.0913443835</v>
      </c>
      <c r="Z38" s="123">
        <f t="shared" si="18"/>
        <v>4766645.0872394107</v>
      </c>
      <c r="AA38" s="123">
        <f t="shared" si="18"/>
        <v>4767799.9631241756</v>
      </c>
      <c r="AB38" s="123">
        <f t="shared" ref="AB38:AM38" si="19">SUM(AB35:AB36)</f>
        <v>4768957.7261986528</v>
      </c>
      <c r="AC38" s="123">
        <f t="shared" si="19"/>
        <v>4770118.3836808167</v>
      </c>
      <c r="AD38" s="123">
        <f t="shared" si="19"/>
        <v>4771281.9428066853</v>
      </c>
      <c r="AE38" s="123">
        <f t="shared" si="19"/>
        <v>4772448.4108303683</v>
      </c>
      <c r="AF38" s="123">
        <f t="shared" si="19"/>
        <v>4773617.7950241109</v>
      </c>
      <c r="AG38" s="123">
        <f t="shared" si="19"/>
        <v>4774790.1026783381</v>
      </c>
      <c r="AH38" s="123">
        <f t="shared" si="19"/>
        <v>4775965.3411017004</v>
      </c>
      <c r="AI38" s="123">
        <f t="shared" si="19"/>
        <v>4777143.5176211214</v>
      </c>
      <c r="AJ38" s="123">
        <f t="shared" si="19"/>
        <v>4778324.6395818405</v>
      </c>
      <c r="AK38" s="123">
        <f t="shared" si="19"/>
        <v>4779508.7143474622</v>
      </c>
      <c r="AL38" s="123">
        <f t="shared" si="19"/>
        <v>4780695.7492999975</v>
      </c>
      <c r="AM38" s="123">
        <f t="shared" si="19"/>
        <v>4781885.7518399134</v>
      </c>
      <c r="AO38" s="55">
        <f t="shared" si="13"/>
        <v>56685707.370778419</v>
      </c>
      <c r="AQ38" s="55">
        <f t="shared" si="14"/>
        <v>57304738.075011007</v>
      </c>
    </row>
    <row r="39" spans="2:65" x14ac:dyDescent="0.35">
      <c r="B39" s="96"/>
      <c r="D39" s="29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</row>
    <row r="40" spans="2:65" x14ac:dyDescent="0.35">
      <c r="B40" s="96" t="s">
        <v>132</v>
      </c>
      <c r="D40" s="294">
        <f t="shared" ref="D40:O40" si="20">D36</f>
        <v>4909219.95</v>
      </c>
      <c r="E40" s="123">
        <f t="shared" si="20"/>
        <v>4581327.8</v>
      </c>
      <c r="F40" s="123">
        <f t="shared" si="20"/>
        <v>4247339.55</v>
      </c>
      <c r="G40" s="123">
        <f t="shared" si="20"/>
        <v>4280376.2</v>
      </c>
      <c r="H40" s="123">
        <f t="shared" si="20"/>
        <v>4469816.25</v>
      </c>
      <c r="I40" s="123">
        <f t="shared" si="20"/>
        <v>3899035.4</v>
      </c>
      <c r="J40" s="123">
        <f t="shared" si="20"/>
        <v>3949541.8</v>
      </c>
      <c r="K40" s="123">
        <f t="shared" si="20"/>
        <v>3998412.15</v>
      </c>
      <c r="L40" s="123">
        <f t="shared" si="20"/>
        <v>4198236.9000000004</v>
      </c>
      <c r="M40" s="123">
        <f t="shared" si="20"/>
        <v>4373855.5</v>
      </c>
      <c r="N40" s="123">
        <f t="shared" si="20"/>
        <v>4568090.45</v>
      </c>
      <c r="O40" s="123">
        <f t="shared" si="20"/>
        <v>4727096.25</v>
      </c>
      <c r="P40" s="123">
        <f t="shared" ref="P40:AA40" si="21">P36</f>
        <v>4587553.5</v>
      </c>
      <c r="Q40" s="123">
        <f t="shared" si="21"/>
        <v>4715609.4000000004</v>
      </c>
      <c r="R40" s="123">
        <f t="shared" si="21"/>
        <v>3572890.35</v>
      </c>
      <c r="S40" s="123">
        <f t="shared" si="21"/>
        <v>4292253.7</v>
      </c>
      <c r="T40" s="123">
        <f t="shared" si="21"/>
        <v>4424600.8</v>
      </c>
      <c r="U40" s="123">
        <f t="shared" si="21"/>
        <v>3974962.9</v>
      </c>
      <c r="V40" s="123">
        <f t="shared" si="21"/>
        <v>4222774.9000000004</v>
      </c>
      <c r="W40" s="123">
        <f t="shared" si="21"/>
        <v>4304694.7333333334</v>
      </c>
      <c r="X40" s="123">
        <f t="shared" si="21"/>
        <v>4304694.7333333334</v>
      </c>
      <c r="Y40" s="123">
        <f t="shared" si="21"/>
        <v>4304694.7333333334</v>
      </c>
      <c r="Z40" s="123">
        <f t="shared" si="21"/>
        <v>4304694.7333333334</v>
      </c>
      <c r="AA40" s="123">
        <f t="shared" si="21"/>
        <v>4304694.7333333334</v>
      </c>
      <c r="AB40" s="123">
        <f t="shared" ref="AB40:AM40" si="22">AB36</f>
        <v>4304694.7333333334</v>
      </c>
      <c r="AC40" s="123">
        <f t="shared" si="22"/>
        <v>4304694.7333333334</v>
      </c>
      <c r="AD40" s="123">
        <f t="shared" si="22"/>
        <v>4304694.7333333334</v>
      </c>
      <c r="AE40" s="123">
        <f t="shared" si="22"/>
        <v>4304694.7333333334</v>
      </c>
      <c r="AF40" s="123">
        <f t="shared" si="22"/>
        <v>4304694.7333333334</v>
      </c>
      <c r="AG40" s="123">
        <f t="shared" si="22"/>
        <v>4304694.7333333334</v>
      </c>
      <c r="AH40" s="123">
        <f t="shared" si="22"/>
        <v>4304694.7333333334</v>
      </c>
      <c r="AI40" s="123">
        <f t="shared" si="22"/>
        <v>4304694.7333333334</v>
      </c>
      <c r="AJ40" s="123">
        <f t="shared" si="22"/>
        <v>4304694.7333333334</v>
      </c>
      <c r="AK40" s="123">
        <f t="shared" si="22"/>
        <v>4304694.7333333334</v>
      </c>
      <c r="AL40" s="123">
        <f t="shared" si="22"/>
        <v>4304694.7333333334</v>
      </c>
      <c r="AM40" s="123">
        <f t="shared" si="22"/>
        <v>4304694.7333333334</v>
      </c>
      <c r="AO40" s="55">
        <f t="shared" ref="AO40" si="23">SUM(P40:AA40)</f>
        <v>51314119.216666669</v>
      </c>
      <c r="AQ40" s="55">
        <f>SUM(AB40:AM40)</f>
        <v>51656336.800000004</v>
      </c>
      <c r="AZ40" s="123"/>
      <c r="BA40" s="123"/>
      <c r="BB40" s="123"/>
      <c r="BC40" s="123"/>
      <c r="BD40" s="123"/>
    </row>
    <row r="41" spans="2:65" x14ac:dyDescent="0.35">
      <c r="B41" s="96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Z41" s="53"/>
      <c r="BA41" s="53"/>
      <c r="BB41" s="53"/>
      <c r="BC41" s="53"/>
      <c r="BD41" s="53"/>
      <c r="BH41" s="53"/>
      <c r="BI41" s="55"/>
    </row>
    <row r="42" spans="2:65" x14ac:dyDescent="0.35">
      <c r="D42" s="123"/>
      <c r="E42" s="123"/>
      <c r="F42" s="123"/>
      <c r="G42" s="123"/>
      <c r="H42" s="123"/>
    </row>
    <row r="43" spans="2:65" x14ac:dyDescent="0.35">
      <c r="B43" s="297" t="s">
        <v>133</v>
      </c>
      <c r="C43" s="298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1"/>
      <c r="AO43" s="301"/>
      <c r="AP43" s="301"/>
      <c r="AQ43" s="301"/>
      <c r="AR43" s="301"/>
      <c r="AS43" s="299"/>
      <c r="AT43" s="299"/>
    </row>
    <row r="44" spans="2:65" x14ac:dyDescent="0.35"/>
    <row r="45" spans="2:65" x14ac:dyDescent="0.35">
      <c r="B45" s="265" t="s">
        <v>125</v>
      </c>
      <c r="C45" s="266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326"/>
      <c r="U45" s="326"/>
      <c r="V45" s="326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88" t="s">
        <v>324</v>
      </c>
      <c r="AT45" s="265"/>
    </row>
    <row r="46" spans="2:65" x14ac:dyDescent="0.35">
      <c r="B46" s="237" t="s">
        <v>125</v>
      </c>
      <c r="D46" s="289">
        <v>420198</v>
      </c>
      <c r="E46" s="289">
        <v>409059</v>
      </c>
      <c r="F46" s="289">
        <v>357784</v>
      </c>
      <c r="G46" s="289">
        <v>382625</v>
      </c>
      <c r="H46" s="289">
        <v>432797</v>
      </c>
      <c r="I46" s="289">
        <v>363856</v>
      </c>
      <c r="J46" s="289">
        <v>378768</v>
      </c>
      <c r="K46" s="289">
        <v>382075</v>
      </c>
      <c r="L46" s="289">
        <v>395427</v>
      </c>
      <c r="M46" s="289">
        <v>419359</v>
      </c>
      <c r="N46" s="289">
        <v>423626</v>
      </c>
      <c r="O46" s="289">
        <v>449771</v>
      </c>
      <c r="P46" s="289">
        <v>443876</v>
      </c>
      <c r="Q46" s="289">
        <v>466528</v>
      </c>
      <c r="R46" s="289">
        <v>339938</v>
      </c>
      <c r="S46" s="289">
        <v>453388</v>
      </c>
      <c r="T46" s="332">
        <v>474423</v>
      </c>
      <c r="U46" s="332">
        <v>423187</v>
      </c>
      <c r="V46" s="332">
        <v>463972</v>
      </c>
      <c r="W46" s="123">
        <f>W$8*'Assumptions and Inputs'!$C$11/100</f>
        <v>458502.97748004051</v>
      </c>
      <c r="X46" s="123">
        <f>X$8*'Assumptions and Inputs'!$C$11/100</f>
        <v>459649.2349237405</v>
      </c>
      <c r="Y46" s="123">
        <f>Y$8*'Assumptions and Inputs'!$C$11/100</f>
        <v>460798.35801104986</v>
      </c>
      <c r="Z46" s="123">
        <f>Z$8*'Assumptions and Inputs'!$C$11/100</f>
        <v>461950.35390607739</v>
      </c>
      <c r="AA46" s="123">
        <f>AA$8*'Assumptions and Inputs'!$C$11/100</f>
        <v>463105.22979084251</v>
      </c>
      <c r="AB46" s="123">
        <f>AB$8*'Assumptions and Inputs'!$C$11/100</f>
        <v>464262.9928653196</v>
      </c>
      <c r="AC46" s="123">
        <f>AC$8*'Assumptions and Inputs'!$C$11/100</f>
        <v>465423.65034748288</v>
      </c>
      <c r="AD46" s="123">
        <f>AD$8*'Assumptions and Inputs'!$C$11/100</f>
        <v>466587.2094733516</v>
      </c>
      <c r="AE46" s="123">
        <f>AE$8*'Assumptions and Inputs'!$C$11/100</f>
        <v>467753.67749703495</v>
      </c>
      <c r="AF46" s="123">
        <f>AF$8*'Assumptions and Inputs'!$C$11/100</f>
        <v>468923.06169077754</v>
      </c>
      <c r="AG46" s="123">
        <f>AG$8*'Assumptions and Inputs'!$C$11/100</f>
        <v>470095.3693450045</v>
      </c>
      <c r="AH46" s="123">
        <f>AH$8*'Assumptions and Inputs'!$C$11/100</f>
        <v>471270.60776836699</v>
      </c>
      <c r="AI46" s="123">
        <f>AI$8*'Assumptions and Inputs'!$C$11/100</f>
        <v>472448.7842877878</v>
      </c>
      <c r="AJ46" s="123">
        <f>AJ$8*'Assumptions and Inputs'!$C$11/100</f>
        <v>473629.90624850726</v>
      </c>
      <c r="AK46" s="123">
        <f>AK$8*'Assumptions and Inputs'!$C$11/100</f>
        <v>474813.98101412854</v>
      </c>
      <c r="AL46" s="123">
        <f>AL$8*'Assumptions and Inputs'!$C$11/100</f>
        <v>476001.01596666384</v>
      </c>
      <c r="AM46" s="123">
        <f>AM$8*'Assumptions and Inputs'!$C$11/100</f>
        <v>477191.01850658044</v>
      </c>
      <c r="AO46" s="55">
        <f t="shared" ref="AO46" si="24">SUM(P46:AA46)</f>
        <v>5369318.1541117504</v>
      </c>
      <c r="AQ46" s="55">
        <f t="shared" ref="AQ46" si="25">SUM(AB46:AM46)</f>
        <v>5648401.2750110067</v>
      </c>
      <c r="AT46" s="1" t="s">
        <v>118</v>
      </c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</row>
    <row r="47" spans="2:65" x14ac:dyDescent="0.35"/>
    <row r="48" spans="2:65" x14ac:dyDescent="0.35">
      <c r="B48" s="265" t="s">
        <v>127</v>
      </c>
      <c r="C48" s="266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88" t="s">
        <v>325</v>
      </c>
      <c r="AT48" s="265"/>
    </row>
    <row r="49" spans="2:61" x14ac:dyDescent="0.35">
      <c r="B49" s="237" t="s">
        <v>86</v>
      </c>
      <c r="D49" s="289">
        <v>57492</v>
      </c>
      <c r="E49" s="289">
        <v>52566</v>
      </c>
      <c r="F49" s="289">
        <v>46996</v>
      </c>
      <c r="G49" s="289">
        <v>49358</v>
      </c>
      <c r="H49" s="289">
        <v>59062</v>
      </c>
      <c r="I49" s="289">
        <v>48427</v>
      </c>
      <c r="J49" s="289">
        <v>49880</v>
      </c>
      <c r="K49" s="289">
        <v>47466</v>
      </c>
      <c r="L49" s="289">
        <v>47208</v>
      </c>
      <c r="M49" s="289">
        <v>47485</v>
      </c>
      <c r="N49" s="289">
        <v>47519</v>
      </c>
      <c r="O49" s="289">
        <v>49640</v>
      </c>
      <c r="P49" s="289">
        <v>47240</v>
      </c>
      <c r="Q49" s="289">
        <v>49276</v>
      </c>
      <c r="R49" s="289">
        <v>34334</v>
      </c>
      <c r="S49" s="289">
        <v>47051</v>
      </c>
      <c r="T49" s="332">
        <v>50086</v>
      </c>
      <c r="U49" s="332">
        <v>46398</v>
      </c>
      <c r="V49" s="332">
        <v>52810</v>
      </c>
      <c r="W49" s="123">
        <f>AVERAGE($K49:$V49)</f>
        <v>47209.416666666664</v>
      </c>
      <c r="X49" s="123">
        <f t="shared" ref="X49:AM52" si="26">AVERAGE($K49:$V49)</f>
        <v>47209.416666666664</v>
      </c>
      <c r="Y49" s="123">
        <f t="shared" si="26"/>
        <v>47209.416666666664</v>
      </c>
      <c r="Z49" s="123">
        <f t="shared" si="26"/>
        <v>47209.416666666664</v>
      </c>
      <c r="AA49" s="123">
        <f t="shared" si="26"/>
        <v>47209.416666666664</v>
      </c>
      <c r="AB49" s="123">
        <f t="shared" si="26"/>
        <v>47209.416666666664</v>
      </c>
      <c r="AC49" s="123">
        <f t="shared" si="26"/>
        <v>47209.416666666664</v>
      </c>
      <c r="AD49" s="123">
        <f t="shared" si="26"/>
        <v>47209.416666666664</v>
      </c>
      <c r="AE49" s="123">
        <f t="shared" si="26"/>
        <v>47209.416666666664</v>
      </c>
      <c r="AF49" s="123">
        <f t="shared" si="26"/>
        <v>47209.416666666664</v>
      </c>
      <c r="AG49" s="123">
        <f t="shared" si="26"/>
        <v>47209.416666666664</v>
      </c>
      <c r="AH49" s="123">
        <f t="shared" si="26"/>
        <v>47209.416666666664</v>
      </c>
      <c r="AI49" s="123">
        <f t="shared" si="26"/>
        <v>47209.416666666664</v>
      </c>
      <c r="AJ49" s="123">
        <f t="shared" si="26"/>
        <v>47209.416666666664</v>
      </c>
      <c r="AK49" s="123">
        <f t="shared" si="26"/>
        <v>47209.416666666664</v>
      </c>
      <c r="AL49" s="123">
        <f t="shared" si="26"/>
        <v>47209.416666666664</v>
      </c>
      <c r="AM49" s="123">
        <f t="shared" si="26"/>
        <v>47209.416666666664</v>
      </c>
      <c r="AN49" s="123"/>
      <c r="AO49" s="55">
        <f>SUM(P49:AA49)</f>
        <v>563242.08333333337</v>
      </c>
      <c r="AQ49" s="55">
        <f t="shared" ref="AQ49:AQ52" si="27">SUM(AB49:AM49)</f>
        <v>566513.00000000012</v>
      </c>
      <c r="AT49" s="1" t="s">
        <v>128</v>
      </c>
      <c r="AZ49" s="123"/>
      <c r="BA49" s="123"/>
      <c r="BB49" s="123"/>
      <c r="BD49" s="123"/>
    </row>
    <row r="50" spans="2:61" x14ac:dyDescent="0.35">
      <c r="B50" s="237" t="s">
        <v>88</v>
      </c>
      <c r="D50" s="289">
        <v>124482</v>
      </c>
      <c r="E50" s="289">
        <v>118425</v>
      </c>
      <c r="F50" s="289">
        <v>114421</v>
      </c>
      <c r="G50" s="289">
        <v>115054</v>
      </c>
      <c r="H50" s="289">
        <v>121204</v>
      </c>
      <c r="I50" s="289">
        <v>109935</v>
      </c>
      <c r="J50" s="289">
        <v>105516</v>
      </c>
      <c r="K50" s="289">
        <v>103076</v>
      </c>
      <c r="L50" s="289">
        <v>120074</v>
      </c>
      <c r="M50" s="289">
        <v>106299</v>
      </c>
      <c r="N50" s="289">
        <v>112615</v>
      </c>
      <c r="O50" s="289">
        <v>113065</v>
      </c>
      <c r="P50" s="289">
        <v>111914</v>
      </c>
      <c r="Q50" s="289">
        <v>107701</v>
      </c>
      <c r="R50" s="289">
        <v>98204</v>
      </c>
      <c r="S50" s="289">
        <v>106537</v>
      </c>
      <c r="T50" s="332">
        <v>116650</v>
      </c>
      <c r="U50" s="332">
        <v>101643</v>
      </c>
      <c r="V50" s="332">
        <v>103226</v>
      </c>
      <c r="W50" s="123">
        <f>AVERAGE($K50:$V50)</f>
        <v>108417</v>
      </c>
      <c r="X50" s="123">
        <f t="shared" ref="X50:AL50" si="28">AVERAGE($K50:$V50)</f>
        <v>108417</v>
      </c>
      <c r="Y50" s="123">
        <f t="shared" si="28"/>
        <v>108417</v>
      </c>
      <c r="Z50" s="123">
        <f t="shared" si="28"/>
        <v>108417</v>
      </c>
      <c r="AA50" s="123">
        <f t="shared" si="28"/>
        <v>108417</v>
      </c>
      <c r="AB50" s="123">
        <f t="shared" si="28"/>
        <v>108417</v>
      </c>
      <c r="AC50" s="123">
        <f t="shared" si="28"/>
        <v>108417</v>
      </c>
      <c r="AD50" s="123">
        <f t="shared" si="28"/>
        <v>108417</v>
      </c>
      <c r="AE50" s="123">
        <f t="shared" si="28"/>
        <v>108417</v>
      </c>
      <c r="AF50" s="123">
        <f t="shared" si="28"/>
        <v>108417</v>
      </c>
      <c r="AG50" s="123">
        <f t="shared" si="28"/>
        <v>108417</v>
      </c>
      <c r="AH50" s="123">
        <f t="shared" si="28"/>
        <v>108417</v>
      </c>
      <c r="AI50" s="123">
        <f t="shared" si="28"/>
        <v>108417</v>
      </c>
      <c r="AJ50" s="123">
        <f t="shared" si="28"/>
        <v>108417</v>
      </c>
      <c r="AK50" s="123">
        <f t="shared" si="28"/>
        <v>108417</v>
      </c>
      <c r="AL50" s="123">
        <f t="shared" si="28"/>
        <v>108417</v>
      </c>
      <c r="AM50" s="123">
        <f t="shared" si="26"/>
        <v>108417</v>
      </c>
      <c r="AN50" s="123"/>
      <c r="AO50" s="55">
        <f>SUM(P50:AA50)</f>
        <v>1287960</v>
      </c>
      <c r="AQ50" s="55">
        <f t="shared" si="27"/>
        <v>1301004</v>
      </c>
      <c r="AT50" s="1" t="s">
        <v>128</v>
      </c>
      <c r="AZ50" s="123"/>
      <c r="BA50" s="123"/>
      <c r="BB50" s="123"/>
      <c r="BD50" s="123"/>
    </row>
    <row r="51" spans="2:61" x14ac:dyDescent="0.35">
      <c r="B51" s="237" t="s">
        <v>91</v>
      </c>
      <c r="D51" s="289">
        <v>187071</v>
      </c>
      <c r="E51" s="289">
        <v>166072</v>
      </c>
      <c r="F51" s="289">
        <v>158850</v>
      </c>
      <c r="G51" s="289">
        <v>153506</v>
      </c>
      <c r="H51" s="289">
        <v>140047</v>
      </c>
      <c r="I51" s="289">
        <v>134746</v>
      </c>
      <c r="J51" s="289">
        <v>140696</v>
      </c>
      <c r="K51" s="289">
        <v>127647</v>
      </c>
      <c r="L51" s="289">
        <v>140608</v>
      </c>
      <c r="M51" s="289">
        <v>150750</v>
      </c>
      <c r="N51" s="289">
        <v>155946</v>
      </c>
      <c r="O51" s="289">
        <v>166612</v>
      </c>
      <c r="P51" s="289">
        <v>161087</v>
      </c>
      <c r="Q51" s="289">
        <v>177711</v>
      </c>
      <c r="R51" s="289">
        <v>130613</v>
      </c>
      <c r="S51" s="289">
        <v>138255</v>
      </c>
      <c r="T51" s="332">
        <v>144181</v>
      </c>
      <c r="U51" s="332">
        <v>131822</v>
      </c>
      <c r="V51" s="332">
        <v>129066</v>
      </c>
      <c r="W51" s="123">
        <f>AVERAGE($K51:$V51)</f>
        <v>146191.5</v>
      </c>
      <c r="X51" s="123">
        <f t="shared" si="26"/>
        <v>146191.5</v>
      </c>
      <c r="Y51" s="123">
        <f t="shared" si="26"/>
        <v>146191.5</v>
      </c>
      <c r="Z51" s="123">
        <f t="shared" si="26"/>
        <v>146191.5</v>
      </c>
      <c r="AA51" s="123">
        <f t="shared" si="26"/>
        <v>146191.5</v>
      </c>
      <c r="AB51" s="123">
        <f t="shared" si="26"/>
        <v>146191.5</v>
      </c>
      <c r="AC51" s="123">
        <f t="shared" si="26"/>
        <v>146191.5</v>
      </c>
      <c r="AD51" s="123">
        <f t="shared" si="26"/>
        <v>146191.5</v>
      </c>
      <c r="AE51" s="123">
        <f t="shared" si="26"/>
        <v>146191.5</v>
      </c>
      <c r="AF51" s="123">
        <f t="shared" si="26"/>
        <v>146191.5</v>
      </c>
      <c r="AG51" s="123">
        <f t="shared" si="26"/>
        <v>146191.5</v>
      </c>
      <c r="AH51" s="123">
        <f t="shared" si="26"/>
        <v>146191.5</v>
      </c>
      <c r="AI51" s="123">
        <f t="shared" si="26"/>
        <v>146191.5</v>
      </c>
      <c r="AJ51" s="123">
        <f t="shared" si="26"/>
        <v>146191.5</v>
      </c>
      <c r="AK51" s="123">
        <f t="shared" si="26"/>
        <v>146191.5</v>
      </c>
      <c r="AL51" s="123">
        <f t="shared" si="26"/>
        <v>146191.5</v>
      </c>
      <c r="AM51" s="123">
        <f t="shared" si="26"/>
        <v>146191.5</v>
      </c>
      <c r="AN51" s="123"/>
      <c r="AO51" s="55">
        <f>SUM(P51:AA51)</f>
        <v>1743692.5</v>
      </c>
      <c r="AQ51" s="55">
        <f t="shared" si="27"/>
        <v>1754298</v>
      </c>
      <c r="AT51" s="1" t="s">
        <v>128</v>
      </c>
      <c r="AZ51" s="123"/>
      <c r="BA51" s="123"/>
      <c r="BB51" s="123"/>
      <c r="BD51" s="123"/>
    </row>
    <row r="52" spans="2:61" x14ac:dyDescent="0.35">
      <c r="B52" s="237" t="s">
        <v>129</v>
      </c>
      <c r="D52" s="289">
        <v>4308515</v>
      </c>
      <c r="E52" s="289">
        <v>4030241</v>
      </c>
      <c r="F52" s="289">
        <v>3749907</v>
      </c>
      <c r="G52" s="289">
        <v>3805145</v>
      </c>
      <c r="H52" s="289">
        <v>3982176</v>
      </c>
      <c r="I52" s="289">
        <v>3499562</v>
      </c>
      <c r="J52" s="289">
        <v>3487132</v>
      </c>
      <c r="K52" s="289">
        <v>3580867</v>
      </c>
      <c r="L52" s="289">
        <v>3702734</v>
      </c>
      <c r="M52" s="289">
        <v>3879586</v>
      </c>
      <c r="N52" s="289">
        <v>4015717</v>
      </c>
      <c r="O52" s="289">
        <v>4163784</v>
      </c>
      <c r="P52" s="289">
        <v>4045984</v>
      </c>
      <c r="Q52" s="289">
        <v>4168231</v>
      </c>
      <c r="R52" s="289">
        <v>3149891</v>
      </c>
      <c r="S52" s="289">
        <v>3868382</v>
      </c>
      <c r="T52" s="332">
        <v>3957069</v>
      </c>
      <c r="U52" s="332">
        <v>3558701</v>
      </c>
      <c r="V52" s="332">
        <v>3789629</v>
      </c>
      <c r="W52" s="123">
        <f>AVERAGE($K52:$V52)</f>
        <v>3823381.25</v>
      </c>
      <c r="X52" s="123">
        <f t="shared" si="26"/>
        <v>3823381.25</v>
      </c>
      <c r="Y52" s="123">
        <f t="shared" si="26"/>
        <v>3823381.25</v>
      </c>
      <c r="Z52" s="123">
        <f t="shared" si="26"/>
        <v>3823381.25</v>
      </c>
      <c r="AA52" s="123">
        <f t="shared" si="26"/>
        <v>3823381.25</v>
      </c>
      <c r="AB52" s="123">
        <f t="shared" si="26"/>
        <v>3823381.25</v>
      </c>
      <c r="AC52" s="123">
        <f t="shared" si="26"/>
        <v>3823381.25</v>
      </c>
      <c r="AD52" s="123">
        <f t="shared" si="26"/>
        <v>3823381.25</v>
      </c>
      <c r="AE52" s="123">
        <f t="shared" si="26"/>
        <v>3823381.25</v>
      </c>
      <c r="AF52" s="123">
        <f t="shared" si="26"/>
        <v>3823381.25</v>
      </c>
      <c r="AG52" s="123">
        <f t="shared" si="26"/>
        <v>3823381.25</v>
      </c>
      <c r="AH52" s="123">
        <f t="shared" si="26"/>
        <v>3823381.25</v>
      </c>
      <c r="AI52" s="123">
        <f t="shared" si="26"/>
        <v>3823381.25</v>
      </c>
      <c r="AJ52" s="123">
        <f t="shared" si="26"/>
        <v>3823381.25</v>
      </c>
      <c r="AK52" s="123">
        <f t="shared" si="26"/>
        <v>3823381.25</v>
      </c>
      <c r="AL52" s="123">
        <f t="shared" si="26"/>
        <v>3823381.25</v>
      </c>
      <c r="AM52" s="123">
        <f t="shared" si="26"/>
        <v>3823381.25</v>
      </c>
      <c r="AO52" s="55">
        <f t="shared" ref="AO52" si="29">SUM(P52:AA52)</f>
        <v>45654793.25</v>
      </c>
      <c r="AQ52" s="55">
        <f t="shared" si="27"/>
        <v>45880575</v>
      </c>
      <c r="AT52" s="1" t="s">
        <v>134</v>
      </c>
      <c r="AZ52" s="123"/>
      <c r="BA52" s="123"/>
      <c r="BB52" s="123"/>
      <c r="BD52" s="123"/>
    </row>
    <row r="53" spans="2:61" x14ac:dyDescent="0.35">
      <c r="B53" s="237"/>
    </row>
    <row r="54" spans="2:61" x14ac:dyDescent="0.35">
      <c r="B54" s="265" t="s">
        <v>130</v>
      </c>
      <c r="C54" s="266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88"/>
      <c r="AT54" s="265"/>
    </row>
    <row r="55" spans="2:61" x14ac:dyDescent="0.35">
      <c r="B55" s="237" t="str">
        <f>B49</f>
        <v>Senior Discount</v>
      </c>
      <c r="D55" s="291">
        <f>D$49*(1-'Assumptions and Inputs'!$C$104)</f>
        <v>43119</v>
      </c>
      <c r="E55" s="55">
        <f>E$49*(1-'Assumptions and Inputs'!$C$104)</f>
        <v>39424.5</v>
      </c>
      <c r="F55" s="55">
        <f>F$49*(1-'Assumptions and Inputs'!$C$104)</f>
        <v>35247</v>
      </c>
      <c r="G55" s="55">
        <f>G$49*(1-'Assumptions and Inputs'!$C$104)</f>
        <v>37018.5</v>
      </c>
      <c r="H55" s="55">
        <f>H$49*(1-'Assumptions and Inputs'!$C$104)</f>
        <v>44296.5</v>
      </c>
      <c r="I55" s="55">
        <f>I$49*(1-'Assumptions and Inputs'!$C$104)</f>
        <v>36320.25</v>
      </c>
      <c r="J55" s="55">
        <f>J$49*(1-'Assumptions and Inputs'!$C$104)</f>
        <v>37410</v>
      </c>
      <c r="K55" s="55">
        <f>K$49*(1-'Assumptions and Inputs'!$C$104)</f>
        <v>35599.5</v>
      </c>
      <c r="L55" s="55">
        <f>L$49*(1-'Assumptions and Inputs'!$C$104)</f>
        <v>35406</v>
      </c>
      <c r="M55" s="55">
        <f>M$49*(1-'Assumptions and Inputs'!$C$104)</f>
        <v>35613.75</v>
      </c>
      <c r="N55" s="55">
        <f>N$49*(1-'Assumptions and Inputs'!$C$104)</f>
        <v>35639.25</v>
      </c>
      <c r="O55" s="55">
        <f>O$49*(1-'Assumptions and Inputs'!$C$104)</f>
        <v>37230</v>
      </c>
      <c r="P55" s="55">
        <f>P$49*(1-'Assumptions and Inputs'!$C$104)</f>
        <v>35430</v>
      </c>
      <c r="Q55" s="55">
        <f>Q$49*(1-'Assumptions and Inputs'!$C$104)</f>
        <v>36957</v>
      </c>
      <c r="R55" s="55">
        <f>R$49*(1-'Assumptions and Inputs'!$C$104)</f>
        <v>25750.5</v>
      </c>
      <c r="S55" s="55">
        <f>S$49*(1-'Assumptions and Inputs'!$C$104)</f>
        <v>35288.25</v>
      </c>
      <c r="T55" s="55">
        <f>T$49*(1-'Assumptions and Inputs'!$C$104)</f>
        <v>37564.5</v>
      </c>
      <c r="U55" s="55">
        <f>U$49*(1-'Assumptions and Inputs'!$C$104)</f>
        <v>34798.5</v>
      </c>
      <c r="V55" s="55">
        <f>V$49*(1-'Assumptions and Inputs'!$C$104)</f>
        <v>39607.5</v>
      </c>
      <c r="W55" s="55">
        <f>W$49*(1-'Assumptions and Inputs'!$C$104)</f>
        <v>35407.0625</v>
      </c>
      <c r="X55" s="55">
        <f>X$49*(1-'Assumptions and Inputs'!$C$104)</f>
        <v>35407.0625</v>
      </c>
      <c r="Y55" s="55">
        <f>Y$49*(1-'Assumptions and Inputs'!$C$104)</f>
        <v>35407.0625</v>
      </c>
      <c r="Z55" s="55">
        <f>Z$49*(1-'Assumptions and Inputs'!$C$104)</f>
        <v>35407.0625</v>
      </c>
      <c r="AA55" s="55">
        <f>AA$49*(1-'Assumptions and Inputs'!$C$104)</f>
        <v>35407.0625</v>
      </c>
      <c r="AB55" s="55">
        <f>AB$49*(1-'Assumptions and Inputs'!$C$104)</f>
        <v>35407.0625</v>
      </c>
      <c r="AC55" s="55">
        <f>AC$49*(1-'Assumptions and Inputs'!$C$104)</f>
        <v>35407.0625</v>
      </c>
      <c r="AD55" s="55">
        <f>AD$49*(1-'Assumptions and Inputs'!$C$104)</f>
        <v>35407.0625</v>
      </c>
      <c r="AE55" s="55">
        <f>AE$49*(1-'Assumptions and Inputs'!$C$104)</f>
        <v>35407.0625</v>
      </c>
      <c r="AF55" s="55">
        <f>AF$49*(1-'Assumptions and Inputs'!$C$104)</f>
        <v>35407.0625</v>
      </c>
      <c r="AG55" s="55">
        <f>AG$49*(1-'Assumptions and Inputs'!$C$104)</f>
        <v>35407.0625</v>
      </c>
      <c r="AH55" s="55">
        <f>AH$49*(1-'Assumptions and Inputs'!$C$104)</f>
        <v>35407.0625</v>
      </c>
      <c r="AI55" s="55">
        <f>AI$49*(1-'Assumptions and Inputs'!$C$104)</f>
        <v>35407.0625</v>
      </c>
      <c r="AJ55" s="55">
        <f>AJ$49*(1-'Assumptions and Inputs'!$C$104)</f>
        <v>35407.0625</v>
      </c>
      <c r="AK55" s="55">
        <f>AK$49*(1-'Assumptions and Inputs'!$C$104)</f>
        <v>35407.0625</v>
      </c>
      <c r="AL55" s="55">
        <f>AL$49*(1-'Assumptions and Inputs'!$C$104)</f>
        <v>35407.0625</v>
      </c>
      <c r="AM55" s="55">
        <f>AM$49*(1-'Assumptions and Inputs'!$C$104)</f>
        <v>35407.0625</v>
      </c>
      <c r="AN55" s="1"/>
      <c r="AO55" s="55">
        <f>AO$49*(1-'Assumptions and Inputs'!$C$104)</f>
        <v>422431.5625</v>
      </c>
      <c r="AQ55" s="55">
        <f t="shared" ref="AQ55:AQ58" si="30">SUM(AB55:AM55)</f>
        <v>424884.75</v>
      </c>
    </row>
    <row r="56" spans="2:61" x14ac:dyDescent="0.35">
      <c r="B56" s="237" t="str">
        <f t="shared" ref="B56:B58" si="31">B50</f>
        <v>PHA Discount</v>
      </c>
      <c r="D56" s="291">
        <f>D$50*(1-'Assumptions and Inputs'!$C$105)</f>
        <v>118257.9</v>
      </c>
      <c r="E56" s="55">
        <f>E$50*(1-'Assumptions and Inputs'!$C$105)</f>
        <v>112503.75</v>
      </c>
      <c r="F56" s="55">
        <f>F$50*(1-'Assumptions and Inputs'!$C$105)</f>
        <v>108699.95</v>
      </c>
      <c r="G56" s="55">
        <f>G$50*(1-'Assumptions and Inputs'!$C$105)</f>
        <v>109301.29999999999</v>
      </c>
      <c r="H56" s="55">
        <f>H$50*(1-'Assumptions and Inputs'!$C$105)</f>
        <v>115143.79999999999</v>
      </c>
      <c r="I56" s="55">
        <f>I$50*(1-'Assumptions and Inputs'!$C$105)</f>
        <v>104438.25</v>
      </c>
      <c r="J56" s="55">
        <f>J$50*(1-'Assumptions and Inputs'!$C$105)</f>
        <v>100240.2</v>
      </c>
      <c r="K56" s="55">
        <f>K$50*(1-'Assumptions and Inputs'!$C$105)</f>
        <v>97922.2</v>
      </c>
      <c r="L56" s="55">
        <f>L$50*(1-'Assumptions and Inputs'!$C$105)</f>
        <v>114070.29999999999</v>
      </c>
      <c r="M56" s="55">
        <f>M$50*(1-'Assumptions and Inputs'!$C$105)</f>
        <v>100984.04999999999</v>
      </c>
      <c r="N56" s="55">
        <f>N$50*(1-'Assumptions and Inputs'!$C$105)</f>
        <v>106984.25</v>
      </c>
      <c r="O56" s="55">
        <f>O$50*(1-'Assumptions and Inputs'!$C$105)</f>
        <v>107411.75</v>
      </c>
      <c r="P56" s="55">
        <f>P$50*(1-'Assumptions and Inputs'!$C$105)</f>
        <v>106318.29999999999</v>
      </c>
      <c r="Q56" s="55">
        <f>Q$50*(1-'Assumptions and Inputs'!$C$105)</f>
        <v>102315.95</v>
      </c>
      <c r="R56" s="55">
        <f>R$50*(1-'Assumptions and Inputs'!$C$105)</f>
        <v>93293.8</v>
      </c>
      <c r="S56" s="55">
        <f>S$50*(1-'Assumptions and Inputs'!$C$105)</f>
        <v>101210.15</v>
      </c>
      <c r="T56" s="55">
        <f>T$50*(1-'Assumptions and Inputs'!$C$105)</f>
        <v>110817.5</v>
      </c>
      <c r="U56" s="55">
        <f>U$50*(1-'Assumptions and Inputs'!$C$105)</f>
        <v>96560.849999999991</v>
      </c>
      <c r="V56" s="55">
        <f>V$50*(1-'Assumptions and Inputs'!$C$105)</f>
        <v>98064.7</v>
      </c>
      <c r="W56" s="55">
        <f>W$50*(1-'Assumptions and Inputs'!$C$105)</f>
        <v>102996.15</v>
      </c>
      <c r="X56" s="55">
        <f>X$50*(1-'Assumptions and Inputs'!$C$105)</f>
        <v>102996.15</v>
      </c>
      <c r="Y56" s="55">
        <f>Y$50*(1-'Assumptions and Inputs'!$C$105)</f>
        <v>102996.15</v>
      </c>
      <c r="Z56" s="55">
        <f>Z$50*(1-'Assumptions and Inputs'!$C$105)</f>
        <v>102996.15</v>
      </c>
      <c r="AA56" s="55">
        <f>AA$50*(1-'Assumptions and Inputs'!$C$105)</f>
        <v>102996.15</v>
      </c>
      <c r="AB56" s="55">
        <f>AB$50*(1-'Assumptions and Inputs'!$C$105)</f>
        <v>102996.15</v>
      </c>
      <c r="AC56" s="55">
        <f>AC$50*(1-'Assumptions and Inputs'!$C$105)</f>
        <v>102996.15</v>
      </c>
      <c r="AD56" s="55">
        <f>AD$50*(1-'Assumptions and Inputs'!$C$105)</f>
        <v>102996.15</v>
      </c>
      <c r="AE56" s="55">
        <f>AE$50*(1-'Assumptions and Inputs'!$C$105)</f>
        <v>102996.15</v>
      </c>
      <c r="AF56" s="55">
        <f>AF$50*(1-'Assumptions and Inputs'!$C$105)</f>
        <v>102996.15</v>
      </c>
      <c r="AG56" s="55">
        <f>AG$50*(1-'Assumptions and Inputs'!$C$105)</f>
        <v>102996.15</v>
      </c>
      <c r="AH56" s="55">
        <f>AH$50*(1-'Assumptions and Inputs'!$C$105)</f>
        <v>102996.15</v>
      </c>
      <c r="AI56" s="55">
        <f>AI$50*(1-'Assumptions and Inputs'!$C$105)</f>
        <v>102996.15</v>
      </c>
      <c r="AJ56" s="55">
        <f>AJ$50*(1-'Assumptions and Inputs'!$C$105)</f>
        <v>102996.15</v>
      </c>
      <c r="AK56" s="55">
        <f>AK$50*(1-'Assumptions and Inputs'!$C$105)</f>
        <v>102996.15</v>
      </c>
      <c r="AL56" s="55">
        <f>AL$50*(1-'Assumptions and Inputs'!$C$105)</f>
        <v>102996.15</v>
      </c>
      <c r="AM56" s="55">
        <f>AM$50*(1-'Assumptions and Inputs'!$C$105)</f>
        <v>102996.15</v>
      </c>
      <c r="AN56" s="1"/>
      <c r="AO56" s="55">
        <f>AO$50*(1-'Assumptions and Inputs'!$C$105)</f>
        <v>1223562</v>
      </c>
      <c r="AQ56" s="55">
        <f t="shared" si="30"/>
        <v>1235953.8</v>
      </c>
    </row>
    <row r="57" spans="2:61" x14ac:dyDescent="0.35">
      <c r="B57" s="237" t="str">
        <f t="shared" si="31"/>
        <v>Non-PHA Discount (Other discount)</v>
      </c>
      <c r="D57" s="291">
        <f>D$51*(1-'Assumptions and Inputs'!$C$106)</f>
        <v>140303.25</v>
      </c>
      <c r="E57" s="55">
        <f>E$51*(1-'Assumptions and Inputs'!$C$106)</f>
        <v>124554</v>
      </c>
      <c r="F57" s="55">
        <f>F$51*(1-'Assumptions and Inputs'!$C$106)</f>
        <v>119137.5</v>
      </c>
      <c r="G57" s="55">
        <f>G$51*(1-'Assumptions and Inputs'!$C$106)</f>
        <v>115129.5</v>
      </c>
      <c r="H57" s="55">
        <f>H$51*(1-'Assumptions and Inputs'!$C$106)</f>
        <v>105035.25</v>
      </c>
      <c r="I57" s="55">
        <f>I$51*(1-'Assumptions and Inputs'!$C$106)</f>
        <v>101059.5</v>
      </c>
      <c r="J57" s="55">
        <f>J$51*(1-'Assumptions and Inputs'!$C$106)</f>
        <v>105522</v>
      </c>
      <c r="K57" s="55">
        <f>K$51*(1-'Assumptions and Inputs'!$C$106)</f>
        <v>95735.25</v>
      </c>
      <c r="L57" s="55">
        <f>L$51*(1-'Assumptions and Inputs'!$C$106)</f>
        <v>105456</v>
      </c>
      <c r="M57" s="55">
        <f>M$51*(1-'Assumptions and Inputs'!$C$106)</f>
        <v>113062.5</v>
      </c>
      <c r="N57" s="55">
        <f>N$51*(1-'Assumptions and Inputs'!$C$106)</f>
        <v>116959.5</v>
      </c>
      <c r="O57" s="55">
        <f>O$51*(1-'Assumptions and Inputs'!$C$106)</f>
        <v>124959</v>
      </c>
      <c r="P57" s="55">
        <f>P$51*(1-'Assumptions and Inputs'!$C$106)</f>
        <v>120815.25</v>
      </c>
      <c r="Q57" s="55">
        <f>Q$51*(1-'Assumptions and Inputs'!$C$106)</f>
        <v>133283.25</v>
      </c>
      <c r="R57" s="55">
        <f>R$51*(1-'Assumptions and Inputs'!$C$106)</f>
        <v>97959.75</v>
      </c>
      <c r="S57" s="55">
        <f>S$51*(1-'Assumptions and Inputs'!$C$106)</f>
        <v>103691.25</v>
      </c>
      <c r="T57" s="55">
        <f>T$51*(1-'Assumptions and Inputs'!$C$106)</f>
        <v>108135.75</v>
      </c>
      <c r="U57" s="55">
        <f>U$51*(1-'Assumptions and Inputs'!$C$106)</f>
        <v>98866.5</v>
      </c>
      <c r="V57" s="55">
        <f>V$51*(1-'Assumptions and Inputs'!$C$106)</f>
        <v>96799.5</v>
      </c>
      <c r="W57" s="55">
        <f>W$51*(1-'Assumptions and Inputs'!$C$106)</f>
        <v>109643.625</v>
      </c>
      <c r="X57" s="55">
        <f>X$51*(1-'Assumptions and Inputs'!$C$106)</f>
        <v>109643.625</v>
      </c>
      <c r="Y57" s="55">
        <f>Y$51*(1-'Assumptions and Inputs'!$C$106)</f>
        <v>109643.625</v>
      </c>
      <c r="Z57" s="55">
        <f>Z$51*(1-'Assumptions and Inputs'!$C$106)</f>
        <v>109643.625</v>
      </c>
      <c r="AA57" s="55">
        <f>AA$51*(1-'Assumptions and Inputs'!$C$106)</f>
        <v>109643.625</v>
      </c>
      <c r="AB57" s="55">
        <f>AB$51*(1-'Assumptions and Inputs'!$C$106)</f>
        <v>109643.625</v>
      </c>
      <c r="AC57" s="55">
        <f>AC$51*(1-'Assumptions and Inputs'!$C$106)</f>
        <v>109643.625</v>
      </c>
      <c r="AD57" s="55">
        <f>AD$51*(1-'Assumptions and Inputs'!$C$106)</f>
        <v>109643.625</v>
      </c>
      <c r="AE57" s="55">
        <f>AE$51*(1-'Assumptions and Inputs'!$C$106)</f>
        <v>109643.625</v>
      </c>
      <c r="AF57" s="55">
        <f>AF$51*(1-'Assumptions and Inputs'!$C$106)</f>
        <v>109643.625</v>
      </c>
      <c r="AG57" s="55">
        <f>AG$51*(1-'Assumptions and Inputs'!$C$106)</f>
        <v>109643.625</v>
      </c>
      <c r="AH57" s="55">
        <f>AH$51*(1-'Assumptions and Inputs'!$C$106)</f>
        <v>109643.625</v>
      </c>
      <c r="AI57" s="55">
        <f>AI$51*(1-'Assumptions and Inputs'!$C$106)</f>
        <v>109643.625</v>
      </c>
      <c r="AJ57" s="55">
        <f>AJ$51*(1-'Assumptions and Inputs'!$C$106)</f>
        <v>109643.625</v>
      </c>
      <c r="AK57" s="55">
        <f>AK$51*(1-'Assumptions and Inputs'!$C$106)</f>
        <v>109643.625</v>
      </c>
      <c r="AL57" s="55">
        <f>AL$51*(1-'Assumptions and Inputs'!$C$106)</f>
        <v>109643.625</v>
      </c>
      <c r="AM57" s="55">
        <f>AM$51*(1-'Assumptions and Inputs'!$C$106)</f>
        <v>109643.625</v>
      </c>
      <c r="AN57" s="1"/>
      <c r="AO57" s="55">
        <f>AO$51*(1-'Assumptions and Inputs'!$C$106)</f>
        <v>1307769.375</v>
      </c>
      <c r="AQ57" s="55">
        <f t="shared" si="30"/>
        <v>1315723.5</v>
      </c>
    </row>
    <row r="58" spans="2:61" x14ac:dyDescent="0.35">
      <c r="B58" s="237" t="str">
        <f t="shared" si="31"/>
        <v>No Additional Discount</v>
      </c>
      <c r="D58" s="291">
        <f>D52</f>
        <v>4308515</v>
      </c>
      <c r="E58" s="55">
        <f t="shared" ref="E58:AA58" si="32">E52</f>
        <v>4030241</v>
      </c>
      <c r="F58" s="55">
        <f t="shared" si="32"/>
        <v>3749907</v>
      </c>
      <c r="G58" s="55">
        <f t="shared" si="32"/>
        <v>3805145</v>
      </c>
      <c r="H58" s="55">
        <f t="shared" si="32"/>
        <v>3982176</v>
      </c>
      <c r="I58" s="55">
        <f t="shared" si="32"/>
        <v>3499562</v>
      </c>
      <c r="J58" s="55">
        <f t="shared" si="32"/>
        <v>3487132</v>
      </c>
      <c r="K58" s="55">
        <f t="shared" si="32"/>
        <v>3580867</v>
      </c>
      <c r="L58" s="55">
        <f t="shared" si="32"/>
        <v>3702734</v>
      </c>
      <c r="M58" s="55">
        <f t="shared" si="32"/>
        <v>3879586</v>
      </c>
      <c r="N58" s="55">
        <f t="shared" si="32"/>
        <v>4015717</v>
      </c>
      <c r="O58" s="55">
        <f t="shared" si="32"/>
        <v>4163784</v>
      </c>
      <c r="P58" s="55">
        <f t="shared" si="32"/>
        <v>4045984</v>
      </c>
      <c r="Q58" s="55">
        <f t="shared" si="32"/>
        <v>4168231</v>
      </c>
      <c r="R58" s="55">
        <f t="shared" si="32"/>
        <v>3149891</v>
      </c>
      <c r="S58" s="55">
        <f t="shared" si="32"/>
        <v>3868382</v>
      </c>
      <c r="T58" s="55">
        <f t="shared" si="32"/>
        <v>3957069</v>
      </c>
      <c r="U58" s="55">
        <f t="shared" si="32"/>
        <v>3558701</v>
      </c>
      <c r="V58" s="55">
        <f t="shared" si="32"/>
        <v>3789629</v>
      </c>
      <c r="W58" s="55">
        <f t="shared" si="32"/>
        <v>3823381.25</v>
      </c>
      <c r="X58" s="55">
        <f t="shared" si="32"/>
        <v>3823381.25</v>
      </c>
      <c r="Y58" s="55">
        <f t="shared" si="32"/>
        <v>3823381.25</v>
      </c>
      <c r="Z58" s="55">
        <f t="shared" si="32"/>
        <v>3823381.25</v>
      </c>
      <c r="AA58" s="55">
        <f t="shared" si="32"/>
        <v>3823381.25</v>
      </c>
      <c r="AB58" s="55">
        <f t="shared" ref="AB58:AM58" si="33">AB52</f>
        <v>3823381.25</v>
      </c>
      <c r="AC58" s="55">
        <f t="shared" si="33"/>
        <v>3823381.25</v>
      </c>
      <c r="AD58" s="55">
        <f t="shared" si="33"/>
        <v>3823381.25</v>
      </c>
      <c r="AE58" s="55">
        <f t="shared" si="33"/>
        <v>3823381.25</v>
      </c>
      <c r="AF58" s="55">
        <f t="shared" si="33"/>
        <v>3823381.25</v>
      </c>
      <c r="AG58" s="55">
        <f t="shared" si="33"/>
        <v>3823381.25</v>
      </c>
      <c r="AH58" s="55">
        <f t="shared" si="33"/>
        <v>3823381.25</v>
      </c>
      <c r="AI58" s="55">
        <f t="shared" si="33"/>
        <v>3823381.25</v>
      </c>
      <c r="AJ58" s="55">
        <f t="shared" si="33"/>
        <v>3823381.25</v>
      </c>
      <c r="AK58" s="55">
        <f t="shared" si="33"/>
        <v>3823381.25</v>
      </c>
      <c r="AL58" s="55">
        <f t="shared" si="33"/>
        <v>3823381.25</v>
      </c>
      <c r="AM58" s="55">
        <f t="shared" si="33"/>
        <v>3823381.25</v>
      </c>
      <c r="AN58" s="123"/>
      <c r="AO58" s="55">
        <f t="shared" ref="AO58" si="34">AO52</f>
        <v>45654793.25</v>
      </c>
      <c r="AQ58" s="55">
        <f t="shared" si="30"/>
        <v>45880575</v>
      </c>
    </row>
    <row r="59" spans="2:61" x14ac:dyDescent="0.35">
      <c r="B59" s="237"/>
      <c r="D59" s="292"/>
    </row>
    <row r="60" spans="2:61" x14ac:dyDescent="0.35">
      <c r="B60" s="293" t="s">
        <v>125</v>
      </c>
      <c r="C60" s="270"/>
      <c r="D60" s="294">
        <f t="shared" ref="D60:AA60" si="35">SUM(D46:D46)</f>
        <v>420198</v>
      </c>
      <c r="E60" s="123">
        <f t="shared" si="35"/>
        <v>409059</v>
      </c>
      <c r="F60" s="123">
        <f t="shared" si="35"/>
        <v>357784</v>
      </c>
      <c r="G60" s="123">
        <f t="shared" si="35"/>
        <v>382625</v>
      </c>
      <c r="H60" s="123">
        <f t="shared" si="35"/>
        <v>432797</v>
      </c>
      <c r="I60" s="123">
        <f t="shared" si="35"/>
        <v>363856</v>
      </c>
      <c r="J60" s="123">
        <f t="shared" si="35"/>
        <v>378768</v>
      </c>
      <c r="K60" s="123">
        <f t="shared" si="35"/>
        <v>382075</v>
      </c>
      <c r="L60" s="123">
        <f t="shared" si="35"/>
        <v>395427</v>
      </c>
      <c r="M60" s="123">
        <f t="shared" si="35"/>
        <v>419359</v>
      </c>
      <c r="N60" s="123">
        <f t="shared" si="35"/>
        <v>423626</v>
      </c>
      <c r="O60" s="123">
        <f t="shared" si="35"/>
        <v>449771</v>
      </c>
      <c r="P60" s="123">
        <f t="shared" si="35"/>
        <v>443876</v>
      </c>
      <c r="Q60" s="123">
        <f t="shared" si="35"/>
        <v>466528</v>
      </c>
      <c r="R60" s="123">
        <f t="shared" si="35"/>
        <v>339938</v>
      </c>
      <c r="S60" s="123">
        <f t="shared" si="35"/>
        <v>453388</v>
      </c>
      <c r="T60" s="123">
        <f t="shared" si="35"/>
        <v>474423</v>
      </c>
      <c r="U60" s="123">
        <f t="shared" si="35"/>
        <v>423187</v>
      </c>
      <c r="V60" s="123">
        <f t="shared" si="35"/>
        <v>463972</v>
      </c>
      <c r="W60" s="123">
        <f t="shared" si="35"/>
        <v>458502.97748004051</v>
      </c>
      <c r="X60" s="123">
        <f t="shared" si="35"/>
        <v>459649.2349237405</v>
      </c>
      <c r="Y60" s="123">
        <f t="shared" si="35"/>
        <v>460798.35801104986</v>
      </c>
      <c r="Z60" s="123">
        <f t="shared" si="35"/>
        <v>461950.35390607739</v>
      </c>
      <c r="AA60" s="123">
        <f t="shared" si="35"/>
        <v>463105.22979084251</v>
      </c>
      <c r="AB60" s="123">
        <f t="shared" ref="AB60:AM60" si="36">SUM(AB46:AB46)</f>
        <v>464262.9928653196</v>
      </c>
      <c r="AC60" s="123">
        <f t="shared" si="36"/>
        <v>465423.65034748288</v>
      </c>
      <c r="AD60" s="123">
        <f t="shared" si="36"/>
        <v>466587.2094733516</v>
      </c>
      <c r="AE60" s="123">
        <f t="shared" si="36"/>
        <v>467753.67749703495</v>
      </c>
      <c r="AF60" s="123">
        <f t="shared" si="36"/>
        <v>468923.06169077754</v>
      </c>
      <c r="AG60" s="123">
        <f t="shared" si="36"/>
        <v>470095.3693450045</v>
      </c>
      <c r="AH60" s="123">
        <f t="shared" si="36"/>
        <v>471270.60776836699</v>
      </c>
      <c r="AI60" s="123">
        <f t="shared" si="36"/>
        <v>472448.7842877878</v>
      </c>
      <c r="AJ60" s="123">
        <f t="shared" si="36"/>
        <v>473629.90624850726</v>
      </c>
      <c r="AK60" s="123">
        <f t="shared" si="36"/>
        <v>474813.98101412854</v>
      </c>
      <c r="AL60" s="123">
        <f t="shared" si="36"/>
        <v>476001.01596666384</v>
      </c>
      <c r="AM60" s="123">
        <f t="shared" si="36"/>
        <v>477191.01850658044</v>
      </c>
      <c r="AO60" s="55">
        <f t="shared" ref="AO60:AO61" si="37">SUM(P60:AA60)</f>
        <v>5369318.1541117504</v>
      </c>
      <c r="AQ60" s="55">
        <f t="shared" ref="AQ60:AQ61" si="38">SUM(AB60:AM60)</f>
        <v>5648401.2750110067</v>
      </c>
      <c r="AS60" s="272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</row>
    <row r="61" spans="2:61" x14ac:dyDescent="0.35">
      <c r="B61" s="293" t="s">
        <v>127</v>
      </c>
      <c r="C61" s="295"/>
      <c r="D61" s="294">
        <f>SUM(D55:D58)</f>
        <v>4610195.1500000004</v>
      </c>
      <c r="E61" s="123">
        <f t="shared" ref="E61:AA61" si="39">SUM(E55:E58)</f>
        <v>4306723.25</v>
      </c>
      <c r="F61" s="123">
        <f t="shared" si="39"/>
        <v>4012991.45</v>
      </c>
      <c r="G61" s="123">
        <f t="shared" si="39"/>
        <v>4066594.3</v>
      </c>
      <c r="H61" s="123">
        <f t="shared" si="39"/>
        <v>4246651.55</v>
      </c>
      <c r="I61" s="123">
        <f t="shared" si="39"/>
        <v>3741380</v>
      </c>
      <c r="J61" s="123">
        <f t="shared" si="39"/>
        <v>3730304.2</v>
      </c>
      <c r="K61" s="123">
        <f t="shared" si="39"/>
        <v>3810123.95</v>
      </c>
      <c r="L61" s="123">
        <f t="shared" si="39"/>
        <v>3957666.3</v>
      </c>
      <c r="M61" s="123">
        <f t="shared" si="39"/>
        <v>4129246.3</v>
      </c>
      <c r="N61" s="123">
        <f t="shared" si="39"/>
        <v>4275300</v>
      </c>
      <c r="O61" s="123">
        <f t="shared" si="39"/>
        <v>4433384.75</v>
      </c>
      <c r="P61" s="123">
        <f t="shared" si="39"/>
        <v>4308547.55</v>
      </c>
      <c r="Q61" s="123">
        <f t="shared" si="39"/>
        <v>4440787.2</v>
      </c>
      <c r="R61" s="123">
        <f t="shared" si="39"/>
        <v>3366895.05</v>
      </c>
      <c r="S61" s="123">
        <f t="shared" si="39"/>
        <v>4108571.65</v>
      </c>
      <c r="T61" s="123">
        <f t="shared" si="39"/>
        <v>4213586.75</v>
      </c>
      <c r="U61" s="123">
        <f t="shared" si="39"/>
        <v>3788926.85</v>
      </c>
      <c r="V61" s="123">
        <f t="shared" si="39"/>
        <v>4024100.7</v>
      </c>
      <c r="W61" s="123">
        <f t="shared" si="39"/>
        <v>4071428.0874999999</v>
      </c>
      <c r="X61" s="123">
        <f t="shared" si="39"/>
        <v>4071428.0874999999</v>
      </c>
      <c r="Y61" s="123">
        <f t="shared" si="39"/>
        <v>4071428.0874999999</v>
      </c>
      <c r="Z61" s="123">
        <f t="shared" si="39"/>
        <v>4071428.0874999999</v>
      </c>
      <c r="AA61" s="123">
        <f t="shared" si="39"/>
        <v>4071428.0874999999</v>
      </c>
      <c r="AB61" s="123">
        <f t="shared" ref="AB61:AM61" si="40">SUM(AB55:AB58)</f>
        <v>4071428.0874999999</v>
      </c>
      <c r="AC61" s="123">
        <f t="shared" si="40"/>
        <v>4071428.0874999999</v>
      </c>
      <c r="AD61" s="123">
        <f t="shared" si="40"/>
        <v>4071428.0874999999</v>
      </c>
      <c r="AE61" s="123">
        <f t="shared" si="40"/>
        <v>4071428.0874999999</v>
      </c>
      <c r="AF61" s="123">
        <f t="shared" si="40"/>
        <v>4071428.0874999999</v>
      </c>
      <c r="AG61" s="123">
        <f t="shared" si="40"/>
        <v>4071428.0874999999</v>
      </c>
      <c r="AH61" s="123">
        <f t="shared" si="40"/>
        <v>4071428.0874999999</v>
      </c>
      <c r="AI61" s="123">
        <f t="shared" si="40"/>
        <v>4071428.0874999999</v>
      </c>
      <c r="AJ61" s="123">
        <f t="shared" si="40"/>
        <v>4071428.0874999999</v>
      </c>
      <c r="AK61" s="123">
        <f t="shared" si="40"/>
        <v>4071428.0874999999</v>
      </c>
      <c r="AL61" s="123">
        <f t="shared" si="40"/>
        <v>4071428.0874999999</v>
      </c>
      <c r="AM61" s="123">
        <f t="shared" si="40"/>
        <v>4071428.0874999999</v>
      </c>
      <c r="AO61" s="55">
        <f t="shared" si="37"/>
        <v>48608556.1875</v>
      </c>
      <c r="AQ61" s="55">
        <f t="shared" si="38"/>
        <v>48857137.04999999</v>
      </c>
      <c r="AS61" s="296"/>
      <c r="AX61" s="123"/>
      <c r="AY61" s="123"/>
      <c r="AZ61" s="123"/>
      <c r="BA61" s="123"/>
      <c r="BB61" s="123"/>
      <c r="BC61" s="123"/>
      <c r="BD61" s="123"/>
    </row>
    <row r="62" spans="2:61" x14ac:dyDescent="0.35">
      <c r="B62" s="293"/>
      <c r="D62" s="294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</row>
    <row r="63" spans="2:61" x14ac:dyDescent="0.35">
      <c r="B63" s="96" t="s">
        <v>131</v>
      </c>
      <c r="C63" s="295"/>
      <c r="D63" s="294">
        <f t="shared" ref="D63:O63" si="41">SUM(D60:D61)</f>
        <v>5030393.1500000004</v>
      </c>
      <c r="E63" s="123">
        <f t="shared" si="41"/>
        <v>4715782.25</v>
      </c>
      <c r="F63" s="123">
        <f t="shared" si="41"/>
        <v>4370775.45</v>
      </c>
      <c r="G63" s="123">
        <f t="shared" si="41"/>
        <v>4449219.3</v>
      </c>
      <c r="H63" s="123">
        <f t="shared" si="41"/>
        <v>4679448.55</v>
      </c>
      <c r="I63" s="123">
        <f t="shared" si="41"/>
        <v>4105236</v>
      </c>
      <c r="J63" s="123">
        <f t="shared" si="41"/>
        <v>4109072.2</v>
      </c>
      <c r="K63" s="123">
        <f t="shared" si="41"/>
        <v>4192198.95</v>
      </c>
      <c r="L63" s="123">
        <f t="shared" si="41"/>
        <v>4353093.3</v>
      </c>
      <c r="M63" s="123">
        <f t="shared" si="41"/>
        <v>4548605.3</v>
      </c>
      <c r="N63" s="123">
        <f t="shared" si="41"/>
        <v>4698926</v>
      </c>
      <c r="O63" s="123">
        <f t="shared" si="41"/>
        <v>4883155.75</v>
      </c>
      <c r="P63" s="123">
        <f t="shared" ref="P63:AA63" si="42">SUM(P60:P61)</f>
        <v>4752423.55</v>
      </c>
      <c r="Q63" s="123">
        <f t="shared" si="42"/>
        <v>4907315.2000000002</v>
      </c>
      <c r="R63" s="123">
        <f t="shared" si="42"/>
        <v>3706833.05</v>
      </c>
      <c r="S63" s="123">
        <f t="shared" si="42"/>
        <v>4561959.6500000004</v>
      </c>
      <c r="T63" s="123">
        <f t="shared" si="42"/>
        <v>4688009.75</v>
      </c>
      <c r="U63" s="123">
        <f t="shared" si="42"/>
        <v>4212113.8499999996</v>
      </c>
      <c r="V63" s="123">
        <f t="shared" si="42"/>
        <v>4488072.7</v>
      </c>
      <c r="W63" s="123">
        <f t="shared" si="42"/>
        <v>4529931.0649800403</v>
      </c>
      <c r="X63" s="123">
        <f t="shared" si="42"/>
        <v>4531077.3224237403</v>
      </c>
      <c r="Y63" s="123">
        <f t="shared" si="42"/>
        <v>4532226.4455110496</v>
      </c>
      <c r="Z63" s="123">
        <f t="shared" si="42"/>
        <v>4533378.4414060777</v>
      </c>
      <c r="AA63" s="123">
        <f t="shared" si="42"/>
        <v>4534533.3172908425</v>
      </c>
      <c r="AB63" s="123">
        <f t="shared" ref="AB63:AM63" si="43">SUM(AB60:AB61)</f>
        <v>4535691.0803653197</v>
      </c>
      <c r="AC63" s="123">
        <f t="shared" si="43"/>
        <v>4536851.7378474828</v>
      </c>
      <c r="AD63" s="123">
        <f t="shared" si="43"/>
        <v>4538015.2969733514</v>
      </c>
      <c r="AE63" s="123">
        <f t="shared" si="43"/>
        <v>4539181.7649970353</v>
      </c>
      <c r="AF63" s="123">
        <f t="shared" si="43"/>
        <v>4540351.1491907779</v>
      </c>
      <c r="AG63" s="123">
        <f t="shared" si="43"/>
        <v>4541523.4568450041</v>
      </c>
      <c r="AH63" s="123">
        <f t="shared" si="43"/>
        <v>4542698.6952683665</v>
      </c>
      <c r="AI63" s="123">
        <f t="shared" si="43"/>
        <v>4543876.8717877874</v>
      </c>
      <c r="AJ63" s="123">
        <f t="shared" si="43"/>
        <v>4545057.9937485075</v>
      </c>
      <c r="AK63" s="123">
        <f t="shared" si="43"/>
        <v>4546242.0685141282</v>
      </c>
      <c r="AL63" s="123">
        <f t="shared" si="43"/>
        <v>4547429.1034666635</v>
      </c>
      <c r="AM63" s="123">
        <f t="shared" si="43"/>
        <v>4548619.1060065804</v>
      </c>
      <c r="AO63" s="55">
        <f t="shared" ref="AO63" si="44">SUM(P63:AA63)</f>
        <v>53977874.341611758</v>
      </c>
      <c r="AQ63" s="55">
        <f t="shared" ref="AQ63" si="45">SUM(AB63:AM63)</f>
        <v>54505538.325011</v>
      </c>
      <c r="AS63" s="296"/>
    </row>
    <row r="64" spans="2:61" x14ac:dyDescent="0.35">
      <c r="D64" s="292"/>
    </row>
    <row r="65" spans="2:61" x14ac:dyDescent="0.35">
      <c r="B65" s="96" t="s">
        <v>132</v>
      </c>
      <c r="D65" s="294">
        <f t="shared" ref="D65:O65" si="46">D61</f>
        <v>4610195.1500000004</v>
      </c>
      <c r="E65" s="123">
        <f t="shared" si="46"/>
        <v>4306723.25</v>
      </c>
      <c r="F65" s="123">
        <f t="shared" si="46"/>
        <v>4012991.45</v>
      </c>
      <c r="G65" s="123">
        <f t="shared" si="46"/>
        <v>4066594.3</v>
      </c>
      <c r="H65" s="123">
        <f t="shared" si="46"/>
        <v>4246651.55</v>
      </c>
      <c r="I65" s="123">
        <f t="shared" si="46"/>
        <v>3741380</v>
      </c>
      <c r="J65" s="123">
        <f t="shared" si="46"/>
        <v>3730304.2</v>
      </c>
      <c r="K65" s="123">
        <f t="shared" si="46"/>
        <v>3810123.95</v>
      </c>
      <c r="L65" s="123">
        <f t="shared" si="46"/>
        <v>3957666.3</v>
      </c>
      <c r="M65" s="123">
        <f t="shared" si="46"/>
        <v>4129246.3</v>
      </c>
      <c r="N65" s="123">
        <f t="shared" si="46"/>
        <v>4275300</v>
      </c>
      <c r="O65" s="123">
        <f t="shared" si="46"/>
        <v>4433384.75</v>
      </c>
      <c r="P65" s="123">
        <f t="shared" ref="P65:AA65" si="47">P61</f>
        <v>4308547.55</v>
      </c>
      <c r="Q65" s="123">
        <f t="shared" si="47"/>
        <v>4440787.2</v>
      </c>
      <c r="R65" s="123">
        <f t="shared" si="47"/>
        <v>3366895.05</v>
      </c>
      <c r="S65" s="123">
        <f t="shared" si="47"/>
        <v>4108571.65</v>
      </c>
      <c r="T65" s="123">
        <f t="shared" si="47"/>
        <v>4213586.75</v>
      </c>
      <c r="U65" s="123">
        <f t="shared" si="47"/>
        <v>3788926.85</v>
      </c>
      <c r="V65" s="123">
        <f t="shared" si="47"/>
        <v>4024100.7</v>
      </c>
      <c r="W65" s="123">
        <f t="shared" si="47"/>
        <v>4071428.0874999999</v>
      </c>
      <c r="X65" s="123">
        <f t="shared" si="47"/>
        <v>4071428.0874999999</v>
      </c>
      <c r="Y65" s="123">
        <f t="shared" si="47"/>
        <v>4071428.0874999999</v>
      </c>
      <c r="Z65" s="123">
        <f t="shared" si="47"/>
        <v>4071428.0874999999</v>
      </c>
      <c r="AA65" s="123">
        <f t="shared" si="47"/>
        <v>4071428.0874999999</v>
      </c>
      <c r="AB65" s="123">
        <f t="shared" ref="AB65:AM65" si="48">AB61</f>
        <v>4071428.0874999999</v>
      </c>
      <c r="AC65" s="123">
        <f t="shared" si="48"/>
        <v>4071428.0874999999</v>
      </c>
      <c r="AD65" s="123">
        <f t="shared" si="48"/>
        <v>4071428.0874999999</v>
      </c>
      <c r="AE65" s="123">
        <f t="shared" si="48"/>
        <v>4071428.0874999999</v>
      </c>
      <c r="AF65" s="123">
        <f t="shared" si="48"/>
        <v>4071428.0874999999</v>
      </c>
      <c r="AG65" s="123">
        <f t="shared" si="48"/>
        <v>4071428.0874999999</v>
      </c>
      <c r="AH65" s="123">
        <f t="shared" si="48"/>
        <v>4071428.0874999999</v>
      </c>
      <c r="AI65" s="123">
        <f t="shared" si="48"/>
        <v>4071428.0874999999</v>
      </c>
      <c r="AJ65" s="123">
        <f t="shared" si="48"/>
        <v>4071428.0874999999</v>
      </c>
      <c r="AK65" s="123">
        <f t="shared" si="48"/>
        <v>4071428.0874999999</v>
      </c>
      <c r="AL65" s="123">
        <f t="shared" si="48"/>
        <v>4071428.0874999999</v>
      </c>
      <c r="AM65" s="123">
        <f t="shared" si="48"/>
        <v>4071428.0874999999</v>
      </c>
      <c r="AO65" s="55">
        <f t="shared" ref="AO65" si="49">SUM(P65:AA65)</f>
        <v>48608556.1875</v>
      </c>
      <c r="AQ65" s="55">
        <f>SUM(AB65:AM65)</f>
        <v>48857137.04999999</v>
      </c>
      <c r="AZ65" s="123"/>
      <c r="BA65" s="123"/>
      <c r="BD65" s="123"/>
    </row>
    <row r="66" spans="2:61" x14ac:dyDescent="0.35">
      <c r="AZ66" s="53"/>
      <c r="BA66" s="53"/>
      <c r="BB66" s="53"/>
      <c r="BC66" s="53"/>
      <c r="BD66" s="53"/>
      <c r="BH66" s="53"/>
      <c r="BI66" s="55"/>
    </row>
    <row r="67" spans="2:61" x14ac:dyDescent="0.35"/>
    <row r="68" spans="2:61" x14ac:dyDescent="0.35"/>
    <row r="69" spans="2:61" x14ac:dyDescent="0.35"/>
    <row r="70" spans="2:61" x14ac:dyDescent="0.35"/>
    <row r="71" spans="2:61" x14ac:dyDescent="0.35"/>
    <row r="72" spans="2:61" x14ac:dyDescent="0.35"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</row>
    <row r="73" spans="2:61" x14ac:dyDescent="0.35"/>
    <row r="74" spans="2:61" x14ac:dyDescent="0.35"/>
    <row r="75" spans="2:61" x14ac:dyDescent="0.35"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</row>
    <row r="76" spans="2:61" x14ac:dyDescent="0.35"/>
    <row r="77" spans="2:61" x14ac:dyDescent="0.35"/>
    <row r="78" spans="2:61" x14ac:dyDescent="0.35"/>
    <row r="79" spans="2:61" x14ac:dyDescent="0.35"/>
    <row r="80" spans="2:61" x14ac:dyDescent="0.35"/>
    <row r="81" spans="11:39" x14ac:dyDescent="0.35"/>
    <row r="82" spans="11:39" x14ac:dyDescent="0.35"/>
    <row r="83" spans="11:39" x14ac:dyDescent="0.35"/>
    <row r="84" spans="11:39" x14ac:dyDescent="0.35"/>
    <row r="85" spans="11:39" x14ac:dyDescent="0.35"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</row>
    <row r="86" spans="11:39" x14ac:dyDescent="0.35"/>
    <row r="87" spans="11:39" x14ac:dyDescent="0.35"/>
    <row r="88" spans="11:39" x14ac:dyDescent="0.35"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</row>
    <row r="89" spans="11:39" x14ac:dyDescent="0.35"/>
    <row r="90" spans="11:39" x14ac:dyDescent="0.35"/>
    <row r="91" spans="11:39" x14ac:dyDescent="0.35"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</row>
    <row r="92" spans="11:39" x14ac:dyDescent="0.35"/>
    <row r="93" spans="11:39" x14ac:dyDescent="0.35">
      <c r="K93" s="123"/>
      <c r="L93" s="123"/>
      <c r="M93" s="123"/>
      <c r="N93" s="123"/>
      <c r="O93" s="123"/>
      <c r="P93" s="123"/>
      <c r="Q93" s="123"/>
      <c r="R93" s="123"/>
      <c r="S93" s="123"/>
    </row>
    <row r="94" spans="11:39" x14ac:dyDescent="0.35"/>
    <row r="95" spans="11:39" x14ac:dyDescent="0.35"/>
    <row r="96" spans="11:39" x14ac:dyDescent="0.35">
      <c r="K96" s="123"/>
      <c r="L96" s="123"/>
      <c r="M96" s="123"/>
      <c r="N96" s="123"/>
      <c r="O96" s="123"/>
      <c r="P96" s="123"/>
      <c r="Q96" s="123"/>
      <c r="R96" s="123"/>
      <c r="S96" s="123"/>
    </row>
    <row r="97" spans="11:19" x14ac:dyDescent="0.35">
      <c r="K97" s="123"/>
      <c r="L97" s="123"/>
      <c r="M97" s="123"/>
      <c r="N97" s="123"/>
      <c r="O97" s="123"/>
      <c r="P97" s="123"/>
      <c r="Q97" s="123"/>
      <c r="R97" s="123"/>
      <c r="S97" s="123"/>
    </row>
    <row r="98" spans="11:19" x14ac:dyDescent="0.35">
      <c r="K98" s="123"/>
      <c r="L98" s="123"/>
      <c r="M98" s="123"/>
      <c r="N98" s="123"/>
      <c r="O98" s="123"/>
      <c r="P98" s="123"/>
      <c r="Q98" s="123"/>
      <c r="R98" s="123"/>
      <c r="S98" s="123"/>
    </row>
    <row r="99" spans="11:19" x14ac:dyDescent="0.35">
      <c r="K99" s="123"/>
      <c r="L99" s="123"/>
      <c r="M99" s="123"/>
      <c r="N99" s="123"/>
      <c r="O99" s="123"/>
      <c r="P99" s="123"/>
      <c r="Q99" s="123"/>
      <c r="R99" s="123"/>
      <c r="S99" s="123"/>
    </row>
    <row r="100" spans="11:19" x14ac:dyDescent="0.35"/>
    <row r="101" spans="11:19" x14ac:dyDescent="0.35"/>
    <row r="102" spans="11:19" x14ac:dyDescent="0.35"/>
    <row r="103" spans="11:19" x14ac:dyDescent="0.35">
      <c r="K103" s="123"/>
      <c r="L103" s="123"/>
      <c r="M103" s="123"/>
      <c r="N103" s="123"/>
      <c r="O103" s="123"/>
      <c r="P103" s="123"/>
      <c r="Q103" s="123"/>
      <c r="R103" s="123"/>
      <c r="S103" s="123"/>
    </row>
    <row r="104" spans="11:19" x14ac:dyDescent="0.35"/>
    <row r="105" spans="11:19" x14ac:dyDescent="0.35"/>
    <row r="106" spans="11:19" x14ac:dyDescent="0.35">
      <c r="K106" s="123"/>
      <c r="L106" s="123"/>
      <c r="M106" s="123"/>
      <c r="N106" s="123"/>
      <c r="O106" s="123"/>
      <c r="P106" s="123"/>
      <c r="Q106" s="123"/>
      <c r="R106" s="123"/>
      <c r="S106" s="123"/>
    </row>
    <row r="107" spans="11:19" x14ac:dyDescent="0.35">
      <c r="K107" s="123"/>
      <c r="L107" s="123"/>
      <c r="M107" s="123"/>
      <c r="N107" s="123"/>
      <c r="O107" s="123"/>
      <c r="P107" s="123"/>
      <c r="Q107" s="123"/>
      <c r="R107" s="123"/>
      <c r="S107" s="123"/>
    </row>
    <row r="108" spans="11:19" x14ac:dyDescent="0.35">
      <c r="K108" s="123"/>
      <c r="L108" s="123"/>
      <c r="M108" s="123"/>
      <c r="N108" s="123"/>
      <c r="O108" s="123"/>
      <c r="P108" s="123"/>
      <c r="Q108" s="123"/>
      <c r="R108" s="123"/>
      <c r="S108" s="123"/>
    </row>
    <row r="109" spans="11:19" x14ac:dyDescent="0.35">
      <c r="K109" s="123"/>
      <c r="L109" s="123"/>
      <c r="M109" s="123"/>
      <c r="N109" s="123"/>
      <c r="O109" s="123"/>
      <c r="P109" s="123"/>
      <c r="Q109" s="123"/>
      <c r="R109" s="123"/>
      <c r="S109" s="123"/>
    </row>
    <row r="110" spans="11:19" x14ac:dyDescent="0.35"/>
    <row r="111" spans="11:19" x14ac:dyDescent="0.35"/>
    <row r="112" spans="11:19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</sheetData>
  <mergeCells count="7">
    <mergeCell ref="D2:G2"/>
    <mergeCell ref="H2:S2"/>
    <mergeCell ref="T2:AD2"/>
    <mergeCell ref="P1:AA1"/>
    <mergeCell ref="AB1:AM1"/>
    <mergeCell ref="AE2:AM2"/>
    <mergeCell ref="D1:O1"/>
  </mergeCells>
  <phoneticPr fontId="5" type="noConversion"/>
  <pageMargins left="0.5" right="0.5" top="0.75" bottom="0.75" header="0.3" footer="0.3"/>
  <pageSetup scale="50" orientation="landscape" r:id="rId1"/>
  <headerFooter>
    <oddFooter>&amp;L&amp;F&amp;C&amp;A - &amp;P&amp;R&amp;D</oddFooter>
  </headerFooter>
  <colBreaks count="2" manualBreakCount="2">
    <brk id="3" max="64" man="1"/>
    <brk id="15" max="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-0.249977111117893"/>
    <pageSetUpPr fitToPage="1"/>
  </sheetPr>
  <dimension ref="A1:N32"/>
  <sheetViews>
    <sheetView workbookViewId="0">
      <selection activeCell="D27" sqref="D27"/>
    </sheetView>
  </sheetViews>
  <sheetFormatPr defaultColWidth="0" defaultRowHeight="14.5" zeroHeight="1" x14ac:dyDescent="0.35"/>
  <cols>
    <col min="1" max="2" width="9.26953125" style="1" customWidth="1"/>
    <col min="3" max="3" width="1.54296875" style="2" customWidth="1"/>
    <col min="4" max="4" width="67.54296875" style="1" customWidth="1"/>
    <col min="5" max="5" width="20.54296875" style="1" customWidth="1"/>
    <col min="6" max="6" width="2.54296875" style="1" customWidth="1"/>
    <col min="7" max="7" width="20.54296875" style="1" customWidth="1"/>
    <col min="8" max="8" width="8.54296875" style="1" customWidth="1"/>
    <col min="9" max="9" width="2.54296875" style="1" customWidth="1"/>
    <col min="10" max="10" width="20.54296875" style="1" customWidth="1"/>
    <col min="11" max="11" width="7.7265625" style="1" customWidth="1"/>
    <col min="12" max="14" width="9.26953125" style="1" customWidth="1"/>
    <col min="15" max="16384" width="9.26953125" style="1" hidden="1"/>
  </cols>
  <sheetData>
    <row r="1" spans="2:11" x14ac:dyDescent="0.35"/>
    <row r="2" spans="2:11" hidden="1" x14ac:dyDescent="0.35">
      <c r="B2" s="3" t="s">
        <v>30</v>
      </c>
      <c r="C2" s="4"/>
      <c r="D2" s="3"/>
      <c r="E2" s="3"/>
      <c r="F2" s="3"/>
      <c r="G2" s="3"/>
      <c r="H2" s="3"/>
      <c r="I2" s="3"/>
      <c r="J2" s="3"/>
      <c r="K2" s="3"/>
    </row>
    <row r="3" spans="2:11" x14ac:dyDescent="0.35">
      <c r="B3" s="3" t="str">
        <f>"Table 1 - Calculation of TAP Rider Rates Effective "&amp;TEXT('Assumptions and Inputs'!C65,"MMMM DD, YYYY")&amp;" ("&amp;TEXT('Assumptions and Inputs'!C69,0)&amp;")"</f>
        <v>Table 1 - Calculation of TAP Rider Rates Effective September 01, 2026 (FY 2027)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35">
      <c r="D4" s="5"/>
      <c r="F4" s="6"/>
      <c r="G4" s="6"/>
      <c r="H4" s="6"/>
      <c r="I4" s="6"/>
      <c r="J4" s="6"/>
      <c r="K4" s="6"/>
    </row>
    <row r="5" spans="2:11" ht="5.15" customHeight="1" x14ac:dyDescent="0.35">
      <c r="B5" s="7"/>
      <c r="C5" s="8"/>
      <c r="D5" s="9"/>
      <c r="E5" s="9"/>
      <c r="F5" s="9"/>
      <c r="G5" s="10"/>
      <c r="H5" s="10"/>
      <c r="I5" s="11"/>
      <c r="J5" s="10"/>
      <c r="K5" s="12"/>
    </row>
    <row r="6" spans="2:11" ht="15.5" x14ac:dyDescent="0.35">
      <c r="B6" s="13"/>
      <c r="C6" s="14"/>
      <c r="D6" s="15"/>
      <c r="E6" s="16" t="s">
        <v>135</v>
      </c>
      <c r="F6" s="15"/>
      <c r="G6" s="344" t="s">
        <v>136</v>
      </c>
      <c r="H6" s="344"/>
      <c r="I6" s="17"/>
      <c r="J6" s="344" t="s">
        <v>137</v>
      </c>
      <c r="K6" s="346"/>
    </row>
    <row r="7" spans="2:11" ht="5.15" customHeight="1" x14ac:dyDescent="0.35">
      <c r="B7" s="13"/>
      <c r="C7" s="14"/>
      <c r="D7" s="15"/>
      <c r="E7" s="15"/>
      <c r="F7" s="15"/>
      <c r="G7" s="16"/>
      <c r="H7" s="16"/>
      <c r="I7" s="17"/>
      <c r="J7" s="16"/>
      <c r="K7" s="18"/>
    </row>
    <row r="8" spans="2:11" x14ac:dyDescent="0.35">
      <c r="B8" s="13"/>
      <c r="C8" s="14"/>
      <c r="D8" s="15"/>
      <c r="E8" s="19" t="s">
        <v>138</v>
      </c>
      <c r="F8" s="15"/>
      <c r="G8" s="345" t="s">
        <v>138</v>
      </c>
      <c r="H8" s="345"/>
      <c r="I8" s="20"/>
      <c r="J8" s="345" t="s">
        <v>138</v>
      </c>
      <c r="K8" s="347"/>
    </row>
    <row r="9" spans="2:11" ht="16.5" x14ac:dyDescent="0.35">
      <c r="B9" s="21" t="s">
        <v>139</v>
      </c>
      <c r="C9" s="22"/>
      <c r="D9" s="23" t="s">
        <v>140</v>
      </c>
      <c r="E9" s="24">
        <f>G9+J9</f>
        <v>54485503.426695205</v>
      </c>
      <c r="F9" s="23"/>
      <c r="G9" s="25">
        <f>'C-Factor'!$G$8</f>
        <v>23428766.473478939</v>
      </c>
      <c r="H9" s="26"/>
      <c r="I9" s="26"/>
      <c r="J9" s="25">
        <f>'C-Factor'!$H$8</f>
        <v>31056736.953216266</v>
      </c>
      <c r="K9" s="27"/>
    </row>
    <row r="10" spans="2:11" x14ac:dyDescent="0.35">
      <c r="B10" s="29"/>
      <c r="C10" s="14"/>
      <c r="D10" s="15"/>
      <c r="E10" s="15"/>
      <c r="F10" s="15"/>
      <c r="G10" s="15"/>
      <c r="H10" s="26"/>
      <c r="I10" s="26"/>
      <c r="J10" s="15"/>
      <c r="K10" s="27"/>
    </row>
    <row r="11" spans="2:11" ht="16.5" x14ac:dyDescent="0.35">
      <c r="B11" s="21" t="s">
        <v>141</v>
      </c>
      <c r="C11" s="22"/>
      <c r="D11" s="23" t="s">
        <v>142</v>
      </c>
      <c r="E11" s="24">
        <f>G11+J11</f>
        <v>-15200592.509974889</v>
      </c>
      <c r="F11" s="24"/>
      <c r="G11" s="25">
        <f>'E-Factor'!J28</f>
        <v>-6599803.7414927511</v>
      </c>
      <c r="H11" s="30"/>
      <c r="I11" s="30"/>
      <c r="J11" s="25">
        <f>'E-Factor'!J66</f>
        <v>-8600788.7684821375</v>
      </c>
      <c r="K11" s="27"/>
    </row>
    <row r="12" spans="2:11" x14ac:dyDescent="0.35">
      <c r="B12" s="21"/>
      <c r="C12" s="22"/>
      <c r="D12" s="15"/>
      <c r="E12" s="31"/>
      <c r="F12" s="31"/>
      <c r="G12" s="31"/>
      <c r="H12" s="30"/>
      <c r="I12" s="30"/>
      <c r="J12" s="31"/>
      <c r="K12" s="27"/>
    </row>
    <row r="13" spans="2:11" ht="16.5" x14ac:dyDescent="0.35">
      <c r="B13" s="21" t="s">
        <v>143</v>
      </c>
      <c r="C13" s="22"/>
      <c r="D13" s="23" t="s">
        <v>144</v>
      </c>
      <c r="E13" s="24">
        <f>G13+J13</f>
        <v>-239758.60979242763</v>
      </c>
      <c r="F13" s="32"/>
      <c r="G13" s="25">
        <f>'I-Factor'!$H$27</f>
        <v>-104441.37073605659</v>
      </c>
      <c r="H13" s="30"/>
      <c r="I13" s="30"/>
      <c r="J13" s="25">
        <f>'I-Factor'!$H$61</f>
        <v>-135317.23905637104</v>
      </c>
      <c r="K13" s="27"/>
    </row>
    <row r="14" spans="2:11" x14ac:dyDescent="0.35">
      <c r="B14" s="29"/>
      <c r="C14" s="14"/>
      <c r="D14" s="15"/>
      <c r="E14" s="31"/>
      <c r="F14" s="31"/>
      <c r="G14" s="31"/>
      <c r="H14" s="33"/>
      <c r="I14" s="33"/>
      <c r="J14" s="31"/>
      <c r="K14" s="34"/>
    </row>
    <row r="15" spans="2:11" ht="16.5" x14ac:dyDescent="0.35">
      <c r="B15" s="21" t="s">
        <v>145</v>
      </c>
      <c r="C15" s="22"/>
      <c r="D15" s="35" t="s">
        <v>146</v>
      </c>
      <c r="E15" s="31">
        <f>G15+J15</f>
        <v>69925854.546462521</v>
      </c>
      <c r="F15" s="31"/>
      <c r="G15" s="31">
        <f>(G9)-(G11+G13)</f>
        <v>30133011.585707746</v>
      </c>
      <c r="H15" s="33"/>
      <c r="I15" s="33"/>
      <c r="J15" s="31">
        <f>(J9)-(J11+J13)</f>
        <v>39792842.960754775</v>
      </c>
      <c r="K15" s="34"/>
    </row>
    <row r="16" spans="2:11" x14ac:dyDescent="0.35">
      <c r="B16" s="29"/>
      <c r="C16" s="14"/>
      <c r="D16" s="15"/>
      <c r="E16" s="15"/>
      <c r="F16" s="15"/>
      <c r="G16" s="15"/>
      <c r="H16" s="36"/>
      <c r="I16" s="36"/>
      <c r="J16" s="15"/>
      <c r="K16" s="34"/>
    </row>
    <row r="17" spans="2:11" ht="16.5" x14ac:dyDescent="0.35">
      <c r="B17" s="21" t="s">
        <v>147</v>
      </c>
      <c r="C17" s="22"/>
      <c r="D17" s="23" t="s">
        <v>148</v>
      </c>
      <c r="E17" s="23"/>
      <c r="F17" s="23"/>
      <c r="G17" s="37">
        <f>Customer!$AQ$40/'Assumptions and Inputs'!$C$21</f>
        <v>5165633.6800000006</v>
      </c>
      <c r="H17" s="36"/>
      <c r="I17" s="36"/>
      <c r="J17" s="37">
        <f>Customer!$AQ$65/'Assumptions and Inputs'!$C$21</f>
        <v>4885713.7049999991</v>
      </c>
      <c r="K17" s="34"/>
    </row>
    <row r="18" spans="2:11" x14ac:dyDescent="0.35">
      <c r="B18" s="29"/>
      <c r="C18" s="14"/>
      <c r="D18" s="15"/>
      <c r="E18" s="15"/>
      <c r="F18" s="15"/>
      <c r="G18" s="15"/>
      <c r="H18" s="15"/>
      <c r="I18" s="15"/>
      <c r="J18" s="15"/>
      <c r="K18" s="38"/>
    </row>
    <row r="19" spans="2:11" ht="16.5" x14ac:dyDescent="0.35">
      <c r="B19" s="21" t="s">
        <v>149</v>
      </c>
      <c r="C19" s="39"/>
      <c r="D19" s="40" t="s">
        <v>150</v>
      </c>
      <c r="E19" s="40"/>
      <c r="F19" s="40"/>
      <c r="G19" s="41">
        <f>ROUND(G15/G17, 2)</f>
        <v>5.83</v>
      </c>
      <c r="H19" s="42" t="s">
        <v>151</v>
      </c>
      <c r="I19" s="43"/>
      <c r="J19" s="41">
        <f>ROUND(J15/J17, 2)</f>
        <v>8.14</v>
      </c>
      <c r="K19" s="44" t="s">
        <v>151</v>
      </c>
    </row>
    <row r="20" spans="2:11" x14ac:dyDescent="0.35">
      <c r="B20" s="46"/>
      <c r="C20" s="47"/>
      <c r="D20" s="48"/>
      <c r="E20" s="48"/>
      <c r="F20" s="48"/>
      <c r="G20" s="49"/>
      <c r="H20" s="50"/>
      <c r="I20" s="50"/>
      <c r="J20" s="49"/>
      <c r="K20" s="51"/>
    </row>
    <row r="21" spans="2:11" x14ac:dyDescent="0.35"/>
    <row r="22" spans="2:11" x14ac:dyDescent="0.35">
      <c r="B22" s="52" t="s">
        <v>152</v>
      </c>
      <c r="C22" s="302" t="s">
        <v>153</v>
      </c>
      <c r="D22" s="303" t="s">
        <v>154</v>
      </c>
      <c r="G22" s="53"/>
      <c r="H22" s="54"/>
      <c r="J22" s="53"/>
    </row>
    <row r="23" spans="2:11" x14ac:dyDescent="0.35">
      <c r="B23" s="52"/>
      <c r="C23" s="302" t="s">
        <v>155</v>
      </c>
      <c r="D23" s="303" t="s">
        <v>156</v>
      </c>
      <c r="G23" s="55"/>
      <c r="J23" s="56"/>
    </row>
    <row r="24" spans="2:11" x14ac:dyDescent="0.35">
      <c r="B24" s="52"/>
      <c r="C24" s="302" t="s">
        <v>157</v>
      </c>
      <c r="D24" s="303" t="str">
        <f>"Simple Annual Interest on Net Over/Under Collection for the Most Recent Period.  Refer to Tables 4-W and 4-WW for further information.  Interest rate of "&amp;FIXED('Assumptions and Inputs'!C56*100,2,TRUE)&amp;"% as of "&amp;TEXT('Assumptions and Inputs'!$C$57,"MMMM DD, YYYY")&amp;"."</f>
        <v>Simple Annual Interest on Net Over/Under Collection for the Most Recent Period.  Refer to Tables 4-W and 4-WW for further information.  Interest rate of 3.47% as of January 02, 2026.</v>
      </c>
      <c r="G24" s="55"/>
      <c r="J24" s="55"/>
    </row>
    <row r="25" spans="2:11" x14ac:dyDescent="0.35">
      <c r="B25" s="52"/>
      <c r="C25" s="302" t="s">
        <v>158</v>
      </c>
      <c r="D25" s="303" t="s">
        <v>159</v>
      </c>
    </row>
    <row r="26" spans="2:11" x14ac:dyDescent="0.35">
      <c r="B26" s="52"/>
      <c r="C26" s="302" t="s">
        <v>160</v>
      </c>
      <c r="D26" s="303" t="str">
        <f ca="1">"Estimated water and sewer sales for Non-TAP Customers for the Next Rate Period based upon the average monthly Non-TAP sales volume for the 12 month period of April 2025 to"</f>
        <v>Estimated water and sewer sales for Non-TAP Customers for the Next Rate Period based upon the average monthly Non-TAP sales volume for the 12 month period of April 2025 to</v>
      </c>
    </row>
    <row r="27" spans="2:11" x14ac:dyDescent="0.35">
      <c r="B27" s="52"/>
      <c r="C27" s="302"/>
      <c r="D27" s="303" t="str">
        <f ca="1">"March 2026.  Next Rate Period is assumed to be "&amp;TEXT('Assumptions and Inputs'!C65,"MMMM DD, YYYY")&amp;" to "&amp;TEXT('Assumptions and Inputs'!C67,"MMMM DD, YYYY")&amp;"."</f>
        <v>March 2026.  Next Rate Period is assumed to be September 01, 2026 to August 31, 2027.</v>
      </c>
    </row>
    <row r="28" spans="2:11" x14ac:dyDescent="0.35">
      <c r="B28" s="52"/>
      <c r="C28" s="302" t="s">
        <v>161</v>
      </c>
      <c r="D28" s="303" t="s">
        <v>162</v>
      </c>
    </row>
    <row r="29" spans="2:11" x14ac:dyDescent="0.35">
      <c r="B29" s="52"/>
      <c r="C29" s="57"/>
      <c r="D29" s="52"/>
    </row>
    <row r="30" spans="2:11" x14ac:dyDescent="0.35">
      <c r="D30" s="58"/>
      <c r="E30" s="59"/>
    </row>
    <row r="31" spans="2:11" x14ac:dyDescent="0.35">
      <c r="D31" s="61"/>
      <c r="E31" s="59"/>
    </row>
    <row r="32" spans="2:11" x14ac:dyDescent="0.35">
      <c r="D32" s="61"/>
      <c r="E32" s="59"/>
      <c r="G32" s="60"/>
      <c r="H32" s="28"/>
      <c r="I32" s="28"/>
      <c r="J32" s="60"/>
    </row>
  </sheetData>
  <mergeCells count="4">
    <mergeCell ref="G6:H6"/>
    <mergeCell ref="G8:H8"/>
    <mergeCell ref="J6:K6"/>
    <mergeCell ref="J8:K8"/>
  </mergeCells>
  <printOptions horizontalCentered="1"/>
  <pageMargins left="0.7" right="0.7" top="0.75" bottom="0.75" header="0.3" footer="0.3"/>
  <pageSetup scale="76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B9 B11 B13 B15 B17 B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-0.249977111117893"/>
    <pageSetUpPr fitToPage="1"/>
  </sheetPr>
  <dimension ref="A1:O30"/>
  <sheetViews>
    <sheetView showGridLines="0" workbookViewId="0">
      <selection activeCell="E8" sqref="E8"/>
    </sheetView>
  </sheetViews>
  <sheetFormatPr defaultColWidth="0" defaultRowHeight="14.5" zeroHeight="1" x14ac:dyDescent="0.35"/>
  <cols>
    <col min="1" max="2" width="9.26953125" style="1" customWidth="1"/>
    <col min="3" max="3" width="36" style="1" customWidth="1"/>
    <col min="4" max="4" width="8.7265625" style="1" customWidth="1"/>
    <col min="5" max="5" width="18" style="1" customWidth="1"/>
    <col min="6" max="6" width="5.54296875" style="1" customWidth="1"/>
    <col min="7" max="8" width="18" style="1" customWidth="1"/>
    <col min="9" max="11" width="10.54296875" style="1" customWidth="1"/>
    <col min="12" max="15" width="9.26953125" style="1" customWidth="1"/>
    <col min="16" max="16384" width="9.26953125" style="1" hidden="1"/>
  </cols>
  <sheetData>
    <row r="1" spans="2:13" x14ac:dyDescent="0.35"/>
    <row r="2" spans="2:13" x14ac:dyDescent="0.35">
      <c r="B2" s="62" t="s">
        <v>30</v>
      </c>
      <c r="C2" s="62"/>
      <c r="D2" s="62"/>
      <c r="E2" s="62"/>
      <c r="F2" s="62"/>
      <c r="G2" s="62"/>
      <c r="H2" s="62"/>
      <c r="I2" s="63"/>
      <c r="J2" s="63"/>
      <c r="K2" s="63"/>
    </row>
    <row r="3" spans="2:13" x14ac:dyDescent="0.35">
      <c r="B3" s="62" t="s">
        <v>163</v>
      </c>
      <c r="C3" s="62"/>
      <c r="D3" s="62"/>
      <c r="E3" s="62"/>
      <c r="F3" s="62"/>
      <c r="G3" s="62"/>
      <c r="H3" s="62"/>
      <c r="I3" s="63"/>
      <c r="J3" s="63"/>
      <c r="K3" s="63"/>
    </row>
    <row r="4" spans="2:13" x14ac:dyDescent="0.35">
      <c r="C4" s="5"/>
      <c r="D4" s="5"/>
      <c r="E4" s="5"/>
      <c r="F4" s="5"/>
      <c r="G4" s="5"/>
      <c r="H4" s="5"/>
    </row>
    <row r="5" spans="2:13" x14ac:dyDescent="0.35">
      <c r="B5" s="64" t="s">
        <v>164</v>
      </c>
      <c r="C5" s="65" t="str">
        <f>TEXT('Assumptions and Inputs'!C65,"MMMM DD, YYYY")&amp;" through "&amp;TEXT('Assumptions and Inputs'!C67,"MMMM DD, YYYY")</f>
        <v>September 01, 2026 through August 31, 2027</v>
      </c>
      <c r="D5" s="9"/>
      <c r="E5" s="9"/>
      <c r="F5" s="9"/>
      <c r="G5" s="66" t="s">
        <v>136</v>
      </c>
      <c r="H5" s="66" t="s">
        <v>137</v>
      </c>
      <c r="I5" s="9"/>
      <c r="J5" s="9"/>
      <c r="K5" s="67"/>
    </row>
    <row r="6" spans="2:13" x14ac:dyDescent="0.35">
      <c r="B6" s="13"/>
      <c r="C6" s="68"/>
      <c r="D6" s="15"/>
      <c r="E6" s="15"/>
      <c r="F6" s="15"/>
      <c r="G6" s="69">
        <v>0.43</v>
      </c>
      <c r="H6" s="69">
        <v>0.56999999999999995</v>
      </c>
      <c r="I6" s="15"/>
      <c r="J6" s="15"/>
      <c r="K6" s="70"/>
    </row>
    <row r="7" spans="2:13" ht="5.15" customHeight="1" x14ac:dyDescent="0.35">
      <c r="B7" s="13"/>
      <c r="C7" s="68"/>
      <c r="D7" s="15"/>
      <c r="E7" s="15"/>
      <c r="F7" s="15"/>
      <c r="G7" s="71"/>
      <c r="H7" s="71"/>
      <c r="I7" s="15"/>
      <c r="J7" s="15"/>
      <c r="K7" s="70"/>
    </row>
    <row r="8" spans="2:13" ht="16.5" x14ac:dyDescent="0.35">
      <c r="B8" s="21" t="s">
        <v>139</v>
      </c>
      <c r="C8" s="72" t="s">
        <v>165</v>
      </c>
      <c r="D8" s="15"/>
      <c r="E8" s="73">
        <f>+'Assumptions and Inputs'!C15</f>
        <v>54485503.426695205</v>
      </c>
      <c r="F8" s="73"/>
      <c r="G8" s="73">
        <f>E8*$G$6</f>
        <v>23428766.473478939</v>
      </c>
      <c r="H8" s="73">
        <f>E8*$H$6</f>
        <v>31056736.953216266</v>
      </c>
      <c r="I8" s="74"/>
      <c r="J8" s="15"/>
      <c r="K8" s="38"/>
      <c r="M8" s="81"/>
    </row>
    <row r="9" spans="2:13" x14ac:dyDescent="0.35">
      <c r="B9" s="75"/>
      <c r="C9" s="76"/>
      <c r="D9" s="48"/>
      <c r="E9" s="77"/>
      <c r="F9" s="48"/>
      <c r="G9" s="48"/>
      <c r="H9" s="48"/>
      <c r="I9" s="48"/>
      <c r="J9" s="48"/>
      <c r="K9" s="78"/>
    </row>
    <row r="10" spans="2:13" x14ac:dyDescent="0.35">
      <c r="B10" s="79" t="s">
        <v>152</v>
      </c>
      <c r="C10" s="79"/>
      <c r="D10" s="80"/>
      <c r="E10" s="80"/>
      <c r="F10" s="80"/>
      <c r="G10" s="80"/>
      <c r="H10" s="80"/>
      <c r="I10" s="80"/>
      <c r="J10" s="80"/>
      <c r="K10" s="80"/>
    </row>
    <row r="11" spans="2:13" x14ac:dyDescent="0.35">
      <c r="B11" s="302" t="s">
        <v>153</v>
      </c>
      <c r="C11" s="304" t="str">
        <f>"Projected TAP Billing Loss based upon the Projected Average Monthly Number of TAP Participants of "&amp;FIXED('Assumptions and Inputs'!$C13,0,FALSE)&amp;" and the Average TAP Discount per Participant of $"&amp;FIXED('Assumptions and Inputs'!$C$9,2,TRUE)&amp;". "</f>
        <v xml:space="preserve">Projected TAP Billing Loss based upon the Projected Average Monthly Number of TAP Participants of 70,400 and the Average TAP Discount per Participant of $64.49. </v>
      </c>
    </row>
    <row r="12" spans="2:13" x14ac:dyDescent="0.35">
      <c r="B12" s="302" t="s">
        <v>155</v>
      </c>
      <c r="C12" s="304" t="str">
        <f>"Allocation between Water and Wastewater per "&amp;TEXT('Assumptions and Inputs'!F38,)&amp;" Section 10.1(a)(i) and Section 10.1(a)(ii)."</f>
        <v>Allocation between Water and Wastewater per PWD Regulations - Rates and Charges Effective September 1, 2025 Section 10.1(a)(i) and Section 10.1(a)(ii).</v>
      </c>
    </row>
    <row r="13" spans="2:13" x14ac:dyDescent="0.35">
      <c r="C13" s="52"/>
    </row>
    <row r="14" spans="2:13" x14ac:dyDescent="0.35"/>
    <row r="15" spans="2:13" x14ac:dyDescent="0.35">
      <c r="E15" s="81"/>
    </row>
    <row r="16" spans="2:13" x14ac:dyDescent="0.35"/>
    <row r="17" spans="3:3" x14ac:dyDescent="0.35"/>
    <row r="18" spans="3:3" x14ac:dyDescent="0.35"/>
    <row r="19" spans="3:3" x14ac:dyDescent="0.35">
      <c r="C19" s="82"/>
    </row>
    <row r="20" spans="3:3" x14ac:dyDescent="0.35">
      <c r="C20" s="82"/>
    </row>
    <row r="21" spans="3:3" x14ac:dyDescent="0.35"/>
    <row r="22" spans="3:3" x14ac:dyDescent="0.35"/>
    <row r="23" spans="3:3" x14ac:dyDescent="0.35"/>
    <row r="24" spans="3:3" x14ac:dyDescent="0.35"/>
    <row r="25" spans="3:3" x14ac:dyDescent="0.35"/>
    <row r="26" spans="3:3" x14ac:dyDescent="0.35"/>
    <row r="27" spans="3:3" x14ac:dyDescent="0.35"/>
    <row r="28" spans="3:3" x14ac:dyDescent="0.35"/>
    <row r="29" spans="3:3" x14ac:dyDescent="0.35"/>
    <row r="30" spans="3:3" x14ac:dyDescent="0.35"/>
  </sheetData>
  <printOptions horizontalCentered="1"/>
  <pageMargins left="0.7" right="0.7" top="0.75" bottom="0.75" header="0.3" footer="0.3"/>
  <pageSetup scale="84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B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249977111117893"/>
    <pageSetUpPr fitToPage="1"/>
  </sheetPr>
  <dimension ref="A1:AC96"/>
  <sheetViews>
    <sheetView topLeftCell="A51" workbookViewId="0">
      <selection activeCell="B71" sqref="B71"/>
    </sheetView>
  </sheetViews>
  <sheetFormatPr defaultColWidth="9.26953125" defaultRowHeight="14.5" zeroHeight="1" x14ac:dyDescent="0.35"/>
  <cols>
    <col min="1" max="1" width="5.54296875" style="1" customWidth="1"/>
    <col min="2" max="2" width="9.453125" style="1" customWidth="1"/>
    <col min="3" max="3" width="17.81640625" style="1" customWidth="1"/>
    <col min="4" max="4" width="15.54296875" style="1" customWidth="1"/>
    <col min="5" max="8" width="20.54296875" style="1" customWidth="1"/>
    <col min="9" max="9" width="25.54296875" style="1" customWidth="1"/>
    <col min="10" max="10" width="20.54296875" style="1" customWidth="1"/>
    <col min="11" max="11" width="9.26953125" style="1" customWidth="1"/>
    <col min="12" max="12" width="13.7265625" style="1" bestFit="1" customWidth="1"/>
    <col min="13" max="13" width="15.453125" style="1" customWidth="1"/>
    <col min="14" max="14" width="15.54296875" style="1" customWidth="1"/>
    <col min="15" max="15" width="17.54296875" style="1" customWidth="1"/>
    <col min="16" max="17" width="15.54296875" style="1" customWidth="1"/>
    <col min="18" max="18" width="15.453125" style="1" bestFit="1" customWidth="1"/>
    <col min="19" max="19" width="14.7265625" style="1" customWidth="1"/>
    <col min="20" max="20" width="9.26953125" style="1"/>
    <col min="21" max="21" width="15.54296875" style="1" customWidth="1"/>
    <col min="22" max="22" width="12.7265625" style="1" customWidth="1"/>
    <col min="23" max="23" width="9.26953125" style="1"/>
    <col min="24" max="24" width="14.26953125" style="1" customWidth="1"/>
    <col min="25" max="25" width="12.26953125" style="1" customWidth="1"/>
    <col min="26" max="27" width="9.26953125" style="1"/>
    <col min="28" max="28" width="15.26953125" style="1" customWidth="1"/>
    <col min="29" max="29" width="12.7265625" style="1" customWidth="1"/>
    <col min="30" max="16384" width="9.26953125" style="1"/>
  </cols>
  <sheetData>
    <row r="1" spans="1:29" x14ac:dyDescent="0.35"/>
    <row r="2" spans="1:29" x14ac:dyDescent="0.35">
      <c r="B2" s="62" t="s">
        <v>30</v>
      </c>
      <c r="C2" s="63"/>
      <c r="D2" s="63"/>
      <c r="E2" s="63"/>
      <c r="F2" s="63"/>
      <c r="G2" s="63"/>
      <c r="H2" s="63"/>
      <c r="I2" s="63"/>
      <c r="J2" s="63"/>
    </row>
    <row r="3" spans="1:29" x14ac:dyDescent="0.35">
      <c r="B3" s="62" t="s">
        <v>166</v>
      </c>
      <c r="C3" s="63"/>
      <c r="D3" s="63"/>
      <c r="E3" s="63"/>
      <c r="F3" s="63"/>
      <c r="G3" s="63"/>
      <c r="H3" s="63"/>
      <c r="I3" s="63"/>
      <c r="J3" s="63"/>
    </row>
    <row r="4" spans="1:29" ht="5.15" customHeight="1" x14ac:dyDescent="0.35"/>
    <row r="5" spans="1:29" x14ac:dyDescent="0.35">
      <c r="B5" s="83" t="s">
        <v>167</v>
      </c>
      <c r="C5" s="83" t="s">
        <v>168</v>
      </c>
      <c r="D5" s="83" t="s">
        <v>169</v>
      </c>
      <c r="E5" s="83" t="s">
        <v>170</v>
      </c>
      <c r="F5" s="83" t="s">
        <v>171</v>
      </c>
      <c r="G5" s="83" t="s">
        <v>172</v>
      </c>
      <c r="H5" s="83" t="s">
        <v>173</v>
      </c>
      <c r="I5" s="83" t="s">
        <v>174</v>
      </c>
      <c r="J5" s="83" t="s">
        <v>175</v>
      </c>
    </row>
    <row r="6" spans="1:29" x14ac:dyDescent="0.35">
      <c r="B6" s="84" t="s">
        <v>164</v>
      </c>
      <c r="C6" s="84" t="s">
        <v>176</v>
      </c>
      <c r="D6" s="84" t="s">
        <v>177</v>
      </c>
      <c r="E6" s="84" t="s">
        <v>178</v>
      </c>
      <c r="F6" s="84" t="s">
        <v>176</v>
      </c>
      <c r="G6" s="84" t="s">
        <v>177</v>
      </c>
      <c r="H6" s="84" t="s">
        <v>179</v>
      </c>
      <c r="I6" s="84" t="s">
        <v>180</v>
      </c>
      <c r="J6" s="84" t="s">
        <v>181</v>
      </c>
    </row>
    <row r="7" spans="1:29" x14ac:dyDescent="0.35">
      <c r="B7" s="84"/>
      <c r="C7" s="84" t="s">
        <v>182</v>
      </c>
      <c r="D7" s="84" t="s">
        <v>183</v>
      </c>
      <c r="E7" s="84" t="s">
        <v>184</v>
      </c>
      <c r="F7" s="84" t="s">
        <v>182</v>
      </c>
      <c r="G7" s="84" t="s">
        <v>183</v>
      </c>
      <c r="H7" s="84"/>
      <c r="I7" s="84" t="s">
        <v>185</v>
      </c>
      <c r="J7" s="84"/>
    </row>
    <row r="8" spans="1:29" x14ac:dyDescent="0.35">
      <c r="B8" s="84"/>
      <c r="C8" s="85"/>
      <c r="D8" s="85"/>
      <c r="E8" s="86">
        <f>'Assumptions and Inputs'!$C$32</f>
        <v>3.59</v>
      </c>
      <c r="F8" s="87">
        <f>'Assumptions and Inputs'!$C$38</f>
        <v>0.96930000000000005</v>
      </c>
      <c r="G8" s="85"/>
      <c r="H8" s="86">
        <f>'Assumptions and Inputs'!$C$32</f>
        <v>3.59</v>
      </c>
      <c r="I8" s="87">
        <f>'Assumptions and Inputs'!$C$38</f>
        <v>0.96930000000000005</v>
      </c>
      <c r="J8" s="88"/>
      <c r="Q8" s="28"/>
      <c r="R8" s="28"/>
    </row>
    <row r="9" spans="1:29" x14ac:dyDescent="0.35">
      <c r="B9" s="89"/>
      <c r="C9" s="90" t="s">
        <v>139</v>
      </c>
      <c r="D9" s="90" t="s">
        <v>141</v>
      </c>
      <c r="E9" s="90" t="str">
        <f>"(3) = (2) * $ "&amp;FIXED(E8,3,)&amp;"/Mcf"</f>
        <v>(3) = (2) * $ 3.590/Mcf</v>
      </c>
      <c r="F9" s="90" t="str">
        <f>"(4) = [(1) - (3)]* "&amp;FIXED(F8,4,)&amp;""</f>
        <v>(4) = [(1) - (3)]* 0.9693</v>
      </c>
      <c r="G9" s="90" t="s">
        <v>147</v>
      </c>
      <c r="H9" s="90" t="str">
        <f>"(6) = (5) * $ "&amp;FIXED(H8,3,)&amp;"/Mcf"</f>
        <v>(6) = (5) * $ 3.590/Mcf</v>
      </c>
      <c r="I9" s="91" t="str">
        <f>"(7) = (6) * "&amp;FIXED(F8,4,)&amp;""</f>
        <v>(7) = (6) * 0.9693</v>
      </c>
      <c r="J9" s="90" t="s">
        <v>186</v>
      </c>
      <c r="R9" s="53"/>
    </row>
    <row r="10" spans="1:29" x14ac:dyDescent="0.35">
      <c r="B10" s="92"/>
      <c r="C10" s="93"/>
      <c r="D10" s="93"/>
      <c r="E10" s="93"/>
      <c r="F10" s="93"/>
      <c r="G10" s="93"/>
      <c r="H10" s="93"/>
      <c r="I10" s="94" t="s">
        <v>187</v>
      </c>
      <c r="J10" s="95">
        <f>'Assumptions and Inputs'!$C$83+'Assumptions and Inputs'!$C$87</f>
        <v>-3616542</v>
      </c>
      <c r="K10" s="96"/>
      <c r="Q10" s="45"/>
      <c r="R10" s="45"/>
      <c r="X10" s="45"/>
    </row>
    <row r="11" spans="1:29" x14ac:dyDescent="0.35">
      <c r="A11" s="2" t="s">
        <v>188</v>
      </c>
      <c r="B11" s="97">
        <v>45901</v>
      </c>
      <c r="C11" s="98">
        <f>Customer!P$11*'Assumptions and Inputs'!$C$40</f>
        <v>1718770.2860000001</v>
      </c>
      <c r="D11" s="99">
        <f>Customer!P$35/'Assumptions and Inputs'!$C$21</f>
        <v>44415.7</v>
      </c>
      <c r="E11" s="98">
        <f>ROUND($E$8*D11, 0)</f>
        <v>159452</v>
      </c>
      <c r="F11" s="98">
        <f t="shared" ref="F11:F22" si="0">(C11-E11)*$F$8</f>
        <v>1511447.2146198002</v>
      </c>
      <c r="G11" s="99">
        <f>Customer!P$40/'Assumptions and Inputs'!$C$21</f>
        <v>458755.35</v>
      </c>
      <c r="H11" s="100">
        <f t="shared" ref="H11:H21" si="1">ROUND($H$8*G11, 0)</f>
        <v>1646932</v>
      </c>
      <c r="I11" s="100">
        <f>H11*$I$8</f>
        <v>1596371.1876000001</v>
      </c>
      <c r="J11" s="98">
        <f t="shared" ref="J11:J22" si="2">I11-F11</f>
        <v>84923.972980199847</v>
      </c>
      <c r="M11" s="28"/>
      <c r="N11" s="28"/>
      <c r="O11" s="28"/>
      <c r="Q11" s="28"/>
      <c r="R11" s="28"/>
      <c r="S11" s="45"/>
      <c r="T11" s="81"/>
      <c r="U11" s="45"/>
      <c r="V11" s="28"/>
      <c r="X11" s="45"/>
      <c r="Y11" s="28"/>
      <c r="AB11" s="45"/>
      <c r="AC11" s="28"/>
    </row>
    <row r="12" spans="1:29" x14ac:dyDescent="0.35">
      <c r="A12" s="2" t="s">
        <v>188</v>
      </c>
      <c r="B12" s="101">
        <v>45931</v>
      </c>
      <c r="C12" s="102">
        <f>Customer!Q$11*'Assumptions and Inputs'!$C$40</f>
        <v>1954674.3317999998</v>
      </c>
      <c r="D12" s="103">
        <f>Customer!Q$35/'Assumptions and Inputs'!$C$21</f>
        <v>46682.7</v>
      </c>
      <c r="E12" s="102">
        <f t="shared" ref="E12:E20" si="3">ROUND($E$8*D12, 0)</f>
        <v>167591</v>
      </c>
      <c r="F12" s="102">
        <f t="shared" si="0"/>
        <v>1732219.87351374</v>
      </c>
      <c r="G12" s="103">
        <f>Customer!Q$40/'Assumptions and Inputs'!$C$21</f>
        <v>471560.94000000006</v>
      </c>
      <c r="H12" s="102">
        <f t="shared" si="1"/>
        <v>1692904</v>
      </c>
      <c r="I12" s="102">
        <f t="shared" ref="I12:I20" si="4">H12*$I$8</f>
        <v>1640931.8472000002</v>
      </c>
      <c r="J12" s="104">
        <f t="shared" si="2"/>
        <v>-91288.026313739829</v>
      </c>
      <c r="M12" s="28"/>
      <c r="N12" s="28"/>
      <c r="O12" s="28"/>
      <c r="Q12" s="28"/>
      <c r="R12" s="28"/>
      <c r="S12" s="45"/>
      <c r="U12" s="45"/>
      <c r="V12" s="28"/>
      <c r="X12" s="45"/>
      <c r="Y12" s="28"/>
      <c r="AB12" s="45"/>
      <c r="AC12" s="28"/>
    </row>
    <row r="13" spans="1:29" x14ac:dyDescent="0.35">
      <c r="A13" s="2" t="s">
        <v>188</v>
      </c>
      <c r="B13" s="97">
        <v>45962</v>
      </c>
      <c r="C13" s="98">
        <f>Customer!R$11*'Assumptions and Inputs'!$C$40</f>
        <v>1411639.2169999999</v>
      </c>
      <c r="D13" s="99">
        <f>Customer!R$35/'Assumptions and Inputs'!$C$21</f>
        <v>34020.6</v>
      </c>
      <c r="E13" s="98">
        <f t="shared" si="3"/>
        <v>122134</v>
      </c>
      <c r="F13" s="98">
        <f t="shared" si="0"/>
        <v>1249917.4068380999</v>
      </c>
      <c r="G13" s="99">
        <f>Customer!R$40/'Assumptions and Inputs'!$C$21</f>
        <v>357289.03500000003</v>
      </c>
      <c r="H13" s="100">
        <f t="shared" si="1"/>
        <v>1282668</v>
      </c>
      <c r="I13" s="100">
        <f t="shared" si="4"/>
        <v>1243290.0924</v>
      </c>
      <c r="J13" s="98">
        <f t="shared" si="2"/>
        <v>-6627.3144380999729</v>
      </c>
      <c r="M13" s="28"/>
      <c r="N13" s="28"/>
      <c r="O13" s="28"/>
      <c r="Q13" s="28"/>
      <c r="R13" s="28"/>
      <c r="S13" s="45"/>
      <c r="U13" s="45"/>
      <c r="V13" s="28"/>
      <c r="X13" s="45"/>
      <c r="Y13" s="28"/>
      <c r="AB13" s="45"/>
      <c r="AC13" s="28"/>
    </row>
    <row r="14" spans="1:29" x14ac:dyDescent="0.35">
      <c r="A14" s="2" t="s">
        <v>188</v>
      </c>
      <c r="B14" s="101">
        <v>45992</v>
      </c>
      <c r="C14" s="102">
        <f>Customer!S$11*'Assumptions and Inputs'!$C$40</f>
        <v>1885992.5516999997</v>
      </c>
      <c r="D14" s="103">
        <f>Customer!S$35/'Assumptions and Inputs'!$C$21</f>
        <v>45372.9</v>
      </c>
      <c r="E14" s="102">
        <f t="shared" si="3"/>
        <v>162889</v>
      </c>
      <c r="F14" s="102">
        <f t="shared" si="0"/>
        <v>1670204.2726628098</v>
      </c>
      <c r="G14" s="103">
        <f>Customer!S$40/'Assumptions and Inputs'!$C$21</f>
        <v>429225.37</v>
      </c>
      <c r="H14" s="102">
        <f t="shared" si="1"/>
        <v>1540919</v>
      </c>
      <c r="I14" s="102">
        <f t="shared" si="4"/>
        <v>1493612.7867000001</v>
      </c>
      <c r="J14" s="104">
        <f t="shared" si="2"/>
        <v>-176591.48596280976</v>
      </c>
      <c r="M14" s="28"/>
      <c r="N14" s="28"/>
      <c r="O14" s="28"/>
      <c r="Q14" s="28"/>
      <c r="R14" s="28"/>
      <c r="S14" s="45"/>
      <c r="U14" s="45"/>
      <c r="V14" s="28"/>
      <c r="X14" s="45"/>
      <c r="Y14" s="28"/>
      <c r="AB14" s="45"/>
      <c r="AC14" s="28"/>
    </row>
    <row r="15" spans="1:29" x14ac:dyDescent="0.35">
      <c r="A15" s="2" t="s">
        <v>332</v>
      </c>
      <c r="B15" s="97">
        <v>46023</v>
      </c>
      <c r="C15" s="98">
        <f>Customer!T$11*'Assumptions and Inputs'!$C$40</f>
        <v>2026550.3754999998</v>
      </c>
      <c r="D15" s="99">
        <f>Customer!T$35/'Assumptions and Inputs'!$C$21</f>
        <v>47480.1</v>
      </c>
      <c r="E15" s="98">
        <f t="shared" si="3"/>
        <v>170454</v>
      </c>
      <c r="F15" s="98">
        <f t="shared" si="0"/>
        <v>1799114.21677215</v>
      </c>
      <c r="G15" s="99">
        <f>Customer!T$40/'Assumptions and Inputs'!$C$21</f>
        <v>442460.07999999996</v>
      </c>
      <c r="H15" s="100">
        <f t="shared" si="1"/>
        <v>1588432</v>
      </c>
      <c r="I15" s="100">
        <f t="shared" si="4"/>
        <v>1539667.1376</v>
      </c>
      <c r="J15" s="98">
        <f t="shared" si="2"/>
        <v>-259447.07917215</v>
      </c>
      <c r="M15" s="28"/>
      <c r="N15" s="28"/>
      <c r="O15" s="28"/>
      <c r="Q15" s="28"/>
      <c r="R15" s="28"/>
      <c r="S15" s="45"/>
      <c r="U15" s="45"/>
      <c r="V15" s="28"/>
      <c r="X15" s="45"/>
      <c r="Y15" s="28"/>
      <c r="AB15" s="45"/>
      <c r="AC15" s="28"/>
    </row>
    <row r="16" spans="1:29" x14ac:dyDescent="0.35">
      <c r="A16" s="2" t="s">
        <v>332</v>
      </c>
      <c r="B16" s="101">
        <v>46054</v>
      </c>
      <c r="C16" s="102">
        <f>Customer!U$11*'Assumptions and Inputs'!$C$40</f>
        <v>1783251.0951</v>
      </c>
      <c r="D16" s="103">
        <f>Customer!U$35/'Assumptions and Inputs'!$C$21</f>
        <v>42351.3</v>
      </c>
      <c r="E16" s="102">
        <f t="shared" si="3"/>
        <v>152041</v>
      </c>
      <c r="F16" s="102">
        <f t="shared" si="0"/>
        <v>1581131.9451804301</v>
      </c>
      <c r="G16" s="103">
        <f>Customer!U$40/'Assumptions and Inputs'!$C$21</f>
        <v>397496.29</v>
      </c>
      <c r="H16" s="102">
        <f t="shared" si="1"/>
        <v>1427012</v>
      </c>
      <c r="I16" s="102">
        <f t="shared" si="4"/>
        <v>1383202.7316000001</v>
      </c>
      <c r="J16" s="104">
        <f t="shared" si="2"/>
        <v>-197929.21358043002</v>
      </c>
      <c r="M16" s="28"/>
      <c r="N16" s="28"/>
      <c r="O16" s="28"/>
      <c r="Q16" s="28"/>
      <c r="R16" s="28"/>
      <c r="S16" s="45"/>
      <c r="U16" s="45"/>
      <c r="V16" s="28"/>
      <c r="X16" s="45"/>
      <c r="Y16" s="28"/>
      <c r="AB16" s="45"/>
      <c r="AC16" s="28"/>
    </row>
    <row r="17" spans="1:29" x14ac:dyDescent="0.35">
      <c r="A17" s="2" t="s">
        <v>332</v>
      </c>
      <c r="B17" s="97">
        <v>46082</v>
      </c>
      <c r="C17" s="98">
        <f>Customer!V$11*'Assumptions and Inputs'!$C$40</f>
        <v>1943016.7135999997</v>
      </c>
      <c r="D17" s="99">
        <f>Customer!V$35/'Assumptions and Inputs'!$C$21</f>
        <v>46434.9</v>
      </c>
      <c r="E17" s="98">
        <f t="shared" si="3"/>
        <v>166701</v>
      </c>
      <c r="F17" s="98">
        <f t="shared" si="0"/>
        <v>1721782.8211924797</v>
      </c>
      <c r="G17" s="99">
        <f>Customer!V$40/'Assumptions and Inputs'!$C$21</f>
        <v>422277.49000000005</v>
      </c>
      <c r="H17" s="100">
        <f t="shared" si="1"/>
        <v>1515976</v>
      </c>
      <c r="I17" s="100">
        <f t="shared" si="4"/>
        <v>1469435.5368000001</v>
      </c>
      <c r="J17" s="98">
        <f t="shared" si="2"/>
        <v>-252347.28439247957</v>
      </c>
      <c r="M17" s="28"/>
      <c r="N17" s="28"/>
      <c r="O17" s="28"/>
      <c r="Q17" s="28"/>
      <c r="R17" s="28"/>
      <c r="S17" s="45"/>
      <c r="U17" s="45"/>
      <c r="V17" s="28"/>
      <c r="X17" s="45"/>
      <c r="Y17" s="28"/>
      <c r="AB17" s="45"/>
      <c r="AC17" s="28"/>
    </row>
    <row r="18" spans="1:29" x14ac:dyDescent="0.35">
      <c r="A18" s="2" t="s">
        <v>189</v>
      </c>
      <c r="B18" s="101">
        <v>46113</v>
      </c>
      <c r="C18" s="102">
        <f>Customer!W$11*'Assumptions and Inputs'!$C$40</f>
        <v>1901805.2478493061</v>
      </c>
      <c r="D18" s="103">
        <f>Customer!W$35/'Assumptions and Inputs'!$C$21</f>
        <v>45850.29774800405</v>
      </c>
      <c r="E18" s="102">
        <f t="shared" si="3"/>
        <v>164603</v>
      </c>
      <c r="F18" s="102">
        <f t="shared" si="0"/>
        <v>1683870.1388403324</v>
      </c>
      <c r="G18" s="103">
        <f>Customer!W$40/'Assumptions and Inputs'!$C$21</f>
        <v>430469.47333333333</v>
      </c>
      <c r="H18" s="102">
        <f t="shared" si="1"/>
        <v>1545385</v>
      </c>
      <c r="I18" s="102">
        <f t="shared" si="4"/>
        <v>1497941.6805</v>
      </c>
      <c r="J18" s="104">
        <f t="shared" si="2"/>
        <v>-185928.45834033238</v>
      </c>
      <c r="M18" s="28"/>
      <c r="N18" s="28"/>
      <c r="O18" s="28"/>
      <c r="Q18" s="28"/>
      <c r="R18" s="28"/>
      <c r="S18" s="45"/>
      <c r="U18" s="45"/>
      <c r="V18" s="28"/>
      <c r="X18" s="45"/>
      <c r="Y18" s="28"/>
      <c r="AB18" s="45"/>
      <c r="AC18" s="28"/>
    </row>
    <row r="19" spans="1:29" x14ac:dyDescent="0.35">
      <c r="A19" s="2" t="s">
        <v>189</v>
      </c>
      <c r="B19" s="97">
        <v>46143</v>
      </c>
      <c r="C19" s="98">
        <f>Customer!X$11*'Assumptions and Inputs'!$C$40</f>
        <v>1906559.7609689289</v>
      </c>
      <c r="D19" s="99">
        <f>Customer!X$35/'Assumptions and Inputs'!$C$21</f>
        <v>45964.923492374051</v>
      </c>
      <c r="E19" s="98">
        <f t="shared" si="3"/>
        <v>165014</v>
      </c>
      <c r="F19" s="98">
        <f t="shared" si="0"/>
        <v>1688080.306107183</v>
      </c>
      <c r="G19" s="99">
        <f>Customer!X$40/'Assumptions and Inputs'!$C$21</f>
        <v>430469.47333333333</v>
      </c>
      <c r="H19" s="100">
        <f t="shared" si="1"/>
        <v>1545385</v>
      </c>
      <c r="I19" s="100">
        <f t="shared" si="4"/>
        <v>1497941.6805</v>
      </c>
      <c r="J19" s="98">
        <f t="shared" si="2"/>
        <v>-190138.62560718297</v>
      </c>
      <c r="M19" s="28"/>
      <c r="N19" s="28"/>
      <c r="O19" s="28"/>
      <c r="Q19" s="28"/>
      <c r="R19" s="28"/>
      <c r="S19" s="45"/>
      <c r="U19" s="45"/>
      <c r="V19" s="28"/>
      <c r="X19" s="45"/>
      <c r="Y19" s="28"/>
      <c r="AB19" s="45"/>
      <c r="AC19" s="28"/>
    </row>
    <row r="20" spans="1:29" x14ac:dyDescent="0.35">
      <c r="A20" s="2" t="s">
        <v>189</v>
      </c>
      <c r="B20" s="101">
        <v>46174</v>
      </c>
      <c r="C20" s="102">
        <f>Customer!Y$11*'Assumptions and Inputs'!$C$40</f>
        <v>1911326.1603713513</v>
      </c>
      <c r="D20" s="103">
        <f>Customer!Y$35/'Assumptions and Inputs'!$C$21</f>
        <v>46079.835801104986</v>
      </c>
      <c r="E20" s="102">
        <f t="shared" si="3"/>
        <v>165427</v>
      </c>
      <c r="F20" s="102">
        <f t="shared" si="0"/>
        <v>1692300.0561479509</v>
      </c>
      <c r="G20" s="103">
        <f>Customer!Y$40/'Assumptions and Inputs'!$C$21</f>
        <v>430469.47333333333</v>
      </c>
      <c r="H20" s="102">
        <f t="shared" si="1"/>
        <v>1545385</v>
      </c>
      <c r="I20" s="102">
        <f t="shared" si="4"/>
        <v>1497941.6805</v>
      </c>
      <c r="J20" s="104">
        <f t="shared" si="2"/>
        <v>-194358.37564795092</v>
      </c>
      <c r="M20" s="28"/>
      <c r="N20" s="28"/>
      <c r="O20" s="28"/>
      <c r="Q20" s="28"/>
      <c r="R20" s="28"/>
      <c r="S20" s="45"/>
      <c r="U20" s="45"/>
      <c r="V20" s="28"/>
      <c r="X20" s="45"/>
      <c r="Y20" s="28"/>
      <c r="AB20" s="45"/>
      <c r="AC20" s="28"/>
    </row>
    <row r="21" spans="1:29" x14ac:dyDescent="0.35">
      <c r="A21" s="2" t="s">
        <v>189</v>
      </c>
      <c r="B21" s="97">
        <v>46204</v>
      </c>
      <c r="C21" s="98">
        <f>Customer!Z$11*'Assumptions and Inputs'!$C$40</f>
        <v>1916104.4757722795</v>
      </c>
      <c r="D21" s="99">
        <f>Customer!Z$35/'Assumptions and Inputs'!$C$21</f>
        <v>46195.035390607736</v>
      </c>
      <c r="E21" s="98">
        <f t="shared" ref="E21" si="5">ROUND($E$8*D21, 0)</f>
        <v>165840</v>
      </c>
      <c r="F21" s="98">
        <f t="shared" si="0"/>
        <v>1696531.3563660707</v>
      </c>
      <c r="G21" s="99">
        <f>Customer!Z$40/'Assumptions and Inputs'!$C$21</f>
        <v>430469.47333333333</v>
      </c>
      <c r="H21" s="100">
        <f t="shared" si="1"/>
        <v>1545385</v>
      </c>
      <c r="I21" s="100">
        <f t="shared" ref="I21" si="6">H21*$I$8</f>
        <v>1497941.6805</v>
      </c>
      <c r="J21" s="98">
        <f t="shared" si="2"/>
        <v>-198589.67586607067</v>
      </c>
      <c r="M21" s="28"/>
      <c r="N21" s="28"/>
      <c r="O21" s="28"/>
      <c r="Q21" s="28"/>
      <c r="R21" s="28"/>
      <c r="S21" s="45"/>
      <c r="U21" s="45"/>
      <c r="V21" s="28"/>
      <c r="X21" s="45"/>
      <c r="Y21" s="28"/>
      <c r="AB21" s="45"/>
      <c r="AC21" s="28"/>
    </row>
    <row r="22" spans="1:29" x14ac:dyDescent="0.35">
      <c r="A22" s="2" t="s">
        <v>189</v>
      </c>
      <c r="B22" s="101">
        <v>46235</v>
      </c>
      <c r="C22" s="102">
        <f>Customer!AA$11*'Assumptions and Inputs'!$C$40</f>
        <v>1920894.7369617098</v>
      </c>
      <c r="D22" s="103">
        <f>Customer!AA$35/'Assumptions and Inputs'!$C$21</f>
        <v>46310.52297908425</v>
      </c>
      <c r="E22" s="102">
        <f>ROUND($E$8*D22, 0)</f>
        <v>166255</v>
      </c>
      <c r="F22" s="102">
        <f t="shared" si="0"/>
        <v>1700772.2970369854</v>
      </c>
      <c r="G22" s="103">
        <f>Customer!AA$40/'Assumptions and Inputs'!$C$21</f>
        <v>430469.47333333333</v>
      </c>
      <c r="H22" s="102">
        <f>ROUND($H$8*G22, 0)</f>
        <v>1545385</v>
      </c>
      <c r="I22" s="102">
        <f>H22*$I$8</f>
        <v>1497941.6805</v>
      </c>
      <c r="J22" s="104">
        <f t="shared" si="2"/>
        <v>-202830.61653698538</v>
      </c>
      <c r="M22" s="28"/>
      <c r="N22" s="28"/>
      <c r="O22" s="28"/>
      <c r="Q22" s="28"/>
      <c r="R22" s="28"/>
      <c r="S22" s="45"/>
      <c r="U22" s="45"/>
      <c r="V22" s="28"/>
      <c r="X22" s="45"/>
      <c r="Y22" s="28"/>
      <c r="AB22" s="45"/>
      <c r="AC22" s="28"/>
    </row>
    <row r="23" spans="1:29" ht="5.15" customHeight="1" x14ac:dyDescent="0.35">
      <c r="C23" s="80"/>
      <c r="D23" s="80"/>
      <c r="E23" s="80"/>
      <c r="F23" s="80"/>
      <c r="G23" s="80"/>
      <c r="H23" s="80"/>
      <c r="I23" s="80"/>
      <c r="J23" s="80"/>
      <c r="M23" s="28"/>
      <c r="N23" s="28"/>
      <c r="O23" s="28"/>
    </row>
    <row r="24" spans="1:29" x14ac:dyDescent="0.35">
      <c r="B24" s="105" t="s">
        <v>131</v>
      </c>
      <c r="C24" s="100">
        <f>SUM(C11:C22)</f>
        <v>22280584.95262358</v>
      </c>
      <c r="D24" s="99">
        <f t="shared" ref="D24:H24" si="7">SUM(D11:D22)</f>
        <v>537158.81541117502</v>
      </c>
      <c r="E24" s="100">
        <f t="shared" si="7"/>
        <v>1928401</v>
      </c>
      <c r="F24" s="100">
        <f t="shared" si="7"/>
        <v>19727371.905278035</v>
      </c>
      <c r="G24" s="99">
        <f t="shared" si="7"/>
        <v>5131411.9216666678</v>
      </c>
      <c r="H24" s="100">
        <f t="shared" si="7"/>
        <v>18421768</v>
      </c>
      <c r="I24" s="100">
        <f>SUM(I11:I22)</f>
        <v>17856219.722400002</v>
      </c>
      <c r="J24" s="98">
        <f>SUM(J10:J22)</f>
        <v>-5487694.1828780314</v>
      </c>
      <c r="L24" s="81"/>
      <c r="M24" s="28"/>
      <c r="N24" s="28"/>
      <c r="O24" s="28"/>
    </row>
    <row r="25" spans="1:29" ht="5.15" customHeight="1" x14ac:dyDescent="0.35">
      <c r="B25" s="96"/>
      <c r="C25" s="106"/>
      <c r="D25" s="107"/>
      <c r="E25" s="106"/>
      <c r="F25" s="106"/>
      <c r="G25" s="107"/>
      <c r="H25" s="106"/>
      <c r="I25" s="106"/>
      <c r="J25" s="81"/>
      <c r="M25" s="28"/>
      <c r="N25" s="28"/>
      <c r="O25" s="28"/>
    </row>
    <row r="26" spans="1:29" x14ac:dyDescent="0.35">
      <c r="B26" s="108"/>
      <c r="C26" s="109"/>
      <c r="D26" s="109"/>
      <c r="E26" s="109"/>
      <c r="F26" s="109"/>
      <c r="G26" s="109"/>
      <c r="H26" s="109"/>
      <c r="I26" s="110" t="s">
        <v>190</v>
      </c>
      <c r="J26" s="104">
        <f>'E-Factor PRIOR'!U98</f>
        <v>-1112109.5586147197</v>
      </c>
      <c r="K26" s="111" t="s">
        <v>191</v>
      </c>
      <c r="M26" s="28"/>
      <c r="N26" s="28"/>
      <c r="O26" s="28"/>
      <c r="V26" s="45"/>
      <c r="Y26" s="45"/>
      <c r="AC26" s="45"/>
    </row>
    <row r="27" spans="1:29" x14ac:dyDescent="0.35">
      <c r="F27" s="106"/>
      <c r="G27" s="56"/>
      <c r="H27" s="45"/>
      <c r="I27" s="81"/>
      <c r="V27" s="45"/>
      <c r="AC27" s="45"/>
    </row>
    <row r="28" spans="1:29" x14ac:dyDescent="0.35">
      <c r="B28" s="1" t="s">
        <v>192</v>
      </c>
      <c r="G28" s="56"/>
      <c r="I28" s="112" t="s">
        <v>193</v>
      </c>
      <c r="J28" s="113">
        <f>J24+J26</f>
        <v>-6599803.7414927511</v>
      </c>
      <c r="K28" s="111" t="s">
        <v>194</v>
      </c>
    </row>
    <row r="29" spans="1:29" x14ac:dyDescent="0.35">
      <c r="B29" s="305" t="s">
        <v>195</v>
      </c>
    </row>
    <row r="30" spans="1:29" x14ac:dyDescent="0.35">
      <c r="B30" s="305" t="s">
        <v>331</v>
      </c>
    </row>
    <row r="31" spans="1:29" x14ac:dyDescent="0.35">
      <c r="B31" s="305" t="s">
        <v>196</v>
      </c>
      <c r="J31" s="81"/>
    </row>
    <row r="32" spans="1:29" x14ac:dyDescent="0.35">
      <c r="B32" s="305" t="str">
        <f>"(1) - TAP Actual Discounts reflect water's "&amp;FIXED('Assumptions and Inputs'!$C$40*100, 1, 0)&amp;"% allocated portion of the Total TAP Discount."</f>
        <v>(1) - TAP Actual Discounts reflect water's 43.0% allocated portion of the Total TAP Discount.</v>
      </c>
    </row>
    <row r="33" spans="2:24" x14ac:dyDescent="0.35">
      <c r="B33" s="305" t="s">
        <v>333</v>
      </c>
    </row>
    <row r="34" spans="2:24" x14ac:dyDescent="0.35">
      <c r="B34" s="305" t="str">
        <f>"(3) &amp; (6) - Water TAP-R Rates per "&amp;TEXT('Assumptions and Inputs'!F32,)&amp;" "&amp;TEXT('Assumptions and Inputs'!G32,)&amp;"."</f>
        <v>(3) &amp; (6) - Water TAP-R Rates per PWD Regulations - Rates and Charges Effective September 1, 2025 Section 10.3(a)(1).</v>
      </c>
    </row>
    <row r="35" spans="2:24" x14ac:dyDescent="0.35">
      <c r="B35" s="305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</row>
    <row r="36" spans="2:24" x14ac:dyDescent="0.35">
      <c r="B36" s="305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April 2026 through August 2026 are based upon average sales for prior 12 month period.</v>
      </c>
    </row>
    <row r="37" spans="2:24" x14ac:dyDescent="0.35">
      <c r="B37" s="305" t="s">
        <v>287</v>
      </c>
    </row>
    <row r="38" spans="2:24" x14ac:dyDescent="0.35">
      <c r="B38" s="114"/>
    </row>
    <row r="39" spans="2:24" x14ac:dyDescent="0.35">
      <c r="B39" s="114"/>
    </row>
    <row r="40" spans="2:24" x14ac:dyDescent="0.35">
      <c r="B40" s="62" t="s">
        <v>30</v>
      </c>
      <c r="C40" s="63"/>
      <c r="D40" s="63"/>
      <c r="E40" s="63"/>
      <c r="F40" s="63"/>
      <c r="G40" s="63"/>
      <c r="H40" s="63"/>
      <c r="I40" s="63"/>
      <c r="J40" s="63"/>
    </row>
    <row r="41" spans="2:24" x14ac:dyDescent="0.35">
      <c r="B41" s="62" t="s">
        <v>197</v>
      </c>
      <c r="C41" s="63"/>
      <c r="D41" s="63"/>
      <c r="E41" s="63"/>
      <c r="F41" s="63"/>
      <c r="G41" s="63"/>
      <c r="H41" s="63"/>
      <c r="I41" s="63"/>
      <c r="J41" s="63"/>
    </row>
    <row r="42" spans="2:24" ht="5.15" customHeight="1" x14ac:dyDescent="0.35"/>
    <row r="43" spans="2:24" x14ac:dyDescent="0.35">
      <c r="B43" s="83" t="s">
        <v>167</v>
      </c>
      <c r="C43" s="83" t="s">
        <v>168</v>
      </c>
      <c r="D43" s="83" t="s">
        <v>198</v>
      </c>
      <c r="E43" s="83" t="s">
        <v>170</v>
      </c>
      <c r="F43" s="83" t="s">
        <v>171</v>
      </c>
      <c r="G43" s="83" t="s">
        <v>172</v>
      </c>
      <c r="H43" s="83" t="s">
        <v>173</v>
      </c>
      <c r="I43" s="83" t="s">
        <v>174</v>
      </c>
      <c r="J43" s="84" t="s">
        <v>175</v>
      </c>
    </row>
    <row r="44" spans="2:24" x14ac:dyDescent="0.35">
      <c r="B44" s="84" t="s">
        <v>164</v>
      </c>
      <c r="C44" s="84" t="s">
        <v>176</v>
      </c>
      <c r="D44" s="84" t="s">
        <v>199</v>
      </c>
      <c r="E44" s="84" t="s">
        <v>178</v>
      </c>
      <c r="F44" s="84" t="s">
        <v>176</v>
      </c>
      <c r="G44" s="84" t="s">
        <v>199</v>
      </c>
      <c r="H44" s="84" t="s">
        <v>179</v>
      </c>
      <c r="I44" s="84" t="s">
        <v>180</v>
      </c>
      <c r="J44" s="84" t="s">
        <v>181</v>
      </c>
    </row>
    <row r="45" spans="2:24" x14ac:dyDescent="0.35">
      <c r="B45" s="84"/>
      <c r="C45" s="84" t="s">
        <v>182</v>
      </c>
      <c r="D45" s="84" t="s">
        <v>126</v>
      </c>
      <c r="E45" s="84" t="s">
        <v>184</v>
      </c>
      <c r="F45" s="84" t="s">
        <v>182</v>
      </c>
      <c r="G45" s="84" t="s">
        <v>183</v>
      </c>
      <c r="H45" s="84"/>
      <c r="I45" s="84" t="s">
        <v>185</v>
      </c>
      <c r="J45" s="84"/>
    </row>
    <row r="46" spans="2:24" x14ac:dyDescent="0.35">
      <c r="B46" s="84"/>
      <c r="C46" s="85"/>
      <c r="D46" s="84" t="s">
        <v>183</v>
      </c>
      <c r="E46" s="86">
        <f>'Assumptions and Inputs'!$C$34</f>
        <v>5.07</v>
      </c>
      <c r="F46" s="115">
        <f>'Assumptions and Inputs'!$C$38</f>
        <v>0.96930000000000005</v>
      </c>
      <c r="G46" s="84"/>
      <c r="H46" s="86">
        <f>'Assumptions and Inputs'!$C$34</f>
        <v>5.07</v>
      </c>
      <c r="I46" s="87">
        <f>'Assumptions and Inputs'!$C$38</f>
        <v>0.96930000000000005</v>
      </c>
      <c r="J46" s="88"/>
      <c r="Q46" s="28"/>
      <c r="R46" s="28"/>
    </row>
    <row r="47" spans="2:24" x14ac:dyDescent="0.35">
      <c r="B47" s="89"/>
      <c r="C47" s="90" t="s">
        <v>139</v>
      </c>
      <c r="D47" s="90" t="s">
        <v>141</v>
      </c>
      <c r="E47" s="90" t="str">
        <f>"(3) = (2) * $ "&amp;FIXED(E46,3,)&amp;"/Mcf"</f>
        <v>(3) = (2) * $ 5.070/Mcf</v>
      </c>
      <c r="F47" s="90" t="str">
        <f>"(4) = [(1) - (3)]* "&amp;FIXED(F46,4,)&amp;""</f>
        <v>(4) = [(1) - (3)]* 0.9693</v>
      </c>
      <c r="G47" s="90" t="s">
        <v>147</v>
      </c>
      <c r="H47" s="90" t="str">
        <f>"(6) = (5) * $ "&amp;FIXED(H46,3,)&amp;"/Mcf"</f>
        <v>(6) = (5) * $ 5.070/Mcf</v>
      </c>
      <c r="I47" s="91" t="str">
        <f>"(7) = (6) * "&amp;FIXED(F46,4,)&amp;""</f>
        <v>(7) = (6) * 0.9693</v>
      </c>
      <c r="J47" s="90" t="s">
        <v>186</v>
      </c>
      <c r="R47" s="53"/>
    </row>
    <row r="48" spans="2:24" x14ac:dyDescent="0.35">
      <c r="B48" s="92"/>
      <c r="C48" s="93"/>
      <c r="D48" s="93"/>
      <c r="E48" s="93"/>
      <c r="F48" s="93"/>
      <c r="G48" s="93"/>
      <c r="H48" s="93"/>
      <c r="I48" s="94" t="s">
        <v>187</v>
      </c>
      <c r="J48" s="95">
        <f>'Assumptions and Inputs'!$C$84+'Assumptions and Inputs'!$C$88</f>
        <v>-4955115</v>
      </c>
      <c r="K48" s="96"/>
      <c r="Q48" s="45"/>
      <c r="R48" s="45"/>
      <c r="X48" s="45"/>
    </row>
    <row r="49" spans="1:29" x14ac:dyDescent="0.35">
      <c r="A49" s="2" t="s">
        <v>188</v>
      </c>
      <c r="B49" s="97">
        <f t="shared" ref="B49:B60" si="8">B11</f>
        <v>45901</v>
      </c>
      <c r="C49" s="98">
        <f>Customer!P$11*'Assumptions and Inputs'!$C$42</f>
        <v>2278369.9139999999</v>
      </c>
      <c r="D49" s="99">
        <f>Customer!P$60/'Assumptions and Inputs'!$C$21</f>
        <v>44387.6</v>
      </c>
      <c r="E49" s="98">
        <f>ROUND($E$46*D49, 0)</f>
        <v>225045</v>
      </c>
      <c r="F49" s="98">
        <f>(C49-E49)*$F$46</f>
        <v>1990287.8391402001</v>
      </c>
      <c r="G49" s="99">
        <f>Customer!P$65/'Assumptions and Inputs'!$C$21</f>
        <v>430854.755</v>
      </c>
      <c r="H49" s="100">
        <f>ROUND($H$46*G49, 0)</f>
        <v>2184434</v>
      </c>
      <c r="I49" s="100">
        <f>H49*$I$46</f>
        <v>2117371.8762000003</v>
      </c>
      <c r="J49" s="98">
        <f>I49-F49</f>
        <v>127084.03705980023</v>
      </c>
      <c r="M49" s="28"/>
      <c r="N49" s="28"/>
      <c r="O49" s="28"/>
      <c r="Q49" s="28"/>
      <c r="R49" s="28"/>
      <c r="S49" s="45"/>
      <c r="U49" s="45"/>
      <c r="V49" s="28"/>
      <c r="X49" s="45"/>
      <c r="Y49" s="28"/>
      <c r="AB49" s="45"/>
      <c r="AC49" s="28"/>
    </row>
    <row r="50" spans="1:29" x14ac:dyDescent="0.35">
      <c r="A50" s="2" t="s">
        <v>188</v>
      </c>
      <c r="B50" s="101">
        <f t="shared" si="8"/>
        <v>45931</v>
      </c>
      <c r="C50" s="102">
        <f>Customer!Q$11*'Assumptions and Inputs'!$C$42</f>
        <v>2591079.9281999995</v>
      </c>
      <c r="D50" s="103">
        <f>Customer!Q$60/'Assumptions and Inputs'!$C$21</f>
        <v>46652.800000000003</v>
      </c>
      <c r="E50" s="104">
        <f t="shared" ref="E50:E59" si="9">ROUND($E$46*D50, 0)</f>
        <v>236530</v>
      </c>
      <c r="F50" s="104">
        <f t="shared" ref="F50:F58" si="10">(C50-E50)*$F$46</f>
        <v>2282265.2454042598</v>
      </c>
      <c r="G50" s="103">
        <f>Customer!Q$65/'Assumptions and Inputs'!$C$21</f>
        <v>444078.72000000003</v>
      </c>
      <c r="H50" s="102">
        <f t="shared" ref="H50:H58" si="11">ROUND($H$46*G50, 0)</f>
        <v>2251479</v>
      </c>
      <c r="I50" s="102">
        <f t="shared" ref="I50:I58" si="12">H50*$I$46</f>
        <v>2182358.5947000002</v>
      </c>
      <c r="J50" s="104">
        <f t="shared" ref="J50:J58" si="13">I50-F50</f>
        <v>-99906.650704259519</v>
      </c>
      <c r="M50" s="28"/>
      <c r="N50" s="28"/>
      <c r="O50" s="28"/>
      <c r="Q50" s="28"/>
      <c r="R50" s="28"/>
      <c r="S50" s="45"/>
      <c r="U50" s="45"/>
      <c r="V50" s="28"/>
      <c r="X50" s="45"/>
      <c r="Y50" s="28"/>
      <c r="AB50" s="45"/>
      <c r="AC50" s="28"/>
    </row>
    <row r="51" spans="1:29" x14ac:dyDescent="0.35">
      <c r="A51" s="2" t="s">
        <v>188</v>
      </c>
      <c r="B51" s="97">
        <f t="shared" si="8"/>
        <v>45962</v>
      </c>
      <c r="C51" s="98">
        <f>Customer!R$11*'Assumptions and Inputs'!$C$42</f>
        <v>1871242.6829999997</v>
      </c>
      <c r="D51" s="99">
        <f>Customer!R$60/'Assumptions and Inputs'!$C$21</f>
        <v>33993.800000000003</v>
      </c>
      <c r="E51" s="98">
        <f t="shared" si="9"/>
        <v>172349</v>
      </c>
      <c r="F51" s="98">
        <f t="shared" si="10"/>
        <v>1646737.6469318997</v>
      </c>
      <c r="G51" s="99">
        <f>Customer!R$65/'Assumptions and Inputs'!$C$21</f>
        <v>336689.505</v>
      </c>
      <c r="H51" s="100">
        <f t="shared" si="11"/>
        <v>1707016</v>
      </c>
      <c r="I51" s="100">
        <f t="shared" si="12"/>
        <v>1654610.6088</v>
      </c>
      <c r="J51" s="98">
        <f t="shared" si="13"/>
        <v>7872.961868100334</v>
      </c>
      <c r="M51" s="28"/>
      <c r="N51" s="28"/>
      <c r="O51" s="28"/>
      <c r="Q51" s="28"/>
      <c r="R51" s="28"/>
      <c r="S51" s="45"/>
      <c r="U51" s="45"/>
      <c r="V51" s="28"/>
      <c r="X51" s="45"/>
      <c r="Y51" s="28"/>
      <c r="AB51" s="45"/>
      <c r="AC51" s="28"/>
    </row>
    <row r="52" spans="1:29" x14ac:dyDescent="0.35">
      <c r="A52" s="2" t="s">
        <v>188</v>
      </c>
      <c r="B52" s="101">
        <f t="shared" si="8"/>
        <v>45992</v>
      </c>
      <c r="C52" s="102">
        <f>Customer!S$11*'Assumptions and Inputs'!$C$42</f>
        <v>2500036.6382999993</v>
      </c>
      <c r="D52" s="103">
        <f>Customer!S$60/'Assumptions and Inputs'!$C$21</f>
        <v>45338.8</v>
      </c>
      <c r="E52" s="104">
        <f t="shared" si="9"/>
        <v>229868</v>
      </c>
      <c r="F52" s="104">
        <f t="shared" si="10"/>
        <v>2200474.4611041895</v>
      </c>
      <c r="G52" s="103">
        <f>Customer!S$65/'Assumptions and Inputs'!$C$21</f>
        <v>410857.16499999998</v>
      </c>
      <c r="H52" s="102">
        <f t="shared" si="11"/>
        <v>2083046</v>
      </c>
      <c r="I52" s="102">
        <f t="shared" si="12"/>
        <v>2019096.4878</v>
      </c>
      <c r="J52" s="104">
        <f t="shared" si="13"/>
        <v>-181377.97330418951</v>
      </c>
      <c r="M52" s="28"/>
      <c r="N52" s="28"/>
      <c r="O52" s="28"/>
      <c r="Q52" s="28"/>
      <c r="R52" s="28"/>
      <c r="S52" s="45"/>
      <c r="U52" s="45"/>
      <c r="V52" s="28"/>
      <c r="X52" s="45"/>
      <c r="Y52" s="28"/>
      <c r="AB52" s="45"/>
      <c r="AC52" s="28"/>
    </row>
    <row r="53" spans="1:29" x14ac:dyDescent="0.35">
      <c r="A53" s="2" t="s">
        <v>332</v>
      </c>
      <c r="B53" s="97">
        <f t="shared" si="8"/>
        <v>46023</v>
      </c>
      <c r="C53" s="98">
        <f>Customer!T$11*'Assumptions and Inputs'!$C$42</f>
        <v>2686357.4744999995</v>
      </c>
      <c r="D53" s="99">
        <f>Customer!T$60/'Assumptions and Inputs'!$C$21</f>
        <v>47442.3</v>
      </c>
      <c r="E53" s="98">
        <f t="shared" si="9"/>
        <v>240532</v>
      </c>
      <c r="F53" s="98">
        <f t="shared" si="10"/>
        <v>2370738.6324328496</v>
      </c>
      <c r="G53" s="99">
        <f>Customer!T$65/'Assumptions and Inputs'!$C$21</f>
        <v>421358.67499999999</v>
      </c>
      <c r="H53" s="100">
        <f t="shared" si="11"/>
        <v>2136288</v>
      </c>
      <c r="I53" s="100">
        <f t="shared" si="12"/>
        <v>2070703.9584000001</v>
      </c>
      <c r="J53" s="98">
        <f t="shared" si="13"/>
        <v>-300034.67403284949</v>
      </c>
      <c r="M53" s="28"/>
      <c r="N53" s="28"/>
      <c r="O53" s="28"/>
      <c r="Q53" s="28"/>
      <c r="R53" s="28"/>
      <c r="S53" s="45"/>
      <c r="U53" s="45"/>
      <c r="V53" s="28"/>
      <c r="X53" s="45"/>
      <c r="Y53" s="28"/>
      <c r="AB53" s="45"/>
      <c r="AC53" s="28"/>
    </row>
    <row r="54" spans="1:29" x14ac:dyDescent="0.35">
      <c r="A54" s="2" t="s">
        <v>332</v>
      </c>
      <c r="B54" s="101">
        <f t="shared" si="8"/>
        <v>46054</v>
      </c>
      <c r="C54" s="102">
        <f>Customer!U$11*'Assumptions and Inputs'!$C$42</f>
        <v>2363844.4748999998</v>
      </c>
      <c r="D54" s="103">
        <f>Customer!U$60/'Assumptions and Inputs'!$C$21</f>
        <v>42318.7</v>
      </c>
      <c r="E54" s="104">
        <f t="shared" si="9"/>
        <v>214556</v>
      </c>
      <c r="F54" s="104">
        <f t="shared" si="10"/>
        <v>2083305.3187205698</v>
      </c>
      <c r="G54" s="103">
        <f>Customer!U$65/'Assumptions and Inputs'!$C$21</f>
        <v>378892.685</v>
      </c>
      <c r="H54" s="102">
        <f t="shared" si="11"/>
        <v>1920986</v>
      </c>
      <c r="I54" s="102">
        <f t="shared" si="12"/>
        <v>1862011.7298000001</v>
      </c>
      <c r="J54" s="104">
        <f t="shared" si="13"/>
        <v>-221293.58892056975</v>
      </c>
      <c r="M54" s="28"/>
      <c r="N54" s="28"/>
      <c r="O54" s="28"/>
      <c r="Q54" s="28"/>
      <c r="R54" s="28"/>
      <c r="S54" s="45"/>
      <c r="U54" s="45"/>
      <c r="V54" s="28"/>
      <c r="X54" s="45"/>
      <c r="Y54" s="28"/>
      <c r="AB54" s="45"/>
      <c r="AC54" s="28"/>
    </row>
    <row r="55" spans="1:29" x14ac:dyDescent="0.35">
      <c r="A55" s="2" t="s">
        <v>332</v>
      </c>
      <c r="B55" s="97">
        <f t="shared" si="8"/>
        <v>46082</v>
      </c>
      <c r="C55" s="98">
        <f>Customer!V$11*'Assumptions and Inputs'!$C$42</f>
        <v>2575626.8063999997</v>
      </c>
      <c r="D55" s="99">
        <f>Customer!V$60/'Assumptions and Inputs'!$C$21</f>
        <v>46397.2</v>
      </c>
      <c r="E55" s="98">
        <f t="shared" si="9"/>
        <v>235234</v>
      </c>
      <c r="F55" s="98">
        <f t="shared" si="10"/>
        <v>2268542.7472435199</v>
      </c>
      <c r="G55" s="99">
        <f>Customer!V$65/'Assumptions and Inputs'!$C$21</f>
        <v>402410.07</v>
      </c>
      <c r="H55" s="100">
        <f t="shared" si="11"/>
        <v>2040219</v>
      </c>
      <c r="I55" s="100">
        <f t="shared" si="12"/>
        <v>1977584.2767</v>
      </c>
      <c r="J55" s="98">
        <f t="shared" si="13"/>
        <v>-290958.47054351983</v>
      </c>
      <c r="M55" s="28"/>
      <c r="N55" s="28"/>
      <c r="O55" s="28"/>
      <c r="Q55" s="28"/>
      <c r="R55" s="28"/>
      <c r="S55" s="45"/>
      <c r="U55" s="45"/>
      <c r="V55" s="28"/>
      <c r="X55" s="45"/>
      <c r="Y55" s="28"/>
      <c r="AB55" s="45"/>
      <c r="AC55" s="28"/>
    </row>
    <row r="56" spans="1:29" x14ac:dyDescent="0.35">
      <c r="A56" s="2" t="s">
        <v>189</v>
      </c>
      <c r="B56" s="101">
        <f t="shared" si="8"/>
        <v>46113</v>
      </c>
      <c r="C56" s="102">
        <f>Customer!W$11*'Assumptions and Inputs'!$C$42</f>
        <v>2520997.6541258241</v>
      </c>
      <c r="D56" s="103">
        <f>Customer!W$60/'Assumptions and Inputs'!$C$21</f>
        <v>45850.29774800405</v>
      </c>
      <c r="E56" s="104">
        <f t="shared" si="9"/>
        <v>232461</v>
      </c>
      <c r="F56" s="104">
        <f t="shared" si="10"/>
        <v>2218278.5788441612</v>
      </c>
      <c r="G56" s="103">
        <f>Customer!W$65/'Assumptions and Inputs'!$C$21</f>
        <v>407142.80874999997</v>
      </c>
      <c r="H56" s="102">
        <f t="shared" si="11"/>
        <v>2064214</v>
      </c>
      <c r="I56" s="102">
        <f t="shared" si="12"/>
        <v>2000842.6302</v>
      </c>
      <c r="J56" s="104">
        <f t="shared" si="13"/>
        <v>-217435.94864416122</v>
      </c>
      <c r="M56" s="28"/>
      <c r="N56" s="28"/>
      <c r="O56" s="28"/>
      <c r="Q56" s="28"/>
      <c r="R56" s="28"/>
      <c r="S56" s="45"/>
      <c r="U56" s="45"/>
      <c r="V56" s="28"/>
      <c r="X56" s="45"/>
      <c r="Y56" s="28"/>
      <c r="AB56" s="45"/>
      <c r="AC56" s="28"/>
    </row>
    <row r="57" spans="1:29" x14ac:dyDescent="0.35">
      <c r="A57" s="2" t="s">
        <v>189</v>
      </c>
      <c r="B57" s="97">
        <f t="shared" si="8"/>
        <v>46143</v>
      </c>
      <c r="C57" s="98">
        <f>Customer!X$11*'Assumptions and Inputs'!$C$42</f>
        <v>2527300.1482611382</v>
      </c>
      <c r="D57" s="99">
        <f>Customer!X$60/'Assumptions and Inputs'!$C$21</f>
        <v>45964.923492374051</v>
      </c>
      <c r="E57" s="98">
        <f t="shared" si="9"/>
        <v>233042</v>
      </c>
      <c r="F57" s="98">
        <f t="shared" si="10"/>
        <v>2223824.4231095216</v>
      </c>
      <c r="G57" s="99">
        <f>Customer!X$65/'Assumptions and Inputs'!$C$21</f>
        <v>407142.80874999997</v>
      </c>
      <c r="H57" s="100">
        <f t="shared" si="11"/>
        <v>2064214</v>
      </c>
      <c r="I57" s="100">
        <f t="shared" si="12"/>
        <v>2000842.6302</v>
      </c>
      <c r="J57" s="98">
        <f t="shared" si="13"/>
        <v>-222981.79290952161</v>
      </c>
      <c r="M57" s="28"/>
      <c r="N57" s="28"/>
      <c r="O57" s="28"/>
      <c r="Q57" s="28"/>
      <c r="R57" s="28"/>
      <c r="S57" s="45"/>
      <c r="U57" s="45"/>
      <c r="V57" s="28"/>
      <c r="X57" s="45"/>
      <c r="Y57" s="28"/>
      <c r="AB57" s="45"/>
      <c r="AC57" s="28"/>
    </row>
    <row r="58" spans="1:29" x14ac:dyDescent="0.35">
      <c r="A58" s="2" t="s">
        <v>189</v>
      </c>
      <c r="B58" s="101">
        <f t="shared" si="8"/>
        <v>46174</v>
      </c>
      <c r="C58" s="102">
        <f>Customer!Y$11*'Assumptions and Inputs'!$C$42</f>
        <v>2533618.3986317911</v>
      </c>
      <c r="D58" s="103">
        <f>Customer!Y$60/'Assumptions and Inputs'!$C$21</f>
        <v>46079.835801104986</v>
      </c>
      <c r="E58" s="104">
        <f t="shared" si="9"/>
        <v>233625</v>
      </c>
      <c r="F58" s="104">
        <f t="shared" si="10"/>
        <v>2229383.6012937953</v>
      </c>
      <c r="G58" s="103">
        <f>Customer!Y$65/'Assumptions and Inputs'!$C$21</f>
        <v>407142.80874999997</v>
      </c>
      <c r="H58" s="102">
        <f t="shared" si="11"/>
        <v>2064214</v>
      </c>
      <c r="I58" s="102">
        <f t="shared" si="12"/>
        <v>2000842.6302</v>
      </c>
      <c r="J58" s="104">
        <f t="shared" si="13"/>
        <v>-228540.97109379526</v>
      </c>
      <c r="M58" s="28"/>
      <c r="N58" s="28"/>
      <c r="O58" s="28"/>
      <c r="Q58" s="28"/>
      <c r="R58" s="28"/>
      <c r="S58" s="45"/>
      <c r="U58" s="45"/>
      <c r="V58" s="28"/>
      <c r="X58" s="45"/>
      <c r="Y58" s="28"/>
      <c r="AB58" s="45"/>
      <c r="AC58" s="28"/>
    </row>
    <row r="59" spans="1:29" x14ac:dyDescent="0.35">
      <c r="A59" s="2" t="s">
        <v>189</v>
      </c>
      <c r="B59" s="97">
        <f t="shared" si="8"/>
        <v>46204</v>
      </c>
      <c r="C59" s="98">
        <f>Customer!Z$11*'Assumptions and Inputs'!$C$42</f>
        <v>2539952.4446283705</v>
      </c>
      <c r="D59" s="99">
        <f>Customer!Z$60/'Assumptions and Inputs'!$C$21</f>
        <v>46195.035390607736</v>
      </c>
      <c r="E59" s="98">
        <f t="shared" si="9"/>
        <v>234209</v>
      </c>
      <c r="F59" s="98">
        <f t="shared" ref="F59" si="14">(C59-E59)*$F$46</f>
        <v>2234957.1208782797</v>
      </c>
      <c r="G59" s="99">
        <f>Customer!Z$65/'Assumptions and Inputs'!$C$21</f>
        <v>407142.80874999997</v>
      </c>
      <c r="H59" s="100">
        <f t="shared" ref="H59" si="15">ROUND($H$46*G59, 0)</f>
        <v>2064214</v>
      </c>
      <c r="I59" s="100">
        <f t="shared" ref="I59" si="16">H59*$I$46</f>
        <v>2000842.6302</v>
      </c>
      <c r="J59" s="98">
        <f t="shared" ref="J59" si="17">I59-F59</f>
        <v>-234114.49067827966</v>
      </c>
      <c r="M59" s="28"/>
      <c r="N59" s="28"/>
      <c r="O59" s="28"/>
      <c r="Q59" s="28"/>
      <c r="R59" s="28"/>
      <c r="S59" s="45"/>
      <c r="U59" s="45"/>
      <c r="V59" s="28"/>
      <c r="X59" s="45"/>
      <c r="Y59" s="28"/>
      <c r="AB59" s="45"/>
      <c r="AC59" s="28"/>
    </row>
    <row r="60" spans="1:29" x14ac:dyDescent="0.35">
      <c r="A60" s="2" t="s">
        <v>189</v>
      </c>
      <c r="B60" s="101">
        <f t="shared" si="8"/>
        <v>46235</v>
      </c>
      <c r="C60" s="116">
        <f>Customer!AA$11*'Assumptions and Inputs'!$C$42</f>
        <v>2546302.3257399406</v>
      </c>
      <c r="D60" s="117">
        <f>Customer!AA$60/'Assumptions and Inputs'!$C$21</f>
        <v>46310.52297908425</v>
      </c>
      <c r="E60" s="104">
        <f>ROUND($E$46*D60, 0)</f>
        <v>234794</v>
      </c>
      <c r="F60" s="104">
        <f>(C60-E60)*$F$46</f>
        <v>2240545.0201397245</v>
      </c>
      <c r="G60" s="117">
        <f>Customer!AA$65/'Assumptions and Inputs'!$C$21</f>
        <v>407142.80874999997</v>
      </c>
      <c r="H60" s="102">
        <f>ROUND($H$46*G60, 0)</f>
        <v>2064214</v>
      </c>
      <c r="I60" s="102">
        <f>H60*$I$46</f>
        <v>2000842.6302</v>
      </c>
      <c r="J60" s="104">
        <f>I60-F60</f>
        <v>-239702.38993972447</v>
      </c>
      <c r="M60" s="28"/>
      <c r="N60" s="28"/>
      <c r="O60" s="28"/>
      <c r="Q60" s="28"/>
      <c r="R60" s="28"/>
      <c r="S60" s="45"/>
      <c r="U60" s="45"/>
      <c r="V60" s="28"/>
      <c r="X60" s="45"/>
      <c r="Y60" s="28"/>
      <c r="AB60" s="45"/>
      <c r="AC60" s="28"/>
    </row>
    <row r="61" spans="1:29" ht="5.15" customHeight="1" x14ac:dyDescent="0.35">
      <c r="B61" s="80"/>
      <c r="C61" s="118"/>
      <c r="D61" s="119"/>
      <c r="E61" s="118"/>
      <c r="F61" s="118"/>
      <c r="G61" s="119"/>
      <c r="H61" s="120"/>
      <c r="I61" s="120"/>
      <c r="J61" s="118"/>
      <c r="M61" s="28"/>
      <c r="N61" s="28"/>
      <c r="O61" s="28"/>
    </row>
    <row r="62" spans="1:29" x14ac:dyDescent="0.35">
      <c r="B62" s="105" t="s">
        <v>131</v>
      </c>
      <c r="C62" s="98">
        <f>SUM(C49:C60)</f>
        <v>29534728.890687063</v>
      </c>
      <c r="D62" s="99">
        <f t="shared" ref="D62:H62" si="18">SUM(D49:D60)</f>
        <v>536931.81541117502</v>
      </c>
      <c r="E62" s="98">
        <f t="shared" si="18"/>
        <v>2722245</v>
      </c>
      <c r="F62" s="98">
        <f t="shared" si="18"/>
        <v>25989340.635242969</v>
      </c>
      <c r="G62" s="99">
        <f t="shared" si="18"/>
        <v>4860855.6187499994</v>
      </c>
      <c r="H62" s="100">
        <f t="shared" si="18"/>
        <v>24644538</v>
      </c>
      <c r="I62" s="100">
        <f>SUM(I49:I60)</f>
        <v>23887950.683399998</v>
      </c>
      <c r="J62" s="98">
        <f>SUM(J48:J60)</f>
        <v>-7056504.9518429693</v>
      </c>
      <c r="L62" s="81"/>
      <c r="M62" s="28"/>
      <c r="N62" s="28"/>
      <c r="O62" s="28"/>
    </row>
    <row r="63" spans="1:29" ht="5.15" customHeight="1" x14ac:dyDescent="0.35">
      <c r="B63" s="96"/>
      <c r="C63" s="106"/>
      <c r="D63" s="107"/>
      <c r="E63" s="106"/>
      <c r="F63" s="106"/>
      <c r="G63" s="107"/>
      <c r="H63" s="106"/>
      <c r="I63" s="106"/>
      <c r="J63" s="81"/>
      <c r="M63" s="28"/>
      <c r="N63" s="28"/>
      <c r="O63" s="28"/>
    </row>
    <row r="64" spans="1:29" x14ac:dyDescent="0.35">
      <c r="B64" s="108"/>
      <c r="C64" s="109"/>
      <c r="D64" s="121"/>
      <c r="E64" s="109"/>
      <c r="F64" s="109"/>
      <c r="G64" s="121"/>
      <c r="H64" s="109"/>
      <c r="I64" s="110" t="s">
        <v>190</v>
      </c>
      <c r="J64" s="104">
        <f>'E-Factor PRIOR'!U138</f>
        <v>-1544283.8166391673</v>
      </c>
      <c r="K64" s="111" t="s">
        <v>200</v>
      </c>
      <c r="M64" s="28"/>
      <c r="N64" s="28"/>
      <c r="O64" s="28"/>
      <c r="V64" s="45"/>
      <c r="Y64" s="45"/>
      <c r="AC64" s="45"/>
    </row>
    <row r="65" spans="2:29" x14ac:dyDescent="0.35">
      <c r="C65" s="81"/>
      <c r="F65" s="106"/>
      <c r="G65" s="55"/>
      <c r="H65" s="45"/>
      <c r="N65" s="28"/>
      <c r="V65" s="28"/>
      <c r="AC65" s="28"/>
    </row>
    <row r="66" spans="2:29" x14ac:dyDescent="0.35">
      <c r="B66" s="1" t="s">
        <v>192</v>
      </c>
      <c r="I66" s="112" t="s">
        <v>193</v>
      </c>
      <c r="J66" s="113">
        <f>J62+J64</f>
        <v>-8600788.7684821375</v>
      </c>
      <c r="K66" s="111" t="s">
        <v>194</v>
      </c>
    </row>
    <row r="67" spans="2:29" x14ac:dyDescent="0.35">
      <c r="B67" s="305" t="s">
        <v>195</v>
      </c>
    </row>
    <row r="68" spans="2:29" x14ac:dyDescent="0.35">
      <c r="B68" s="305" t="s">
        <v>331</v>
      </c>
    </row>
    <row r="69" spans="2:29" x14ac:dyDescent="0.35">
      <c r="B69" s="305" t="s">
        <v>196</v>
      </c>
      <c r="J69" s="81"/>
    </row>
    <row r="70" spans="2:29" x14ac:dyDescent="0.35">
      <c r="B70" s="305" t="str">
        <f>"(1) - TAP Actual Discounts reflects water's "&amp;FIXED('Assumptions and Inputs'!$C$42*100, 1, 0)&amp;"% allocated portion of the Total TAP Discount."</f>
        <v>(1) - TAP Actual Discounts reflects water's 57.0% allocated portion of the Total TAP Discount.</v>
      </c>
      <c r="J70" s="81"/>
    </row>
    <row r="71" spans="2:29" x14ac:dyDescent="0.35">
      <c r="B71" s="305" t="s">
        <v>333</v>
      </c>
    </row>
    <row r="72" spans="2:29" x14ac:dyDescent="0.35">
      <c r="B72" s="305" t="str">
        <f>"(3) &amp; (6) - Sewer TAP-R Rates per "&amp;TEXT('Assumptions and Inputs'!F34,)&amp;" "&amp;TEXT('Assumptions and Inputs'!G34,)&amp;"."</f>
        <v>(3) &amp; (6) - Sewer TAP-R Rates per PWD Regulations - Rates and Charges Effective September 1, 2025 Section 10.3(b)(1).</v>
      </c>
    </row>
    <row r="73" spans="2:29" x14ac:dyDescent="0.35">
      <c r="B73" s="305" t="str">
        <f>"(4) &amp; (7) - Adjusted for system-wide collection factor in accordance with "&amp;TEXT('Assumptions and Inputs'!F38,)&amp;" "&amp;TEXT('Assumptions and Inputs'!G38,)&amp;"."</f>
        <v>(4) &amp; (7) - Adjusted for system-wide collection factor in accordance with PWD Regulations - Rates and Charges Effective September 1, 2025 Section 10.1(b)(3).</v>
      </c>
      <c r="K73" s="52"/>
    </row>
    <row r="74" spans="2:29" x14ac:dyDescent="0.35">
      <c r="B74" s="305" t="str">
        <f>"(5) - Estimated Non-TAP water sales volumes for "&amp;TEXT('Assumptions and Inputs'!C73,"MMMM YYYY")&amp;" through "&amp;TEXT('Assumptions and Inputs'!C75,"MMMM YYYY")&amp;" are based upon average sales for prior 12 month period."</f>
        <v>(5) - Estimated Non-TAP water sales volumes for April 2026 through August 2026 are based upon average sales for prior 12 month period.</v>
      </c>
    </row>
    <row r="75" spans="2:29" x14ac:dyDescent="0.35">
      <c r="B75" s="305" t="s">
        <v>288</v>
      </c>
    </row>
    <row r="76" spans="2:29" x14ac:dyDescent="0.35">
      <c r="B76" s="114"/>
    </row>
    <row r="77" spans="2:29" x14ac:dyDescent="0.35"/>
    <row r="78" spans="2:29" x14ac:dyDescent="0.35"/>
    <row r="79" spans="2:29" x14ac:dyDescent="0.35">
      <c r="C79" s="81"/>
    </row>
    <row r="80" spans="2:29" x14ac:dyDescent="0.35">
      <c r="C80" s="81"/>
    </row>
    <row r="81" spans="2:10" x14ac:dyDescent="0.35">
      <c r="B81" s="122"/>
      <c r="C81" s="81"/>
      <c r="D81" s="45"/>
      <c r="E81" s="45"/>
    </row>
    <row r="82" spans="2:10" x14ac:dyDescent="0.35">
      <c r="B82" s="122"/>
      <c r="C82" s="81"/>
      <c r="D82" s="45"/>
      <c r="E82" s="45"/>
      <c r="F82" s="81"/>
      <c r="G82" s="123"/>
      <c r="H82" s="123"/>
      <c r="I82" s="123"/>
      <c r="J82" s="81"/>
    </row>
    <row r="83" spans="2:10" x14ac:dyDescent="0.35">
      <c r="B83" s="122"/>
      <c r="C83" s="81"/>
      <c r="D83" s="45"/>
      <c r="E83" s="45"/>
      <c r="F83" s="81"/>
      <c r="G83" s="123"/>
      <c r="H83" s="123"/>
      <c r="I83" s="123"/>
      <c r="J83" s="81"/>
    </row>
    <row r="84" spans="2:10" x14ac:dyDescent="0.35">
      <c r="B84" s="122"/>
      <c r="C84" s="81"/>
      <c r="D84" s="45"/>
      <c r="E84" s="45"/>
      <c r="F84" s="81"/>
    </row>
    <row r="85" spans="2:10" x14ac:dyDescent="0.35">
      <c r="B85" s="122"/>
      <c r="C85" s="81"/>
      <c r="D85" s="45"/>
      <c r="E85" s="45"/>
      <c r="F85" s="81"/>
    </row>
    <row r="86" spans="2:10" x14ac:dyDescent="0.35">
      <c r="B86" s="122"/>
      <c r="C86" s="81"/>
      <c r="D86" s="45"/>
      <c r="E86" s="45"/>
      <c r="F86" s="81"/>
      <c r="G86" s="124"/>
      <c r="H86" s="81"/>
      <c r="I86" s="81"/>
      <c r="J86" s="81"/>
    </row>
    <row r="87" spans="2:10" x14ac:dyDescent="0.35">
      <c r="B87" s="122"/>
      <c r="C87" s="81"/>
      <c r="D87" s="45"/>
      <c r="E87" s="45"/>
      <c r="F87" s="81"/>
      <c r="G87" s="124"/>
      <c r="H87" s="81"/>
      <c r="I87" s="81"/>
      <c r="J87" s="81"/>
    </row>
    <row r="88" spans="2:10" x14ac:dyDescent="0.35">
      <c r="B88" s="122"/>
      <c r="C88" s="81"/>
      <c r="D88" s="45"/>
      <c r="E88" s="45"/>
    </row>
    <row r="89" spans="2:10" x14ac:dyDescent="0.35">
      <c r="B89" s="122"/>
      <c r="C89" s="81"/>
      <c r="D89" s="45"/>
      <c r="E89" s="45"/>
    </row>
    <row r="90" spans="2:10" x14ac:dyDescent="0.35">
      <c r="B90" s="122"/>
      <c r="C90" s="81"/>
      <c r="D90" s="45"/>
      <c r="E90" s="45"/>
    </row>
    <row r="91" spans="2:10" x14ac:dyDescent="0.35">
      <c r="B91" s="122"/>
      <c r="C91" s="81"/>
      <c r="D91" s="45"/>
      <c r="E91" s="45"/>
    </row>
    <row r="92" spans="2:10" x14ac:dyDescent="0.35">
      <c r="C92" s="81"/>
    </row>
    <row r="93" spans="2:10" x14ac:dyDescent="0.35"/>
    <row r="94" spans="2:10" x14ac:dyDescent="0.35"/>
    <row r="95" spans="2:10" x14ac:dyDescent="0.35"/>
    <row r="96" spans="2:10" x14ac:dyDescent="0.35"/>
  </sheetData>
  <printOptions horizontalCentered="1"/>
  <pageMargins left="0.7" right="0.7" top="0.75" bottom="0.75" header="0.3" footer="0.3"/>
  <pageSetup scale="50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9:D9 G9 C47:D47 G4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484E-A7F5-4914-B9CB-952DFFFA3433}">
  <sheetPr codeName="Sheet8">
    <tabColor theme="4" tint="-0.249977111117893"/>
    <pageSetUpPr fitToPage="1"/>
  </sheetPr>
  <dimension ref="A1:Y172"/>
  <sheetViews>
    <sheetView topLeftCell="A27" zoomScaleNormal="100" workbookViewId="0">
      <selection activeCell="B64" sqref="B64"/>
    </sheetView>
  </sheetViews>
  <sheetFormatPr defaultColWidth="9.26953125" defaultRowHeight="14.5" zeroHeight="1" x14ac:dyDescent="0.35"/>
  <cols>
    <col min="1" max="1" width="9.26953125" style="1" customWidth="1"/>
    <col min="2" max="2" width="9.453125" style="1" customWidth="1"/>
    <col min="3" max="3" width="17.26953125" style="1" customWidth="1"/>
    <col min="4" max="4" width="15.54296875" style="1" customWidth="1"/>
    <col min="5" max="8" width="20.54296875" style="1" customWidth="1"/>
    <col min="9" max="9" width="24.26953125" style="1" customWidth="1"/>
    <col min="10" max="10" width="20.54296875" style="1" customWidth="1"/>
    <col min="11" max="11" width="3.453125" style="1" customWidth="1"/>
    <col min="12" max="12" width="22.26953125" style="1" customWidth="1"/>
    <col min="13" max="13" width="15.453125" style="1" customWidth="1"/>
    <col min="14" max="14" width="18.7265625" style="1" customWidth="1"/>
    <col min="15" max="15" width="21" style="1" bestFit="1" customWidth="1"/>
    <col min="16" max="16" width="14.54296875" style="1" customWidth="1"/>
    <col min="17" max="17" width="19.54296875" style="1" customWidth="1"/>
    <col min="18" max="18" width="25.54296875" style="1" customWidth="1"/>
    <col min="19" max="19" width="15.54296875" style="1" customWidth="1"/>
    <col min="20" max="20" width="2.26953125" style="1" customWidth="1"/>
    <col min="21" max="21" width="17.7265625" style="1" customWidth="1"/>
    <col min="22" max="16384" width="9.26953125" style="1"/>
  </cols>
  <sheetData>
    <row r="1" spans="1:13" x14ac:dyDescent="0.35"/>
    <row r="2" spans="1:13" x14ac:dyDescent="0.35">
      <c r="B2" s="62" t="str">
        <f>B74</f>
        <v xml:space="preserve">Philadelphia Water Department 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5" thickBot="1" x14ac:dyDescent="0.4">
      <c r="B3" s="62" t="str">
        <f>B75</f>
        <v>Table 3-W-A - Prior Reconciliation Adjustment - Experienced &amp; Estimated Net Over/(Under) Collection (E-Factor) for Most Recent Period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5" thickBot="1" x14ac:dyDescent="0.4">
      <c r="C4" s="125" t="str">
        <f>C76</f>
        <v>Prior Reconciliation Period with Updated Actuals</v>
      </c>
      <c r="D4" s="126"/>
      <c r="E4" s="126"/>
      <c r="F4" s="126"/>
      <c r="G4" s="126"/>
      <c r="H4" s="126"/>
      <c r="I4" s="126"/>
      <c r="J4" s="127"/>
      <c r="L4" s="128" t="s">
        <v>201</v>
      </c>
      <c r="M4" s="129" t="s">
        <v>202</v>
      </c>
    </row>
    <row r="5" spans="1:13" x14ac:dyDescent="0.35">
      <c r="B5" s="83" t="str">
        <f>B77</f>
        <v>Billing</v>
      </c>
      <c r="C5" s="84" t="str">
        <f>C77</f>
        <v>Total Actual TAP</v>
      </c>
      <c r="D5" s="84" t="str">
        <f t="shared" ref="D5:J5" si="0">D77</f>
        <v>Billed TAP</v>
      </c>
      <c r="E5" s="84" t="str">
        <f t="shared" si="0"/>
        <v>Total TAP-R</v>
      </c>
      <c r="F5" s="84" t="str">
        <f t="shared" si="0"/>
        <v>Adjusted Actual TAP</v>
      </c>
      <c r="G5" s="84" t="str">
        <f t="shared" si="0"/>
        <v>Billed Non-TAP</v>
      </c>
      <c r="H5" s="84" t="str">
        <f t="shared" si="0"/>
        <v>TAP-R Billed</v>
      </c>
      <c r="I5" s="84" t="str">
        <f t="shared" si="0"/>
        <v>Estimated TAP-R</v>
      </c>
      <c r="J5" s="84" t="str">
        <f t="shared" si="0"/>
        <v>Over/(Under)</v>
      </c>
      <c r="L5" s="84" t="str">
        <f>S77</f>
        <v>Over/(Under)</v>
      </c>
      <c r="M5" s="84" t="str">
        <f>U77</f>
        <v xml:space="preserve">Delta </v>
      </c>
    </row>
    <row r="6" spans="1:13" x14ac:dyDescent="0.35">
      <c r="B6" s="84" t="str">
        <f>B78</f>
        <v>Period</v>
      </c>
      <c r="C6" s="84" t="str">
        <f>C78</f>
        <v>Discounts</v>
      </c>
      <c r="D6" s="84" t="str">
        <f t="shared" ref="D6:J6" si="1">D78</f>
        <v>Water Sales</v>
      </c>
      <c r="E6" s="84" t="str">
        <f t="shared" si="1"/>
        <v xml:space="preserve">Billed </v>
      </c>
      <c r="F6" s="84" t="str">
        <f t="shared" si="1"/>
        <v>Discounts</v>
      </c>
      <c r="G6" s="84" t="str">
        <f t="shared" si="1"/>
        <v>Water Sales</v>
      </c>
      <c r="H6" s="84" t="str">
        <f t="shared" si="1"/>
        <v>Non-Tap Water Sales</v>
      </c>
      <c r="I6" s="84" t="str">
        <f t="shared" si="1"/>
        <v xml:space="preserve">Revenues </v>
      </c>
      <c r="J6" s="84" t="str">
        <f t="shared" si="1"/>
        <v>Collection</v>
      </c>
      <c r="L6" s="84" t="str">
        <f>S78</f>
        <v>Collection</v>
      </c>
      <c r="M6" s="84"/>
    </row>
    <row r="7" spans="1:13" x14ac:dyDescent="0.35">
      <c r="B7" s="84"/>
      <c r="C7" s="84" t="str">
        <f>C79</f>
        <v xml:space="preserve">(Credits) </v>
      </c>
      <c r="D7" s="84" t="str">
        <f>D79</f>
        <v>(Mcf)</v>
      </c>
      <c r="E7" s="84" t="str">
        <f>E79</f>
        <v>to TAP Participants</v>
      </c>
      <c r="F7" s="84" t="str">
        <f>F79</f>
        <v xml:space="preserve">(Credits) </v>
      </c>
      <c r="G7" s="84" t="str">
        <f>G79</f>
        <v>(Mcf)</v>
      </c>
      <c r="H7" s="84"/>
      <c r="I7" s="84" t="str">
        <f>I79</f>
        <v>Experienced</v>
      </c>
      <c r="J7" s="84"/>
      <c r="L7" s="84"/>
      <c r="M7" s="84"/>
    </row>
    <row r="8" spans="1:13" x14ac:dyDescent="0.35">
      <c r="B8" s="84"/>
      <c r="C8" s="85"/>
      <c r="D8" s="85"/>
      <c r="E8" s="86">
        <f>E80</f>
        <v>3.08</v>
      </c>
      <c r="F8" s="87">
        <f>F80</f>
        <v>0.96989999999999998</v>
      </c>
      <c r="G8" s="85"/>
      <c r="H8" s="86"/>
      <c r="I8" s="87">
        <f>I80</f>
        <v>0.96989999999999998</v>
      </c>
      <c r="J8" s="88"/>
      <c r="L8" s="88"/>
      <c r="M8" s="88"/>
    </row>
    <row r="9" spans="1:13" x14ac:dyDescent="0.35">
      <c r="B9" s="89"/>
      <c r="C9" s="90" t="str">
        <f>C81</f>
        <v>(1)</v>
      </c>
      <c r="D9" s="90" t="str">
        <f t="shared" ref="D9:J9" si="2">D81</f>
        <v>(2)</v>
      </c>
      <c r="E9" s="90" t="str">
        <f t="shared" si="2"/>
        <v>(3) = (2) * $ 3.080/Mcf</v>
      </c>
      <c r="F9" s="90" t="str">
        <f t="shared" si="2"/>
        <v>(4) = [(1) - (3)]* 0.9699</v>
      </c>
      <c r="G9" s="90" t="str">
        <f t="shared" si="2"/>
        <v>(5)</v>
      </c>
      <c r="H9" s="90" t="str">
        <f t="shared" si="2"/>
        <v>(6) = (5) * $ 3.080/Mcf</v>
      </c>
      <c r="I9" s="91" t="str">
        <f t="shared" si="2"/>
        <v>(7) = (6) * 0.9699</v>
      </c>
      <c r="J9" s="90" t="str">
        <f t="shared" si="2"/>
        <v>(8) = (7) - (4)</v>
      </c>
      <c r="L9" s="90" t="s">
        <v>203</v>
      </c>
      <c r="M9" s="90" t="s">
        <v>204</v>
      </c>
    </row>
    <row r="10" spans="1:13" x14ac:dyDescent="0.35">
      <c r="B10" s="92"/>
      <c r="C10" s="93"/>
      <c r="D10" s="93"/>
      <c r="E10" s="93"/>
      <c r="F10" s="93"/>
      <c r="G10" s="93"/>
      <c r="H10" s="93"/>
      <c r="I10" s="94" t="s">
        <v>187</v>
      </c>
      <c r="J10" s="130">
        <f>J82</f>
        <v>-5189621.9748253832</v>
      </c>
      <c r="L10" s="130">
        <f>S82</f>
        <v>-5189621.9748253832</v>
      </c>
      <c r="M10" s="93"/>
    </row>
    <row r="11" spans="1:13" x14ac:dyDescent="0.35">
      <c r="A11" s="131"/>
      <c r="B11" s="97">
        <f t="shared" ref="B11:B20" si="3">B83</f>
        <v>45536</v>
      </c>
      <c r="C11" s="98">
        <f t="shared" ref="C11:J11" si="4">C83</f>
        <v>1337049.6888000001</v>
      </c>
      <c r="D11" s="132">
        <f t="shared" si="4"/>
        <v>42054.400000000001</v>
      </c>
      <c r="E11" s="133">
        <f t="shared" si="4"/>
        <v>129528</v>
      </c>
      <c r="F11" s="98">
        <f t="shared" si="4"/>
        <v>1171175.2859671202</v>
      </c>
      <c r="G11" s="132">
        <f t="shared" si="4"/>
        <v>490921.995</v>
      </c>
      <c r="H11" s="133">
        <f t="shared" si="4"/>
        <v>1512039.7446000001</v>
      </c>
      <c r="I11" s="133">
        <f t="shared" si="4"/>
        <v>1466527.34828754</v>
      </c>
      <c r="J11" s="98">
        <f t="shared" si="4"/>
        <v>295352.06232041982</v>
      </c>
      <c r="L11" s="98">
        <f>S83</f>
        <v>295352.3100328797</v>
      </c>
      <c r="M11" s="98">
        <f>J11-L11</f>
        <v>-0.24771245988085866</v>
      </c>
    </row>
    <row r="12" spans="1:13" x14ac:dyDescent="0.35">
      <c r="A12" s="131"/>
      <c r="B12" s="101">
        <f t="shared" si="3"/>
        <v>45566</v>
      </c>
      <c r="C12" s="109">
        <f t="shared" ref="C12:J12" si="5">C84</f>
        <v>1423248.9221999999</v>
      </c>
      <c r="D12" s="121">
        <f t="shared" si="5"/>
        <v>40943.5</v>
      </c>
      <c r="E12" s="109">
        <f t="shared" si="5"/>
        <v>126106</v>
      </c>
      <c r="F12" s="109">
        <f t="shared" si="5"/>
        <v>1258098.9202417799</v>
      </c>
      <c r="G12" s="121">
        <f t="shared" si="5"/>
        <v>458132.77999999997</v>
      </c>
      <c r="H12" s="109">
        <f t="shared" si="5"/>
        <v>1411048.9623999998</v>
      </c>
      <c r="I12" s="109">
        <f t="shared" si="5"/>
        <v>1368576.3886317599</v>
      </c>
      <c r="J12" s="104">
        <f t="shared" si="5"/>
        <v>110477.46838998003</v>
      </c>
      <c r="L12" s="104">
        <f t="shared" ref="L12:L20" si="6">S84</f>
        <v>110477.50485822</v>
      </c>
      <c r="M12" s="104">
        <f t="shared" ref="M12:M21" si="7">J12-L12</f>
        <v>-3.6468239966779947E-2</v>
      </c>
    </row>
    <row r="13" spans="1:13" x14ac:dyDescent="0.35">
      <c r="A13" s="131"/>
      <c r="B13" s="97">
        <f t="shared" si="3"/>
        <v>45597</v>
      </c>
      <c r="C13" s="98">
        <f t="shared" ref="C13:J13" si="8">C85</f>
        <v>1251489.0906</v>
      </c>
      <c r="D13" s="99">
        <f t="shared" si="8"/>
        <v>35812.5</v>
      </c>
      <c r="E13" s="98">
        <f t="shared" si="8"/>
        <v>110303</v>
      </c>
      <c r="F13" s="98">
        <f t="shared" si="8"/>
        <v>1106836.3892729399</v>
      </c>
      <c r="G13" s="99">
        <f t="shared" si="8"/>
        <v>424733.95499999996</v>
      </c>
      <c r="H13" s="100">
        <f t="shared" si="8"/>
        <v>1308180.5813999998</v>
      </c>
      <c r="I13" s="100">
        <f t="shared" si="8"/>
        <v>1268804.3458998597</v>
      </c>
      <c r="J13" s="98">
        <f t="shared" si="8"/>
        <v>161967.9566269198</v>
      </c>
      <c r="L13" s="98">
        <f t="shared" si="6"/>
        <v>161968.36262706015</v>
      </c>
      <c r="M13" s="98">
        <f t="shared" si="7"/>
        <v>-0.40600014035589993</v>
      </c>
    </row>
    <row r="14" spans="1:13" x14ac:dyDescent="0.35">
      <c r="A14" s="131"/>
      <c r="B14" s="101">
        <f t="shared" si="3"/>
        <v>45627</v>
      </c>
      <c r="C14" s="102">
        <f t="shared" ref="C14:J14" si="9">C86</f>
        <v>1337359.4892</v>
      </c>
      <c r="D14" s="103">
        <f t="shared" si="9"/>
        <v>38296</v>
      </c>
      <c r="E14" s="102">
        <f t="shared" si="9"/>
        <v>117952</v>
      </c>
      <c r="F14" s="102">
        <f t="shared" si="9"/>
        <v>1182703.32377508</v>
      </c>
      <c r="G14" s="103">
        <f t="shared" si="9"/>
        <v>428037.62</v>
      </c>
      <c r="H14" s="102">
        <f t="shared" si="9"/>
        <v>1318355.8696000001</v>
      </c>
      <c r="I14" s="102">
        <f t="shared" si="9"/>
        <v>1278673.3579250402</v>
      </c>
      <c r="J14" s="104">
        <f t="shared" si="9"/>
        <v>95970.034149960149</v>
      </c>
      <c r="L14" s="104">
        <f t="shared" si="6"/>
        <v>95970.160624919925</v>
      </c>
      <c r="M14" s="104">
        <f t="shared" si="7"/>
        <v>-0.12647495977580547</v>
      </c>
    </row>
    <row r="15" spans="1:13" x14ac:dyDescent="0.35">
      <c r="A15" s="131"/>
      <c r="B15" s="97">
        <f t="shared" si="3"/>
        <v>45658</v>
      </c>
      <c r="C15" s="98">
        <f t="shared" ref="C15:J15" si="10">C87</f>
        <v>1531584.6755999997</v>
      </c>
      <c r="D15" s="99">
        <f t="shared" si="10"/>
        <v>43310.400000000001</v>
      </c>
      <c r="E15" s="98">
        <f t="shared" si="10"/>
        <v>133396</v>
      </c>
      <c r="F15" s="98">
        <f t="shared" si="10"/>
        <v>1356103.1964644396</v>
      </c>
      <c r="G15" s="99">
        <f t="shared" si="10"/>
        <v>446981.625</v>
      </c>
      <c r="H15" s="100">
        <f t="shared" si="10"/>
        <v>1376703.405</v>
      </c>
      <c r="I15" s="100">
        <f t="shared" si="10"/>
        <v>1335264.6325095</v>
      </c>
      <c r="J15" s="98">
        <f t="shared" si="10"/>
        <v>-20838.5639549396</v>
      </c>
      <c r="L15" s="98">
        <f t="shared" si="6"/>
        <v>-20838.956764439587</v>
      </c>
      <c r="M15" s="98">
        <f t="shared" si="7"/>
        <v>0.39280949998646975</v>
      </c>
    </row>
    <row r="16" spans="1:13" x14ac:dyDescent="0.35">
      <c r="A16" s="131"/>
      <c r="B16" s="101">
        <f t="shared" si="3"/>
        <v>45689</v>
      </c>
      <c r="C16" s="102">
        <f t="shared" ref="C16:J16" si="11">C88</f>
        <v>1257332.6136</v>
      </c>
      <c r="D16" s="103">
        <f t="shared" si="11"/>
        <v>36414.1</v>
      </c>
      <c r="E16" s="102">
        <f t="shared" si="11"/>
        <v>112155</v>
      </c>
      <c r="F16" s="102">
        <f t="shared" si="11"/>
        <v>1110707.7674306401</v>
      </c>
      <c r="G16" s="103">
        <f t="shared" si="11"/>
        <v>389903.54</v>
      </c>
      <c r="H16" s="102">
        <f t="shared" si="11"/>
        <v>1200902.9032000001</v>
      </c>
      <c r="I16" s="102">
        <f t="shared" si="11"/>
        <v>1164755.7258136801</v>
      </c>
      <c r="J16" s="104">
        <f t="shared" si="11"/>
        <v>54047.958383040037</v>
      </c>
      <c r="L16" s="104">
        <f t="shared" si="6"/>
        <v>54048.052269359818</v>
      </c>
      <c r="M16" s="104">
        <f t="shared" si="7"/>
        <v>-9.388631978072226E-2</v>
      </c>
    </row>
    <row r="17" spans="1:14" x14ac:dyDescent="0.35">
      <c r="A17" s="131"/>
      <c r="B17" s="97">
        <f t="shared" si="3"/>
        <v>45717</v>
      </c>
      <c r="C17" s="98">
        <f t="shared" ref="C17:J17" si="12">C89</f>
        <v>1295615.7731999999</v>
      </c>
      <c r="D17" s="99">
        <f t="shared" si="12"/>
        <v>37905.699999999997</v>
      </c>
      <c r="E17" s="98">
        <f t="shared" si="12"/>
        <v>116750</v>
      </c>
      <c r="F17" s="98">
        <f t="shared" si="12"/>
        <v>1143381.91342668</v>
      </c>
      <c r="G17" s="99">
        <f t="shared" si="12"/>
        <v>394954.18</v>
      </c>
      <c r="H17" s="100">
        <f t="shared" si="12"/>
        <v>1216458.8744000001</v>
      </c>
      <c r="I17" s="100">
        <f t="shared" si="12"/>
        <v>1179843.4622805601</v>
      </c>
      <c r="J17" s="98">
        <f t="shared" si="12"/>
        <v>36461.548853880027</v>
      </c>
      <c r="L17" s="98">
        <f t="shared" si="6"/>
        <v>36461.67067332007</v>
      </c>
      <c r="M17" s="98">
        <f t="shared" si="7"/>
        <v>-0.12181944004260004</v>
      </c>
    </row>
    <row r="18" spans="1:14" x14ac:dyDescent="0.35">
      <c r="A18" s="131"/>
      <c r="B18" s="101">
        <f t="shared" si="3"/>
        <v>45748</v>
      </c>
      <c r="C18" s="102">
        <f t="shared" ref="C18:J18" si="13">C90</f>
        <v>1313903.8121999998</v>
      </c>
      <c r="D18" s="103">
        <f t="shared" si="13"/>
        <v>38235.300000000003</v>
      </c>
      <c r="E18" s="102">
        <f t="shared" si="13"/>
        <v>117765</v>
      </c>
      <c r="F18" s="102">
        <f t="shared" si="13"/>
        <v>1160135.0339527798</v>
      </c>
      <c r="G18" s="103">
        <f t="shared" si="13"/>
        <v>399841.21499999997</v>
      </c>
      <c r="H18" s="102">
        <f t="shared" si="13"/>
        <v>1231510.9421999999</v>
      </c>
      <c r="I18" s="102">
        <f t="shared" si="13"/>
        <v>1194442.4628397799</v>
      </c>
      <c r="J18" s="104">
        <f t="shared" si="13"/>
        <v>34307.428887000075</v>
      </c>
      <c r="L18" s="104">
        <f t="shared" si="6"/>
        <v>254369.90961173177</v>
      </c>
      <c r="M18" s="104">
        <f t="shared" si="7"/>
        <v>-220062.48072473169</v>
      </c>
    </row>
    <row r="19" spans="1:14" x14ac:dyDescent="0.35">
      <c r="A19" s="131"/>
      <c r="B19" s="97">
        <f t="shared" si="3"/>
        <v>45778</v>
      </c>
      <c r="C19" s="98">
        <f t="shared" ref="C19:J19" si="14">C91</f>
        <v>1362364.1094</v>
      </c>
      <c r="D19" s="99">
        <f t="shared" si="14"/>
        <v>39575.800000000003</v>
      </c>
      <c r="E19" s="98">
        <f t="shared" si="14"/>
        <v>121893</v>
      </c>
      <c r="F19" s="98">
        <f t="shared" si="14"/>
        <v>1203132.9290070599</v>
      </c>
      <c r="G19" s="99">
        <f t="shared" si="14"/>
        <v>419823.69000000006</v>
      </c>
      <c r="H19" s="100">
        <f t="shared" si="14"/>
        <v>1293056.9652000002</v>
      </c>
      <c r="I19" s="100">
        <f t="shared" si="14"/>
        <v>1254135.9505474803</v>
      </c>
      <c r="J19" s="98">
        <f t="shared" si="14"/>
        <v>51003.021540420363</v>
      </c>
      <c r="L19" s="98">
        <f t="shared" si="6"/>
        <v>254369.90961173177</v>
      </c>
      <c r="M19" s="98">
        <f t="shared" si="7"/>
        <v>-203366.8880713114</v>
      </c>
    </row>
    <row r="20" spans="1:14" x14ac:dyDescent="0.35">
      <c r="A20" s="131"/>
      <c r="B20" s="101">
        <f t="shared" si="3"/>
        <v>45809</v>
      </c>
      <c r="C20" s="102">
        <f t="shared" ref="C20:J20" si="15">C92</f>
        <v>1464473.2493999999</v>
      </c>
      <c r="D20" s="103">
        <f t="shared" si="15"/>
        <v>41969.599999999999</v>
      </c>
      <c r="E20" s="102">
        <f t="shared" si="15"/>
        <v>129266</v>
      </c>
      <c r="F20" s="102">
        <f t="shared" si="15"/>
        <v>1295017.5111930599</v>
      </c>
      <c r="G20" s="103">
        <f t="shared" si="15"/>
        <v>437385.55</v>
      </c>
      <c r="H20" s="102">
        <f t="shared" si="15"/>
        <v>1347147.4939999999</v>
      </c>
      <c r="I20" s="102">
        <f t="shared" si="15"/>
        <v>1306598.3544305998</v>
      </c>
      <c r="J20" s="104">
        <f t="shared" si="15"/>
        <v>11580.843237539986</v>
      </c>
      <c r="L20" s="104">
        <f t="shared" si="6"/>
        <v>254369.90961173177</v>
      </c>
      <c r="M20" s="104">
        <f t="shared" si="7"/>
        <v>-242789.06637419178</v>
      </c>
    </row>
    <row r="21" spans="1:14" x14ac:dyDescent="0.35">
      <c r="A21" s="131"/>
      <c r="B21" s="97">
        <f>B93</f>
        <v>45839</v>
      </c>
      <c r="C21" s="98">
        <f t="shared" ref="C21:J22" si="16">C93</f>
        <v>1481190.5723999999</v>
      </c>
      <c r="D21" s="99">
        <f t="shared" si="16"/>
        <v>42399.7</v>
      </c>
      <c r="E21" s="98">
        <f t="shared" si="16"/>
        <v>130591</v>
      </c>
      <c r="F21" s="98">
        <f t="shared" si="16"/>
        <v>1309946.5252707598</v>
      </c>
      <c r="G21" s="99">
        <f t="shared" si="16"/>
        <v>456809.04500000004</v>
      </c>
      <c r="H21" s="100">
        <f t="shared" si="16"/>
        <v>1406971.8586000002</v>
      </c>
      <c r="I21" s="100">
        <f t="shared" si="16"/>
        <v>1364622.0056561402</v>
      </c>
      <c r="J21" s="98">
        <f t="shared" si="16"/>
        <v>54675.480385380331</v>
      </c>
      <c r="L21" s="98">
        <f>S93</f>
        <v>254369.90961173177</v>
      </c>
      <c r="M21" s="98">
        <f t="shared" si="7"/>
        <v>-199694.42922635144</v>
      </c>
    </row>
    <row r="22" spans="1:14" x14ac:dyDescent="0.35">
      <c r="A22" s="131"/>
      <c r="B22" s="101">
        <f>B94</f>
        <v>45870</v>
      </c>
      <c r="C22" s="102">
        <f t="shared" si="16"/>
        <v>1586141.1216</v>
      </c>
      <c r="D22" s="103">
        <f t="shared" si="16"/>
        <v>45007.6</v>
      </c>
      <c r="E22" s="102">
        <f t="shared" si="16"/>
        <v>138623</v>
      </c>
      <c r="F22" s="102">
        <f t="shared" si="16"/>
        <v>1403947.8261398398</v>
      </c>
      <c r="G22" s="103">
        <f t="shared" si="16"/>
        <v>472709.625</v>
      </c>
      <c r="H22" s="102">
        <f t="shared" si="16"/>
        <v>1455945.645</v>
      </c>
      <c r="I22" s="102">
        <f t="shared" si="16"/>
        <v>1412121.6810854999</v>
      </c>
      <c r="J22" s="104">
        <f t="shared" si="16"/>
        <v>8173.8549456601031</v>
      </c>
      <c r="L22" s="104">
        <f>S94</f>
        <v>254369.90961173177</v>
      </c>
      <c r="M22" s="104">
        <f t="shared" ref="M22" si="17">J22-L22</f>
        <v>-246196.05466607166</v>
      </c>
    </row>
    <row r="23" spans="1:14" ht="5.15" customHeight="1" x14ac:dyDescent="0.35"/>
    <row r="24" spans="1:14" x14ac:dyDescent="0.35">
      <c r="B24" s="105" t="s">
        <v>131</v>
      </c>
      <c r="C24" s="100">
        <f>SUM(C11:C22)</f>
        <v>16641753.1182</v>
      </c>
      <c r="D24" s="99">
        <f t="shared" ref="D24:I24" si="18">SUM(D11:D22)</f>
        <v>481924.59999999992</v>
      </c>
      <c r="E24" s="100">
        <f t="shared" si="18"/>
        <v>1484328</v>
      </c>
      <c r="F24" s="100">
        <f t="shared" si="18"/>
        <v>14701186.622142179</v>
      </c>
      <c r="G24" s="99">
        <f t="shared" si="18"/>
        <v>5220234.82</v>
      </c>
      <c r="H24" s="100">
        <f t="shared" si="18"/>
        <v>16078323.245599998</v>
      </c>
      <c r="I24" s="100">
        <f t="shared" si="18"/>
        <v>15594365.71590744</v>
      </c>
      <c r="J24" s="98">
        <f>SUM(J10:J22)</f>
        <v>-4296442.8810601234</v>
      </c>
      <c r="L24" s="98">
        <f>SUM(L10:L22)</f>
        <v>-3184333.3224454038</v>
      </c>
      <c r="M24" s="98">
        <f>SUM(M11:M22)</f>
        <v>-1112109.5586147178</v>
      </c>
    </row>
    <row r="25" spans="1:14" x14ac:dyDescent="0.35">
      <c r="F25" s="106"/>
      <c r="G25" s="56"/>
    </row>
    <row r="26" spans="1:14" x14ac:dyDescent="0.35">
      <c r="I26" s="134" t="s">
        <v>205</v>
      </c>
      <c r="J26" s="135">
        <f>J24</f>
        <v>-4296442.8810601234</v>
      </c>
      <c r="L26" s="136">
        <f>L24</f>
        <v>-3184333.3224454038</v>
      </c>
      <c r="M26" s="137">
        <f>J26-L26</f>
        <v>-1112109.5586147197</v>
      </c>
      <c r="N26" s="138" t="s">
        <v>190</v>
      </c>
    </row>
    <row r="27" spans="1:14" x14ac:dyDescent="0.35">
      <c r="B27" s="1" t="s">
        <v>192</v>
      </c>
      <c r="N27" s="1" t="s">
        <v>206</v>
      </c>
    </row>
    <row r="28" spans="1:14" x14ac:dyDescent="0.35">
      <c r="B28" s="305" t="str">
        <f>"(1) - TAP Actual Discounts reflect water's "&amp;FIXED('Assumptions and Inputs'!$C$47*100, 1, 0)&amp;"% allocated portion of the Total TAP Discount."</f>
        <v>(1) - TAP Actual Discounts reflect water's 42.0% allocated portion of the Total TAP Discount.</v>
      </c>
    </row>
    <row r="29" spans="1:14" x14ac:dyDescent="0.35">
      <c r="B29" s="305" t="s">
        <v>309</v>
      </c>
    </row>
    <row r="30" spans="1:14" x14ac:dyDescent="0.35">
      <c r="B30" s="305" t="str">
        <f>"(3) &amp; (6) - Water TAP-R Rates per "&amp;TEXT('Assumptions and Inputs'!F27,)&amp;" "&amp;TEXT('Assumptions and Inputs'!G27,)&amp;"."</f>
        <v>(3) &amp; (6) - Water TAP-R Rates per PWD Regulations - Rates and Charges Effective September 1, 2024 Section 10.3(a)(1).</v>
      </c>
    </row>
    <row r="31" spans="1:14" x14ac:dyDescent="0.35">
      <c r="B31" s="305" t="str">
        <f>"(4) &amp; (7) - Adjusted for system-wide collection factor in accordance with "&amp;'Assumptions and Inputs'!F45&amp;" "&amp;'Assumptions and Inputs'!G45&amp;"."</f>
        <v>(4) &amp; (7) - Adjusted for system-wide collection factor in accordance with PWD Regulations - Rates and Charges Effective September 1, 2024 Section 10.1(b)(3).</v>
      </c>
    </row>
    <row r="32" spans="1:14" x14ac:dyDescent="0.35">
      <c r="B32" s="306" t="s">
        <v>282</v>
      </c>
    </row>
    <row r="33" spans="2:13" x14ac:dyDescent="0.35">
      <c r="B33" s="306" t="s">
        <v>207</v>
      </c>
    </row>
    <row r="34" spans="2:13" x14ac:dyDescent="0.35">
      <c r="B34" s="306" t="str">
        <f>"(9) - Over/(Under) Collection for "&amp;TEXT(B11,"MMMM YYYY")&amp;" to "&amp;TEXT(B22,"MMMM YYYY")&amp;" as calculated during the prior TAP-R Reconciliation Determination."</f>
        <v>(9) - Over/(Under) Collection for September 2024 to August 2025 as calculated during the prior TAP-R Reconciliation Determination.</v>
      </c>
    </row>
    <row r="35" spans="2:13" x14ac:dyDescent="0.35">
      <c r="B35" s="306" t="s">
        <v>208</v>
      </c>
    </row>
    <row r="36" spans="2:13" x14ac:dyDescent="0.35"/>
    <row r="37" spans="2:13" x14ac:dyDescent="0.35">
      <c r="B37" s="62" t="str">
        <f>B114</f>
        <v xml:space="preserve">Philadelphia Water Department 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2:13" ht="15" thickBot="1" x14ac:dyDescent="0.4">
      <c r="B38" s="62" t="str">
        <f>B115</f>
        <v xml:space="preserve">Table 3-WW-A - Prior Reconciliation Adjustment - Experienced &amp; Estimated Net Over/(Under) Collection (E-Factor) for Most Recent Period 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2:13" ht="15" thickBot="1" x14ac:dyDescent="0.4">
      <c r="C39" s="125" t="str">
        <f>C116</f>
        <v>Prior Reconciliation Period with Updated Actuals</v>
      </c>
      <c r="D39" s="126"/>
      <c r="E39" s="126"/>
      <c r="F39" s="126"/>
      <c r="G39" s="126"/>
      <c r="H39" s="126"/>
      <c r="I39" s="126"/>
      <c r="J39" s="127"/>
      <c r="L39" s="128" t="str">
        <f>L4</f>
        <v>Original Estimates</v>
      </c>
      <c r="M39" s="129" t="s">
        <v>202</v>
      </c>
    </row>
    <row r="40" spans="2:13" x14ac:dyDescent="0.35">
      <c r="B40" s="83" t="str">
        <f>B117</f>
        <v>Billing</v>
      </c>
      <c r="C40" s="84" t="str">
        <f>C117</f>
        <v>Total Actual TAP</v>
      </c>
      <c r="D40" s="84" t="str">
        <f t="shared" ref="D40:J41" si="19">D117</f>
        <v>Billed</v>
      </c>
      <c r="E40" s="84" t="str">
        <f t="shared" si="19"/>
        <v>Total TAP-R</v>
      </c>
      <c r="F40" s="84" t="str">
        <f t="shared" si="19"/>
        <v>Adjusted Actual TAP</v>
      </c>
      <c r="G40" s="84" t="str">
        <f t="shared" si="19"/>
        <v>Billed Non-TAP</v>
      </c>
      <c r="H40" s="84" t="str">
        <f t="shared" si="19"/>
        <v>TAP-R Billed</v>
      </c>
      <c r="I40" s="84" t="str">
        <f t="shared" si="19"/>
        <v>Estimated TAP-R</v>
      </c>
      <c r="J40" s="84" t="str">
        <f t="shared" si="19"/>
        <v>Over/(Under)</v>
      </c>
      <c r="L40" s="84" t="str">
        <f>S117</f>
        <v>Over/(Under)</v>
      </c>
      <c r="M40" s="84" t="str">
        <f>U77</f>
        <v xml:space="preserve">Delta </v>
      </c>
    </row>
    <row r="41" spans="2:13" x14ac:dyDescent="0.35">
      <c r="B41" s="84" t="str">
        <f>B118</f>
        <v>Period</v>
      </c>
      <c r="C41" s="84" t="str">
        <f>C118</f>
        <v>Discounts</v>
      </c>
      <c r="D41" s="84" t="str">
        <f t="shared" si="19"/>
        <v>Sewer Volume</v>
      </c>
      <c r="E41" s="84" t="str">
        <f t="shared" si="19"/>
        <v xml:space="preserve">Billed </v>
      </c>
      <c r="F41" s="84" t="str">
        <f t="shared" si="19"/>
        <v>Discounts</v>
      </c>
      <c r="G41" s="84" t="str">
        <f t="shared" si="19"/>
        <v>Sewer Volume</v>
      </c>
      <c r="H41" s="84" t="str">
        <f t="shared" si="19"/>
        <v>Non-Tap Water Sales</v>
      </c>
      <c r="I41" s="84" t="str">
        <f t="shared" si="19"/>
        <v xml:space="preserve">Revenues </v>
      </c>
      <c r="J41" s="84" t="str">
        <f t="shared" si="19"/>
        <v>Collection</v>
      </c>
      <c r="L41" s="84" t="str">
        <f>S118</f>
        <v>Collection</v>
      </c>
      <c r="M41" s="84"/>
    </row>
    <row r="42" spans="2:13" x14ac:dyDescent="0.35">
      <c r="B42" s="84"/>
      <c r="C42" s="84" t="str">
        <f>C119</f>
        <v xml:space="preserve">(Credits) </v>
      </c>
      <c r="D42" s="84" t="str">
        <f>D119</f>
        <v>TAP Participants</v>
      </c>
      <c r="E42" s="84" t="str">
        <f>E119</f>
        <v>to TAP Participants</v>
      </c>
      <c r="F42" s="84" t="str">
        <f>F119</f>
        <v xml:space="preserve">(Credits) </v>
      </c>
      <c r="G42" s="84" t="str">
        <f>G119</f>
        <v>(Mcf)</v>
      </c>
      <c r="H42" s="84"/>
      <c r="I42" s="84" t="str">
        <f>I119</f>
        <v>Experienced</v>
      </c>
      <c r="J42" s="84"/>
      <c r="L42" s="84"/>
      <c r="M42" s="84"/>
    </row>
    <row r="43" spans="2:13" x14ac:dyDescent="0.35">
      <c r="B43" s="84"/>
      <c r="C43" s="85"/>
      <c r="D43" s="85" t="str">
        <f t="shared" ref="D43:F44" si="20">D120</f>
        <v>(Mcf)</v>
      </c>
      <c r="E43" s="86">
        <f t="shared" si="20"/>
        <v>4.4000000000000004</v>
      </c>
      <c r="F43" s="87">
        <f t="shared" si="20"/>
        <v>0.96989999999999998</v>
      </c>
      <c r="G43" s="85"/>
      <c r="H43" s="86">
        <f>H120</f>
        <v>4.4000000000000004</v>
      </c>
      <c r="I43" s="87">
        <f>I120</f>
        <v>0.96989999999999998</v>
      </c>
      <c r="J43" s="88"/>
      <c r="L43" s="88"/>
      <c r="M43" s="88"/>
    </row>
    <row r="44" spans="2:13" x14ac:dyDescent="0.35">
      <c r="B44" s="89"/>
      <c r="C44" s="90" t="str">
        <f>C121</f>
        <v>(1)</v>
      </c>
      <c r="D44" s="90" t="str">
        <f t="shared" si="20"/>
        <v>(2)</v>
      </c>
      <c r="E44" s="90" t="str">
        <f t="shared" si="20"/>
        <v>(3) = (2) * $ 4.400/Mcf</v>
      </c>
      <c r="F44" s="90" t="str">
        <f t="shared" si="20"/>
        <v>(4) = [(1) - (3)]* 0.9699</v>
      </c>
      <c r="G44" s="90" t="str">
        <f>G121</f>
        <v>(5)</v>
      </c>
      <c r="H44" s="90" t="str">
        <f>H121</f>
        <v>(6) = (5) * $ 4.400/Mcf</v>
      </c>
      <c r="I44" s="91" t="str">
        <f>I121</f>
        <v>(7) = (6) * 0.9699</v>
      </c>
      <c r="J44" s="90" t="str">
        <f>J121</f>
        <v>(8) = (7) - (4)</v>
      </c>
      <c r="L44" s="90" t="s">
        <v>203</v>
      </c>
      <c r="M44" s="90" t="s">
        <v>204</v>
      </c>
    </row>
    <row r="45" spans="2:13" x14ac:dyDescent="0.35">
      <c r="B45" s="92"/>
      <c r="C45" s="93"/>
      <c r="D45" s="93"/>
      <c r="E45" s="93"/>
      <c r="F45" s="93"/>
      <c r="G45" s="93"/>
      <c r="H45" s="93"/>
      <c r="I45" s="94" t="s">
        <v>187</v>
      </c>
      <c r="J45" s="140">
        <f>J122</f>
        <v>-6713205.8875230234</v>
      </c>
      <c r="L45" s="140">
        <f>S122</f>
        <v>-6713205.8875230234</v>
      </c>
      <c r="M45" s="93"/>
    </row>
    <row r="46" spans="2:13" x14ac:dyDescent="0.35">
      <c r="B46" s="97">
        <f t="shared" ref="B46:J46" si="21">B123</f>
        <v>45536</v>
      </c>
      <c r="C46" s="98">
        <f t="shared" si="21"/>
        <v>1846401.9512</v>
      </c>
      <c r="D46" s="132">
        <f t="shared" si="21"/>
        <v>42019.8</v>
      </c>
      <c r="E46" s="133">
        <f t="shared" si="21"/>
        <v>184887.12000000002</v>
      </c>
      <c r="F46" s="98">
        <f t="shared" si="21"/>
        <v>1611503.2347808799</v>
      </c>
      <c r="G46" s="132">
        <f t="shared" si="21"/>
        <v>461019.51500000001</v>
      </c>
      <c r="H46" s="133">
        <f t="shared" si="21"/>
        <v>2028486</v>
      </c>
      <c r="I46" s="133">
        <f t="shared" si="21"/>
        <v>1967428.5714</v>
      </c>
      <c r="J46" s="98">
        <f t="shared" si="21"/>
        <v>355925.33661912009</v>
      </c>
      <c r="L46" s="98">
        <f t="shared" ref="L46:L56" si="22">S123</f>
        <v>355925.22023112001</v>
      </c>
      <c r="M46" s="98">
        <f>J46-L46</f>
        <v>0.11638800008222461</v>
      </c>
    </row>
    <row r="47" spans="2:13" x14ac:dyDescent="0.35">
      <c r="B47" s="101">
        <f t="shared" ref="B47:J47" si="23">B124</f>
        <v>45566</v>
      </c>
      <c r="C47" s="109">
        <f t="shared" si="23"/>
        <v>1965438.9878</v>
      </c>
      <c r="D47" s="121">
        <f t="shared" si="23"/>
        <v>40905.9</v>
      </c>
      <c r="E47" s="109">
        <f t="shared" si="23"/>
        <v>179985.96000000002</v>
      </c>
      <c r="F47" s="109">
        <f t="shared" si="23"/>
        <v>1731710.89166322</v>
      </c>
      <c r="G47" s="121">
        <f t="shared" si="23"/>
        <v>430672.32500000001</v>
      </c>
      <c r="H47" s="109">
        <f t="shared" si="23"/>
        <v>1894958</v>
      </c>
      <c r="I47" s="109">
        <f t="shared" si="23"/>
        <v>1837919.7641999999</v>
      </c>
      <c r="J47" s="104">
        <f t="shared" si="23"/>
        <v>106208.87253677985</v>
      </c>
      <c r="L47" s="104">
        <f t="shared" si="22"/>
        <v>106208.9113327798</v>
      </c>
      <c r="M47" s="104">
        <f t="shared" ref="M47:M56" si="24">J47-L47</f>
        <v>-3.8795999949797988E-2</v>
      </c>
    </row>
    <row r="48" spans="2:13" x14ac:dyDescent="0.35">
      <c r="B48" s="97">
        <f t="shared" ref="B48:J48" si="25">B125</f>
        <v>45597</v>
      </c>
      <c r="C48" s="98">
        <f t="shared" si="25"/>
        <v>1728246.8393999999</v>
      </c>
      <c r="D48" s="99">
        <f t="shared" si="25"/>
        <v>35778.400000000001</v>
      </c>
      <c r="E48" s="98">
        <f t="shared" si="25"/>
        <v>157424.96000000002</v>
      </c>
      <c r="F48" s="98">
        <f t="shared" si="25"/>
        <v>1523540.14083006</v>
      </c>
      <c r="G48" s="99">
        <f t="shared" si="25"/>
        <v>401299.14500000002</v>
      </c>
      <c r="H48" s="100">
        <f t="shared" si="25"/>
        <v>1765716</v>
      </c>
      <c r="I48" s="100">
        <f t="shared" si="25"/>
        <v>1712567.9483999999</v>
      </c>
      <c r="J48" s="98">
        <f t="shared" si="25"/>
        <v>189027.80756993988</v>
      </c>
      <c r="L48" s="98">
        <f t="shared" si="22"/>
        <v>189027.84636594006</v>
      </c>
      <c r="M48" s="98">
        <f t="shared" si="24"/>
        <v>-3.8796000182628632E-2</v>
      </c>
    </row>
    <row r="49" spans="2:14" x14ac:dyDescent="0.35">
      <c r="B49" s="101">
        <f t="shared" ref="B49:J49" si="26">B126</f>
        <v>45627</v>
      </c>
      <c r="C49" s="102">
        <f t="shared" si="26"/>
        <v>1846829.7708000001</v>
      </c>
      <c r="D49" s="103">
        <f t="shared" si="26"/>
        <v>38262.5</v>
      </c>
      <c r="E49" s="102">
        <f t="shared" si="26"/>
        <v>168355</v>
      </c>
      <c r="F49" s="102">
        <f t="shared" si="26"/>
        <v>1627952.68019892</v>
      </c>
      <c r="G49" s="103">
        <f t="shared" si="26"/>
        <v>406659.43</v>
      </c>
      <c r="H49" s="102">
        <f t="shared" si="26"/>
        <v>1789301</v>
      </c>
      <c r="I49" s="102">
        <f t="shared" si="26"/>
        <v>1735443.0399</v>
      </c>
      <c r="J49" s="104">
        <f t="shared" si="26"/>
        <v>107490.35970108001</v>
      </c>
      <c r="L49" s="104">
        <f t="shared" si="22"/>
        <v>107490.35970108001</v>
      </c>
      <c r="M49" s="104">
        <f t="shared" si="24"/>
        <v>0</v>
      </c>
    </row>
    <row r="50" spans="2:14" x14ac:dyDescent="0.35">
      <c r="B50" s="97">
        <f t="shared" ref="B50:J50" si="27">B127</f>
        <v>45658</v>
      </c>
      <c r="C50" s="98">
        <f t="shared" si="27"/>
        <v>2115045.5043999995</v>
      </c>
      <c r="D50" s="99">
        <f t="shared" si="27"/>
        <v>43279.7</v>
      </c>
      <c r="E50" s="98">
        <f t="shared" si="27"/>
        <v>190430.68</v>
      </c>
      <c r="F50" s="98">
        <f t="shared" si="27"/>
        <v>1866683.9181855596</v>
      </c>
      <c r="G50" s="99">
        <f t="shared" si="27"/>
        <v>424665.15499999997</v>
      </c>
      <c r="H50" s="100">
        <f t="shared" si="27"/>
        <v>1868527</v>
      </c>
      <c r="I50" s="100">
        <f t="shared" si="27"/>
        <v>1812284.3373</v>
      </c>
      <c r="J50" s="98">
        <f t="shared" si="27"/>
        <v>-54399.580885559553</v>
      </c>
      <c r="L50" s="98">
        <f t="shared" si="22"/>
        <v>-54399.270517559489</v>
      </c>
      <c r="M50" s="98">
        <f t="shared" si="24"/>
        <v>-0.31036800006404519</v>
      </c>
    </row>
    <row r="51" spans="2:14" x14ac:dyDescent="0.35">
      <c r="B51" s="101">
        <f t="shared" ref="B51:J51" si="28">B128</f>
        <v>45689</v>
      </c>
      <c r="C51" s="102">
        <f t="shared" si="28"/>
        <v>1736316.4664</v>
      </c>
      <c r="D51" s="103">
        <f t="shared" si="28"/>
        <v>36385.599999999999</v>
      </c>
      <c r="E51" s="102">
        <f t="shared" si="28"/>
        <v>160096.64000000001</v>
      </c>
      <c r="F51" s="102">
        <f t="shared" si="28"/>
        <v>1528775.60962536</v>
      </c>
      <c r="G51" s="103">
        <f t="shared" si="28"/>
        <v>374138</v>
      </c>
      <c r="H51" s="102">
        <f t="shared" si="28"/>
        <v>1646207</v>
      </c>
      <c r="I51" s="102">
        <f t="shared" si="28"/>
        <v>1596656.1693</v>
      </c>
      <c r="J51" s="104">
        <f t="shared" si="28"/>
        <v>67880.559674639953</v>
      </c>
      <c r="L51" s="104">
        <f t="shared" si="22"/>
        <v>67880.908838639967</v>
      </c>
      <c r="M51" s="104">
        <f t="shared" si="24"/>
        <v>-0.34916400001384318</v>
      </c>
    </row>
    <row r="52" spans="2:14" x14ac:dyDescent="0.35">
      <c r="B52" s="97">
        <f t="shared" ref="B52:J52" si="29">B129</f>
        <v>45717</v>
      </c>
      <c r="C52" s="98">
        <f t="shared" si="29"/>
        <v>1789183.6867999998</v>
      </c>
      <c r="D52" s="99">
        <f t="shared" si="29"/>
        <v>37876.800000000003</v>
      </c>
      <c r="E52" s="98">
        <f t="shared" si="29"/>
        <v>166657.92000000001</v>
      </c>
      <c r="F52" s="98">
        <f t="shared" si="29"/>
        <v>1573687.7412193199</v>
      </c>
      <c r="G52" s="99">
        <f t="shared" si="29"/>
        <v>373030.42000000004</v>
      </c>
      <c r="H52" s="100">
        <f t="shared" si="29"/>
        <v>1641334</v>
      </c>
      <c r="I52" s="100">
        <f t="shared" si="29"/>
        <v>1591929.8466</v>
      </c>
      <c r="J52" s="98">
        <f t="shared" si="29"/>
        <v>18242.105380680179</v>
      </c>
      <c r="L52" s="98">
        <f t="shared" si="22"/>
        <v>18242.182972680312</v>
      </c>
      <c r="M52" s="98">
        <f t="shared" si="24"/>
        <v>-7.759200013242662E-2</v>
      </c>
    </row>
    <row r="53" spans="2:14" x14ac:dyDescent="0.35">
      <c r="B53" s="101">
        <f t="shared" ref="B53:J53" si="30">B130</f>
        <v>45748</v>
      </c>
      <c r="C53" s="102">
        <f t="shared" si="30"/>
        <v>1814438.5977999996</v>
      </c>
      <c r="D53" s="103">
        <f t="shared" si="30"/>
        <v>38207.5</v>
      </c>
      <c r="E53" s="102">
        <f t="shared" si="30"/>
        <v>168113</v>
      </c>
      <c r="F53" s="102">
        <f t="shared" si="30"/>
        <v>1596771.1973062197</v>
      </c>
      <c r="G53" s="103">
        <f t="shared" si="30"/>
        <v>381012.39500000002</v>
      </c>
      <c r="H53" s="102">
        <f t="shared" si="30"/>
        <v>1676455</v>
      </c>
      <c r="I53" s="102">
        <f t="shared" si="30"/>
        <v>1625993.7045</v>
      </c>
      <c r="J53" s="104">
        <f t="shared" si="30"/>
        <v>29222.507193780271</v>
      </c>
      <c r="L53" s="104">
        <f>S130</f>
        <v>313400.63134953426</v>
      </c>
      <c r="M53" s="104">
        <f t="shared" si="24"/>
        <v>-284178.12415575399</v>
      </c>
    </row>
    <row r="54" spans="2:14" x14ac:dyDescent="0.35">
      <c r="B54" s="97">
        <f t="shared" ref="B54:J54" si="31">B131</f>
        <v>45778</v>
      </c>
      <c r="C54" s="98">
        <f t="shared" si="31"/>
        <v>1881359.9605999999</v>
      </c>
      <c r="D54" s="99">
        <f t="shared" si="31"/>
        <v>39542.699999999997</v>
      </c>
      <c r="E54" s="98">
        <f t="shared" si="31"/>
        <v>173987.88</v>
      </c>
      <c r="F54" s="98">
        <f t="shared" si="31"/>
        <v>1655980.1809739401</v>
      </c>
      <c r="G54" s="99">
        <f t="shared" si="31"/>
        <v>395766.63</v>
      </c>
      <c r="H54" s="100">
        <f t="shared" si="31"/>
        <v>1741373</v>
      </c>
      <c r="I54" s="100">
        <f t="shared" si="31"/>
        <v>1688957.6727</v>
      </c>
      <c r="J54" s="98">
        <f t="shared" si="31"/>
        <v>32977.491726059932</v>
      </c>
      <c r="L54" s="98">
        <f t="shared" si="22"/>
        <v>313400.63134953426</v>
      </c>
      <c r="M54" s="98">
        <f t="shared" si="24"/>
        <v>-280423.13962347433</v>
      </c>
    </row>
    <row r="55" spans="2:14" x14ac:dyDescent="0.35">
      <c r="B55" s="101">
        <f t="shared" ref="B55:J55" si="32">B132</f>
        <v>45809</v>
      </c>
      <c r="C55" s="102">
        <f t="shared" si="32"/>
        <v>2022367.8205999997</v>
      </c>
      <c r="D55" s="103">
        <f t="shared" si="32"/>
        <v>41935.9</v>
      </c>
      <c r="E55" s="102">
        <f t="shared" si="32"/>
        <v>184517.96000000002</v>
      </c>
      <c r="F55" s="102">
        <f t="shared" si="32"/>
        <v>1782530.5797959398</v>
      </c>
      <c r="G55" s="103">
        <f t="shared" si="32"/>
        <v>412924.63</v>
      </c>
      <c r="H55" s="102">
        <f t="shared" si="32"/>
        <v>1816868</v>
      </c>
      <c r="I55" s="102">
        <f t="shared" si="32"/>
        <v>1762180.2731999999</v>
      </c>
      <c r="J55" s="104">
        <f t="shared" si="32"/>
        <v>-20350.30659593991</v>
      </c>
      <c r="L55" s="104">
        <f t="shared" si="22"/>
        <v>313400.63134953426</v>
      </c>
      <c r="M55" s="104">
        <f t="shared" si="24"/>
        <v>-333750.93794547417</v>
      </c>
    </row>
    <row r="56" spans="2:14" x14ac:dyDescent="0.35">
      <c r="B56" s="97">
        <f t="shared" ref="B56:J57" si="33">B133</f>
        <v>45839</v>
      </c>
      <c r="C56" s="98">
        <f t="shared" si="33"/>
        <v>2045453.6476</v>
      </c>
      <c r="D56" s="99">
        <f t="shared" si="33"/>
        <v>42362.6</v>
      </c>
      <c r="E56" s="98">
        <f t="shared" si="33"/>
        <v>186395.44</v>
      </c>
      <c r="F56" s="98">
        <f t="shared" si="33"/>
        <v>1803100.55555124</v>
      </c>
      <c r="G56" s="99">
        <f t="shared" si="33"/>
        <v>427530</v>
      </c>
      <c r="H56" s="100">
        <f t="shared" si="33"/>
        <v>1881132</v>
      </c>
      <c r="I56" s="100">
        <f t="shared" si="33"/>
        <v>1824509.9268</v>
      </c>
      <c r="J56" s="98">
        <f t="shared" si="33"/>
        <v>21409.371248760028</v>
      </c>
      <c r="L56" s="98">
        <f t="shared" si="22"/>
        <v>313400.63134953426</v>
      </c>
      <c r="M56" s="98">
        <f t="shared" si="24"/>
        <v>-291991.26010077423</v>
      </c>
    </row>
    <row r="57" spans="2:14" x14ac:dyDescent="0.35">
      <c r="B57" s="101">
        <f t="shared" si="33"/>
        <v>45870</v>
      </c>
      <c r="C57" s="102">
        <f t="shared" si="33"/>
        <v>2190385.3583999998</v>
      </c>
      <c r="D57" s="103">
        <f t="shared" si="33"/>
        <v>44977.1</v>
      </c>
      <c r="E57" s="102">
        <f t="shared" si="33"/>
        <v>197899.24000000002</v>
      </c>
      <c r="F57" s="102">
        <f t="shared" si="33"/>
        <v>1932512.2862361597</v>
      </c>
      <c r="G57" s="103">
        <f t="shared" si="33"/>
        <v>443338.47499999998</v>
      </c>
      <c r="H57" s="102">
        <f t="shared" si="33"/>
        <v>1950689</v>
      </c>
      <c r="I57" s="102">
        <f t="shared" si="33"/>
        <v>1891973.2611</v>
      </c>
      <c r="J57" s="104">
        <f t="shared" si="33"/>
        <v>-40539.025136159733</v>
      </c>
      <c r="L57" s="104">
        <f t="shared" ref="L57" si="34">S134</f>
        <v>313400.63134953426</v>
      </c>
      <c r="M57" s="104">
        <f t="shared" ref="M57" si="35">J57-L57</f>
        <v>-353939.65648569399</v>
      </c>
    </row>
    <row r="58" spans="2:14" ht="5.15" customHeight="1" x14ac:dyDescent="0.35"/>
    <row r="59" spans="2:14" x14ac:dyDescent="0.35">
      <c r="B59" s="105" t="s">
        <v>131</v>
      </c>
      <c r="C59" s="133">
        <f>SUM(C46:C57)</f>
        <v>22981468.591799997</v>
      </c>
      <c r="D59" s="132">
        <f t="shared" ref="D59:I59" si="36">SUM(D46:D57)</f>
        <v>481534.5</v>
      </c>
      <c r="E59" s="133">
        <f t="shared" si="36"/>
        <v>2118751.8000000003</v>
      </c>
      <c r="F59" s="133">
        <f t="shared" si="36"/>
        <v>20234749.016366817</v>
      </c>
      <c r="G59" s="99">
        <f t="shared" si="36"/>
        <v>4932056.1199999992</v>
      </c>
      <c r="H59" s="100">
        <f t="shared" si="36"/>
        <v>21701046</v>
      </c>
      <c r="I59" s="100">
        <f t="shared" si="36"/>
        <v>21047844.515400004</v>
      </c>
      <c r="J59" s="98">
        <f>SUM(J45:J57)</f>
        <v>-5900110.3884898415</v>
      </c>
      <c r="L59" s="98">
        <f>SUM(L45:L57)</f>
        <v>-4355826.5718506742</v>
      </c>
      <c r="M59" s="98">
        <f>SUM(M46:M57)</f>
        <v>-1544283.816639171</v>
      </c>
    </row>
    <row r="60" spans="2:14" x14ac:dyDescent="0.35">
      <c r="F60" s="106"/>
      <c r="G60" s="56"/>
    </row>
    <row r="61" spans="2:14" x14ac:dyDescent="0.35">
      <c r="I61" s="134" t="s">
        <v>205</v>
      </c>
      <c r="J61" s="135">
        <f>J59</f>
        <v>-5900110.3884898415</v>
      </c>
      <c r="L61" s="136">
        <f>L59</f>
        <v>-4355826.5718506742</v>
      </c>
      <c r="M61" s="137">
        <f>J61-L61</f>
        <v>-1544283.8166391673</v>
      </c>
      <c r="N61" s="52" t="s">
        <v>209</v>
      </c>
    </row>
    <row r="62" spans="2:14" x14ac:dyDescent="0.35">
      <c r="B62" s="1" t="s">
        <v>192</v>
      </c>
      <c r="N62" s="1" t="s">
        <v>210</v>
      </c>
    </row>
    <row r="63" spans="2:14" x14ac:dyDescent="0.35">
      <c r="B63" s="305" t="str">
        <f>"(1) - TAP Actual Discounts reflects sewer's "&amp;FIXED('Assumptions and Inputs'!$C$49*100, 1, 0)&amp;"% allocated portion of the Total TAP Discount."</f>
        <v>(1) - TAP Actual Discounts reflects sewer's 58.0% allocated portion of the Total TAP Discount.</v>
      </c>
    </row>
    <row r="64" spans="2:14" x14ac:dyDescent="0.35">
      <c r="B64" s="305" t="s">
        <v>309</v>
      </c>
    </row>
    <row r="65" spans="1:22" x14ac:dyDescent="0.35">
      <c r="B65" s="305" t="str">
        <f>"(3) &amp; (6) - Sewer TAP-R Rates per PWD Regulations - Rates and Charges Effective "&amp;TEXT('Assumptions and Inputs'!F29,)&amp;" "&amp;TEXT('Assumptions and Inputs'!G29,)&amp;"."</f>
        <v>(3) &amp; (6) - Sewer TAP-R Rates per PWD Regulations - Rates and Charges Effective PWD Regulations - Rates and Charges Effective September 1, 2024 Section 10.3(b)(1).</v>
      </c>
    </row>
    <row r="66" spans="1:22" x14ac:dyDescent="0.35">
      <c r="B66" s="305" t="str">
        <f>"(4) &amp; (7) - Adjusted for system-wide collection factor in accordance with  "&amp;'Assumptions and Inputs'!F45&amp;" "&amp;'Assumptions and Inputs'!G45&amp;"."</f>
        <v>(4) &amp; (7) - Adjusted for system-wide collection factor in accordance with  PWD Regulations - Rates and Charges Effective September 1, 2024 Section 10.1(b)(3).</v>
      </c>
    </row>
    <row r="67" spans="1:22" x14ac:dyDescent="0.35">
      <c r="B67" s="305" t="str">
        <f>"(5) - Updated to reflect actual billed water sales volumes for April 2025 through August 2025."</f>
        <v>(5) - Updated to reflect actual billed water sales volumes for April 2025 through August 2025.</v>
      </c>
    </row>
    <row r="68" spans="1:22" x14ac:dyDescent="0.35">
      <c r="B68" s="306" t="s">
        <v>207</v>
      </c>
    </row>
    <row r="69" spans="1:22" x14ac:dyDescent="0.35">
      <c r="B69" s="306" t="str">
        <f>"(9) - Over/(Under) Collection for "&amp;TEXT(B46,"MMMM YYYY")&amp;" to "&amp;TEXT(B57,"MMMM YYYY")&amp;" as calculated during the prior TAP-R Reconciliation Determination."</f>
        <v>(9) - Over/(Under) Collection for September 2024 to August 2025 as calculated during the prior TAP-R Reconciliation Determination.</v>
      </c>
    </row>
    <row r="70" spans="1:22" x14ac:dyDescent="0.35">
      <c r="B70" s="306" t="s">
        <v>208</v>
      </c>
    </row>
    <row r="71" spans="1:22" x14ac:dyDescent="0.35">
      <c r="B71" s="139"/>
    </row>
    <row r="72" spans="1:22" x14ac:dyDescent="0.35">
      <c r="A72" s="141" t="s">
        <v>211</v>
      </c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</row>
    <row r="73" spans="1:22" x14ac:dyDescent="0.35"/>
    <row r="74" spans="1:22" x14ac:dyDescent="0.35">
      <c r="B74" s="62" t="s">
        <v>30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</row>
    <row r="75" spans="1:22" ht="15" thickBot="1" x14ac:dyDescent="0.4">
      <c r="B75" s="62" t="s">
        <v>212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</row>
    <row r="76" spans="1:22" ht="15" thickBot="1" x14ac:dyDescent="0.4">
      <c r="C76" s="125" t="s">
        <v>213</v>
      </c>
      <c r="D76" s="126"/>
      <c r="E76" s="126"/>
      <c r="F76" s="126"/>
      <c r="G76" s="126"/>
      <c r="H76" s="126"/>
      <c r="I76" s="126"/>
      <c r="J76" s="127"/>
      <c r="L76" s="144" t="s">
        <v>214</v>
      </c>
      <c r="M76" s="145"/>
      <c r="N76" s="145"/>
      <c r="O76" s="145"/>
      <c r="P76" s="145"/>
      <c r="Q76" s="145"/>
      <c r="R76" s="145"/>
      <c r="S76" s="146"/>
      <c r="U76" s="129" t="s">
        <v>202</v>
      </c>
    </row>
    <row r="77" spans="1:22" x14ac:dyDescent="0.35">
      <c r="B77" s="83" t="s">
        <v>167</v>
      </c>
      <c r="C77" s="84" t="s">
        <v>168</v>
      </c>
      <c r="D77" s="84" t="s">
        <v>169</v>
      </c>
      <c r="E77" s="84" t="s">
        <v>170</v>
      </c>
      <c r="F77" s="84" t="s">
        <v>171</v>
      </c>
      <c r="G77" s="84" t="s">
        <v>172</v>
      </c>
      <c r="H77" s="84" t="s">
        <v>173</v>
      </c>
      <c r="I77" s="84" t="s">
        <v>174</v>
      </c>
      <c r="J77" s="84" t="s">
        <v>175</v>
      </c>
      <c r="L77" s="83" t="s">
        <v>168</v>
      </c>
      <c r="M77" s="83" t="s">
        <v>169</v>
      </c>
      <c r="N77" s="83" t="s">
        <v>170</v>
      </c>
      <c r="O77" s="83" t="s">
        <v>171</v>
      </c>
      <c r="P77" s="83" t="s">
        <v>172</v>
      </c>
      <c r="Q77" s="83" t="s">
        <v>173</v>
      </c>
      <c r="R77" s="83" t="s">
        <v>174</v>
      </c>
      <c r="S77" s="84" t="s">
        <v>175</v>
      </c>
      <c r="U77" s="84" t="s">
        <v>215</v>
      </c>
    </row>
    <row r="78" spans="1:22" x14ac:dyDescent="0.35">
      <c r="B78" s="84" t="s">
        <v>164</v>
      </c>
      <c r="C78" s="84" t="s">
        <v>176</v>
      </c>
      <c r="D78" s="84" t="s">
        <v>177</v>
      </c>
      <c r="E78" s="84" t="s">
        <v>178</v>
      </c>
      <c r="F78" s="84" t="s">
        <v>176</v>
      </c>
      <c r="G78" s="84" t="s">
        <v>177</v>
      </c>
      <c r="H78" s="84" t="s">
        <v>179</v>
      </c>
      <c r="I78" s="84" t="s">
        <v>180</v>
      </c>
      <c r="J78" s="84" t="s">
        <v>181</v>
      </c>
      <c r="L78" s="84" t="s">
        <v>176</v>
      </c>
      <c r="M78" s="84" t="s">
        <v>177</v>
      </c>
      <c r="N78" s="84" t="s">
        <v>178</v>
      </c>
      <c r="O78" s="84" t="s">
        <v>176</v>
      </c>
      <c r="P78" s="84" t="s">
        <v>177</v>
      </c>
      <c r="Q78" s="84" t="s">
        <v>179</v>
      </c>
      <c r="R78" s="84" t="s">
        <v>180</v>
      </c>
      <c r="S78" s="84" t="s">
        <v>181</v>
      </c>
      <c r="U78" s="84" t="s">
        <v>216</v>
      </c>
    </row>
    <row r="79" spans="1:22" x14ac:dyDescent="0.35">
      <c r="B79" s="84"/>
      <c r="C79" s="84" t="s">
        <v>182</v>
      </c>
      <c r="D79" s="84" t="s">
        <v>183</v>
      </c>
      <c r="E79" s="84" t="s">
        <v>184</v>
      </c>
      <c r="F79" s="84" t="s">
        <v>182</v>
      </c>
      <c r="G79" s="84" t="s">
        <v>183</v>
      </c>
      <c r="H79" s="84"/>
      <c r="I79" s="84" t="s">
        <v>185</v>
      </c>
      <c r="J79" s="84"/>
      <c r="L79" s="84" t="s">
        <v>182</v>
      </c>
      <c r="M79" s="84" t="s">
        <v>183</v>
      </c>
      <c r="N79" s="84" t="s">
        <v>184</v>
      </c>
      <c r="O79" s="84" t="s">
        <v>182</v>
      </c>
      <c r="P79" s="84" t="s">
        <v>183</v>
      </c>
      <c r="Q79" s="84"/>
      <c r="R79" s="84" t="s">
        <v>185</v>
      </c>
      <c r="S79" s="84"/>
      <c r="U79" s="84"/>
    </row>
    <row r="80" spans="1:22" x14ac:dyDescent="0.35">
      <c r="B80" s="84"/>
      <c r="C80" s="85"/>
      <c r="D80" s="85"/>
      <c r="E80" s="86">
        <f>'Assumptions and Inputs'!$C$27</f>
        <v>3.08</v>
      </c>
      <c r="F80" s="87">
        <f>'Assumptions and Inputs'!$C$45</f>
        <v>0.96989999999999998</v>
      </c>
      <c r="G80" s="85"/>
      <c r="H80" s="86">
        <f>'Assumptions and Inputs'!$C$27</f>
        <v>3.08</v>
      </c>
      <c r="I80" s="87">
        <f>'Assumptions and Inputs'!$C$45</f>
        <v>0.96989999999999998</v>
      </c>
      <c r="J80" s="88"/>
      <c r="L80" s="85"/>
      <c r="M80" s="85"/>
      <c r="N80" s="86">
        <v>3.08</v>
      </c>
      <c r="O80" s="87">
        <v>0.96989999999999998</v>
      </c>
      <c r="P80" s="85"/>
      <c r="Q80" s="86">
        <v>3.08</v>
      </c>
      <c r="R80" s="87">
        <v>0.96989999999999998</v>
      </c>
      <c r="S80" s="88"/>
      <c r="U80" s="88"/>
    </row>
    <row r="81" spans="1:25" x14ac:dyDescent="0.35">
      <c r="B81" s="89"/>
      <c r="C81" s="90" t="s">
        <v>139</v>
      </c>
      <c r="D81" s="90" t="s">
        <v>141</v>
      </c>
      <c r="E81" s="90" t="str">
        <f>"(3) = (2) * $ "&amp;FIXED(E80,3,)&amp;"/Mcf"</f>
        <v>(3) = (2) * $ 3.080/Mcf</v>
      </c>
      <c r="F81" s="90" t="str">
        <f>"(4) = [(1) - (3)]* "&amp;FIXED(F80,4,)&amp;""</f>
        <v>(4) = [(1) - (3)]* 0.9699</v>
      </c>
      <c r="G81" s="90" t="s">
        <v>147</v>
      </c>
      <c r="H81" s="90" t="str">
        <f>"(6) = (5) * $ "&amp;FIXED(H80,3,)&amp;"/Mcf"</f>
        <v>(6) = (5) * $ 3.080/Mcf</v>
      </c>
      <c r="I81" s="91" t="str">
        <f>"(7) = (6) * "&amp;FIXED(F80,4,)&amp;""</f>
        <v>(7) = (6) * 0.9699</v>
      </c>
      <c r="J81" s="90" t="s">
        <v>186</v>
      </c>
      <c r="L81" s="90" t="s">
        <v>203</v>
      </c>
      <c r="M81" s="90" t="s">
        <v>310</v>
      </c>
      <c r="N81" s="90" t="s">
        <v>311</v>
      </c>
      <c r="O81" s="90" t="s">
        <v>312</v>
      </c>
      <c r="P81" s="90" t="s">
        <v>313</v>
      </c>
      <c r="Q81" s="90" t="s">
        <v>314</v>
      </c>
      <c r="R81" s="91" t="s">
        <v>315</v>
      </c>
      <c r="S81" s="90" t="s">
        <v>316</v>
      </c>
      <c r="U81" s="90" t="s">
        <v>217</v>
      </c>
    </row>
    <row r="82" spans="1:25" x14ac:dyDescent="0.35">
      <c r="B82" s="92"/>
      <c r="C82" s="93"/>
      <c r="D82" s="93"/>
      <c r="E82" s="93"/>
      <c r="F82" s="93"/>
      <c r="G82" s="93"/>
      <c r="H82" s="93"/>
      <c r="I82" s="94" t="s">
        <v>187</v>
      </c>
      <c r="J82" s="95">
        <v>-5189621.9748253832</v>
      </c>
      <c r="L82" s="93"/>
      <c r="M82" s="93"/>
      <c r="N82" s="93"/>
      <c r="O82" s="93"/>
      <c r="P82" s="93"/>
      <c r="Q82" s="93"/>
      <c r="R82" s="94" t="s">
        <v>187</v>
      </c>
      <c r="S82" s="95">
        <v>-5189621.9748253832</v>
      </c>
      <c r="U82" s="93"/>
      <c r="Y82" s="81"/>
    </row>
    <row r="83" spans="1:25" x14ac:dyDescent="0.35">
      <c r="A83" s="147">
        <v>1</v>
      </c>
      <c r="B83" s="97">
        <v>45536</v>
      </c>
      <c r="C83" s="98">
        <f>Customer!D$11*'Assumptions and Inputs'!$C$47</f>
        <v>1337049.6888000001</v>
      </c>
      <c r="D83" s="99">
        <f>Customer!D$35/'Assumptions and Inputs'!$C$21</f>
        <v>42054.400000000001</v>
      </c>
      <c r="E83" s="133">
        <f t="shared" ref="E83:E93" si="37">ROUND($E$80*D83, 0)</f>
        <v>129528</v>
      </c>
      <c r="F83" s="98">
        <f>(C83-E83)*$F$80</f>
        <v>1171175.2859671202</v>
      </c>
      <c r="G83" s="99">
        <f>Customer!D$40/'Assumptions and Inputs'!$C$21</f>
        <v>490921.995</v>
      </c>
      <c r="H83" s="133">
        <f>$H$80*G83</f>
        <v>1512039.7446000001</v>
      </c>
      <c r="I83" s="133">
        <f>H83*$I$80</f>
        <v>1466527.34828754</v>
      </c>
      <c r="J83" s="98">
        <f>I83-F83</f>
        <v>295352.06232041982</v>
      </c>
      <c r="L83" s="148">
        <v>1337049.6888000001</v>
      </c>
      <c r="M83" s="149">
        <v>42054.400000000001</v>
      </c>
      <c r="N83" s="150">
        <v>129528</v>
      </c>
      <c r="O83" s="148">
        <v>1171175.2859671202</v>
      </c>
      <c r="P83" s="149">
        <v>490921.995</v>
      </c>
      <c r="Q83" s="150">
        <v>1512040</v>
      </c>
      <c r="R83" s="150">
        <v>1466527.5959999999</v>
      </c>
      <c r="S83" s="148">
        <v>295352.3100328797</v>
      </c>
      <c r="U83" s="98">
        <f t="shared" ref="U83:U94" si="38">J83-S83</f>
        <v>-0.24771245988085866</v>
      </c>
    </row>
    <row r="84" spans="1:25" x14ac:dyDescent="0.35">
      <c r="A84" s="147">
        <v>2</v>
      </c>
      <c r="B84" s="101">
        <v>45566</v>
      </c>
      <c r="C84" s="102">
        <f>Customer!E$11*'Assumptions and Inputs'!$C$47</f>
        <v>1423248.9221999999</v>
      </c>
      <c r="D84" s="103">
        <f>Customer!E$35/'Assumptions and Inputs'!$C$21</f>
        <v>40943.5</v>
      </c>
      <c r="E84" s="109">
        <f t="shared" si="37"/>
        <v>126106</v>
      </c>
      <c r="F84" s="109">
        <f t="shared" ref="F84:F93" si="39">(C84-E84)*$F$80</f>
        <v>1258098.9202417799</v>
      </c>
      <c r="G84" s="103">
        <f>Customer!E$40/'Assumptions and Inputs'!$C$21</f>
        <v>458132.77999999997</v>
      </c>
      <c r="H84" s="109">
        <f t="shared" ref="H84:H92" si="40">$H$80*G84</f>
        <v>1411048.9623999998</v>
      </c>
      <c r="I84" s="109">
        <f t="shared" ref="I84:I93" si="41">H84*$I$80</f>
        <v>1368576.3886317599</v>
      </c>
      <c r="J84" s="104">
        <f t="shared" ref="J84:J93" si="42">I84-F84</f>
        <v>110477.46838998003</v>
      </c>
      <c r="L84" s="151">
        <v>1423248.9221999999</v>
      </c>
      <c r="M84" s="152">
        <v>40943.5</v>
      </c>
      <c r="N84" s="151">
        <v>126106</v>
      </c>
      <c r="O84" s="151">
        <v>1258098.9202417799</v>
      </c>
      <c r="P84" s="152">
        <v>458132.77999999997</v>
      </c>
      <c r="Q84" s="151">
        <v>1411049</v>
      </c>
      <c r="R84" s="151">
        <v>1368576.4250999999</v>
      </c>
      <c r="S84" s="153">
        <v>110477.50485822</v>
      </c>
      <c r="U84" s="104">
        <f t="shared" si="38"/>
        <v>-3.6468239966779947E-2</v>
      </c>
    </row>
    <row r="85" spans="1:25" x14ac:dyDescent="0.35">
      <c r="A85" s="147">
        <v>3</v>
      </c>
      <c r="B85" s="97">
        <v>45597</v>
      </c>
      <c r="C85" s="98">
        <f>Customer!F$11*'Assumptions and Inputs'!$C$47</f>
        <v>1251489.0906</v>
      </c>
      <c r="D85" s="99">
        <f>Customer!F$35/'Assumptions and Inputs'!$C$21</f>
        <v>35812.5</v>
      </c>
      <c r="E85" s="98">
        <f t="shared" si="37"/>
        <v>110303</v>
      </c>
      <c r="F85" s="98">
        <f t="shared" si="39"/>
        <v>1106836.3892729399</v>
      </c>
      <c r="G85" s="99">
        <f>Customer!F$40/'Assumptions and Inputs'!$C$21</f>
        <v>424733.95499999996</v>
      </c>
      <c r="H85" s="100">
        <f t="shared" si="40"/>
        <v>1308180.5813999998</v>
      </c>
      <c r="I85" s="100">
        <f t="shared" si="41"/>
        <v>1268804.3458998597</v>
      </c>
      <c r="J85" s="98">
        <f t="shared" si="42"/>
        <v>161967.9566269198</v>
      </c>
      <c r="L85" s="148">
        <v>1251489.0906</v>
      </c>
      <c r="M85" s="154">
        <v>35812.5</v>
      </c>
      <c r="N85" s="148">
        <v>110303</v>
      </c>
      <c r="O85" s="148">
        <v>1106836.3892729399</v>
      </c>
      <c r="P85" s="154">
        <v>424733.95499999996</v>
      </c>
      <c r="Q85" s="155">
        <v>1308181</v>
      </c>
      <c r="R85" s="155">
        <v>1268804.7519</v>
      </c>
      <c r="S85" s="148">
        <v>161968.36262706015</v>
      </c>
      <c r="U85" s="98">
        <f t="shared" si="38"/>
        <v>-0.40600014035589993</v>
      </c>
    </row>
    <row r="86" spans="1:25" x14ac:dyDescent="0.35">
      <c r="A86" s="147">
        <v>4</v>
      </c>
      <c r="B86" s="101">
        <v>45627</v>
      </c>
      <c r="C86" s="102">
        <f>Customer!G$11*'Assumptions and Inputs'!$C$47</f>
        <v>1337359.4892</v>
      </c>
      <c r="D86" s="103">
        <f>Customer!G$35/'Assumptions and Inputs'!$C$21</f>
        <v>38296</v>
      </c>
      <c r="E86" s="102">
        <f t="shared" si="37"/>
        <v>117952</v>
      </c>
      <c r="F86" s="102">
        <f t="shared" si="39"/>
        <v>1182703.32377508</v>
      </c>
      <c r="G86" s="103">
        <f>Customer!G$40/'Assumptions and Inputs'!$C$21</f>
        <v>428037.62</v>
      </c>
      <c r="H86" s="102">
        <f t="shared" si="40"/>
        <v>1318355.8696000001</v>
      </c>
      <c r="I86" s="102">
        <f t="shared" si="41"/>
        <v>1278673.3579250402</v>
      </c>
      <c r="J86" s="104">
        <f t="shared" si="42"/>
        <v>95970.034149960149</v>
      </c>
      <c r="L86" s="156">
        <v>1337359.4892</v>
      </c>
      <c r="M86" s="157">
        <v>38296</v>
      </c>
      <c r="N86" s="156">
        <v>117952</v>
      </c>
      <c r="O86" s="156">
        <v>1182703.32377508</v>
      </c>
      <c r="P86" s="157">
        <v>428037.62</v>
      </c>
      <c r="Q86" s="156">
        <v>1318356</v>
      </c>
      <c r="R86" s="156">
        <v>1278673.4844</v>
      </c>
      <c r="S86" s="153">
        <v>95970.160624919925</v>
      </c>
      <c r="U86" s="104">
        <f t="shared" si="38"/>
        <v>-0.12647495977580547</v>
      </c>
    </row>
    <row r="87" spans="1:25" x14ac:dyDescent="0.35">
      <c r="A87" s="147">
        <v>5</v>
      </c>
      <c r="B87" s="97">
        <v>45658</v>
      </c>
      <c r="C87" s="98">
        <f>Customer!H$11*'Assumptions and Inputs'!$C$47</f>
        <v>1531584.6755999997</v>
      </c>
      <c r="D87" s="99">
        <f>Customer!H$35/'Assumptions and Inputs'!$C$21</f>
        <v>43310.400000000001</v>
      </c>
      <c r="E87" s="98">
        <f t="shared" si="37"/>
        <v>133396</v>
      </c>
      <c r="F87" s="98">
        <f t="shared" si="39"/>
        <v>1356103.1964644396</v>
      </c>
      <c r="G87" s="99">
        <f>Customer!H$40/'Assumptions and Inputs'!$C$21</f>
        <v>446981.625</v>
      </c>
      <c r="H87" s="100">
        <f t="shared" si="40"/>
        <v>1376703.405</v>
      </c>
      <c r="I87" s="100">
        <f t="shared" si="41"/>
        <v>1335264.6325095</v>
      </c>
      <c r="J87" s="98">
        <f t="shared" si="42"/>
        <v>-20838.5639549396</v>
      </c>
      <c r="L87" s="148">
        <v>1531584.6755999997</v>
      </c>
      <c r="M87" s="154">
        <v>43310.400000000001</v>
      </c>
      <c r="N87" s="148">
        <v>133396</v>
      </c>
      <c r="O87" s="148">
        <v>1356103.1964644396</v>
      </c>
      <c r="P87" s="154">
        <v>446981.625</v>
      </c>
      <c r="Q87" s="155">
        <v>1376703</v>
      </c>
      <c r="R87" s="155">
        <v>1335264.2397</v>
      </c>
      <c r="S87" s="148">
        <v>-20838.956764439587</v>
      </c>
      <c r="U87" s="98">
        <f t="shared" si="38"/>
        <v>0.39280949998646975</v>
      </c>
    </row>
    <row r="88" spans="1:25" x14ac:dyDescent="0.35">
      <c r="A88" s="147">
        <v>6</v>
      </c>
      <c r="B88" s="101">
        <v>45689</v>
      </c>
      <c r="C88" s="102">
        <f>Customer!I$11*'Assumptions and Inputs'!$C$47</f>
        <v>1257332.6136</v>
      </c>
      <c r="D88" s="103">
        <f>Customer!I$35/'Assumptions and Inputs'!$C$21</f>
        <v>36414.1</v>
      </c>
      <c r="E88" s="102">
        <f t="shared" si="37"/>
        <v>112155</v>
      </c>
      <c r="F88" s="102">
        <f t="shared" si="39"/>
        <v>1110707.7674306401</v>
      </c>
      <c r="G88" s="103">
        <f>Customer!I$40/'Assumptions and Inputs'!$C$21</f>
        <v>389903.54</v>
      </c>
      <c r="H88" s="102">
        <f t="shared" si="40"/>
        <v>1200902.9032000001</v>
      </c>
      <c r="I88" s="102">
        <f t="shared" si="41"/>
        <v>1164755.7258136801</v>
      </c>
      <c r="J88" s="104">
        <f t="shared" si="42"/>
        <v>54047.958383040037</v>
      </c>
      <c r="L88" s="156">
        <v>1257332.6136</v>
      </c>
      <c r="M88" s="157">
        <v>36414.1</v>
      </c>
      <c r="N88" s="156">
        <v>112155</v>
      </c>
      <c r="O88" s="156">
        <v>1110707.7674306401</v>
      </c>
      <c r="P88" s="157">
        <v>389903.54</v>
      </c>
      <c r="Q88" s="156">
        <v>1200903</v>
      </c>
      <c r="R88" s="156">
        <v>1164755.8196999999</v>
      </c>
      <c r="S88" s="153">
        <v>54048.052269359818</v>
      </c>
      <c r="U88" s="104">
        <f t="shared" si="38"/>
        <v>-9.388631978072226E-2</v>
      </c>
    </row>
    <row r="89" spans="1:25" x14ac:dyDescent="0.35">
      <c r="A89" s="147">
        <v>7</v>
      </c>
      <c r="B89" s="97">
        <v>45717</v>
      </c>
      <c r="C89" s="98">
        <f>Customer!J$11*'Assumptions and Inputs'!$C$47</f>
        <v>1295615.7731999999</v>
      </c>
      <c r="D89" s="99">
        <f>Customer!J$35/'Assumptions and Inputs'!$C$21</f>
        <v>37905.699999999997</v>
      </c>
      <c r="E89" s="98">
        <f t="shared" si="37"/>
        <v>116750</v>
      </c>
      <c r="F89" s="98">
        <f t="shared" si="39"/>
        <v>1143381.91342668</v>
      </c>
      <c r="G89" s="99">
        <f>Customer!J$40/'Assumptions and Inputs'!$C$21</f>
        <v>394954.18</v>
      </c>
      <c r="H89" s="100">
        <f t="shared" si="40"/>
        <v>1216458.8744000001</v>
      </c>
      <c r="I89" s="100">
        <f t="shared" si="41"/>
        <v>1179843.4622805601</v>
      </c>
      <c r="J89" s="98">
        <f t="shared" si="42"/>
        <v>36461.548853880027</v>
      </c>
      <c r="L89" s="148">
        <v>1295615.7731999999</v>
      </c>
      <c r="M89" s="154">
        <v>37905.699999999997</v>
      </c>
      <c r="N89" s="148">
        <v>116750</v>
      </c>
      <c r="O89" s="148">
        <v>1143381.91342668</v>
      </c>
      <c r="P89" s="154">
        <v>394954.18</v>
      </c>
      <c r="Q89" s="155">
        <v>1216459</v>
      </c>
      <c r="R89" s="155">
        <v>1179843.5841000001</v>
      </c>
      <c r="S89" s="148">
        <v>36461.67067332007</v>
      </c>
      <c r="U89" s="98">
        <f t="shared" si="38"/>
        <v>-0.12181944004260004</v>
      </c>
    </row>
    <row r="90" spans="1:25" x14ac:dyDescent="0.35">
      <c r="A90" s="147">
        <v>8</v>
      </c>
      <c r="B90" s="101">
        <v>45748</v>
      </c>
      <c r="C90" s="102">
        <f>Customer!K$11*'Assumptions and Inputs'!$C$47</f>
        <v>1313903.8121999998</v>
      </c>
      <c r="D90" s="103">
        <f>Customer!K$35/'Assumptions and Inputs'!$C$21</f>
        <v>38235.300000000003</v>
      </c>
      <c r="E90" s="102">
        <f t="shared" si="37"/>
        <v>117765</v>
      </c>
      <c r="F90" s="102">
        <f t="shared" si="39"/>
        <v>1160135.0339527798</v>
      </c>
      <c r="G90" s="103">
        <f>Customer!K$40/'Assumptions and Inputs'!$C$21</f>
        <v>399841.21499999997</v>
      </c>
      <c r="H90" s="102">
        <f t="shared" si="40"/>
        <v>1231510.9421999999</v>
      </c>
      <c r="I90" s="102">
        <f t="shared" si="41"/>
        <v>1194442.4628397799</v>
      </c>
      <c r="J90" s="104">
        <f t="shared" si="42"/>
        <v>34307.428887000075</v>
      </c>
      <c r="L90" s="156">
        <v>1208752.9422499931</v>
      </c>
      <c r="M90" s="157">
        <v>38067.066666666455</v>
      </c>
      <c r="N90" s="156">
        <v>117247</v>
      </c>
      <c r="O90" s="156">
        <v>1058651.6133882683</v>
      </c>
      <c r="P90" s="157">
        <v>439535.74000000005</v>
      </c>
      <c r="Q90" s="156">
        <v>1353770</v>
      </c>
      <c r="R90" s="156">
        <v>1313021.523</v>
      </c>
      <c r="S90" s="153">
        <v>254369.90961173177</v>
      </c>
      <c r="U90" s="104">
        <f t="shared" si="38"/>
        <v>-220062.48072473169</v>
      </c>
    </row>
    <row r="91" spans="1:25" x14ac:dyDescent="0.35">
      <c r="A91" s="147">
        <v>9</v>
      </c>
      <c r="B91" s="97">
        <v>45778</v>
      </c>
      <c r="C91" s="98">
        <f>Customer!L$11*'Assumptions and Inputs'!$C$47</f>
        <v>1362364.1094</v>
      </c>
      <c r="D91" s="99">
        <f>Customer!L$35/'Assumptions and Inputs'!$C$21</f>
        <v>39575.800000000003</v>
      </c>
      <c r="E91" s="98">
        <f t="shared" si="37"/>
        <v>121893</v>
      </c>
      <c r="F91" s="98">
        <f t="shared" si="39"/>
        <v>1203132.9290070599</v>
      </c>
      <c r="G91" s="99">
        <f>Customer!L$40/'Assumptions and Inputs'!$C$21</f>
        <v>419823.69000000006</v>
      </c>
      <c r="H91" s="100">
        <f t="shared" si="40"/>
        <v>1293056.9652000002</v>
      </c>
      <c r="I91" s="100">
        <f t="shared" si="41"/>
        <v>1254135.9505474803</v>
      </c>
      <c r="J91" s="98">
        <f t="shared" si="42"/>
        <v>51003.021540420363</v>
      </c>
      <c r="L91" s="148">
        <v>1208752.9422499931</v>
      </c>
      <c r="M91" s="154">
        <v>38067.066666666455</v>
      </c>
      <c r="N91" s="148">
        <v>117247</v>
      </c>
      <c r="O91" s="148">
        <v>1058651.6133882683</v>
      </c>
      <c r="P91" s="154">
        <v>439535.74000000005</v>
      </c>
      <c r="Q91" s="155">
        <v>1353770</v>
      </c>
      <c r="R91" s="155">
        <v>1313021.523</v>
      </c>
      <c r="S91" s="148">
        <v>254369.90961173177</v>
      </c>
      <c r="U91" s="98">
        <f t="shared" si="38"/>
        <v>-203366.8880713114</v>
      </c>
    </row>
    <row r="92" spans="1:25" x14ac:dyDescent="0.35">
      <c r="A92" s="147">
        <v>10</v>
      </c>
      <c r="B92" s="101">
        <v>45809</v>
      </c>
      <c r="C92" s="102">
        <f>Customer!M$11*'Assumptions and Inputs'!$C$47</f>
        <v>1464473.2493999999</v>
      </c>
      <c r="D92" s="103">
        <f>Customer!M$35/'Assumptions and Inputs'!$C$21</f>
        <v>41969.599999999999</v>
      </c>
      <c r="E92" s="102">
        <f t="shared" si="37"/>
        <v>129266</v>
      </c>
      <c r="F92" s="102">
        <f t="shared" si="39"/>
        <v>1295017.5111930599</v>
      </c>
      <c r="G92" s="103">
        <f>Customer!M$40/'Assumptions and Inputs'!$C$21</f>
        <v>437385.55</v>
      </c>
      <c r="H92" s="102">
        <f t="shared" si="40"/>
        <v>1347147.4939999999</v>
      </c>
      <c r="I92" s="102">
        <f t="shared" si="41"/>
        <v>1306598.3544305998</v>
      </c>
      <c r="J92" s="104">
        <f t="shared" si="42"/>
        <v>11580.843237539986</v>
      </c>
      <c r="L92" s="156">
        <v>1208752.9422499931</v>
      </c>
      <c r="M92" s="157">
        <v>38067.066666666455</v>
      </c>
      <c r="N92" s="156">
        <v>117247</v>
      </c>
      <c r="O92" s="156">
        <v>1058651.6133882683</v>
      </c>
      <c r="P92" s="157">
        <v>439535.74000000005</v>
      </c>
      <c r="Q92" s="156">
        <v>1353770</v>
      </c>
      <c r="R92" s="156">
        <v>1313021.523</v>
      </c>
      <c r="S92" s="153">
        <v>254369.90961173177</v>
      </c>
      <c r="U92" s="104">
        <f t="shared" si="38"/>
        <v>-242789.06637419178</v>
      </c>
    </row>
    <row r="93" spans="1:25" x14ac:dyDescent="0.35">
      <c r="A93" s="147">
        <v>11</v>
      </c>
      <c r="B93" s="97">
        <v>45839</v>
      </c>
      <c r="C93" s="98">
        <f>Customer!N$11*'Assumptions and Inputs'!$C$47</f>
        <v>1481190.5723999999</v>
      </c>
      <c r="D93" s="99">
        <f>Customer!N$35/'Assumptions and Inputs'!$C$21</f>
        <v>42399.7</v>
      </c>
      <c r="E93" s="98">
        <f t="shared" si="37"/>
        <v>130591</v>
      </c>
      <c r="F93" s="98">
        <f t="shared" si="39"/>
        <v>1309946.5252707598</v>
      </c>
      <c r="G93" s="99">
        <f>Customer!N$40/'Assumptions and Inputs'!$C$21</f>
        <v>456809.04500000004</v>
      </c>
      <c r="H93" s="100">
        <f>$H$80*G93</f>
        <v>1406971.8586000002</v>
      </c>
      <c r="I93" s="100">
        <f t="shared" si="41"/>
        <v>1364622.0056561402</v>
      </c>
      <c r="J93" s="98">
        <f t="shared" si="42"/>
        <v>54675.480385380331</v>
      </c>
      <c r="L93" s="148">
        <v>1208752.9422499931</v>
      </c>
      <c r="M93" s="154">
        <v>38067.066666666455</v>
      </c>
      <c r="N93" s="148">
        <v>117247</v>
      </c>
      <c r="O93" s="148">
        <v>1058651.6133882683</v>
      </c>
      <c r="P93" s="154">
        <v>439535.74000000005</v>
      </c>
      <c r="Q93" s="155">
        <v>1353770</v>
      </c>
      <c r="R93" s="155">
        <v>1313021.523</v>
      </c>
      <c r="S93" s="148">
        <v>254369.90961173177</v>
      </c>
      <c r="U93" s="98">
        <f t="shared" si="38"/>
        <v>-199694.42922635144</v>
      </c>
    </row>
    <row r="94" spans="1:25" x14ac:dyDescent="0.35">
      <c r="A94" s="147">
        <v>12</v>
      </c>
      <c r="B94" s="101">
        <v>45870</v>
      </c>
      <c r="C94" s="102">
        <f>Customer!O$11*'Assumptions and Inputs'!$C$47</f>
        <v>1586141.1216</v>
      </c>
      <c r="D94" s="103">
        <f>Customer!O$35/'Assumptions and Inputs'!$C$21</f>
        <v>45007.6</v>
      </c>
      <c r="E94" s="102">
        <f>ROUND($E$80*D94, 0)</f>
        <v>138623</v>
      </c>
      <c r="F94" s="102">
        <f>(C94-E94)*$F$80</f>
        <v>1403947.8261398398</v>
      </c>
      <c r="G94" s="103">
        <f>Customer!O$40/'Assumptions and Inputs'!$C$21</f>
        <v>472709.625</v>
      </c>
      <c r="H94" s="102">
        <f>$H$80*G94</f>
        <v>1455945.645</v>
      </c>
      <c r="I94" s="102">
        <f t="shared" ref="I94" si="43">H94*$I$80</f>
        <v>1412121.6810854999</v>
      </c>
      <c r="J94" s="104">
        <f>I94-F94</f>
        <v>8173.8549456601031</v>
      </c>
      <c r="L94" s="156">
        <v>1208752.9422499931</v>
      </c>
      <c r="M94" s="157">
        <v>38067.066666666455</v>
      </c>
      <c r="N94" s="156">
        <v>117247</v>
      </c>
      <c r="O94" s="156">
        <v>1058651.6133882683</v>
      </c>
      <c r="P94" s="157">
        <v>439535.74000000005</v>
      </c>
      <c r="Q94" s="156">
        <v>1353770</v>
      </c>
      <c r="R94" s="156">
        <v>1313021.523</v>
      </c>
      <c r="S94" s="153">
        <v>254369.90961173177</v>
      </c>
      <c r="U94" s="104">
        <f t="shared" si="38"/>
        <v>-246196.05466607166</v>
      </c>
    </row>
    <row r="95" spans="1:25" ht="5.15" customHeight="1" x14ac:dyDescent="0.35">
      <c r="B95" s="158"/>
    </row>
    <row r="96" spans="1:25" x14ac:dyDescent="0.35">
      <c r="B96" s="105" t="s">
        <v>131</v>
      </c>
      <c r="C96" s="133">
        <f>SUM(C83:C94)</f>
        <v>16641753.1182</v>
      </c>
      <c r="D96" s="132">
        <f t="shared" ref="D96:I96" si="44">SUM(D83:D94)</f>
        <v>481924.59999999992</v>
      </c>
      <c r="E96" s="133">
        <f t="shared" si="44"/>
        <v>1484328</v>
      </c>
      <c r="F96" s="133">
        <f t="shared" si="44"/>
        <v>14701186.622142179</v>
      </c>
      <c r="G96" s="132">
        <f t="shared" si="44"/>
        <v>5220234.82</v>
      </c>
      <c r="H96" s="133">
        <f t="shared" si="44"/>
        <v>16078323.245599998</v>
      </c>
      <c r="I96" s="133">
        <f t="shared" si="44"/>
        <v>15594365.71590744</v>
      </c>
      <c r="J96" s="98">
        <f>SUM(J82:J94)</f>
        <v>-4296442.8810601234</v>
      </c>
      <c r="L96" s="133">
        <v>15477444.964449964</v>
      </c>
      <c r="M96" s="132">
        <v>465071.93333333236</v>
      </c>
      <c r="N96" s="133">
        <v>1432425</v>
      </c>
      <c r="O96" s="133">
        <v>13622264.863520021</v>
      </c>
      <c r="P96" s="132">
        <v>5231344.3950000014</v>
      </c>
      <c r="Q96" s="133">
        <v>16112541</v>
      </c>
      <c r="R96" s="133">
        <v>15627553.515899999</v>
      </c>
      <c r="S96" s="98">
        <v>-3184333.3224454038</v>
      </c>
      <c r="U96" s="98">
        <f>J96-S96</f>
        <v>-1112109.5586147197</v>
      </c>
    </row>
    <row r="97" spans="2:21" x14ac:dyDescent="0.35">
      <c r="F97" s="106"/>
      <c r="G97" s="56"/>
      <c r="J97" s="81"/>
      <c r="O97" s="106"/>
      <c r="P97" s="56"/>
    </row>
    <row r="98" spans="2:21" x14ac:dyDescent="0.35">
      <c r="B98" s="1" t="s">
        <v>192</v>
      </c>
      <c r="I98" s="112" t="s">
        <v>193</v>
      </c>
      <c r="J98" s="113">
        <f>J96</f>
        <v>-4296442.8810601234</v>
      </c>
      <c r="K98" s="111"/>
      <c r="R98" s="112" t="s">
        <v>193</v>
      </c>
      <c r="S98" s="113">
        <f>S96</f>
        <v>-3184333.3224454038</v>
      </c>
      <c r="T98" s="81"/>
      <c r="U98" s="137">
        <f>J98-S98</f>
        <v>-1112109.5586147197</v>
      </c>
    </row>
    <row r="99" spans="2:21" x14ac:dyDescent="0.35">
      <c r="B99" s="159" t="s">
        <v>218</v>
      </c>
      <c r="L99" s="114"/>
    </row>
    <row r="100" spans="2:21" x14ac:dyDescent="0.35">
      <c r="B100" s="114" t="str">
        <f>"(1) - Updated TAP Actual Discounts reflect water's "&amp;FIXED('Assumptions and Inputs'!$C$47*100, 1, 0)&amp;"% allocated portion of the Total TAP Discount."</f>
        <v>(1) - Updated TAP Actual Discounts reflect water's 42.0% allocated portion of the Total TAP Discount.</v>
      </c>
      <c r="L100" s="114"/>
      <c r="S100" s="81"/>
    </row>
    <row r="101" spans="2:21" x14ac:dyDescent="0.35">
      <c r="B101" s="114" t="s">
        <v>309</v>
      </c>
      <c r="L101" s="114"/>
    </row>
    <row r="102" spans="2:21" x14ac:dyDescent="0.35">
      <c r="B102" s="139" t="s">
        <v>283</v>
      </c>
      <c r="L102" s="114"/>
    </row>
    <row r="103" spans="2:21" x14ac:dyDescent="0.35">
      <c r="B103" s="114"/>
      <c r="L103" s="114"/>
    </row>
    <row r="104" spans="2:21" x14ac:dyDescent="0.35">
      <c r="B104" s="159" t="s">
        <v>219</v>
      </c>
      <c r="L104" s="114"/>
    </row>
    <row r="105" spans="2:21" x14ac:dyDescent="0.35">
      <c r="B105" s="114" t="str">
        <f>"(9) - TAP Actual Discounts reflect water's "&amp;FIXED('Assumptions and Inputs'!$C$47*100, 1, 0)&amp;"% allocated portion of the Total TAP Discount."</f>
        <v>(9) - TAP Actual Discounts reflect water's 42.0% allocated portion of the Total TAP Discount.</v>
      </c>
      <c r="L105" s="114"/>
    </row>
    <row r="106" spans="2:21" x14ac:dyDescent="0.35">
      <c r="B106" s="114" t="s">
        <v>281</v>
      </c>
      <c r="L106" s="114"/>
    </row>
    <row r="107" spans="2:21" x14ac:dyDescent="0.35">
      <c r="B107" s="114" t="s">
        <v>284</v>
      </c>
      <c r="L107" s="114"/>
    </row>
    <row r="108" spans="2:21" x14ac:dyDescent="0.35">
      <c r="B108" s="114"/>
      <c r="L108" s="114"/>
    </row>
    <row r="109" spans="2:21" x14ac:dyDescent="0.35">
      <c r="B109" s="159" t="s">
        <v>221</v>
      </c>
      <c r="L109" s="114"/>
    </row>
    <row r="110" spans="2:21" x14ac:dyDescent="0.35">
      <c r="B110" s="114" t="str">
        <f>"(3), (6), (11) &amp; (14) - Water TAP-R Rates per "&amp;TEXT('Assumptions and Inputs'!F27,)&amp;" "&amp;TEXT('Assumptions and Inputs'!G27,)&amp;"."</f>
        <v>(3), (6), (11) &amp; (14) - Water TAP-R Rates per PWD Regulations - Rates and Charges Effective September 1, 2024 Section 10.3(a)(1).</v>
      </c>
      <c r="L110" s="114"/>
    </row>
    <row r="111" spans="2:21" x14ac:dyDescent="0.35">
      <c r="B111" s="114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  <c r="L111" s="114"/>
    </row>
    <row r="112" spans="2:21" x14ac:dyDescent="0.35">
      <c r="B112" s="114"/>
      <c r="L112" s="114"/>
    </row>
    <row r="113" spans="1:21" x14ac:dyDescent="0.35"/>
    <row r="114" spans="1:21" x14ac:dyDescent="0.35">
      <c r="B114" s="62" t="s">
        <v>30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1:21" ht="15" thickBot="1" x14ac:dyDescent="0.4">
      <c r="B115" s="62" t="s">
        <v>222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1:21" ht="15" thickBot="1" x14ac:dyDescent="0.4">
      <c r="C116" s="125" t="s">
        <v>213</v>
      </c>
      <c r="D116" s="126"/>
      <c r="E116" s="126"/>
      <c r="F116" s="126"/>
      <c r="G116" s="126"/>
      <c r="H116" s="126"/>
      <c r="I116" s="126"/>
      <c r="J116" s="127"/>
      <c r="L116" s="144" t="s">
        <v>214</v>
      </c>
      <c r="M116" s="145"/>
      <c r="N116" s="145"/>
      <c r="O116" s="145"/>
      <c r="P116" s="145"/>
      <c r="Q116" s="145"/>
      <c r="R116" s="145"/>
      <c r="S116" s="146"/>
      <c r="U116" s="129" t="s">
        <v>202</v>
      </c>
    </row>
    <row r="117" spans="1:21" x14ac:dyDescent="0.35">
      <c r="B117" s="83" t="s">
        <v>167</v>
      </c>
      <c r="C117" s="83" t="s">
        <v>168</v>
      </c>
      <c r="D117" s="83" t="s">
        <v>198</v>
      </c>
      <c r="E117" s="83" t="s">
        <v>170</v>
      </c>
      <c r="F117" s="83" t="s">
        <v>171</v>
      </c>
      <c r="G117" s="83" t="s">
        <v>172</v>
      </c>
      <c r="H117" s="83" t="s">
        <v>173</v>
      </c>
      <c r="I117" s="83" t="s">
        <v>174</v>
      </c>
      <c r="J117" s="84" t="s">
        <v>175</v>
      </c>
      <c r="L117" s="83" t="s">
        <v>168</v>
      </c>
      <c r="M117" s="83" t="s">
        <v>198</v>
      </c>
      <c r="N117" s="83" t="s">
        <v>170</v>
      </c>
      <c r="O117" s="83" t="s">
        <v>171</v>
      </c>
      <c r="P117" s="83" t="s">
        <v>172</v>
      </c>
      <c r="Q117" s="83" t="s">
        <v>173</v>
      </c>
      <c r="R117" s="83" t="s">
        <v>174</v>
      </c>
      <c r="S117" s="84" t="s">
        <v>175</v>
      </c>
      <c r="U117" s="84" t="s">
        <v>215</v>
      </c>
    </row>
    <row r="118" spans="1:21" x14ac:dyDescent="0.35">
      <c r="B118" s="84" t="s">
        <v>164</v>
      </c>
      <c r="C118" s="84" t="s">
        <v>176</v>
      </c>
      <c r="D118" s="84" t="s">
        <v>199</v>
      </c>
      <c r="E118" s="84" t="s">
        <v>178</v>
      </c>
      <c r="F118" s="84" t="s">
        <v>176</v>
      </c>
      <c r="G118" s="84" t="s">
        <v>199</v>
      </c>
      <c r="H118" s="84" t="s">
        <v>179</v>
      </c>
      <c r="I118" s="84" t="s">
        <v>180</v>
      </c>
      <c r="J118" s="84" t="s">
        <v>181</v>
      </c>
      <c r="L118" s="84" t="s">
        <v>176</v>
      </c>
      <c r="M118" s="84" t="s">
        <v>199</v>
      </c>
      <c r="N118" s="84" t="s">
        <v>178</v>
      </c>
      <c r="O118" s="84" t="s">
        <v>176</v>
      </c>
      <c r="P118" s="84" t="s">
        <v>199</v>
      </c>
      <c r="Q118" s="84" t="s">
        <v>179</v>
      </c>
      <c r="R118" s="84" t="s">
        <v>180</v>
      </c>
      <c r="S118" s="84" t="s">
        <v>181</v>
      </c>
      <c r="U118" s="84" t="s">
        <v>216</v>
      </c>
    </row>
    <row r="119" spans="1:21" x14ac:dyDescent="0.35">
      <c r="B119" s="84"/>
      <c r="C119" s="84" t="s">
        <v>182</v>
      </c>
      <c r="D119" s="84" t="s">
        <v>126</v>
      </c>
      <c r="E119" s="84" t="s">
        <v>184</v>
      </c>
      <c r="F119" s="84" t="s">
        <v>182</v>
      </c>
      <c r="G119" s="84" t="s">
        <v>183</v>
      </c>
      <c r="H119" s="84"/>
      <c r="I119" s="84" t="s">
        <v>185</v>
      </c>
      <c r="J119" s="84"/>
      <c r="L119" s="84" t="s">
        <v>182</v>
      </c>
      <c r="M119" s="84" t="s">
        <v>126</v>
      </c>
      <c r="N119" s="84" t="s">
        <v>184</v>
      </c>
      <c r="O119" s="84" t="s">
        <v>182</v>
      </c>
      <c r="P119" s="84" t="s">
        <v>183</v>
      </c>
      <c r="Q119" s="84"/>
      <c r="R119" s="84" t="s">
        <v>185</v>
      </c>
      <c r="S119" s="84"/>
      <c r="U119" s="84"/>
    </row>
    <row r="120" spans="1:21" x14ac:dyDescent="0.35">
      <c r="B120" s="84"/>
      <c r="C120" s="85"/>
      <c r="D120" s="84" t="s">
        <v>183</v>
      </c>
      <c r="E120" s="86">
        <f>'Assumptions and Inputs'!$C$29</f>
        <v>4.4000000000000004</v>
      </c>
      <c r="F120" s="115">
        <f>'Assumptions and Inputs'!$C$45</f>
        <v>0.96989999999999998</v>
      </c>
      <c r="G120" s="84"/>
      <c r="H120" s="86">
        <f>'Assumptions and Inputs'!$C$29</f>
        <v>4.4000000000000004</v>
      </c>
      <c r="I120" s="87">
        <f>'Assumptions and Inputs'!$C$45</f>
        <v>0.96989999999999998</v>
      </c>
      <c r="J120" s="88"/>
      <c r="L120" s="85"/>
      <c r="M120" s="84" t="s">
        <v>183</v>
      </c>
      <c r="N120" s="86">
        <v>4.4000000000000004</v>
      </c>
      <c r="O120" s="115">
        <v>0.96989999999999998</v>
      </c>
      <c r="P120" s="84"/>
      <c r="Q120" s="86">
        <v>4.4000000000000004</v>
      </c>
      <c r="R120" s="87">
        <v>0.96989999999999998</v>
      </c>
      <c r="S120" s="88"/>
      <c r="U120" s="88"/>
    </row>
    <row r="121" spans="1:21" x14ac:dyDescent="0.35">
      <c r="B121" s="89"/>
      <c r="C121" s="90" t="s">
        <v>139</v>
      </c>
      <c r="D121" s="90" t="s">
        <v>141</v>
      </c>
      <c r="E121" s="90" t="str">
        <f>"(3) = (2) * $ "&amp;FIXED(E120,3,)&amp;"/Mcf"</f>
        <v>(3) = (2) * $ 4.400/Mcf</v>
      </c>
      <c r="F121" s="90" t="str">
        <f>"(4) = [(1) - (3)]* "&amp;FIXED(F120,4,)&amp;""</f>
        <v>(4) = [(1) - (3)]* 0.9699</v>
      </c>
      <c r="G121" s="90" t="s">
        <v>147</v>
      </c>
      <c r="H121" s="90" t="str">
        <f>"(6) = (5) * $ "&amp;FIXED(H120,3,)&amp;"/Mcf"</f>
        <v>(6) = (5) * $ 4.400/Mcf</v>
      </c>
      <c r="I121" s="91" t="str">
        <f>"(7) = (6) * "&amp;FIXED(F120,4,)&amp;""</f>
        <v>(7) = (6) * 0.9699</v>
      </c>
      <c r="J121" s="90" t="s">
        <v>186</v>
      </c>
      <c r="L121" s="90" t="s">
        <v>203</v>
      </c>
      <c r="M121" s="90" t="s">
        <v>310</v>
      </c>
      <c r="N121" s="90" t="s">
        <v>317</v>
      </c>
      <c r="O121" s="90" t="s">
        <v>312</v>
      </c>
      <c r="P121" s="90" t="s">
        <v>313</v>
      </c>
      <c r="Q121" s="90" t="s">
        <v>318</v>
      </c>
      <c r="R121" s="91" t="s">
        <v>315</v>
      </c>
      <c r="S121" s="90" t="s">
        <v>316</v>
      </c>
      <c r="U121" s="90" t="s">
        <v>217</v>
      </c>
    </row>
    <row r="122" spans="1:21" x14ac:dyDescent="0.35">
      <c r="B122" s="92"/>
      <c r="C122" s="93"/>
      <c r="D122" s="93"/>
      <c r="E122" s="93"/>
      <c r="F122" s="93"/>
      <c r="G122" s="93"/>
      <c r="H122" s="93"/>
      <c r="I122" s="94" t="s">
        <v>187</v>
      </c>
      <c r="J122" s="95">
        <v>-6713205.8875230234</v>
      </c>
      <c r="L122" s="93"/>
      <c r="M122" s="93"/>
      <c r="N122" s="93"/>
      <c r="O122" s="93"/>
      <c r="P122" s="93"/>
      <c r="Q122" s="93"/>
      <c r="R122" s="94" t="s">
        <v>187</v>
      </c>
      <c r="S122" s="95">
        <v>-6713205.8875230234</v>
      </c>
      <c r="U122" s="93"/>
    </row>
    <row r="123" spans="1:21" x14ac:dyDescent="0.35">
      <c r="A123" s="147">
        <v>1</v>
      </c>
      <c r="B123" s="97">
        <f>B83</f>
        <v>45536</v>
      </c>
      <c r="C123" s="98">
        <f>Customer!D$11*'Assumptions and Inputs'!$C$49</f>
        <v>1846401.9512</v>
      </c>
      <c r="D123" s="99">
        <f>Customer!D$60/'Assumptions and Inputs'!$C$21</f>
        <v>42019.8</v>
      </c>
      <c r="E123" s="98">
        <f t="shared" ref="E123:E134" si="45">$E$120*D123</f>
        <v>184887.12000000002</v>
      </c>
      <c r="F123" s="98">
        <f t="shared" ref="F123:F133" si="46">(C123-E123)*$F$120</f>
        <v>1611503.2347808799</v>
      </c>
      <c r="G123" s="99">
        <f>Customer!D$65/'Assumptions and Inputs'!$C$21</f>
        <v>461019.51500000001</v>
      </c>
      <c r="H123" s="133">
        <f t="shared" ref="H123:H134" si="47">ROUND($H$120*G123, 0)</f>
        <v>2028486</v>
      </c>
      <c r="I123" s="133">
        <f t="shared" ref="I123:I134" si="48">H123*$I$120</f>
        <v>1967428.5714</v>
      </c>
      <c r="J123" s="98">
        <f>I123-F123</f>
        <v>355925.33661912009</v>
      </c>
      <c r="L123" s="98">
        <v>1846401.9512</v>
      </c>
      <c r="M123" s="132">
        <v>42019.8</v>
      </c>
      <c r="N123" s="98">
        <v>184887</v>
      </c>
      <c r="O123" s="98">
        <v>1611503.35116888</v>
      </c>
      <c r="P123" s="132">
        <v>461019.51500000001</v>
      </c>
      <c r="Q123" s="133">
        <v>2028486</v>
      </c>
      <c r="R123" s="133">
        <v>1967428.5714</v>
      </c>
      <c r="S123" s="98">
        <v>355925.22023112001</v>
      </c>
      <c r="U123" s="98">
        <f>J123-S123</f>
        <v>0.11638800008222461</v>
      </c>
    </row>
    <row r="124" spans="1:21" x14ac:dyDescent="0.35">
      <c r="A124" s="147">
        <v>2</v>
      </c>
      <c r="B124" s="101">
        <f t="shared" ref="B124:B134" si="49">B84</f>
        <v>45566</v>
      </c>
      <c r="C124" s="102">
        <f>Customer!E$11*'Assumptions and Inputs'!$C$49</f>
        <v>1965438.9878</v>
      </c>
      <c r="D124" s="103">
        <f>Customer!E$60/'Assumptions and Inputs'!$C$21</f>
        <v>40905.9</v>
      </c>
      <c r="E124" s="109">
        <f t="shared" si="45"/>
        <v>179985.96000000002</v>
      </c>
      <c r="F124" s="109">
        <f t="shared" si="46"/>
        <v>1731710.89166322</v>
      </c>
      <c r="G124" s="103">
        <f>Customer!E$65/'Assumptions and Inputs'!$C$21</f>
        <v>430672.32500000001</v>
      </c>
      <c r="H124" s="109">
        <f t="shared" si="47"/>
        <v>1894958</v>
      </c>
      <c r="I124" s="109">
        <f t="shared" si="48"/>
        <v>1837919.7641999999</v>
      </c>
      <c r="J124" s="104">
        <f>I124-F124</f>
        <v>106208.87253677985</v>
      </c>
      <c r="L124" s="109">
        <v>1965438.9878</v>
      </c>
      <c r="M124" s="121">
        <v>40905.9</v>
      </c>
      <c r="N124" s="109">
        <v>179986</v>
      </c>
      <c r="O124" s="109">
        <v>1731710.8528672201</v>
      </c>
      <c r="P124" s="121">
        <v>430672.32500000001</v>
      </c>
      <c r="Q124" s="109">
        <v>1894958</v>
      </c>
      <c r="R124" s="109">
        <v>1837919.7641999999</v>
      </c>
      <c r="S124" s="104">
        <v>106208.9113327798</v>
      </c>
      <c r="U124" s="104">
        <f t="shared" ref="U124:U126" si="50">J124-S124</f>
        <v>-3.8795999949797988E-2</v>
      </c>
    </row>
    <row r="125" spans="1:21" x14ac:dyDescent="0.35">
      <c r="A125" s="147">
        <v>3</v>
      </c>
      <c r="B125" s="97">
        <f t="shared" si="49"/>
        <v>45597</v>
      </c>
      <c r="C125" s="98">
        <f>Customer!F$11*'Assumptions and Inputs'!$C$49</f>
        <v>1728246.8393999999</v>
      </c>
      <c r="D125" s="99">
        <f>Customer!F$60/'Assumptions and Inputs'!$C$21</f>
        <v>35778.400000000001</v>
      </c>
      <c r="E125" s="98">
        <f t="shared" si="45"/>
        <v>157424.96000000002</v>
      </c>
      <c r="F125" s="98">
        <f t="shared" si="46"/>
        <v>1523540.14083006</v>
      </c>
      <c r="G125" s="99">
        <f>Customer!F$65/'Assumptions and Inputs'!$C$21</f>
        <v>401299.14500000002</v>
      </c>
      <c r="H125" s="100">
        <f t="shared" si="47"/>
        <v>1765716</v>
      </c>
      <c r="I125" s="100">
        <f t="shared" si="48"/>
        <v>1712567.9483999999</v>
      </c>
      <c r="J125" s="98">
        <f t="shared" ref="J125:J133" si="51">I125-F125</f>
        <v>189027.80756993988</v>
      </c>
      <c r="L125" s="98">
        <v>1728246.8393999999</v>
      </c>
      <c r="M125" s="99">
        <v>35778.400000000001</v>
      </c>
      <c r="N125" s="98">
        <v>157425</v>
      </c>
      <c r="O125" s="98">
        <v>1523540.1020340598</v>
      </c>
      <c r="P125" s="99">
        <v>401299.14500000002</v>
      </c>
      <c r="Q125" s="100">
        <v>1765716</v>
      </c>
      <c r="R125" s="100">
        <v>1712567.9483999999</v>
      </c>
      <c r="S125" s="98">
        <v>189027.84636594006</v>
      </c>
      <c r="U125" s="98">
        <f t="shared" si="50"/>
        <v>-3.8796000182628632E-2</v>
      </c>
    </row>
    <row r="126" spans="1:21" x14ac:dyDescent="0.35">
      <c r="A126" s="147">
        <v>4</v>
      </c>
      <c r="B126" s="101">
        <f t="shared" si="49"/>
        <v>45627</v>
      </c>
      <c r="C126" s="102">
        <f>Customer!G$11*'Assumptions and Inputs'!$C$49</f>
        <v>1846829.7708000001</v>
      </c>
      <c r="D126" s="103">
        <f>Customer!G$60/'Assumptions and Inputs'!$C$21</f>
        <v>38262.5</v>
      </c>
      <c r="E126" s="102">
        <f t="shared" si="45"/>
        <v>168355</v>
      </c>
      <c r="F126" s="102">
        <f t="shared" si="46"/>
        <v>1627952.68019892</v>
      </c>
      <c r="G126" s="103">
        <f>Customer!G$65/'Assumptions and Inputs'!$C$21</f>
        <v>406659.43</v>
      </c>
      <c r="H126" s="102">
        <f t="shared" si="47"/>
        <v>1789301</v>
      </c>
      <c r="I126" s="102">
        <f t="shared" si="48"/>
        <v>1735443.0399</v>
      </c>
      <c r="J126" s="104">
        <f t="shared" si="51"/>
        <v>107490.35970108001</v>
      </c>
      <c r="L126" s="102">
        <v>1846829.7708000001</v>
      </c>
      <c r="M126" s="103">
        <v>38262.5</v>
      </c>
      <c r="N126" s="102">
        <v>168355</v>
      </c>
      <c r="O126" s="102">
        <v>1627952.68019892</v>
      </c>
      <c r="P126" s="103">
        <v>406659.43</v>
      </c>
      <c r="Q126" s="102">
        <v>1789301</v>
      </c>
      <c r="R126" s="102">
        <v>1735443.0399</v>
      </c>
      <c r="S126" s="104">
        <v>107490.35970108001</v>
      </c>
      <c r="U126" s="104">
        <f t="shared" si="50"/>
        <v>0</v>
      </c>
    </row>
    <row r="127" spans="1:21" x14ac:dyDescent="0.35">
      <c r="A127" s="147">
        <v>5</v>
      </c>
      <c r="B127" s="97">
        <f t="shared" si="49"/>
        <v>45658</v>
      </c>
      <c r="C127" s="98">
        <f>Customer!H$11*'Assumptions and Inputs'!$C$49</f>
        <v>2115045.5043999995</v>
      </c>
      <c r="D127" s="99">
        <f>Customer!H$60/'Assumptions and Inputs'!$C$21</f>
        <v>43279.7</v>
      </c>
      <c r="E127" s="98">
        <f t="shared" si="45"/>
        <v>190430.68</v>
      </c>
      <c r="F127" s="98">
        <f t="shared" si="46"/>
        <v>1866683.9181855596</v>
      </c>
      <c r="G127" s="99">
        <f>Customer!H$65/'Assumptions and Inputs'!$C$21</f>
        <v>424665.15499999997</v>
      </c>
      <c r="H127" s="100">
        <f t="shared" si="47"/>
        <v>1868527</v>
      </c>
      <c r="I127" s="100">
        <f t="shared" si="48"/>
        <v>1812284.3373</v>
      </c>
      <c r="J127" s="98">
        <f t="shared" si="51"/>
        <v>-54399.580885559553</v>
      </c>
      <c r="L127" s="98">
        <v>2115045.5043999995</v>
      </c>
      <c r="M127" s="99">
        <v>43279.7</v>
      </c>
      <c r="N127" s="98">
        <v>190431</v>
      </c>
      <c r="O127" s="98">
        <v>1866683.6078175595</v>
      </c>
      <c r="P127" s="99">
        <v>424665.15499999997</v>
      </c>
      <c r="Q127" s="100">
        <v>1868527</v>
      </c>
      <c r="R127" s="100">
        <v>1812284.3373</v>
      </c>
      <c r="S127" s="98">
        <v>-54399.270517559489</v>
      </c>
      <c r="U127" s="98">
        <f t="shared" ref="U127:U134" si="52">J127-S127</f>
        <v>-0.31036800006404519</v>
      </c>
    </row>
    <row r="128" spans="1:21" x14ac:dyDescent="0.35">
      <c r="A128" s="147">
        <v>6</v>
      </c>
      <c r="B128" s="101">
        <f t="shared" si="49"/>
        <v>45689</v>
      </c>
      <c r="C128" s="102">
        <f>Customer!I$11*'Assumptions and Inputs'!$C$49</f>
        <v>1736316.4664</v>
      </c>
      <c r="D128" s="103">
        <f>Customer!I$60/'Assumptions and Inputs'!$C$21</f>
        <v>36385.599999999999</v>
      </c>
      <c r="E128" s="102">
        <f t="shared" si="45"/>
        <v>160096.64000000001</v>
      </c>
      <c r="F128" s="102">
        <f t="shared" si="46"/>
        <v>1528775.60962536</v>
      </c>
      <c r="G128" s="103">
        <f>Customer!I$65/'Assumptions and Inputs'!$C$21</f>
        <v>374138</v>
      </c>
      <c r="H128" s="102">
        <f t="shared" si="47"/>
        <v>1646207</v>
      </c>
      <c r="I128" s="102">
        <f t="shared" si="48"/>
        <v>1596656.1693</v>
      </c>
      <c r="J128" s="104">
        <f t="shared" si="51"/>
        <v>67880.559674639953</v>
      </c>
      <c r="L128" s="102">
        <v>1736316.4664</v>
      </c>
      <c r="M128" s="103">
        <v>36385.599999999999</v>
      </c>
      <c r="N128" s="102">
        <v>160097</v>
      </c>
      <c r="O128" s="102">
        <v>1528775.26046136</v>
      </c>
      <c r="P128" s="103">
        <v>374138</v>
      </c>
      <c r="Q128" s="102">
        <v>1646207</v>
      </c>
      <c r="R128" s="102">
        <v>1596656.1693</v>
      </c>
      <c r="S128" s="104">
        <v>67880.908838639967</v>
      </c>
      <c r="U128" s="104">
        <f t="shared" si="52"/>
        <v>-0.34916400001384318</v>
      </c>
    </row>
    <row r="129" spans="1:21" x14ac:dyDescent="0.35">
      <c r="A129" s="147">
        <v>7</v>
      </c>
      <c r="B129" s="97">
        <f t="shared" si="49"/>
        <v>45717</v>
      </c>
      <c r="C129" s="98">
        <f>Customer!J$11*'Assumptions and Inputs'!$C$49</f>
        <v>1789183.6867999998</v>
      </c>
      <c r="D129" s="99">
        <f>Customer!J$60/'Assumptions and Inputs'!$C$21</f>
        <v>37876.800000000003</v>
      </c>
      <c r="E129" s="98">
        <f t="shared" si="45"/>
        <v>166657.92000000001</v>
      </c>
      <c r="F129" s="98">
        <f t="shared" si="46"/>
        <v>1573687.7412193199</v>
      </c>
      <c r="G129" s="99">
        <f>Customer!J$65/'Assumptions and Inputs'!$C$21</f>
        <v>373030.42000000004</v>
      </c>
      <c r="H129" s="100">
        <f t="shared" si="47"/>
        <v>1641334</v>
      </c>
      <c r="I129" s="100">
        <f t="shared" si="48"/>
        <v>1591929.8466</v>
      </c>
      <c r="J129" s="98">
        <f t="shared" si="51"/>
        <v>18242.105380680179</v>
      </c>
      <c r="L129" s="98">
        <v>1789183.6867999998</v>
      </c>
      <c r="M129" s="99">
        <v>37876.800000000003</v>
      </c>
      <c r="N129" s="98">
        <v>166658</v>
      </c>
      <c r="O129" s="98">
        <v>1573687.6636273197</v>
      </c>
      <c r="P129" s="99">
        <v>373030.42000000004</v>
      </c>
      <c r="Q129" s="100">
        <v>1641334</v>
      </c>
      <c r="R129" s="100">
        <v>1591929.8466</v>
      </c>
      <c r="S129" s="98">
        <v>18242.182972680312</v>
      </c>
      <c r="U129" s="98">
        <f t="shared" si="52"/>
        <v>-7.759200013242662E-2</v>
      </c>
    </row>
    <row r="130" spans="1:21" x14ac:dyDescent="0.35">
      <c r="A130" s="147">
        <v>8</v>
      </c>
      <c r="B130" s="101">
        <f t="shared" si="49"/>
        <v>45748</v>
      </c>
      <c r="C130" s="102">
        <f>Customer!K$11*'Assumptions and Inputs'!$C$49</f>
        <v>1814438.5977999996</v>
      </c>
      <c r="D130" s="103">
        <f>Customer!K$60/'Assumptions and Inputs'!$C$21</f>
        <v>38207.5</v>
      </c>
      <c r="E130" s="102">
        <f t="shared" si="45"/>
        <v>168113</v>
      </c>
      <c r="F130" s="102">
        <f t="shared" si="46"/>
        <v>1596771.1973062197</v>
      </c>
      <c r="G130" s="103">
        <f>Customer!K$65/'Assumptions and Inputs'!$C$21</f>
        <v>381012.39500000002</v>
      </c>
      <c r="H130" s="102">
        <f t="shared" si="47"/>
        <v>1676455</v>
      </c>
      <c r="I130" s="102">
        <f t="shared" si="48"/>
        <v>1625993.7045</v>
      </c>
      <c r="J130" s="104">
        <f t="shared" si="51"/>
        <v>29222.507193780271</v>
      </c>
      <c r="L130" s="102">
        <v>1669230.2535833237</v>
      </c>
      <c r="M130" s="103">
        <v>38067.066666666455</v>
      </c>
      <c r="N130" s="102">
        <v>167495</v>
      </c>
      <c r="O130" s="102">
        <v>1456533.0224504657</v>
      </c>
      <c r="P130" s="103">
        <v>414741.3775</v>
      </c>
      <c r="Q130" s="102">
        <v>1824862</v>
      </c>
      <c r="R130" s="102">
        <v>1769933.6538</v>
      </c>
      <c r="S130" s="104">
        <v>313400.63134953426</v>
      </c>
      <c r="U130" s="104">
        <f t="shared" si="52"/>
        <v>-284178.12415575399</v>
      </c>
    </row>
    <row r="131" spans="1:21" x14ac:dyDescent="0.35">
      <c r="A131" s="147">
        <v>9</v>
      </c>
      <c r="B131" s="97">
        <f t="shared" si="49"/>
        <v>45778</v>
      </c>
      <c r="C131" s="98">
        <f>Customer!L$11*'Assumptions and Inputs'!$C$49</f>
        <v>1881359.9605999999</v>
      </c>
      <c r="D131" s="99">
        <f>Customer!L$60/'Assumptions and Inputs'!$C$21</f>
        <v>39542.699999999997</v>
      </c>
      <c r="E131" s="98">
        <f t="shared" si="45"/>
        <v>173987.88</v>
      </c>
      <c r="F131" s="98">
        <f t="shared" si="46"/>
        <v>1655980.1809739401</v>
      </c>
      <c r="G131" s="99">
        <f>Customer!L$65/'Assumptions and Inputs'!$C$21</f>
        <v>395766.63</v>
      </c>
      <c r="H131" s="100">
        <f t="shared" si="47"/>
        <v>1741373</v>
      </c>
      <c r="I131" s="100">
        <f t="shared" si="48"/>
        <v>1688957.6727</v>
      </c>
      <c r="J131" s="98">
        <f t="shared" si="51"/>
        <v>32977.491726059932</v>
      </c>
      <c r="L131" s="98">
        <v>1669230.2535833237</v>
      </c>
      <c r="M131" s="99">
        <v>38067.066666666455</v>
      </c>
      <c r="N131" s="98">
        <v>167495</v>
      </c>
      <c r="O131" s="98">
        <v>1456533.0224504657</v>
      </c>
      <c r="P131" s="99">
        <v>414741.3775</v>
      </c>
      <c r="Q131" s="100">
        <v>1824862</v>
      </c>
      <c r="R131" s="100">
        <v>1769933.6538</v>
      </c>
      <c r="S131" s="98">
        <v>313400.63134953426</v>
      </c>
      <c r="U131" s="98">
        <f t="shared" si="52"/>
        <v>-280423.13962347433</v>
      </c>
    </row>
    <row r="132" spans="1:21" x14ac:dyDescent="0.35">
      <c r="A132" s="147">
        <v>10</v>
      </c>
      <c r="B132" s="101">
        <f t="shared" si="49"/>
        <v>45809</v>
      </c>
      <c r="C132" s="102">
        <f>Customer!M$11*'Assumptions and Inputs'!$C$49</f>
        <v>2022367.8205999997</v>
      </c>
      <c r="D132" s="103">
        <f>Customer!M$60/'Assumptions and Inputs'!$C$21</f>
        <v>41935.9</v>
      </c>
      <c r="E132" s="102">
        <f t="shared" si="45"/>
        <v>184517.96000000002</v>
      </c>
      <c r="F132" s="102">
        <f t="shared" si="46"/>
        <v>1782530.5797959398</v>
      </c>
      <c r="G132" s="103">
        <f>Customer!M$65/'Assumptions and Inputs'!$C$21</f>
        <v>412924.63</v>
      </c>
      <c r="H132" s="102">
        <f t="shared" si="47"/>
        <v>1816868</v>
      </c>
      <c r="I132" s="102">
        <f t="shared" si="48"/>
        <v>1762180.2731999999</v>
      </c>
      <c r="J132" s="104">
        <f t="shared" si="51"/>
        <v>-20350.30659593991</v>
      </c>
      <c r="L132" s="102">
        <v>1669230.2535833237</v>
      </c>
      <c r="M132" s="103">
        <v>38067.066666666455</v>
      </c>
      <c r="N132" s="102">
        <v>167495</v>
      </c>
      <c r="O132" s="102">
        <v>1456533.0224504657</v>
      </c>
      <c r="P132" s="103">
        <v>414741.3775</v>
      </c>
      <c r="Q132" s="102">
        <v>1824862</v>
      </c>
      <c r="R132" s="102">
        <v>1769933.6538</v>
      </c>
      <c r="S132" s="104">
        <v>313400.63134953426</v>
      </c>
      <c r="U132" s="104">
        <f t="shared" si="52"/>
        <v>-333750.93794547417</v>
      </c>
    </row>
    <row r="133" spans="1:21" x14ac:dyDescent="0.35">
      <c r="A133" s="147">
        <v>11</v>
      </c>
      <c r="B133" s="97">
        <f t="shared" si="49"/>
        <v>45839</v>
      </c>
      <c r="C133" s="98">
        <f>Customer!N$11*'Assumptions and Inputs'!$C$49</f>
        <v>2045453.6476</v>
      </c>
      <c r="D133" s="99">
        <f>Customer!N$60/'Assumptions and Inputs'!$C$21</f>
        <v>42362.6</v>
      </c>
      <c r="E133" s="98">
        <f t="shared" si="45"/>
        <v>186395.44</v>
      </c>
      <c r="F133" s="98">
        <f t="shared" si="46"/>
        <v>1803100.55555124</v>
      </c>
      <c r="G133" s="99">
        <f>Customer!N$65/'Assumptions and Inputs'!$C$21</f>
        <v>427530</v>
      </c>
      <c r="H133" s="100">
        <f t="shared" si="47"/>
        <v>1881132</v>
      </c>
      <c r="I133" s="100">
        <f t="shared" si="48"/>
        <v>1824509.9268</v>
      </c>
      <c r="J133" s="98">
        <f t="shared" si="51"/>
        <v>21409.371248760028</v>
      </c>
      <c r="L133" s="98">
        <v>1669230.2535833237</v>
      </c>
      <c r="M133" s="99">
        <v>38067.066666666455</v>
      </c>
      <c r="N133" s="98">
        <v>167495</v>
      </c>
      <c r="O133" s="98">
        <v>1456533.0224504657</v>
      </c>
      <c r="P133" s="99">
        <v>414741.3775</v>
      </c>
      <c r="Q133" s="100">
        <v>1824862</v>
      </c>
      <c r="R133" s="100">
        <v>1769933.6538</v>
      </c>
      <c r="S133" s="98">
        <v>313400.63134953426</v>
      </c>
      <c r="U133" s="98">
        <f t="shared" si="52"/>
        <v>-291991.26010077423</v>
      </c>
    </row>
    <row r="134" spans="1:21" x14ac:dyDescent="0.35">
      <c r="A134" s="147">
        <v>12</v>
      </c>
      <c r="B134" s="101">
        <f t="shared" si="49"/>
        <v>45870</v>
      </c>
      <c r="C134" s="102">
        <f>Customer!O$11*'Assumptions and Inputs'!$C$49</f>
        <v>2190385.3583999998</v>
      </c>
      <c r="D134" s="103">
        <f>Customer!O$60/'Assumptions and Inputs'!$C$21</f>
        <v>44977.1</v>
      </c>
      <c r="E134" s="102">
        <f t="shared" si="45"/>
        <v>197899.24000000002</v>
      </c>
      <c r="F134" s="102">
        <f>(C134-E134)*$F$120</f>
        <v>1932512.2862361597</v>
      </c>
      <c r="G134" s="103">
        <f>Customer!O$65/'Assumptions and Inputs'!$C$21</f>
        <v>443338.47499999998</v>
      </c>
      <c r="H134" s="102">
        <f t="shared" si="47"/>
        <v>1950689</v>
      </c>
      <c r="I134" s="102">
        <f t="shared" si="48"/>
        <v>1891973.2611</v>
      </c>
      <c r="J134" s="104">
        <f t="shared" ref="J134" si="53">I134-F134</f>
        <v>-40539.025136159733</v>
      </c>
      <c r="L134" s="102">
        <v>1669230.2535833237</v>
      </c>
      <c r="M134" s="103">
        <v>38067.066666666455</v>
      </c>
      <c r="N134" s="102">
        <v>167495</v>
      </c>
      <c r="O134" s="102">
        <v>1456533.0224504657</v>
      </c>
      <c r="P134" s="103">
        <v>414741.3775</v>
      </c>
      <c r="Q134" s="102">
        <v>1824862</v>
      </c>
      <c r="R134" s="102">
        <v>1769933.6538</v>
      </c>
      <c r="S134" s="104">
        <v>313400.63134953426</v>
      </c>
      <c r="U134" s="104">
        <f t="shared" si="52"/>
        <v>-353939.65648569399</v>
      </c>
    </row>
    <row r="135" spans="1:21" ht="5.15" customHeight="1" x14ac:dyDescent="0.35">
      <c r="D135" s="53"/>
      <c r="M135" s="53"/>
    </row>
    <row r="136" spans="1:21" x14ac:dyDescent="0.35">
      <c r="B136" s="105" t="s">
        <v>131</v>
      </c>
      <c r="C136" s="133">
        <f>SUM(C123:C134)</f>
        <v>22981468.591799997</v>
      </c>
      <c r="D136" s="132">
        <f t="shared" ref="D136:I136" si="54">SUM(D123:D134)</f>
        <v>481534.5</v>
      </c>
      <c r="E136" s="133">
        <f t="shared" si="54"/>
        <v>2118751.8000000003</v>
      </c>
      <c r="F136" s="133">
        <f t="shared" si="54"/>
        <v>20234749.016366817</v>
      </c>
      <c r="G136" s="132">
        <f t="shared" si="54"/>
        <v>4932056.1199999992</v>
      </c>
      <c r="H136" s="133">
        <f t="shared" si="54"/>
        <v>21701046</v>
      </c>
      <c r="I136" s="133">
        <f t="shared" si="54"/>
        <v>21047844.515400004</v>
      </c>
      <c r="J136" s="98">
        <f>SUM(J122:J134)</f>
        <v>-5900110.3884898415</v>
      </c>
      <c r="L136" s="133">
        <v>21373614.474716615</v>
      </c>
      <c r="M136" s="132">
        <v>464844.03333333239</v>
      </c>
      <c r="N136" s="133">
        <v>2045314</v>
      </c>
      <c r="O136" s="133">
        <v>18746518.630427647</v>
      </c>
      <c r="P136" s="132">
        <v>4945190.8775000004</v>
      </c>
      <c r="Q136" s="133">
        <v>21758839</v>
      </c>
      <c r="R136" s="133">
        <v>21103897.946099997</v>
      </c>
      <c r="S136" s="98">
        <v>-4355826.5718506742</v>
      </c>
      <c r="U136" s="98">
        <f>J136-S136</f>
        <v>-1544283.8166391673</v>
      </c>
    </row>
    <row r="137" spans="1:21" x14ac:dyDescent="0.35">
      <c r="F137" s="106"/>
      <c r="J137" s="81"/>
      <c r="O137" s="106"/>
    </row>
    <row r="138" spans="1:21" x14ac:dyDescent="0.35">
      <c r="B138" s="1" t="s">
        <v>192</v>
      </c>
      <c r="I138" s="112" t="s">
        <v>193</v>
      </c>
      <c r="J138" s="113">
        <f>J136</f>
        <v>-5900110.3884898415</v>
      </c>
      <c r="K138" s="111"/>
      <c r="L138" s="1" t="s">
        <v>192</v>
      </c>
      <c r="R138" s="112" t="s">
        <v>193</v>
      </c>
      <c r="S138" s="113">
        <f>S136</f>
        <v>-4355826.5718506742</v>
      </c>
      <c r="T138" s="81"/>
      <c r="U138" s="137">
        <f>J138-S138</f>
        <v>-1544283.8166391673</v>
      </c>
    </row>
    <row r="139" spans="1:21" x14ac:dyDescent="0.35">
      <c r="B139" s="159" t="s">
        <v>218</v>
      </c>
      <c r="L139" s="114"/>
    </row>
    <row r="140" spans="1:21" x14ac:dyDescent="0.35">
      <c r="B140" s="114" t="str">
        <f>"(1) - Updated TAP Actual Discounts reflect sewer's "&amp;FIXED('Assumptions and Inputs'!$C$49*100, 1, 0)&amp;"% allocated portion of the Total TAP Discount."</f>
        <v>(1) - Updated TAP Actual Discounts reflect sewer's 58.0% allocated portion of the Total TAP Discount.</v>
      </c>
      <c r="L140" s="114"/>
    </row>
    <row r="141" spans="1:21" x14ac:dyDescent="0.35">
      <c r="B141" s="114" t="s">
        <v>309</v>
      </c>
      <c r="L141" s="114"/>
    </row>
    <row r="142" spans="1:21" x14ac:dyDescent="0.35">
      <c r="B142" s="114" t="s">
        <v>285</v>
      </c>
      <c r="L142" s="114"/>
    </row>
    <row r="143" spans="1:21" x14ac:dyDescent="0.35">
      <c r="B143" s="114"/>
      <c r="L143" s="114"/>
    </row>
    <row r="144" spans="1:21" x14ac:dyDescent="0.35">
      <c r="B144" s="159" t="s">
        <v>219</v>
      </c>
      <c r="K144" s="52"/>
      <c r="L144" s="114"/>
    </row>
    <row r="145" spans="2:12" x14ac:dyDescent="0.35">
      <c r="B145" s="114" t="str">
        <f>"(9) - TAP Actual Discounts reflect sewer's "&amp;FIXED('Assumptions and Inputs'!$C$49*100, 1, 0)&amp;"% allocated portion of the Total TAP Discount."</f>
        <v>(9) - TAP Actual Discounts reflect sewer's 58.0% allocated portion of the Total TAP Discount.</v>
      </c>
      <c r="L145" s="114"/>
    </row>
    <row r="146" spans="2:12" x14ac:dyDescent="0.35">
      <c r="B146" s="114" t="s">
        <v>220</v>
      </c>
    </row>
    <row r="147" spans="2:12" x14ac:dyDescent="0.35">
      <c r="B147" s="114" t="s">
        <v>286</v>
      </c>
    </row>
    <row r="148" spans="2:12" x14ac:dyDescent="0.35">
      <c r="B148" s="114"/>
    </row>
    <row r="149" spans="2:12" x14ac:dyDescent="0.35">
      <c r="B149" s="159" t="s">
        <v>221</v>
      </c>
    </row>
    <row r="150" spans="2:12" x14ac:dyDescent="0.35">
      <c r="B150" s="114" t="str">
        <f>"(3), (6), (11) &amp; (14) - Sewer TAP-R Rates per "&amp;TEXT('Assumptions and Inputs'!F29,)&amp;" "&amp;TEXT('Assumptions and Inputs'!G29,)&amp;"."</f>
        <v>(3), (6), (11) &amp; (14) - Sewer TAP-R Rates per PWD Regulations - Rates and Charges Effective September 1, 2024 Section 10.3(b)(1).</v>
      </c>
    </row>
    <row r="151" spans="2:12" x14ac:dyDescent="0.35">
      <c r="B151" s="114" t="str">
        <f>"(4), (7), (12) &amp; (15) - Adjusted for system-wide collection factor in accordance with  "&amp;'Assumptions and Inputs'!F45&amp;" "&amp;'Assumptions and Inputs'!G45&amp;"."</f>
        <v>(4), (7), (12) &amp; (15) - Adjusted for system-wide collection factor in accordance with  PWD Regulations - Rates and Charges Effective September 1, 2024 Section 10.1(b)(3).</v>
      </c>
    </row>
    <row r="152" spans="2:12" x14ac:dyDescent="0.35"/>
    <row r="153" spans="2:12" x14ac:dyDescent="0.35">
      <c r="C153" s="81"/>
    </row>
    <row r="154" spans="2:12" x14ac:dyDescent="0.35">
      <c r="C154" s="81"/>
    </row>
    <row r="155" spans="2:12" x14ac:dyDescent="0.35">
      <c r="C155" s="81"/>
    </row>
    <row r="156" spans="2:12" x14ac:dyDescent="0.35">
      <c r="C156" s="81"/>
    </row>
    <row r="157" spans="2:12" x14ac:dyDescent="0.35">
      <c r="C157" s="81"/>
    </row>
    <row r="158" spans="2:12" x14ac:dyDescent="0.35">
      <c r="C158" s="81"/>
    </row>
    <row r="159" spans="2:12" x14ac:dyDescent="0.35">
      <c r="C159" s="81"/>
    </row>
    <row r="160" spans="2:12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</sheetData>
  <printOptions horizontalCentered="1"/>
  <pageMargins left="0.7" right="0.7" top="0.75" bottom="0.75" header="0.3" footer="0.3"/>
  <pageSetup scale="49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81:D81 G81 C121:D1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4" tint="-0.249977111117893"/>
    <pageSetUpPr fitToPage="1"/>
  </sheetPr>
  <dimension ref="A1:U111"/>
  <sheetViews>
    <sheetView zoomScaleNormal="100" workbookViewId="0">
      <selection activeCell="E5" sqref="E5"/>
    </sheetView>
  </sheetViews>
  <sheetFormatPr defaultColWidth="0" defaultRowHeight="14.5" zeroHeight="1" x14ac:dyDescent="0.35"/>
  <cols>
    <col min="1" max="1" width="9.26953125" style="1" customWidth="1"/>
    <col min="2" max="6" width="20.54296875" style="1" customWidth="1"/>
    <col min="7" max="7" width="32.26953125" style="1" bestFit="1" customWidth="1"/>
    <col min="8" max="8" width="30.54296875" style="1" customWidth="1"/>
    <col min="9" max="9" width="9.26953125" style="1" customWidth="1"/>
    <col min="10" max="10" width="9.453125" style="1" customWidth="1"/>
    <col min="11" max="18" width="9.26953125" style="1" customWidth="1"/>
    <col min="19" max="21" width="0" style="1" hidden="1" customWidth="1"/>
    <col min="22" max="16384" width="9.26953125" style="1" hidden="1"/>
  </cols>
  <sheetData>
    <row r="1" spans="2:11" x14ac:dyDescent="0.35"/>
    <row r="2" spans="2:11" x14ac:dyDescent="0.35">
      <c r="B2" s="62" t="s">
        <v>30</v>
      </c>
      <c r="C2" s="63"/>
      <c r="D2" s="63"/>
      <c r="E2" s="63"/>
      <c r="F2" s="63"/>
      <c r="G2" s="63"/>
      <c r="H2" s="63"/>
    </row>
    <row r="3" spans="2:11" x14ac:dyDescent="0.35">
      <c r="B3" s="62" t="s">
        <v>223</v>
      </c>
      <c r="C3" s="63"/>
      <c r="D3" s="63"/>
      <c r="E3" s="63"/>
      <c r="F3" s="63"/>
      <c r="G3" s="63"/>
      <c r="H3" s="63"/>
    </row>
    <row r="4" spans="2:11" x14ac:dyDescent="0.35"/>
    <row r="5" spans="2:11" x14ac:dyDescent="0.35">
      <c r="B5" s="83" t="s">
        <v>167</v>
      </c>
      <c r="C5" s="83" t="s">
        <v>224</v>
      </c>
      <c r="D5" s="83" t="s">
        <v>172</v>
      </c>
      <c r="E5" s="84" t="s">
        <v>225</v>
      </c>
      <c r="F5" s="84" t="s">
        <v>226</v>
      </c>
      <c r="G5" s="84" t="s">
        <v>227</v>
      </c>
      <c r="H5" s="83" t="s">
        <v>228</v>
      </c>
    </row>
    <row r="6" spans="2:11" x14ac:dyDescent="0.35">
      <c r="B6" s="84" t="s">
        <v>164</v>
      </c>
      <c r="C6" s="84" t="s">
        <v>181</v>
      </c>
      <c r="D6" s="84" t="s">
        <v>177</v>
      </c>
      <c r="E6" s="84" t="s">
        <v>229</v>
      </c>
      <c r="F6" s="84" t="s">
        <v>229</v>
      </c>
      <c r="G6" s="84" t="s">
        <v>230</v>
      </c>
      <c r="H6" s="84" t="s">
        <v>231</v>
      </c>
    </row>
    <row r="7" spans="2:11" x14ac:dyDescent="0.35">
      <c r="B7" s="84"/>
      <c r="C7" s="84" t="s">
        <v>232</v>
      </c>
      <c r="D7" s="84" t="s">
        <v>183</v>
      </c>
      <c r="E7" s="84" t="s">
        <v>232</v>
      </c>
      <c r="F7" s="84" t="s">
        <v>232</v>
      </c>
      <c r="G7" s="84" t="s">
        <v>233</v>
      </c>
      <c r="H7" s="84" t="s">
        <v>234</v>
      </c>
    </row>
    <row r="8" spans="2:11" x14ac:dyDescent="0.35">
      <c r="B8" s="84"/>
      <c r="C8" s="84" t="s">
        <v>235</v>
      </c>
      <c r="D8" s="84" t="s">
        <v>235</v>
      </c>
      <c r="E8" s="86">
        <f>'Assumptions and Inputs'!$C$95</f>
        <v>-0.68567460098524413</v>
      </c>
      <c r="F8" s="86"/>
      <c r="G8" s="84" t="s">
        <v>232</v>
      </c>
      <c r="H8" s="84" t="s">
        <v>232</v>
      </c>
    </row>
    <row r="9" spans="2:11" x14ac:dyDescent="0.35">
      <c r="B9" s="89"/>
      <c r="C9" s="90" t="s">
        <v>139</v>
      </c>
      <c r="D9" s="90" t="s">
        <v>141</v>
      </c>
      <c r="E9" s="90" t="str">
        <f>"(3) = (2) * $ "&amp;FIXED(E8,3,)&amp;"/Mcf"</f>
        <v>(3) = (2) * $ -0.686/Mcf</v>
      </c>
      <c r="F9" s="90" t="str">
        <f>"(4) = (3) + (1)"</f>
        <v>(4) = (3) + (1)</v>
      </c>
      <c r="G9" s="90" t="s">
        <v>236</v>
      </c>
      <c r="H9" s="90" t="str">
        <f>"(6) = (5) * ["&amp;FIXED('Assumptions and Inputs'!$C$56*100,2,TRUE)&amp;"% / 12]"</f>
        <v>(6) = (5) * [3.47% / 12]</v>
      </c>
    </row>
    <row r="10" spans="2:11" x14ac:dyDescent="0.35">
      <c r="B10" s="92"/>
      <c r="C10" s="93"/>
      <c r="D10" s="93"/>
      <c r="E10" s="93"/>
      <c r="F10" s="93"/>
      <c r="G10" s="160"/>
      <c r="H10" s="93"/>
    </row>
    <row r="11" spans="2:11" x14ac:dyDescent="0.35">
      <c r="B11" s="97">
        <f>'E-Factor'!B11</f>
        <v>45901</v>
      </c>
      <c r="C11" s="161">
        <f>'E-Factor'!J11</f>
        <v>84923.972980199847</v>
      </c>
      <c r="D11" s="162">
        <f>'E-Factor'!G11</f>
        <v>458755.35</v>
      </c>
      <c r="E11" s="161">
        <f>$E$8*$D11</f>
        <v>-314556.89156109601</v>
      </c>
      <c r="F11" s="161">
        <f>E11+C11</f>
        <v>-229632.91858089616</v>
      </c>
      <c r="G11" s="161">
        <f>F11</f>
        <v>-229632.91858089616</v>
      </c>
      <c r="H11" s="163">
        <f>G11*('Assumptions and Inputs'!$C$56)/12</f>
        <v>-664.0218562297581</v>
      </c>
      <c r="K11" s="164"/>
    </row>
    <row r="12" spans="2:11" x14ac:dyDescent="0.35">
      <c r="B12" s="101">
        <f>'E-Factor'!B12</f>
        <v>45931</v>
      </c>
      <c r="C12" s="165">
        <f>'E-Factor'!J12</f>
        <v>-91288.026313739829</v>
      </c>
      <c r="D12" s="166">
        <f>'E-Factor'!G12</f>
        <v>471560.94000000006</v>
      </c>
      <c r="E12" s="165">
        <f t="shared" ref="E12:E22" si="0">$E$8*$D12</f>
        <v>-323337.35937472672</v>
      </c>
      <c r="F12" s="165">
        <f t="shared" ref="F12:F22" si="1">E12+C12</f>
        <v>-414625.38568846654</v>
      </c>
      <c r="G12" s="165">
        <f>G11+F12</f>
        <v>-644258.30426936271</v>
      </c>
      <c r="H12" s="167">
        <f>G12*('Assumptions and Inputs'!$C$56)/12</f>
        <v>-1862.9802631789073</v>
      </c>
      <c r="K12" s="164"/>
    </row>
    <row r="13" spans="2:11" x14ac:dyDescent="0.35">
      <c r="B13" s="97">
        <f>'E-Factor'!B13</f>
        <v>45962</v>
      </c>
      <c r="C13" s="161">
        <f>'E-Factor'!J13</f>
        <v>-6627.3144380999729</v>
      </c>
      <c r="D13" s="162">
        <f>'E-Factor'!G13</f>
        <v>357289.03500000003</v>
      </c>
      <c r="E13" s="161">
        <f t="shared" si="0"/>
        <v>-244984.01651002796</v>
      </c>
      <c r="F13" s="161">
        <f t="shared" si="1"/>
        <v>-251611.33094812793</v>
      </c>
      <c r="G13" s="161">
        <f t="shared" ref="G13:G22" si="2">G12+F13</f>
        <v>-895869.63521749061</v>
      </c>
      <c r="H13" s="163">
        <f>G13*('Assumptions and Inputs'!$C$56)/12</f>
        <v>-2590.5563618372439</v>
      </c>
      <c r="K13" s="164"/>
    </row>
    <row r="14" spans="2:11" x14ac:dyDescent="0.35">
      <c r="B14" s="101">
        <f>'E-Factor'!B14</f>
        <v>45992</v>
      </c>
      <c r="C14" s="165">
        <f>'E-Factor'!J14</f>
        <v>-176591.48596280976</v>
      </c>
      <c r="D14" s="166">
        <f>'E-Factor'!G14</f>
        <v>429225.37</v>
      </c>
      <c r="E14" s="165">
        <f t="shared" si="0"/>
        <v>-294308.93430749379</v>
      </c>
      <c r="F14" s="165">
        <f t="shared" si="1"/>
        <v>-470900.42027030356</v>
      </c>
      <c r="G14" s="165">
        <f t="shared" si="2"/>
        <v>-1366770.0554877941</v>
      </c>
      <c r="H14" s="167">
        <f>G14*('Assumptions and Inputs'!$C$56)/12</f>
        <v>-3952.2434104522049</v>
      </c>
      <c r="K14" s="164"/>
    </row>
    <row r="15" spans="2:11" x14ac:dyDescent="0.35">
      <c r="B15" s="97">
        <f>'E-Factor'!B15</f>
        <v>46023</v>
      </c>
      <c r="C15" s="161">
        <f>'E-Factor'!J15</f>
        <v>-259447.07917215</v>
      </c>
      <c r="D15" s="162">
        <f>'E-Factor'!G15</f>
        <v>442460.07999999996</v>
      </c>
      <c r="E15" s="161">
        <f t="shared" si="0"/>
        <v>-303383.63880589919</v>
      </c>
      <c r="F15" s="161">
        <f t="shared" si="1"/>
        <v>-562830.71797804919</v>
      </c>
      <c r="G15" s="161">
        <f t="shared" si="2"/>
        <v>-1929600.7734658434</v>
      </c>
      <c r="H15" s="163">
        <f>G15*('Assumptions and Inputs'!$C$56)/12</f>
        <v>-5579.7622366053974</v>
      </c>
      <c r="K15" s="164"/>
    </row>
    <row r="16" spans="2:11" x14ac:dyDescent="0.35">
      <c r="B16" s="101">
        <f>'E-Factor'!B16</f>
        <v>46054</v>
      </c>
      <c r="C16" s="165">
        <f>'E-Factor'!J16</f>
        <v>-197929.21358043002</v>
      </c>
      <c r="D16" s="166">
        <f>'E-Factor'!G16</f>
        <v>397496.29</v>
      </c>
      <c r="E16" s="165">
        <f t="shared" si="0"/>
        <v>-272553.11003886489</v>
      </c>
      <c r="F16" s="165">
        <f t="shared" si="1"/>
        <v>-470482.32361929491</v>
      </c>
      <c r="G16" s="165">
        <f t="shared" si="2"/>
        <v>-2400083.0970851383</v>
      </c>
      <c r="H16" s="167">
        <f>G16*('Assumptions and Inputs'!$C$56)/12</f>
        <v>-6940.2402890711919</v>
      </c>
      <c r="K16" s="164"/>
    </row>
    <row r="17" spans="2:11" x14ac:dyDescent="0.35">
      <c r="B17" s="97">
        <f>'E-Factor'!B17</f>
        <v>46082</v>
      </c>
      <c r="C17" s="161">
        <f>'E-Factor'!J17</f>
        <v>-252347.28439247957</v>
      </c>
      <c r="D17" s="162">
        <f>'E-Factor'!G17</f>
        <v>422277.49000000005</v>
      </c>
      <c r="E17" s="161">
        <f t="shared" si="0"/>
        <v>-289544.94946080045</v>
      </c>
      <c r="F17" s="161">
        <f t="shared" si="1"/>
        <v>-541892.23385328008</v>
      </c>
      <c r="G17" s="161">
        <f t="shared" si="2"/>
        <v>-2941975.3309384184</v>
      </c>
      <c r="H17" s="163">
        <f>G17*('Assumptions and Inputs'!$C$56)/12</f>
        <v>-8507.2119986302605</v>
      </c>
      <c r="K17" s="164"/>
    </row>
    <row r="18" spans="2:11" x14ac:dyDescent="0.35">
      <c r="B18" s="101">
        <f>'E-Factor'!B18</f>
        <v>46113</v>
      </c>
      <c r="C18" s="165">
        <f>'E-Factor'!J18</f>
        <v>-185928.45834033238</v>
      </c>
      <c r="D18" s="166">
        <f>'E-Factor'!G18</f>
        <v>430469.47333333333</v>
      </c>
      <c r="E18" s="165">
        <f t="shared" si="0"/>
        <v>-295161.9843641615</v>
      </c>
      <c r="F18" s="165">
        <f t="shared" si="1"/>
        <v>-481090.44270449388</v>
      </c>
      <c r="G18" s="165">
        <f t="shared" si="2"/>
        <v>-3423065.7736429125</v>
      </c>
      <c r="H18" s="167">
        <f>G18*('Assumptions and Inputs'!$C$56)/12</f>
        <v>-9898.3651954507568</v>
      </c>
      <c r="K18" s="164"/>
    </row>
    <row r="19" spans="2:11" x14ac:dyDescent="0.35">
      <c r="B19" s="97">
        <f>'E-Factor'!B19</f>
        <v>46143</v>
      </c>
      <c r="C19" s="161">
        <f>'E-Factor'!J19</f>
        <v>-190138.62560718297</v>
      </c>
      <c r="D19" s="162">
        <f>'E-Factor'!G19</f>
        <v>430469.47333333333</v>
      </c>
      <c r="E19" s="161">
        <f t="shared" si="0"/>
        <v>-295161.9843641615</v>
      </c>
      <c r="F19" s="161">
        <f t="shared" si="1"/>
        <v>-485300.60997134447</v>
      </c>
      <c r="G19" s="161">
        <f t="shared" si="2"/>
        <v>-3908366.383614257</v>
      </c>
      <c r="H19" s="163">
        <f>G19*('Assumptions and Inputs'!$C$56)/12</f>
        <v>-11301.692792617892</v>
      </c>
      <c r="K19" s="164"/>
    </row>
    <row r="20" spans="2:11" x14ac:dyDescent="0.35">
      <c r="B20" s="101">
        <f>'E-Factor'!B20</f>
        <v>46174</v>
      </c>
      <c r="C20" s="165">
        <f>'E-Factor'!J20</f>
        <v>-194358.37564795092</v>
      </c>
      <c r="D20" s="166">
        <f>'E-Factor'!G20</f>
        <v>430469.47333333333</v>
      </c>
      <c r="E20" s="165">
        <f t="shared" si="0"/>
        <v>-295161.9843641615</v>
      </c>
      <c r="F20" s="165">
        <f t="shared" si="1"/>
        <v>-489520.36001211242</v>
      </c>
      <c r="G20" s="165">
        <f t="shared" si="2"/>
        <v>-4397886.7436263692</v>
      </c>
      <c r="H20" s="167">
        <f>G20*('Assumptions and Inputs'!$C$56)/12</f>
        <v>-12717.222500319585</v>
      </c>
      <c r="K20" s="164"/>
    </row>
    <row r="21" spans="2:11" x14ac:dyDescent="0.35">
      <c r="B21" s="97">
        <f>'E-Factor'!B21</f>
        <v>46204</v>
      </c>
      <c r="C21" s="161">
        <f>'E-Factor'!J21</f>
        <v>-198589.67586607067</v>
      </c>
      <c r="D21" s="162">
        <f>'E-Factor'!G21</f>
        <v>430469.47333333333</v>
      </c>
      <c r="E21" s="161">
        <f t="shared" si="0"/>
        <v>-295161.9843641615</v>
      </c>
      <c r="F21" s="161">
        <f t="shared" si="1"/>
        <v>-493751.66023023217</v>
      </c>
      <c r="G21" s="161">
        <f t="shared" si="2"/>
        <v>-4891638.4038566016</v>
      </c>
      <c r="H21" s="163">
        <f>G21*('Assumptions and Inputs'!$C$56)/12</f>
        <v>-14144.987717818673</v>
      </c>
      <c r="K21" s="164"/>
    </row>
    <row r="22" spans="2:11" x14ac:dyDescent="0.35">
      <c r="B22" s="101">
        <f>'E-Factor'!B22</f>
        <v>46235</v>
      </c>
      <c r="C22" s="165">
        <f>'E-Factor'!J22</f>
        <v>-202830.61653698538</v>
      </c>
      <c r="D22" s="166">
        <f>'E-Factor'!G22</f>
        <v>430469.47333333333</v>
      </c>
      <c r="E22" s="165">
        <f t="shared" si="0"/>
        <v>-295161.9843641615</v>
      </c>
      <c r="F22" s="165">
        <f t="shared" si="1"/>
        <v>-497992.60090114689</v>
      </c>
      <c r="G22" s="165">
        <f t="shared" si="2"/>
        <v>-5389631.0047577489</v>
      </c>
      <c r="H22" s="167">
        <f>G22*('Assumptions and Inputs'!$C$56)/12</f>
        <v>-15585.016322091158</v>
      </c>
      <c r="K22" s="164"/>
    </row>
    <row r="23" spans="2:11" x14ac:dyDescent="0.35">
      <c r="B23" s="105" t="s">
        <v>131</v>
      </c>
      <c r="C23" s="133"/>
      <c r="D23" s="133"/>
      <c r="E23" s="133"/>
      <c r="F23" s="133"/>
      <c r="G23" s="168"/>
      <c r="H23" s="133">
        <f>SUM(H11:H22)</f>
        <v>-93744.300944303031</v>
      </c>
    </row>
    <row r="24" spans="2:11" x14ac:dyDescent="0.35">
      <c r="B24" s="96"/>
      <c r="C24" s="106"/>
      <c r="D24" s="106"/>
      <c r="E24" s="106"/>
      <c r="F24" s="106"/>
      <c r="G24" s="169"/>
      <c r="H24" s="106"/>
    </row>
    <row r="25" spans="2:11" x14ac:dyDescent="0.35">
      <c r="B25" s="108"/>
      <c r="C25" s="109"/>
      <c r="D25" s="109"/>
      <c r="E25" s="109"/>
      <c r="F25" s="109"/>
      <c r="G25" s="110" t="s">
        <v>190</v>
      </c>
      <c r="H25" s="109">
        <f>'I-Factor PRIOR'!N93</f>
        <v>-10697.069791753558</v>
      </c>
    </row>
    <row r="26" spans="2:11" x14ac:dyDescent="0.35">
      <c r="C26" s="81"/>
      <c r="D26" s="81"/>
      <c r="E26" s="81"/>
      <c r="F26" s="81"/>
      <c r="H26" s="45"/>
    </row>
    <row r="27" spans="2:11" x14ac:dyDescent="0.35">
      <c r="G27" s="112" t="s">
        <v>237</v>
      </c>
      <c r="H27" s="113">
        <f>H23+H25</f>
        <v>-104441.37073605659</v>
      </c>
      <c r="I27" s="111" t="s">
        <v>238</v>
      </c>
    </row>
    <row r="28" spans="2:11" x14ac:dyDescent="0.35">
      <c r="B28" s="52" t="s">
        <v>192</v>
      </c>
      <c r="H28" s="45"/>
    </row>
    <row r="29" spans="2:11" x14ac:dyDescent="0.35">
      <c r="B29" s="305" t="s">
        <v>239</v>
      </c>
    </row>
    <row r="30" spans="2:11" x14ac:dyDescent="0.35">
      <c r="B30" s="305" t="s">
        <v>240</v>
      </c>
    </row>
    <row r="31" spans="2:11" x14ac:dyDescent="0.35">
      <c r="B31" s="305" t="s">
        <v>289</v>
      </c>
    </row>
    <row r="32" spans="2:11" x14ac:dyDescent="0.35">
      <c r="B32" s="305" t="s">
        <v>242</v>
      </c>
    </row>
    <row r="33" spans="2:11" x14ac:dyDescent="0.35">
      <c r="B33" s="305" t="str">
        <f>"(6) Interest calculated monthly based on 1-year interest rate for constant maturity U.S. Treasury Securities"</f>
        <v>(6) Interest calculated monthly based on 1-year interest rate for constant maturity U.S. Treasury Securities</v>
      </c>
    </row>
    <row r="34" spans="2:11" x14ac:dyDescent="0.35">
      <c r="B34" s="307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35" spans="2:11" x14ac:dyDescent="0.35"/>
    <row r="36" spans="2:11" x14ac:dyDescent="0.35">
      <c r="B36" s="62" t="s">
        <v>30</v>
      </c>
      <c r="C36" s="63"/>
      <c r="D36" s="63"/>
      <c r="E36" s="63"/>
      <c r="F36" s="63"/>
      <c r="G36" s="63"/>
      <c r="H36" s="63"/>
    </row>
    <row r="37" spans="2:11" x14ac:dyDescent="0.35">
      <c r="B37" s="62" t="s">
        <v>243</v>
      </c>
      <c r="C37" s="63"/>
      <c r="D37" s="63"/>
      <c r="E37" s="63"/>
      <c r="F37" s="63"/>
      <c r="G37" s="63"/>
      <c r="H37" s="63"/>
    </row>
    <row r="38" spans="2:11" x14ac:dyDescent="0.35"/>
    <row r="39" spans="2:11" x14ac:dyDescent="0.35">
      <c r="B39" s="83" t="s">
        <v>167</v>
      </c>
      <c r="C39" s="83" t="s">
        <v>224</v>
      </c>
      <c r="D39" s="83" t="s">
        <v>172</v>
      </c>
      <c r="E39" s="84" t="s">
        <v>225</v>
      </c>
      <c r="F39" s="84" t="s">
        <v>226</v>
      </c>
      <c r="G39" s="83" t="s">
        <v>227</v>
      </c>
      <c r="H39" s="83" t="s">
        <v>228</v>
      </c>
    </row>
    <row r="40" spans="2:11" x14ac:dyDescent="0.35">
      <c r="B40" s="84" t="s">
        <v>164</v>
      </c>
      <c r="C40" s="84" t="s">
        <v>181</v>
      </c>
      <c r="D40" s="84" t="s">
        <v>199</v>
      </c>
      <c r="E40" s="84" t="s">
        <v>229</v>
      </c>
      <c r="F40" s="84" t="s">
        <v>229</v>
      </c>
      <c r="G40" s="84" t="s">
        <v>230</v>
      </c>
      <c r="H40" s="84" t="s">
        <v>231</v>
      </c>
    </row>
    <row r="41" spans="2:11" x14ac:dyDescent="0.35">
      <c r="B41" s="84"/>
      <c r="C41" s="84" t="s">
        <v>244</v>
      </c>
      <c r="D41" s="84" t="s">
        <v>183</v>
      </c>
      <c r="E41" s="84" t="s">
        <v>244</v>
      </c>
      <c r="F41" s="84" t="s">
        <v>244</v>
      </c>
      <c r="G41" s="84" t="s">
        <v>233</v>
      </c>
      <c r="H41" s="84" t="s">
        <v>234</v>
      </c>
    </row>
    <row r="42" spans="2:11" x14ac:dyDescent="0.35">
      <c r="B42" s="84"/>
      <c r="C42" s="84" t="s">
        <v>245</v>
      </c>
      <c r="D42" s="84" t="s">
        <v>245</v>
      </c>
      <c r="E42" s="86">
        <f>'Assumptions and Inputs'!$C$96</f>
        <v>-0.9956233773775105</v>
      </c>
      <c r="F42" s="86"/>
      <c r="G42" s="84" t="s">
        <v>244</v>
      </c>
      <c r="H42" s="84" t="s">
        <v>244</v>
      </c>
    </row>
    <row r="43" spans="2:11" x14ac:dyDescent="0.35">
      <c r="B43" s="89"/>
      <c r="C43" s="90" t="s">
        <v>139</v>
      </c>
      <c r="D43" s="90" t="s">
        <v>141</v>
      </c>
      <c r="E43" s="90" t="str">
        <f>"(3) = (2) * $ "&amp;FIXED(E42,3,)&amp;"/Mcf"</f>
        <v>(3) = (2) * $ -0.996/Mcf</v>
      </c>
      <c r="F43" s="90" t="str">
        <f>"(4) = (3) + (1)"</f>
        <v>(4) = (3) + (1)</v>
      </c>
      <c r="G43" s="90" t="s">
        <v>236</v>
      </c>
      <c r="H43" s="90" t="str">
        <f>"(6) = (5) * ["&amp;FIXED('Assumptions and Inputs'!$C$56*100,2,TRUE)&amp;"% / 12]"</f>
        <v>(6) = (5) * [3.47% / 12]</v>
      </c>
    </row>
    <row r="44" spans="2:11" x14ac:dyDescent="0.35">
      <c r="B44" s="92"/>
      <c r="C44" s="93"/>
      <c r="D44" s="93"/>
      <c r="E44" s="93"/>
      <c r="F44" s="93"/>
      <c r="G44" s="95"/>
      <c r="H44" s="93"/>
    </row>
    <row r="45" spans="2:11" x14ac:dyDescent="0.35">
      <c r="B45" s="97">
        <f>'E-Factor'!B49</f>
        <v>45901</v>
      </c>
      <c r="C45" s="161">
        <f>'E-Factor'!J49</f>
        <v>127084.03705980023</v>
      </c>
      <c r="D45" s="162">
        <f>'E-Factor'!G49</f>
        <v>430854.755</v>
      </c>
      <c r="E45" s="161">
        <f>$E$42*$D45</f>
        <v>-428969.06633225986</v>
      </c>
      <c r="F45" s="161">
        <f>E45+C45</f>
        <v>-301885.02927245962</v>
      </c>
      <c r="G45" s="161">
        <f>F45</f>
        <v>-301885.02927245962</v>
      </c>
      <c r="H45" s="163">
        <f>G45*('Assumptions and Inputs'!$C$56)/12</f>
        <v>-872.95087631286242</v>
      </c>
      <c r="K45" s="170"/>
    </row>
    <row r="46" spans="2:11" x14ac:dyDescent="0.35">
      <c r="B46" s="101">
        <f>'E-Factor'!B50</f>
        <v>45931</v>
      </c>
      <c r="C46" s="165">
        <f>'E-Factor'!J50</f>
        <v>-99906.650704259519</v>
      </c>
      <c r="D46" s="166">
        <f>'E-Factor'!G50</f>
        <v>444078.72000000003</v>
      </c>
      <c r="E46" s="165">
        <f t="shared" ref="E46:E56" si="3">$E$42*$D46</f>
        <v>-442135.15502788185</v>
      </c>
      <c r="F46" s="165">
        <f t="shared" ref="F46:F56" si="4">E46+C46</f>
        <v>-542041.80573214137</v>
      </c>
      <c r="G46" s="165">
        <f>G45+F46</f>
        <v>-843926.83500460093</v>
      </c>
      <c r="H46" s="167">
        <f>G46*('Assumptions and Inputs'!$C$56)/12</f>
        <v>-2440.3550978883045</v>
      </c>
      <c r="K46" s="170"/>
    </row>
    <row r="47" spans="2:11" x14ac:dyDescent="0.35">
      <c r="B47" s="97">
        <f>'E-Factor'!B51</f>
        <v>45962</v>
      </c>
      <c r="C47" s="161">
        <f>'E-Factor'!J51</f>
        <v>7872.961868100334</v>
      </c>
      <c r="D47" s="162">
        <f>'E-Factor'!G51</f>
        <v>336689.505</v>
      </c>
      <c r="E47" s="161">
        <f t="shared" si="3"/>
        <v>-335215.94209566223</v>
      </c>
      <c r="F47" s="161">
        <f t="shared" si="4"/>
        <v>-327342.9802275619</v>
      </c>
      <c r="G47" s="161">
        <f t="shared" ref="G47:G56" si="5">G46+F47</f>
        <v>-1171269.8152321628</v>
      </c>
      <c r="H47" s="163">
        <f>G47*('Assumptions and Inputs'!$C$56)/12</f>
        <v>-3386.9218823796709</v>
      </c>
      <c r="K47" s="170"/>
    </row>
    <row r="48" spans="2:11" x14ac:dyDescent="0.35">
      <c r="B48" s="101">
        <f>'E-Factor'!B52</f>
        <v>45992</v>
      </c>
      <c r="C48" s="165">
        <f>'E-Factor'!J52</f>
        <v>-181377.97330418951</v>
      </c>
      <c r="D48" s="166">
        <f>'E-Factor'!G52</f>
        <v>410857.16499999998</v>
      </c>
      <c r="E48" s="165">
        <f t="shared" si="3"/>
        <v>-409058.99823704909</v>
      </c>
      <c r="F48" s="165">
        <f t="shared" si="4"/>
        <v>-590436.9715412386</v>
      </c>
      <c r="G48" s="165">
        <f t="shared" si="5"/>
        <v>-1761706.7867734013</v>
      </c>
      <c r="H48" s="167">
        <f>G48*('Assumptions and Inputs'!$C$56)/12</f>
        <v>-5094.2687917530857</v>
      </c>
      <c r="K48" s="170"/>
    </row>
    <row r="49" spans="2:11" x14ac:dyDescent="0.35">
      <c r="B49" s="97">
        <f>'E-Factor'!B53</f>
        <v>46023</v>
      </c>
      <c r="C49" s="161">
        <f>'E-Factor'!J53</f>
        <v>-300034.67403284949</v>
      </c>
      <c r="D49" s="162">
        <f>'E-Factor'!G53</f>
        <v>421358.67499999999</v>
      </c>
      <c r="E49" s="161">
        <f t="shared" si="3"/>
        <v>-419514.54709081276</v>
      </c>
      <c r="F49" s="161">
        <f t="shared" si="4"/>
        <v>-719549.22112366231</v>
      </c>
      <c r="G49" s="161">
        <f t="shared" si="5"/>
        <v>-2481256.0078970636</v>
      </c>
      <c r="H49" s="163">
        <f>G49*('Assumptions and Inputs'!$C$56)/12</f>
        <v>-7174.9652895023428</v>
      </c>
      <c r="K49" s="170"/>
    </row>
    <row r="50" spans="2:11" x14ac:dyDescent="0.35">
      <c r="B50" s="101">
        <f>'E-Factor'!B54</f>
        <v>46054</v>
      </c>
      <c r="C50" s="165">
        <f>'E-Factor'!J54</f>
        <v>-221293.58892056975</v>
      </c>
      <c r="D50" s="166">
        <f>'E-Factor'!G54</f>
        <v>378892.685</v>
      </c>
      <c r="E50" s="165">
        <f t="shared" si="3"/>
        <v>-377234.41470333323</v>
      </c>
      <c r="F50" s="165">
        <f t="shared" si="4"/>
        <v>-598528.00362390303</v>
      </c>
      <c r="G50" s="165">
        <f t="shared" si="5"/>
        <v>-3079784.0115209669</v>
      </c>
      <c r="H50" s="167">
        <f>G50*('Assumptions and Inputs'!$C$56)/12</f>
        <v>-8905.7087666481293</v>
      </c>
      <c r="K50" s="170"/>
    </row>
    <row r="51" spans="2:11" x14ac:dyDescent="0.35">
      <c r="B51" s="97">
        <f>'E-Factor'!B55</f>
        <v>46082</v>
      </c>
      <c r="C51" s="161">
        <f>'E-Factor'!J55</f>
        <v>-290958.47054351983</v>
      </c>
      <c r="D51" s="162">
        <f>'E-Factor'!G55</f>
        <v>402410.07</v>
      </c>
      <c r="E51" s="161">
        <f t="shared" si="3"/>
        <v>-400648.87298412045</v>
      </c>
      <c r="F51" s="161">
        <f t="shared" si="4"/>
        <v>-691607.34352764022</v>
      </c>
      <c r="G51" s="161">
        <f t="shared" si="5"/>
        <v>-3771391.3550486071</v>
      </c>
      <c r="H51" s="163">
        <f>G51*('Assumptions and Inputs'!$C$56)/12</f>
        <v>-10905.60666834889</v>
      </c>
      <c r="K51" s="170"/>
    </row>
    <row r="52" spans="2:11" x14ac:dyDescent="0.35">
      <c r="B52" s="101">
        <f>'E-Factor'!B56</f>
        <v>46113</v>
      </c>
      <c r="C52" s="165">
        <f>'E-Factor'!J56</f>
        <v>-217435.94864416122</v>
      </c>
      <c r="D52" s="166">
        <f>'E-Factor'!G56</f>
        <v>407142.80874999997</v>
      </c>
      <c r="E52" s="165">
        <f t="shared" si="3"/>
        <v>-405360.8983226408</v>
      </c>
      <c r="F52" s="165">
        <f t="shared" si="4"/>
        <v>-622796.84696680203</v>
      </c>
      <c r="G52" s="165">
        <f t="shared" si="5"/>
        <v>-4394188.2020154092</v>
      </c>
      <c r="H52" s="167">
        <f>G52*('Assumptions and Inputs'!$C$56)/12</f>
        <v>-12706.527550827892</v>
      </c>
      <c r="K52" s="170"/>
    </row>
    <row r="53" spans="2:11" x14ac:dyDescent="0.35">
      <c r="B53" s="97">
        <f>'E-Factor'!B57</f>
        <v>46143</v>
      </c>
      <c r="C53" s="161">
        <f>'E-Factor'!J57</f>
        <v>-222981.79290952161</v>
      </c>
      <c r="D53" s="162">
        <f>'E-Factor'!G57</f>
        <v>407142.80874999997</v>
      </c>
      <c r="E53" s="161">
        <f t="shared" si="3"/>
        <v>-405360.8983226408</v>
      </c>
      <c r="F53" s="161">
        <f t="shared" si="4"/>
        <v>-628342.69123216241</v>
      </c>
      <c r="G53" s="161">
        <f t="shared" si="5"/>
        <v>-5022530.8932475718</v>
      </c>
      <c r="H53" s="163">
        <f>G53*('Assumptions and Inputs'!$C$56)/12</f>
        <v>-14523.485166307562</v>
      </c>
      <c r="K53" s="170"/>
    </row>
    <row r="54" spans="2:11" x14ac:dyDescent="0.35">
      <c r="B54" s="101">
        <f>'E-Factor'!B58</f>
        <v>46174</v>
      </c>
      <c r="C54" s="165">
        <f>'E-Factor'!J58</f>
        <v>-228540.97109379526</v>
      </c>
      <c r="D54" s="166">
        <f>'E-Factor'!G58</f>
        <v>407142.80874999997</v>
      </c>
      <c r="E54" s="165">
        <f t="shared" si="3"/>
        <v>-405360.8983226408</v>
      </c>
      <c r="F54" s="165">
        <f t="shared" si="4"/>
        <v>-633901.86941643606</v>
      </c>
      <c r="G54" s="165">
        <f t="shared" si="5"/>
        <v>-5656432.762664008</v>
      </c>
      <c r="H54" s="167">
        <f>G54*('Assumptions and Inputs'!$C$56)/12</f>
        <v>-16356.518072036757</v>
      </c>
      <c r="K54" s="170"/>
    </row>
    <row r="55" spans="2:11" x14ac:dyDescent="0.35">
      <c r="B55" s="97">
        <f>'E-Factor'!B59</f>
        <v>46204</v>
      </c>
      <c r="C55" s="161">
        <f>'E-Factor'!J59</f>
        <v>-234114.49067827966</v>
      </c>
      <c r="D55" s="162">
        <f>'E-Factor'!G59</f>
        <v>407142.80874999997</v>
      </c>
      <c r="E55" s="161">
        <f t="shared" si="3"/>
        <v>-405360.8983226408</v>
      </c>
      <c r="F55" s="161">
        <f t="shared" si="4"/>
        <v>-639475.38900092046</v>
      </c>
      <c r="G55" s="161">
        <f t="shared" si="5"/>
        <v>-6295908.1516649285</v>
      </c>
      <c r="H55" s="163">
        <f>G55*('Assumptions and Inputs'!$C$56)/12</f>
        <v>-18205.667738564418</v>
      </c>
      <c r="K55" s="170"/>
    </row>
    <row r="56" spans="2:11" x14ac:dyDescent="0.35">
      <c r="B56" s="101">
        <f>'E-Factor'!B60</f>
        <v>46235</v>
      </c>
      <c r="C56" s="165">
        <f>'E-Factor'!J60</f>
        <v>-239702.38993972447</v>
      </c>
      <c r="D56" s="166">
        <f>'E-Factor'!G60</f>
        <v>407142.80874999997</v>
      </c>
      <c r="E56" s="165">
        <f t="shared" si="3"/>
        <v>-405360.8983226408</v>
      </c>
      <c r="F56" s="165">
        <f t="shared" si="4"/>
        <v>-645063.28826236527</v>
      </c>
      <c r="G56" s="165">
        <f t="shared" si="5"/>
        <v>-6940971.4399272939</v>
      </c>
      <c r="H56" s="167">
        <f>G56*('Assumptions and Inputs'!$C$56)/12</f>
        <v>-20070.975747123091</v>
      </c>
      <c r="K56" s="170"/>
    </row>
    <row r="57" spans="2:11" x14ac:dyDescent="0.35">
      <c r="B57" s="105" t="s">
        <v>131</v>
      </c>
      <c r="C57" s="133"/>
      <c r="D57" s="133"/>
      <c r="E57" s="133"/>
      <c r="F57" s="133"/>
      <c r="G57" s="171"/>
      <c r="H57" s="133">
        <f>SUM(H45:H56)</f>
        <v>-120643.951647693</v>
      </c>
    </row>
    <row r="58" spans="2:11" x14ac:dyDescent="0.35">
      <c r="B58" s="96"/>
      <c r="C58" s="106"/>
      <c r="D58" s="106"/>
      <c r="E58" s="106"/>
      <c r="F58" s="106"/>
      <c r="G58" s="169"/>
      <c r="H58" s="106"/>
    </row>
    <row r="59" spans="2:11" x14ac:dyDescent="0.35">
      <c r="B59" s="108"/>
      <c r="C59" s="109"/>
      <c r="D59" s="109"/>
      <c r="E59" s="109"/>
      <c r="F59" s="109"/>
      <c r="G59" s="110" t="s">
        <v>190</v>
      </c>
      <c r="H59" s="109">
        <f>'I-Factor PRIOR'!N125</f>
        <v>-14673.28740867805</v>
      </c>
    </row>
    <row r="60" spans="2:11" x14ac:dyDescent="0.35">
      <c r="H60" s="45"/>
    </row>
    <row r="61" spans="2:11" x14ac:dyDescent="0.35">
      <c r="G61" s="112" t="s">
        <v>237</v>
      </c>
      <c r="H61" s="113">
        <f>H57+H59</f>
        <v>-135317.23905637104</v>
      </c>
      <c r="I61" s="111" t="s">
        <v>238</v>
      </c>
    </row>
    <row r="62" spans="2:11" x14ac:dyDescent="0.35">
      <c r="B62" s="52" t="s">
        <v>192</v>
      </c>
      <c r="H62" s="45"/>
    </row>
    <row r="63" spans="2:11" x14ac:dyDescent="0.35">
      <c r="B63" s="305" t="s">
        <v>246</v>
      </c>
    </row>
    <row r="64" spans="2:11" x14ac:dyDescent="0.35">
      <c r="B64" s="305" t="s">
        <v>247</v>
      </c>
    </row>
    <row r="65" spans="2:2" x14ac:dyDescent="0.35">
      <c r="B65" s="305" t="s">
        <v>290</v>
      </c>
    </row>
    <row r="66" spans="2:2" x14ac:dyDescent="0.35">
      <c r="B66" s="305" t="s">
        <v>242</v>
      </c>
    </row>
    <row r="67" spans="2:2" x14ac:dyDescent="0.35">
      <c r="B67" s="305" t="str">
        <f>"(3) Interest calculated monthly based on 1-year interest rate for constant maturity U.S. Treasury Securities"</f>
        <v>(3) Interest calculated monthly based on 1-year interest rate for constant maturity U.S. Treasury Securities</v>
      </c>
    </row>
    <row r="68" spans="2:2" x14ac:dyDescent="0.35">
      <c r="B68" s="307" t="str">
        <f>"as published in the Federal Reserve Statistical Release H.15 (519) on "&amp;TEXT('Assumptions and Inputs'!$C$57,"MMMM DD, YYYY")&amp;"."</f>
        <v>as published in the Federal Reserve Statistical Release H.15 (519) on January 02, 2026.</v>
      </c>
    </row>
    <row r="69" spans="2:2" x14ac:dyDescent="0.35"/>
    <row r="70" spans="2:2" x14ac:dyDescent="0.35"/>
    <row r="71" spans="2:2" x14ac:dyDescent="0.35"/>
    <row r="72" spans="2:2" x14ac:dyDescent="0.35"/>
    <row r="73" spans="2:2" x14ac:dyDescent="0.35"/>
    <row r="74" spans="2:2" x14ac:dyDescent="0.35"/>
    <row r="75" spans="2:2" x14ac:dyDescent="0.35"/>
    <row r="76" spans="2:2" x14ac:dyDescent="0.35"/>
    <row r="77" spans="2:2" x14ac:dyDescent="0.35"/>
    <row r="78" spans="2:2" x14ac:dyDescent="0.35"/>
    <row r="79" spans="2:2" x14ac:dyDescent="0.35"/>
    <row r="80" spans="2:2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</sheetData>
  <printOptions horizontalCentered="1"/>
  <pageMargins left="0.7" right="0.7" top="0.75" bottom="0.75" header="0.3" footer="0.3"/>
  <pageSetup scale="51" orientation="landscape" r:id="rId1"/>
  <headerFooter scaleWithDoc="0">
    <oddHeader xml:space="preserve">&amp;LTAP Rate Rider
Effective September 1, 2026&amp;RTAP Rider Reconciliation Calculations
</oddHeader>
    <oddFooter>&amp;LBlack &amp;&amp; Veatch&amp;C&amp;P&amp;RFebruary 2026</oddFooter>
  </headerFooter>
  <ignoredErrors>
    <ignoredError sqref="C43 C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0982D-8269-4AA5-8785-B9434E7EBCCA}">
  <ds:schemaRefs>
    <ds:schemaRef ds:uri="http://purl.org/dc/elements/1.1/"/>
    <ds:schemaRef ds:uri="http://purl.org/dc/terms/"/>
    <ds:schemaRef ds:uri="74a816c8-2012-4a06-9eee-7fac2e12fc01"/>
    <ds:schemaRef ds:uri="1ecad1bf-37b2-4fe5-8d43-af4e731dea56"/>
    <ds:schemaRef ds:uri="http://schemas.microsoft.com/office/2006/documentManagement/types"/>
    <ds:schemaRef ds:uri="http://purl.org/dc/dcmitype/"/>
    <ds:schemaRef ds:uri="c1eecfb3-5e1e-4c14-a199-821554a453d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6C3F40-B0F4-4A67-85FA-26666D3E8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BA9AB-C7B6-41DB-A3D0-0D9C40748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Home</vt:lpstr>
      <vt:lpstr>Table of Contents</vt:lpstr>
      <vt:lpstr>Assumptions and Inputs</vt:lpstr>
      <vt:lpstr>Customer</vt:lpstr>
      <vt:lpstr>Summary</vt:lpstr>
      <vt:lpstr>C-Factor</vt:lpstr>
      <vt:lpstr>E-Factor</vt:lpstr>
      <vt:lpstr>E-Factor PRIOR</vt:lpstr>
      <vt:lpstr>I-Factor</vt:lpstr>
      <vt:lpstr>I-Factor PRIOR</vt:lpstr>
      <vt:lpstr>Rates</vt:lpstr>
      <vt:lpstr>'C-Factor'!Print_Area</vt:lpstr>
      <vt:lpstr>Customer!Print_Area</vt:lpstr>
      <vt:lpstr>'E-Factor'!Print_Area</vt:lpstr>
      <vt:lpstr>'E-Factor PRIOR'!Print_Area</vt:lpstr>
      <vt:lpstr>'I-Factor'!Print_Area</vt:lpstr>
      <vt:lpstr>'I-Factor PRIOR'!Print_Area</vt:lpstr>
      <vt:lpstr>Rates!Print_Area</vt:lpstr>
      <vt:lpstr>Summary!Print_Area</vt:lpstr>
      <vt:lpstr>'Table of Contents'!Print_Area</vt:lpstr>
      <vt:lpstr>Customer!Print_Titles</vt:lpstr>
    </vt:vector>
  </TitlesOfParts>
  <Manager/>
  <Company>Black &amp; Veatch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Merritt, Brian L.</dc:creator>
  <cp:keywords/>
  <dc:description/>
  <cp:lastModifiedBy>Jagt, Dave A.</cp:lastModifiedBy>
  <cp:revision/>
  <cp:lastPrinted>2026-02-06T13:19:23Z</cp:lastPrinted>
  <dcterms:created xsi:type="dcterms:W3CDTF">2018-04-12T12:14:16Z</dcterms:created>
  <dcterms:modified xsi:type="dcterms:W3CDTF">2026-04-14T13:44:02Z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