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raftelis.sharepoint.com/sites/RaftelisHome/Project_Data_D/Pennsylvania/PHILADELPHIA WATER DEPT/Rate Proceedings/2026 TAP-R Rate Case/"/>
    </mc:Choice>
  </mc:AlternateContent>
  <xr:revisionPtr revIDLastSave="124" documentId="13_ncr:1_{6961EF15-51EE-4098-AE36-7F2AD65BF39D}" xr6:coauthVersionLast="47" xr6:coauthVersionMax="47" xr10:uidLastSave="{A9D0E488-B401-492D-A753-08DACF6BA949}"/>
  <bookViews>
    <workbookView xWindow="12877" yWindow="0" windowWidth="13125" windowHeight="15563" firstSheet="2" activeTab="7" xr2:uid="{048FF7AF-5DF2-46CD-93FF-8D9BEC5401FD}"/>
  </bookViews>
  <sheets>
    <sheet name="Cover" sheetId="27" r:id="rId1"/>
    <sheet name="Table of Contents" sheetId="26" r:id="rId2"/>
    <sheet name="TRR_Summary" sheetId="16" r:id="rId3"/>
    <sheet name="TRR_Projections" sheetId="23" r:id="rId4"/>
    <sheet name="Combined Data" sheetId="32" r:id="rId5"/>
    <sheet name="DR_1" sheetId="35" r:id="rId6"/>
    <sheet name="DR_2" sheetId="36" r:id="rId7"/>
    <sheet name="Data Source" sheetId="17" r:id="rId8"/>
    <sheet name="051018 Model_Applications" sheetId="28" state="hidden" r:id="rId9"/>
    <sheet name="051018 Model_Assumptions" sheetId="29" state="hidden" r:id="rId10"/>
    <sheet name="051018 Model_Model" sheetId="30" state="hidden" r:id="rId11"/>
    <sheet name="051018 Model_Cost Estimates" sheetId="31" state="hidden" r:id="rId12"/>
  </sheets>
  <externalReferences>
    <externalReference r:id="rId13"/>
  </externalReferences>
  <definedNames>
    <definedName name="_xlnm.Print_Area" localSheetId="0">Cover!$A$1:$I$11</definedName>
    <definedName name="_xlnm.Print_Area" localSheetId="7">'Data Source'!$A$1:$K$5</definedName>
    <definedName name="_xlnm.Print_Area" localSheetId="5">DR_1!$O$1:$Y$20</definedName>
    <definedName name="_xlnm.Print_Area" localSheetId="6">DR_2!$O$1:$Y$20</definedName>
    <definedName name="_xlnm.Print_Area" localSheetId="1">'Table of Contents'!$A$1:$B$8</definedName>
    <definedName name="_xlnm.Print_Area" localSheetId="3">TRR_Projections!$N$1:$BE$16</definedName>
    <definedName name="_xlnm.Print_Titles" localSheetId="5">DR_1!$A:$B</definedName>
    <definedName name="_xlnm.Print_Titles" localSheetId="6">DR_2!$A:$B</definedName>
    <definedName name="_xlnm.Print_Titles" localSheetId="3">TRR_Projections!$A:$A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" i="36" l="1"/>
  <c r="AM2" i="36" s="1"/>
  <c r="AN3" i="36"/>
  <c r="AN2" i="36" s="1"/>
  <c r="AO3" i="36"/>
  <c r="AO2" i="36" s="1"/>
  <c r="AM4" i="36"/>
  <c r="AM13" i="36" s="1"/>
  <c r="AN4" i="36"/>
  <c r="AN13" i="36" s="1"/>
  <c r="AO4" i="36"/>
  <c r="AO13" i="36" s="1"/>
  <c r="AM3" i="35"/>
  <c r="AM2" i="35" s="1"/>
  <c r="AN3" i="35"/>
  <c r="AN2" i="35" s="1"/>
  <c r="AO3" i="35"/>
  <c r="AO2" i="35" s="1"/>
  <c r="AM4" i="35"/>
  <c r="AM13" i="35" s="1"/>
  <c r="AN4" i="35"/>
  <c r="AN13" i="35" s="1"/>
  <c r="AO4" i="35"/>
  <c r="AO13" i="35" s="1"/>
  <c r="AM5" i="35"/>
  <c r="AM14" i="35" s="1"/>
  <c r="AN5" i="35"/>
  <c r="AN14" i="35" s="1"/>
  <c r="AO5" i="35"/>
  <c r="AO14" i="35" s="1"/>
  <c r="AM6" i="35"/>
  <c r="AN6" i="35"/>
  <c r="AO6" i="35"/>
  <c r="AM7" i="35"/>
  <c r="AN7" i="35"/>
  <c r="AO7" i="35"/>
  <c r="AM8" i="35"/>
  <c r="AN8" i="35"/>
  <c r="AO8" i="35"/>
  <c r="AM9" i="35"/>
  <c r="AN9" i="35"/>
  <c r="AO9" i="35"/>
  <c r="AM10" i="35"/>
  <c r="AM16" i="35" s="1"/>
  <c r="AN10" i="35"/>
  <c r="AN16" i="35" s="1"/>
  <c r="AO10" i="35"/>
  <c r="AO16" i="35" s="1"/>
  <c r="B4" i="16"/>
  <c r="AO15" i="35" l="1"/>
  <c r="AN15" i="35"/>
  <c r="AM15" i="35"/>
  <c r="AO5" i="36"/>
  <c r="AO14" i="36" s="1"/>
  <c r="AO6" i="36"/>
  <c r="AO7" i="36"/>
  <c r="AO8" i="36"/>
  <c r="AO9" i="36"/>
  <c r="AO10" i="36"/>
  <c r="AO16" i="36" s="1"/>
  <c r="AN5" i="36"/>
  <c r="AN14" i="36" s="1"/>
  <c r="AN6" i="36"/>
  <c r="AN7" i="36"/>
  <c r="AN8" i="36"/>
  <c r="AN9" i="36"/>
  <c r="AN10" i="36"/>
  <c r="AN16" i="36" s="1"/>
  <c r="AM5" i="36"/>
  <c r="AM14" i="36" s="1"/>
  <c r="AM6" i="36"/>
  <c r="AM7" i="36"/>
  <c r="AM8" i="36"/>
  <c r="AM9" i="36"/>
  <c r="AM10" i="36"/>
  <c r="AM16" i="36" s="1"/>
  <c r="AL5" i="23"/>
  <c r="AM5" i="23"/>
  <c r="AN5" i="23"/>
  <c r="AL6" i="23"/>
  <c r="AM6" i="23"/>
  <c r="AN6" i="23"/>
  <c r="AL7" i="23"/>
  <c r="AM7" i="23"/>
  <c r="AN7" i="23"/>
  <c r="AM8" i="23"/>
  <c r="AL9" i="23"/>
  <c r="AM9" i="23"/>
  <c r="AN9" i="23"/>
  <c r="AM10" i="23"/>
  <c r="AL11" i="23"/>
  <c r="AM11" i="23"/>
  <c r="AN11" i="23"/>
  <c r="C10" i="36"/>
  <c r="C16" i="36" s="1"/>
  <c r="C9" i="36"/>
  <c r="C8" i="36"/>
  <c r="C7" i="36"/>
  <c r="C6" i="36"/>
  <c r="C5" i="36"/>
  <c r="C14" i="36" s="1"/>
  <c r="C9" i="35"/>
  <c r="C10" i="35"/>
  <c r="C16" i="35" s="1"/>
  <c r="C7" i="35"/>
  <c r="C8" i="35"/>
  <c r="C6" i="35"/>
  <c r="C5" i="35"/>
  <c r="C14" i="35" s="1"/>
  <c r="A1" i="36"/>
  <c r="A1" i="35"/>
  <c r="X7" i="23"/>
  <c r="X5" i="23"/>
  <c r="Y7" i="23"/>
  <c r="Y5" i="23"/>
  <c r="Z7" i="23"/>
  <c r="Z5" i="23"/>
  <c r="AA7" i="23"/>
  <c r="AA5" i="23"/>
  <c r="AB7" i="23"/>
  <c r="AB5" i="23"/>
  <c r="AC7" i="23"/>
  <c r="AC5" i="23"/>
  <c r="AD7" i="23"/>
  <c r="AD5" i="23"/>
  <c r="AE7" i="23"/>
  <c r="AE5" i="23"/>
  <c r="AF7" i="23"/>
  <c r="AF5" i="23"/>
  <c r="AG7" i="23"/>
  <c r="AG5" i="23"/>
  <c r="AH7" i="23"/>
  <c r="AH5" i="23"/>
  <c r="AI7" i="23"/>
  <c r="AI5" i="23"/>
  <c r="Q7" i="23"/>
  <c r="Q5" i="23"/>
  <c r="L7" i="23"/>
  <c r="L5" i="23"/>
  <c r="M7" i="23"/>
  <c r="M5" i="23"/>
  <c r="N7" i="23"/>
  <c r="N5" i="23"/>
  <c r="O7" i="23"/>
  <c r="O5" i="23"/>
  <c r="P7" i="23"/>
  <c r="P5" i="23"/>
  <c r="R7" i="23"/>
  <c r="R5" i="23"/>
  <c r="S7" i="23"/>
  <c r="S5" i="23"/>
  <c r="T7" i="23"/>
  <c r="T5" i="23"/>
  <c r="U7" i="23"/>
  <c r="U5" i="23"/>
  <c r="V7" i="23"/>
  <c r="V5" i="23"/>
  <c r="W7" i="23"/>
  <c r="W5" i="23"/>
  <c r="B7" i="23"/>
  <c r="B5" i="23"/>
  <c r="C7" i="23"/>
  <c r="C5" i="23"/>
  <c r="D7" i="23"/>
  <c r="D5" i="23"/>
  <c r="E7" i="23"/>
  <c r="E5" i="23"/>
  <c r="F7" i="23"/>
  <c r="F5" i="23"/>
  <c r="G7" i="23"/>
  <c r="G5" i="23"/>
  <c r="H7" i="23"/>
  <c r="H5" i="23"/>
  <c r="I7" i="23"/>
  <c r="I5" i="23"/>
  <c r="J7" i="23"/>
  <c r="J5" i="23"/>
  <c r="K7" i="23"/>
  <c r="K5" i="23"/>
  <c r="AJ7" i="23"/>
  <c r="AJ5" i="23"/>
  <c r="AK7" i="23"/>
  <c r="AK5" i="23"/>
  <c r="N1" i="23"/>
  <c r="O1" i="23"/>
  <c r="P1" i="23"/>
  <c r="Q1" i="23"/>
  <c r="R1" i="23"/>
  <c r="S1" i="23"/>
  <c r="T1" i="23"/>
  <c r="U1" i="23"/>
  <c r="V1" i="23"/>
  <c r="W1" i="23"/>
  <c r="X1" i="23"/>
  <c r="Y1" i="23"/>
  <c r="Z1" i="23"/>
  <c r="AA1" i="23"/>
  <c r="AB1" i="23"/>
  <c r="AI1" i="23"/>
  <c r="AJ1" i="23"/>
  <c r="AK1" i="23"/>
  <c r="AL1" i="23"/>
  <c r="AM1" i="23"/>
  <c r="AN1" i="23"/>
  <c r="AO1" i="23"/>
  <c r="AP1" i="23"/>
  <c r="AQ1" i="23"/>
  <c r="AR1" i="23"/>
  <c r="AS1" i="23"/>
  <c r="AT1" i="23"/>
  <c r="AD1" i="23"/>
  <c r="AE1" i="23"/>
  <c r="AF1" i="23"/>
  <c r="AG1" i="23"/>
  <c r="AH1" i="23"/>
  <c r="AC1" i="23"/>
  <c r="B6" i="23"/>
  <c r="B8" i="23"/>
  <c r="B10" i="23" s="1"/>
  <c r="C6" i="23"/>
  <c r="C8" i="23" s="1"/>
  <c r="C10" i="23" s="1"/>
  <c r="D6" i="23"/>
  <c r="D8" i="23" s="1"/>
  <c r="D10" i="23" s="1"/>
  <c r="E6" i="23"/>
  <c r="E8" i="23" s="1"/>
  <c r="E10" i="23" s="1"/>
  <c r="F6" i="23"/>
  <c r="F8" i="23" s="1"/>
  <c r="F10" i="23" s="1"/>
  <c r="G6" i="23"/>
  <c r="G8" i="23" s="1"/>
  <c r="G10" i="23" s="1"/>
  <c r="H6" i="23"/>
  <c r="H8" i="23" s="1"/>
  <c r="H10" i="23" s="1"/>
  <c r="I6" i="23"/>
  <c r="I8" i="23" s="1"/>
  <c r="I10" i="23" s="1"/>
  <c r="J6" i="23"/>
  <c r="J8" i="23" s="1"/>
  <c r="J10" i="23" s="1"/>
  <c r="K6" i="23"/>
  <c r="K8" i="23" s="1"/>
  <c r="K10" i="23" s="1"/>
  <c r="L6" i="23"/>
  <c r="L8" i="23" s="1"/>
  <c r="L10" i="23" s="1"/>
  <c r="M6" i="23"/>
  <c r="M8" i="23" s="1"/>
  <c r="M10" i="23" s="1"/>
  <c r="N6" i="23"/>
  <c r="N8" i="23" s="1"/>
  <c r="N10" i="23" s="1"/>
  <c r="O6" i="23"/>
  <c r="O8" i="23" s="1"/>
  <c r="O10" i="23" s="1"/>
  <c r="P6" i="23"/>
  <c r="P8" i="23" s="1"/>
  <c r="P10" i="23" s="1"/>
  <c r="Q6" i="23"/>
  <c r="Q8" i="23" s="1"/>
  <c r="Q10" i="23" s="1"/>
  <c r="R6" i="23"/>
  <c r="R8" i="23" s="1"/>
  <c r="R10" i="23" s="1"/>
  <c r="S6" i="23"/>
  <c r="S8" i="23" s="1"/>
  <c r="S10" i="23" s="1"/>
  <c r="T6" i="23"/>
  <c r="T8" i="23" s="1"/>
  <c r="T10" i="23" s="1"/>
  <c r="U6" i="23"/>
  <c r="U8" i="23" s="1"/>
  <c r="U10" i="23" s="1"/>
  <c r="V6" i="23"/>
  <c r="V8" i="23"/>
  <c r="V10" i="23" s="1"/>
  <c r="W6" i="23"/>
  <c r="W8" i="23" s="1"/>
  <c r="W10" i="23" s="1"/>
  <c r="X6" i="23"/>
  <c r="X8" i="23" s="1"/>
  <c r="X10" i="23" s="1"/>
  <c r="Y6" i="23"/>
  <c r="Y8" i="23" s="1"/>
  <c r="Y10" i="23" s="1"/>
  <c r="Z6" i="23"/>
  <c r="Z8" i="23"/>
  <c r="Z10" i="23" s="1"/>
  <c r="AA6" i="23"/>
  <c r="AA8" i="23" s="1"/>
  <c r="AA10" i="23" s="1"/>
  <c r="AB6" i="23"/>
  <c r="AB8" i="23" s="1"/>
  <c r="AB10" i="23" s="1"/>
  <c r="AC6" i="23"/>
  <c r="AC8" i="23" s="1"/>
  <c r="AC10" i="23" s="1"/>
  <c r="AD6" i="23"/>
  <c r="AD8" i="23" s="1"/>
  <c r="AD10" i="23" s="1"/>
  <c r="AE6" i="23"/>
  <c r="AE8" i="23" s="1"/>
  <c r="AE10" i="23" s="1"/>
  <c r="AF6" i="23"/>
  <c r="AF8" i="23" s="1"/>
  <c r="AF10" i="23" s="1"/>
  <c r="AG6" i="23"/>
  <c r="AG8" i="23" s="1"/>
  <c r="AG10" i="23" s="1"/>
  <c r="AH6" i="23"/>
  <c r="AH8" i="23" s="1"/>
  <c r="AH10" i="23" s="1"/>
  <c r="AI6" i="23"/>
  <c r="AI8" i="23" s="1"/>
  <c r="AI10" i="23" s="1"/>
  <c r="AJ6" i="23"/>
  <c r="AJ8" i="23" s="1"/>
  <c r="AJ10" i="23" s="1"/>
  <c r="AK6" i="23"/>
  <c r="AK8" i="23" s="1"/>
  <c r="AK10" i="23" s="1"/>
  <c r="AO6" i="23"/>
  <c r="AO8" i="23"/>
  <c r="AO10" i="23" s="1"/>
  <c r="AP6" i="23"/>
  <c r="AP8" i="23" s="1"/>
  <c r="AP10" i="23" s="1"/>
  <c r="AQ6" i="23"/>
  <c r="AQ8" i="23"/>
  <c r="AQ10" i="23" s="1"/>
  <c r="AR6" i="23"/>
  <c r="AR8" i="23" s="1"/>
  <c r="AR10" i="23" s="1"/>
  <c r="AS6" i="23"/>
  <c r="AS8" i="23"/>
  <c r="AS10" i="23" s="1"/>
  <c r="AT6" i="23"/>
  <c r="AT8" i="23" s="1"/>
  <c r="AT10" i="23" s="1"/>
  <c r="AU6" i="23"/>
  <c r="AU8" i="23"/>
  <c r="AU10" i="23" s="1"/>
  <c r="AV6" i="23"/>
  <c r="AV8" i="23" s="1"/>
  <c r="AV10" i="23" s="1"/>
  <c r="AW6" i="23"/>
  <c r="AW8" i="23"/>
  <c r="AW10" i="23" s="1"/>
  <c r="AX6" i="23"/>
  <c r="AX8" i="23" s="1"/>
  <c r="AX10" i="23" s="1"/>
  <c r="AY6" i="23"/>
  <c r="AY8" i="23"/>
  <c r="AY10" i="23" s="1"/>
  <c r="AZ6" i="23"/>
  <c r="AZ8" i="23" s="1"/>
  <c r="AZ10" i="23" s="1"/>
  <c r="BA6" i="23"/>
  <c r="BA8" i="23"/>
  <c r="BA10" i="23" s="1"/>
  <c r="BB6" i="23"/>
  <c r="BB8" i="23" s="1"/>
  <c r="BB10" i="23" s="1"/>
  <c r="BC6" i="23"/>
  <c r="BC8" i="23"/>
  <c r="BC10" i="23" s="1"/>
  <c r="BD6" i="23"/>
  <c r="BD8" i="23" s="1"/>
  <c r="BD10" i="23" s="1"/>
  <c r="BE6" i="23"/>
  <c r="BE8" i="23"/>
  <c r="BE10" i="23" s="1"/>
  <c r="C9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AI9" i="23"/>
  <c r="AJ9" i="23"/>
  <c r="AK9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AI11" i="23"/>
  <c r="AJ11" i="23"/>
  <c r="AK11" i="23"/>
  <c r="B11" i="23"/>
  <c r="B9" i="23"/>
  <c r="B11" i="16"/>
  <c r="B10" i="16"/>
  <c r="BC1" i="23"/>
  <c r="BB1" i="23"/>
  <c r="BD1" i="23"/>
  <c r="AW1" i="23"/>
  <c r="B12" i="16"/>
  <c r="C1" i="23"/>
  <c r="D12" i="16"/>
  <c r="B13" i="16"/>
  <c r="AX1" i="23"/>
  <c r="AZ1" i="23"/>
  <c r="BA1" i="23"/>
  <c r="AU1" i="23"/>
  <c r="AY1" i="23"/>
  <c r="BE1" i="23"/>
  <c r="AV1" i="23"/>
  <c r="D13" i="16"/>
  <c r="F1" i="23"/>
  <c r="L1" i="23"/>
  <c r="D1" i="23"/>
  <c r="M1" i="23"/>
  <c r="H1" i="23"/>
  <c r="I1" i="23"/>
  <c r="J1" i="23"/>
  <c r="E1" i="23"/>
  <c r="K1" i="23"/>
  <c r="G1" i="23"/>
  <c r="B1" i="23"/>
  <c r="A1" i="31"/>
  <c r="C13" i="30"/>
  <c r="C14" i="30"/>
  <c r="D3" i="31"/>
  <c r="E13" i="30"/>
  <c r="C7" i="29"/>
  <c r="G12" i="30"/>
  <c r="E12" i="30"/>
  <c r="D12" i="30"/>
  <c r="E11" i="30"/>
  <c r="D11" i="30"/>
  <c r="E10" i="30"/>
  <c r="D10" i="30"/>
  <c r="E9" i="30"/>
  <c r="D9" i="30"/>
  <c r="E8" i="30"/>
  <c r="D8" i="30"/>
  <c r="E7" i="30"/>
  <c r="D7" i="30"/>
  <c r="D6" i="30"/>
  <c r="D5" i="30"/>
  <c r="I7" i="29"/>
  <c r="I5" i="29"/>
  <c r="G8" i="30"/>
  <c r="I9" i="29"/>
  <c r="C15" i="30"/>
  <c r="E14" i="30"/>
  <c r="C16" i="30"/>
  <c r="E15" i="30"/>
  <c r="F14" i="30"/>
  <c r="B3" i="31"/>
  <c r="E16" i="30"/>
  <c r="C17" i="30"/>
  <c r="E17" i="30"/>
  <c r="C18" i="30"/>
  <c r="E18" i="30"/>
  <c r="C19" i="30"/>
  <c r="E19" i="30"/>
  <c r="C20" i="30"/>
  <c r="E20" i="30"/>
  <c r="C21" i="30"/>
  <c r="E21" i="30"/>
  <c r="C22" i="30"/>
  <c r="E22" i="30"/>
  <c r="C23" i="30"/>
  <c r="E23" i="30"/>
  <c r="C24" i="30"/>
  <c r="E24" i="30"/>
  <c r="C25" i="30"/>
  <c r="E25" i="30"/>
  <c r="C26" i="30"/>
  <c r="C27" i="30"/>
  <c r="D4" i="31"/>
  <c r="C4" i="31"/>
  <c r="E26" i="30"/>
  <c r="F26" i="30"/>
  <c r="B4" i="31"/>
  <c r="C28" i="30"/>
  <c r="E27" i="30"/>
  <c r="C29" i="30"/>
  <c r="E28" i="30"/>
  <c r="C30" i="30"/>
  <c r="E29" i="30"/>
  <c r="C31" i="30"/>
  <c r="E30" i="30"/>
  <c r="C32" i="30"/>
  <c r="E31" i="30"/>
  <c r="C33" i="30"/>
  <c r="E32" i="30"/>
  <c r="C34" i="30"/>
  <c r="E33" i="30"/>
  <c r="C35" i="30"/>
  <c r="E34" i="30"/>
  <c r="C36" i="30"/>
  <c r="E35" i="30"/>
  <c r="C37" i="30"/>
  <c r="E36" i="30"/>
  <c r="C38" i="30"/>
  <c r="E37" i="30"/>
  <c r="D5" i="31"/>
  <c r="C5" i="31"/>
  <c r="C39" i="30"/>
  <c r="E38" i="30"/>
  <c r="E39" i="30"/>
  <c r="C40" i="30"/>
  <c r="B5" i="31"/>
  <c r="F38" i="30"/>
  <c r="E40" i="30"/>
  <c r="C41" i="30"/>
  <c r="E41" i="30"/>
  <c r="C42" i="30"/>
  <c r="E42" i="30"/>
  <c r="C43" i="30"/>
  <c r="E43" i="30"/>
  <c r="C44" i="30"/>
  <c r="E44" i="30"/>
  <c r="C45" i="30"/>
  <c r="E45" i="30"/>
  <c r="C46" i="30"/>
  <c r="E46" i="30"/>
  <c r="C47" i="30"/>
  <c r="E47" i="30"/>
  <c r="C48" i="30"/>
  <c r="E48" i="30"/>
  <c r="C49" i="30"/>
  <c r="E49" i="30"/>
  <c r="C50" i="30"/>
  <c r="C51" i="30"/>
  <c r="D6" i="31"/>
  <c r="C6" i="31"/>
  <c r="E50" i="30"/>
  <c r="F50" i="30"/>
  <c r="B6" i="31"/>
  <c r="C52" i="30"/>
  <c r="E51" i="30"/>
  <c r="C53" i="30"/>
  <c r="E52" i="30"/>
  <c r="C54" i="30"/>
  <c r="E53" i="30"/>
  <c r="C55" i="30"/>
  <c r="E54" i="30"/>
  <c r="C56" i="30"/>
  <c r="E55" i="30"/>
  <c r="C57" i="30"/>
  <c r="E56" i="30"/>
  <c r="C58" i="30"/>
  <c r="E57" i="30"/>
  <c r="C59" i="30"/>
  <c r="E58" i="30"/>
  <c r="C60" i="30"/>
  <c r="E59" i="30"/>
  <c r="C61" i="30"/>
  <c r="E60" i="30"/>
  <c r="C62" i="30"/>
  <c r="E61" i="30"/>
  <c r="D7" i="31"/>
  <c r="C7" i="31"/>
  <c r="E62" i="30"/>
  <c r="B7" i="31"/>
  <c r="AM15" i="36" l="1"/>
  <c r="AN15" i="36"/>
  <c r="AO15" i="36"/>
  <c r="AN8" i="23"/>
  <c r="AL8" i="23"/>
  <c r="F9" i="16"/>
  <c r="E9" i="16"/>
  <c r="F10" i="16"/>
  <c r="I9" i="16"/>
  <c r="C15" i="36"/>
  <c r="C15" i="35"/>
  <c r="H9" i="16"/>
  <c r="G9" i="16"/>
  <c r="E10" i="16"/>
  <c r="AL10" i="23" l="1"/>
  <c r="AN10" i="23"/>
  <c r="AO5" i="23"/>
  <c r="AP5" i="23" l="1"/>
  <c r="AQ5" i="23" l="1"/>
  <c r="AR5" i="23" l="1"/>
  <c r="AS5" i="23" l="1"/>
  <c r="F11" i="16" s="1"/>
  <c r="E11" i="16" l="1"/>
  <c r="AT5" i="23"/>
  <c r="E12" i="16"/>
  <c r="F12" i="16"/>
  <c r="AU5" i="23" l="1"/>
  <c r="AV5" i="23" l="1"/>
  <c r="AW5" i="23" l="1"/>
  <c r="AX5" i="23" l="1"/>
  <c r="C4" i="35" l="1"/>
  <c r="C13" i="35" s="1"/>
  <c r="D3" i="35"/>
  <c r="C4" i="36"/>
  <c r="C13" i="36" s="1"/>
  <c r="D3" i="36"/>
  <c r="AY5" i="23"/>
  <c r="E3" i="35" l="1"/>
  <c r="D2" i="35"/>
  <c r="E3" i="36"/>
  <c r="D2" i="36"/>
  <c r="D4" i="36" s="1"/>
  <c r="D13" i="36" s="1"/>
  <c r="AZ5" i="23"/>
  <c r="D6" i="36" l="1"/>
  <c r="D8" i="36"/>
  <c r="D10" i="36"/>
  <c r="D16" i="36" s="1"/>
  <c r="D5" i="36"/>
  <c r="D14" i="36" s="1"/>
  <c r="D7" i="36"/>
  <c r="D9" i="36"/>
  <c r="D4" i="35"/>
  <c r="D13" i="35" s="1"/>
  <c r="D5" i="35"/>
  <c r="D14" i="35" s="1"/>
  <c r="D7" i="35"/>
  <c r="D9" i="35"/>
  <c r="D10" i="35"/>
  <c r="D16" i="35" s="1"/>
  <c r="D6" i="35"/>
  <c r="D8" i="35"/>
  <c r="E2" i="35"/>
  <c r="F3" i="35"/>
  <c r="E2" i="36"/>
  <c r="E4" i="36" s="1"/>
  <c r="E13" i="36" s="1"/>
  <c r="F3" i="36"/>
  <c r="BA5" i="23"/>
  <c r="E5" i="36" l="1"/>
  <c r="E14" i="36" s="1"/>
  <c r="E7" i="36"/>
  <c r="E9" i="36"/>
  <c r="E6" i="36"/>
  <c r="E8" i="36"/>
  <c r="E10" i="36"/>
  <c r="E16" i="36" s="1"/>
  <c r="D15" i="36"/>
  <c r="D15" i="35"/>
  <c r="E4" i="35"/>
  <c r="E13" i="35" s="1"/>
  <c r="E6" i="35"/>
  <c r="E8" i="35"/>
  <c r="E10" i="35"/>
  <c r="E16" i="35" s="1"/>
  <c r="E9" i="35"/>
  <c r="E5" i="35"/>
  <c r="E14" i="35" s="1"/>
  <c r="E7" i="35"/>
  <c r="G3" i="36"/>
  <c r="F2" i="36"/>
  <c r="F4" i="36" s="1"/>
  <c r="F13" i="36" s="1"/>
  <c r="G3" i="35"/>
  <c r="F2" i="35"/>
  <c r="BB5" i="23"/>
  <c r="E15" i="36" l="1"/>
  <c r="F5" i="36"/>
  <c r="F14" i="36" s="1"/>
  <c r="F7" i="36"/>
  <c r="F9" i="36"/>
  <c r="F8" i="36"/>
  <c r="F10" i="36"/>
  <c r="F16" i="36" s="1"/>
  <c r="F6" i="36"/>
  <c r="E15" i="35"/>
  <c r="F4" i="35"/>
  <c r="F13" i="35" s="1"/>
  <c r="F6" i="35"/>
  <c r="F8" i="35"/>
  <c r="F10" i="35"/>
  <c r="F16" i="35" s="1"/>
  <c r="F5" i="35"/>
  <c r="F14" i="35" s="1"/>
  <c r="F7" i="35"/>
  <c r="F9" i="35"/>
  <c r="G2" i="36"/>
  <c r="G4" i="36" s="1"/>
  <c r="G13" i="36" s="1"/>
  <c r="H3" i="36"/>
  <c r="G2" i="35"/>
  <c r="H3" i="35"/>
  <c r="BC5" i="23"/>
  <c r="F15" i="36" l="1"/>
  <c r="G6" i="36"/>
  <c r="G8" i="36"/>
  <c r="G10" i="36"/>
  <c r="G16" i="36" s="1"/>
  <c r="G9" i="36"/>
  <c r="G5" i="36"/>
  <c r="G14" i="36" s="1"/>
  <c r="G7" i="36"/>
  <c r="F15" i="35"/>
  <c r="G4" i="35"/>
  <c r="G13" i="35" s="1"/>
  <c r="G5" i="35"/>
  <c r="G14" i="35" s="1"/>
  <c r="G7" i="35"/>
  <c r="G9" i="35"/>
  <c r="G6" i="35"/>
  <c r="G8" i="35"/>
  <c r="G10" i="35"/>
  <c r="G16" i="35" s="1"/>
  <c r="I3" i="35"/>
  <c r="H2" i="35"/>
  <c r="H4" i="35" s="1"/>
  <c r="H13" i="35" s="1"/>
  <c r="I3" i="36"/>
  <c r="H2" i="36"/>
  <c r="H4" i="36" s="1"/>
  <c r="H13" i="36" s="1"/>
  <c r="BD5" i="23"/>
  <c r="H6" i="36" l="1"/>
  <c r="H8" i="36"/>
  <c r="H10" i="36"/>
  <c r="H16" i="36" s="1"/>
  <c r="H5" i="36"/>
  <c r="H14" i="36" s="1"/>
  <c r="H7" i="36"/>
  <c r="H9" i="36"/>
  <c r="G15" i="36"/>
  <c r="G15" i="35"/>
  <c r="H5" i="35"/>
  <c r="H14" i="35" s="1"/>
  <c r="H7" i="35"/>
  <c r="H9" i="35"/>
  <c r="H8" i="35"/>
  <c r="H10" i="35"/>
  <c r="H16" i="35" s="1"/>
  <c r="H6" i="35"/>
  <c r="I2" i="36"/>
  <c r="I4" i="36" s="1"/>
  <c r="I13" i="36" s="1"/>
  <c r="J3" i="36"/>
  <c r="I2" i="35"/>
  <c r="J3" i="35"/>
  <c r="BE5" i="23"/>
  <c r="I5" i="36" l="1"/>
  <c r="I14" i="36" s="1"/>
  <c r="I7" i="36"/>
  <c r="I9" i="36"/>
  <c r="I6" i="36"/>
  <c r="I10" i="36"/>
  <c r="I16" i="36" s="1"/>
  <c r="I8" i="36"/>
  <c r="H15" i="36"/>
  <c r="H15" i="35"/>
  <c r="I4" i="35"/>
  <c r="I13" i="35" s="1"/>
  <c r="I6" i="35"/>
  <c r="I8" i="35"/>
  <c r="I10" i="35"/>
  <c r="I16" i="35" s="1"/>
  <c r="I5" i="35"/>
  <c r="I14" i="35" s="1"/>
  <c r="I7" i="35"/>
  <c r="I9" i="35"/>
  <c r="K3" i="36"/>
  <c r="J2" i="36"/>
  <c r="J4" i="36" s="1"/>
  <c r="J13" i="36" s="1"/>
  <c r="K3" i="35"/>
  <c r="J2" i="35"/>
  <c r="F13" i="16"/>
  <c r="E13" i="16"/>
  <c r="I15" i="36" l="1"/>
  <c r="J5" i="36"/>
  <c r="J14" i="36" s="1"/>
  <c r="J7" i="36"/>
  <c r="J9" i="36"/>
  <c r="J6" i="36"/>
  <c r="J8" i="36"/>
  <c r="J10" i="36"/>
  <c r="J16" i="36" s="1"/>
  <c r="I15" i="35"/>
  <c r="J4" i="35"/>
  <c r="J13" i="35" s="1"/>
  <c r="J6" i="35"/>
  <c r="J8" i="35"/>
  <c r="J10" i="35"/>
  <c r="J16" i="35" s="1"/>
  <c r="J7" i="35"/>
  <c r="J9" i="35"/>
  <c r="J5" i="35"/>
  <c r="J14" i="35" s="1"/>
  <c r="K2" i="36"/>
  <c r="K4" i="36" s="1"/>
  <c r="K13" i="36" s="1"/>
  <c r="L3" i="36"/>
  <c r="K2" i="35"/>
  <c r="L3" i="35"/>
  <c r="J15" i="36" l="1"/>
  <c r="K6" i="36"/>
  <c r="K8" i="36"/>
  <c r="K10" i="36"/>
  <c r="K16" i="36" s="1"/>
  <c r="K5" i="36"/>
  <c r="K14" i="36" s="1"/>
  <c r="K7" i="36"/>
  <c r="K9" i="36"/>
  <c r="J15" i="35"/>
  <c r="K4" i="35"/>
  <c r="K13" i="35" s="1"/>
  <c r="K5" i="35"/>
  <c r="K14" i="35" s="1"/>
  <c r="K7" i="35"/>
  <c r="K9" i="35"/>
  <c r="K10" i="35"/>
  <c r="K16" i="35" s="1"/>
  <c r="K6" i="35"/>
  <c r="K8" i="35"/>
  <c r="M3" i="35"/>
  <c r="L2" i="35"/>
  <c r="M3" i="36"/>
  <c r="L2" i="36"/>
  <c r="L4" i="36" s="1"/>
  <c r="L13" i="36" s="1"/>
  <c r="L6" i="36" l="1"/>
  <c r="L8" i="36"/>
  <c r="L10" i="36"/>
  <c r="L16" i="36" s="1"/>
  <c r="L9" i="36"/>
  <c r="L5" i="36"/>
  <c r="L14" i="36" s="1"/>
  <c r="L7" i="36"/>
  <c r="K15" i="36"/>
  <c r="K15" i="35"/>
  <c r="L4" i="35"/>
  <c r="L13" i="35" s="1"/>
  <c r="L5" i="35"/>
  <c r="L14" i="35" s="1"/>
  <c r="L7" i="35"/>
  <c r="L9" i="35"/>
  <c r="L6" i="35"/>
  <c r="L8" i="35"/>
  <c r="L10" i="35"/>
  <c r="L16" i="35" s="1"/>
  <c r="M2" i="36"/>
  <c r="M4" i="36" s="1"/>
  <c r="M13" i="36" s="1"/>
  <c r="N3" i="36"/>
  <c r="N3" i="35"/>
  <c r="M2" i="35"/>
  <c r="M5" i="36" l="1"/>
  <c r="M14" i="36" s="1"/>
  <c r="M7" i="36"/>
  <c r="M9" i="36"/>
  <c r="M8" i="36"/>
  <c r="M6" i="36"/>
  <c r="M10" i="36"/>
  <c r="M16" i="36" s="1"/>
  <c r="L15" i="36"/>
  <c r="M4" i="35"/>
  <c r="M13" i="35" s="1"/>
  <c r="M6" i="35"/>
  <c r="M8" i="35"/>
  <c r="M10" i="35"/>
  <c r="M16" i="35" s="1"/>
  <c r="M9" i="35"/>
  <c r="M5" i="35"/>
  <c r="M14" i="35" s="1"/>
  <c r="M7" i="35"/>
  <c r="L15" i="35"/>
  <c r="O3" i="36"/>
  <c r="N2" i="36"/>
  <c r="N4" i="36" s="1"/>
  <c r="N13" i="36" s="1"/>
  <c r="O3" i="35"/>
  <c r="N2" i="35"/>
  <c r="N5" i="36" l="1"/>
  <c r="N14" i="36" s="1"/>
  <c r="N7" i="36"/>
  <c r="N9" i="36"/>
  <c r="N6" i="36"/>
  <c r="N8" i="36"/>
  <c r="N10" i="36"/>
  <c r="N16" i="36" s="1"/>
  <c r="M15" i="36"/>
  <c r="M15" i="35"/>
  <c r="N4" i="35"/>
  <c r="N13" i="35" s="1"/>
  <c r="N6" i="35"/>
  <c r="N8" i="35"/>
  <c r="N10" i="35"/>
  <c r="N16" i="35" s="1"/>
  <c r="N9" i="35"/>
  <c r="N5" i="35"/>
  <c r="N14" i="35" s="1"/>
  <c r="N7" i="35"/>
  <c r="O2" i="36"/>
  <c r="O4" i="36" s="1"/>
  <c r="O13" i="36" s="1"/>
  <c r="P3" i="36"/>
  <c r="O2" i="35"/>
  <c r="P3" i="35"/>
  <c r="N15" i="36" l="1"/>
  <c r="N15" i="35"/>
  <c r="O6" i="36"/>
  <c r="O8" i="36"/>
  <c r="O10" i="36"/>
  <c r="O16" i="36" s="1"/>
  <c r="O7" i="36"/>
  <c r="O5" i="36"/>
  <c r="O14" i="36" s="1"/>
  <c r="O9" i="36"/>
  <c r="O4" i="35"/>
  <c r="O13" i="35" s="1"/>
  <c r="O5" i="35"/>
  <c r="O14" i="35" s="1"/>
  <c r="O7" i="35"/>
  <c r="O9" i="35"/>
  <c r="O6" i="35"/>
  <c r="O8" i="35"/>
  <c r="O10" i="35"/>
  <c r="O16" i="35" s="1"/>
  <c r="Q3" i="35"/>
  <c r="P2" i="35"/>
  <c r="Q3" i="36"/>
  <c r="P2" i="36"/>
  <c r="P4" i="36" s="1"/>
  <c r="P13" i="36" s="1"/>
  <c r="O15" i="36" l="1"/>
  <c r="P6" i="36"/>
  <c r="P8" i="36"/>
  <c r="P10" i="36"/>
  <c r="P16" i="36" s="1"/>
  <c r="P7" i="36"/>
  <c r="P9" i="36"/>
  <c r="P5" i="36"/>
  <c r="P14" i="36" s="1"/>
  <c r="P4" i="35"/>
  <c r="P13" i="35" s="1"/>
  <c r="P5" i="35"/>
  <c r="P14" i="35" s="1"/>
  <c r="P7" i="35"/>
  <c r="P9" i="35"/>
  <c r="P8" i="35"/>
  <c r="P10" i="35"/>
  <c r="P16" i="35" s="1"/>
  <c r="P6" i="35"/>
  <c r="O15" i="35"/>
  <c r="Q2" i="36"/>
  <c r="Q4" i="36" s="1"/>
  <c r="Q13" i="36" s="1"/>
  <c r="R3" i="36"/>
  <c r="Q2" i="35"/>
  <c r="Q4" i="35"/>
  <c r="Q13" i="35" s="1"/>
  <c r="R3" i="35"/>
  <c r="Q5" i="36" l="1"/>
  <c r="Q14" i="36" s="1"/>
  <c r="Q7" i="36"/>
  <c r="Q9" i="36"/>
  <c r="Q6" i="36"/>
  <c r="Q8" i="36"/>
  <c r="Q10" i="36"/>
  <c r="Q16" i="36" s="1"/>
  <c r="P15" i="36"/>
  <c r="Q6" i="35"/>
  <c r="Q8" i="35"/>
  <c r="Q10" i="35"/>
  <c r="Q16" i="35" s="1"/>
  <c r="Q5" i="35"/>
  <c r="Q14" i="35" s="1"/>
  <c r="Q7" i="35"/>
  <c r="Q9" i="35"/>
  <c r="P15" i="35"/>
  <c r="S3" i="35"/>
  <c r="R2" i="35"/>
  <c r="S3" i="36"/>
  <c r="R2" i="36"/>
  <c r="R4" i="36" s="1"/>
  <c r="R13" i="36" s="1"/>
  <c r="Q15" i="36" l="1"/>
  <c r="R5" i="36"/>
  <c r="R14" i="36" s="1"/>
  <c r="R7" i="36"/>
  <c r="R9" i="36"/>
  <c r="R10" i="36"/>
  <c r="R16" i="36" s="1"/>
  <c r="R6" i="36"/>
  <c r="R8" i="36"/>
  <c r="R4" i="35"/>
  <c r="R13" i="35" s="1"/>
  <c r="R6" i="35"/>
  <c r="R8" i="35"/>
  <c r="R10" i="35"/>
  <c r="R16" i="35" s="1"/>
  <c r="R7" i="35"/>
  <c r="R5" i="35"/>
  <c r="R14" i="35" s="1"/>
  <c r="R9" i="35"/>
  <c r="Q15" i="35"/>
  <c r="S2" i="35"/>
  <c r="T3" i="35"/>
  <c r="S2" i="36"/>
  <c r="S4" i="36" s="1"/>
  <c r="S13" i="36" s="1"/>
  <c r="T3" i="36"/>
  <c r="S6" i="36" l="1"/>
  <c r="S8" i="36"/>
  <c r="S10" i="36"/>
  <c r="S16" i="36" s="1"/>
  <c r="S5" i="36"/>
  <c r="S14" i="36" s="1"/>
  <c r="S9" i="36"/>
  <c r="S7" i="36"/>
  <c r="R15" i="36"/>
  <c r="R15" i="35"/>
  <c r="S4" i="35"/>
  <c r="S13" i="35" s="1"/>
  <c r="S5" i="35"/>
  <c r="S14" i="35" s="1"/>
  <c r="S7" i="35"/>
  <c r="S9" i="35"/>
  <c r="S10" i="35"/>
  <c r="S16" i="35" s="1"/>
  <c r="S6" i="35"/>
  <c r="S8" i="35"/>
  <c r="U3" i="35"/>
  <c r="T2" i="35"/>
  <c r="U3" i="36"/>
  <c r="T2" i="36"/>
  <c r="T4" i="36" s="1"/>
  <c r="T13" i="36" s="1"/>
  <c r="T6" i="36" l="1"/>
  <c r="T8" i="36"/>
  <c r="T10" i="36"/>
  <c r="T16" i="36" s="1"/>
  <c r="T5" i="36"/>
  <c r="T14" i="36" s="1"/>
  <c r="T7" i="36"/>
  <c r="T9" i="36"/>
  <c r="S15" i="36"/>
  <c r="S15" i="35"/>
  <c r="T4" i="35"/>
  <c r="T13" i="35" s="1"/>
  <c r="T5" i="35"/>
  <c r="T14" i="35" s="1"/>
  <c r="T7" i="35"/>
  <c r="T9" i="35"/>
  <c r="T10" i="35"/>
  <c r="T16" i="35" s="1"/>
  <c r="T6" i="35"/>
  <c r="T8" i="35"/>
  <c r="U2" i="36"/>
  <c r="U4" i="36" s="1"/>
  <c r="U13" i="36" s="1"/>
  <c r="V3" i="36"/>
  <c r="U2" i="35"/>
  <c r="V3" i="35"/>
  <c r="T15" i="35" l="1"/>
  <c r="U5" i="36"/>
  <c r="U14" i="36" s="1"/>
  <c r="U7" i="36"/>
  <c r="U9" i="36"/>
  <c r="U10" i="36"/>
  <c r="U16" i="36" s="1"/>
  <c r="U6" i="36"/>
  <c r="U8" i="36"/>
  <c r="T15" i="36"/>
  <c r="U4" i="35"/>
  <c r="U13" i="35" s="1"/>
  <c r="U6" i="35"/>
  <c r="U8" i="35"/>
  <c r="U10" i="35"/>
  <c r="U16" i="35" s="1"/>
  <c r="U9" i="35"/>
  <c r="U5" i="35"/>
  <c r="U14" i="35" s="1"/>
  <c r="U7" i="35"/>
  <c r="W3" i="36"/>
  <c r="V2" i="36"/>
  <c r="V4" i="36" s="1"/>
  <c r="V13" i="36" s="1"/>
  <c r="W3" i="35"/>
  <c r="V2" i="35"/>
  <c r="V5" i="36" l="1"/>
  <c r="V14" i="36" s="1"/>
  <c r="V7" i="36"/>
  <c r="V9" i="36"/>
  <c r="V8" i="36"/>
  <c r="V10" i="36"/>
  <c r="V16" i="36" s="1"/>
  <c r="V6" i="36"/>
  <c r="U15" i="36"/>
  <c r="V4" i="35"/>
  <c r="V13" i="35" s="1"/>
  <c r="V6" i="35"/>
  <c r="V8" i="35"/>
  <c r="V10" i="35"/>
  <c r="V16" i="35" s="1"/>
  <c r="V5" i="35"/>
  <c r="V14" i="35" s="1"/>
  <c r="V9" i="35"/>
  <c r="V7" i="35"/>
  <c r="U15" i="35"/>
  <c r="W2" i="35"/>
  <c r="X3" i="35"/>
  <c r="W2" i="36"/>
  <c r="W4" i="36" s="1"/>
  <c r="W13" i="36" s="1"/>
  <c r="X3" i="36"/>
  <c r="W6" i="36" l="1"/>
  <c r="W8" i="36"/>
  <c r="W10" i="36"/>
  <c r="W16" i="36" s="1"/>
  <c r="W5" i="36"/>
  <c r="W14" i="36" s="1"/>
  <c r="W9" i="36"/>
  <c r="W7" i="36"/>
  <c r="V15" i="36"/>
  <c r="V15" i="35"/>
  <c r="W4" i="35"/>
  <c r="W13" i="35" s="1"/>
  <c r="W5" i="35"/>
  <c r="W14" i="35" s="1"/>
  <c r="W7" i="35"/>
  <c r="W9" i="35"/>
  <c r="W6" i="35"/>
  <c r="W8" i="35"/>
  <c r="W10" i="35"/>
  <c r="W16" i="35" s="1"/>
  <c r="Y3" i="35"/>
  <c r="X2" i="35"/>
  <c r="Y3" i="36"/>
  <c r="X2" i="36"/>
  <c r="X4" i="36" s="1"/>
  <c r="X13" i="36" s="1"/>
  <c r="X6" i="36" l="1"/>
  <c r="X8" i="36"/>
  <c r="X10" i="36"/>
  <c r="X16" i="36" s="1"/>
  <c r="X5" i="36"/>
  <c r="X14" i="36" s="1"/>
  <c r="X7" i="36"/>
  <c r="X9" i="36"/>
  <c r="W15" i="36"/>
  <c r="X4" i="35"/>
  <c r="X13" i="35" s="1"/>
  <c r="X5" i="35"/>
  <c r="X14" i="35" s="1"/>
  <c r="X7" i="35"/>
  <c r="X9" i="35"/>
  <c r="X8" i="35"/>
  <c r="X6" i="35"/>
  <c r="X10" i="35"/>
  <c r="X16" i="35" s="1"/>
  <c r="W15" i="35"/>
  <c r="Y2" i="36"/>
  <c r="Y4" i="36" s="1"/>
  <c r="Y13" i="36" s="1"/>
  <c r="Z3" i="36"/>
  <c r="Y2" i="35"/>
  <c r="Z3" i="35"/>
  <c r="Y5" i="36" l="1"/>
  <c r="Y14" i="36" s="1"/>
  <c r="Y7" i="36"/>
  <c r="Y9" i="36"/>
  <c r="Y6" i="36"/>
  <c r="Y8" i="36"/>
  <c r="Y10" i="36"/>
  <c r="Y16" i="36" s="1"/>
  <c r="X15" i="36"/>
  <c r="X15" i="35"/>
  <c r="Y4" i="35"/>
  <c r="Y13" i="35" s="1"/>
  <c r="Y6" i="35"/>
  <c r="Y8" i="35"/>
  <c r="Y10" i="35"/>
  <c r="Y16" i="35" s="1"/>
  <c r="Y5" i="35"/>
  <c r="Y14" i="35" s="1"/>
  <c r="Y7" i="35"/>
  <c r="Y9" i="35"/>
  <c r="AA3" i="35"/>
  <c r="Z2" i="35"/>
  <c r="AA3" i="36"/>
  <c r="Z2" i="36"/>
  <c r="Z4" i="36" s="1"/>
  <c r="Z13" i="36" s="1"/>
  <c r="Y15" i="36" l="1"/>
  <c r="Z5" i="36"/>
  <c r="Z14" i="36" s="1"/>
  <c r="Z7" i="36"/>
  <c r="Z9" i="36"/>
  <c r="Z6" i="36"/>
  <c r="Z8" i="36"/>
  <c r="Z10" i="36"/>
  <c r="Z16" i="36" s="1"/>
  <c r="Y15" i="35"/>
  <c r="Z4" i="35"/>
  <c r="Z13" i="35" s="1"/>
  <c r="Z6" i="35"/>
  <c r="Z8" i="35"/>
  <c r="Z10" i="35"/>
  <c r="Z16" i="35" s="1"/>
  <c r="Z5" i="35"/>
  <c r="Z14" i="35" s="1"/>
  <c r="Z7" i="35"/>
  <c r="Z9" i="35"/>
  <c r="AA2" i="35"/>
  <c r="AB3" i="35"/>
  <c r="AA2" i="36"/>
  <c r="AA4" i="36" s="1"/>
  <c r="AA13" i="36" s="1"/>
  <c r="AB3" i="36"/>
  <c r="Z15" i="36" l="1"/>
  <c r="AA6" i="36"/>
  <c r="AA8" i="36"/>
  <c r="AA10" i="36"/>
  <c r="AA16" i="36" s="1"/>
  <c r="AA5" i="36"/>
  <c r="AA14" i="36" s="1"/>
  <c r="AA7" i="36"/>
  <c r="AA9" i="36"/>
  <c r="AA4" i="35"/>
  <c r="AA13" i="35" s="1"/>
  <c r="AA5" i="35"/>
  <c r="AA14" i="35" s="1"/>
  <c r="AA7" i="35"/>
  <c r="AA9" i="35"/>
  <c r="AA8" i="35"/>
  <c r="AA10" i="35"/>
  <c r="AA16" i="35" s="1"/>
  <c r="AA6" i="35"/>
  <c r="Z15" i="35"/>
  <c r="AC3" i="35"/>
  <c r="AD3" i="35" s="1"/>
  <c r="AB2" i="35"/>
  <c r="AC3" i="36"/>
  <c r="AD3" i="36" s="1"/>
  <c r="AB2" i="36"/>
  <c r="AB4" i="36" s="1"/>
  <c r="AB13" i="36" s="1"/>
  <c r="AB6" i="36" l="1"/>
  <c r="AB8" i="36"/>
  <c r="AB10" i="36"/>
  <c r="AB16" i="36" s="1"/>
  <c r="AB9" i="36"/>
  <c r="AB5" i="36"/>
  <c r="AB14" i="36" s="1"/>
  <c r="AB7" i="36"/>
  <c r="AA15" i="36"/>
  <c r="AD2" i="36"/>
  <c r="AD4" i="36" s="1"/>
  <c r="AD13" i="36" s="1"/>
  <c r="AE3" i="36"/>
  <c r="AA15" i="35"/>
  <c r="AB4" i="35"/>
  <c r="AB13" i="35" s="1"/>
  <c r="AB5" i="35"/>
  <c r="AB14" i="35" s="1"/>
  <c r="AB7" i="35"/>
  <c r="AB9" i="35"/>
  <c r="AB6" i="35"/>
  <c r="AB10" i="35"/>
  <c r="AB16" i="35" s="1"/>
  <c r="AB8" i="35"/>
  <c r="AE3" i="35"/>
  <c r="AC2" i="36"/>
  <c r="AC4" i="36" s="1"/>
  <c r="AC13" i="36" s="1"/>
  <c r="AC2" i="35"/>
  <c r="AC4" i="35"/>
  <c r="AC13" i="35" s="1"/>
  <c r="AC5" i="36" l="1"/>
  <c r="AC14" i="36" s="1"/>
  <c r="AC7" i="36"/>
  <c r="AC9" i="36"/>
  <c r="AC6" i="36"/>
  <c r="AC8" i="36"/>
  <c r="AC10" i="36"/>
  <c r="AC16" i="36" s="1"/>
  <c r="AB15" i="36"/>
  <c r="AE2" i="36"/>
  <c r="AE4" i="36" s="1"/>
  <c r="AE13" i="36" s="1"/>
  <c r="AF3" i="36"/>
  <c r="AC6" i="35"/>
  <c r="AC8" i="35"/>
  <c r="AC10" i="35"/>
  <c r="AC16" i="35" s="1"/>
  <c r="AC9" i="35"/>
  <c r="AC5" i="35"/>
  <c r="AC14" i="35" s="1"/>
  <c r="AC7" i="35"/>
  <c r="AD2" i="35"/>
  <c r="AE2" i="35" s="1"/>
  <c r="AB15" i="35"/>
  <c r="AF3" i="35"/>
  <c r="AC15" i="36" l="1"/>
  <c r="AE4" i="35"/>
  <c r="AE13" i="35" s="1"/>
  <c r="AE8" i="36"/>
  <c r="AE5" i="36"/>
  <c r="AE14" i="36" s="1"/>
  <c r="AE9" i="36"/>
  <c r="AE6" i="36"/>
  <c r="AE10" i="36"/>
  <c r="AE16" i="36" s="1"/>
  <c r="AE7" i="36"/>
  <c r="AD5" i="36"/>
  <c r="AD14" i="36" s="1"/>
  <c r="AD9" i="36"/>
  <c r="AD7" i="36"/>
  <c r="AD6" i="36"/>
  <c r="AD10" i="36"/>
  <c r="AD16" i="36" s="1"/>
  <c r="AD8" i="36"/>
  <c r="AG3" i="36"/>
  <c r="AF2" i="36"/>
  <c r="AF4" i="36" s="1"/>
  <c r="AF13" i="36" s="1"/>
  <c r="AD8" i="35"/>
  <c r="AD7" i="35"/>
  <c r="AD5" i="35"/>
  <c r="AD14" i="35" s="1"/>
  <c r="AD9" i="35"/>
  <c r="AD6" i="35"/>
  <c r="AD10" i="35"/>
  <c r="AD16" i="35" s="1"/>
  <c r="AD4" i="35"/>
  <c r="AD13" i="35" s="1"/>
  <c r="AG3" i="35"/>
  <c r="AF2" i="35"/>
  <c r="AF4" i="35" s="1"/>
  <c r="AF13" i="35" s="1"/>
  <c r="AE5" i="35"/>
  <c r="AE14" i="35" s="1"/>
  <c r="AE9" i="35"/>
  <c r="AE8" i="35"/>
  <c r="AE6" i="35"/>
  <c r="AE10" i="35"/>
  <c r="AE16" i="35" s="1"/>
  <c r="AE7" i="35"/>
  <c r="AC15" i="35"/>
  <c r="AD15" i="36" l="1"/>
  <c r="AF7" i="36"/>
  <c r="AF8" i="36"/>
  <c r="AF5" i="36"/>
  <c r="AF14" i="36" s="1"/>
  <c r="AF9" i="36"/>
  <c r="AF6" i="36"/>
  <c r="AF10" i="36"/>
  <c r="AF16" i="36" s="1"/>
  <c r="AE15" i="36"/>
  <c r="AG2" i="36"/>
  <c r="AG4" i="36" s="1"/>
  <c r="AG13" i="36" s="1"/>
  <c r="AH3" i="36"/>
  <c r="AE15" i="35"/>
  <c r="AF5" i="35"/>
  <c r="AF14" i="35" s="1"/>
  <c r="AF9" i="35"/>
  <c r="AF6" i="35"/>
  <c r="AF10" i="35"/>
  <c r="AF16" i="35" s="1"/>
  <c r="AF7" i="35"/>
  <c r="AF8" i="35"/>
  <c r="AH3" i="35"/>
  <c r="AG2" i="35"/>
  <c r="AD15" i="35"/>
  <c r="AF15" i="36" l="1"/>
  <c r="AG6" i="36"/>
  <c r="AG10" i="36"/>
  <c r="AG16" i="36" s="1"/>
  <c r="AG7" i="36"/>
  <c r="AG8" i="36"/>
  <c r="AG5" i="36"/>
  <c r="AG14" i="36" s="1"/>
  <c r="AG9" i="36"/>
  <c r="AH2" i="36"/>
  <c r="AH4" i="36" s="1"/>
  <c r="AH13" i="36" s="1"/>
  <c r="AI3" i="36"/>
  <c r="AG7" i="35"/>
  <c r="AG6" i="35"/>
  <c r="AG10" i="35"/>
  <c r="AG16" i="35" s="1"/>
  <c r="AG8" i="35"/>
  <c r="AG5" i="35"/>
  <c r="AG14" i="35" s="1"/>
  <c r="AG9" i="35"/>
  <c r="AI3" i="35"/>
  <c r="AH2" i="35"/>
  <c r="AH4" i="35"/>
  <c r="AH13" i="35" s="1"/>
  <c r="AG4" i="35"/>
  <c r="AG13" i="35" s="1"/>
  <c r="AF15" i="35"/>
  <c r="AG15" i="36" l="1"/>
  <c r="AH5" i="36"/>
  <c r="AH14" i="36" s="1"/>
  <c r="AH9" i="36"/>
  <c r="AH6" i="36"/>
  <c r="AH10" i="36"/>
  <c r="AH16" i="36" s="1"/>
  <c r="AH7" i="36"/>
  <c r="AH8" i="36"/>
  <c r="AI2" i="36"/>
  <c r="AI4" i="36" s="1"/>
  <c r="AI13" i="36" s="1"/>
  <c r="AJ3" i="36"/>
  <c r="AH6" i="35"/>
  <c r="AH10" i="35"/>
  <c r="AH16" i="35" s="1"/>
  <c r="AH9" i="35"/>
  <c r="AH7" i="35"/>
  <c r="AH8" i="35"/>
  <c r="AH5" i="35"/>
  <c r="AH14" i="35" s="1"/>
  <c r="AI2" i="35"/>
  <c r="AI4" i="35" s="1"/>
  <c r="AI13" i="35" s="1"/>
  <c r="AJ3" i="35"/>
  <c r="AG15" i="35"/>
  <c r="AI8" i="36" l="1"/>
  <c r="AI10" i="36"/>
  <c r="AI16" i="36" s="1"/>
  <c r="AI5" i="36"/>
  <c r="AI14" i="36" s="1"/>
  <c r="AI9" i="36"/>
  <c r="AI6" i="36"/>
  <c r="AI7" i="36"/>
  <c r="AH15" i="36"/>
  <c r="AK3" i="36"/>
  <c r="AJ2" i="36"/>
  <c r="AJ4" i="36" s="1"/>
  <c r="AJ13" i="36" s="1"/>
  <c r="AJ2" i="35"/>
  <c r="AJ4" i="35" s="1"/>
  <c r="AJ13" i="35" s="1"/>
  <c r="AK3" i="35"/>
  <c r="AI5" i="35"/>
  <c r="AI14" i="35" s="1"/>
  <c r="AI9" i="35"/>
  <c r="AI7" i="35"/>
  <c r="AI8" i="35"/>
  <c r="AI6" i="35"/>
  <c r="AI10" i="35"/>
  <c r="AI16" i="35" s="1"/>
  <c r="AH15" i="35"/>
  <c r="AJ7" i="36" l="1"/>
  <c r="AJ5" i="36"/>
  <c r="AJ14" i="36" s="1"/>
  <c r="AJ9" i="36"/>
  <c r="AJ8" i="36"/>
  <c r="AJ10" i="36"/>
  <c r="AJ16" i="36" s="1"/>
  <c r="AJ6" i="36"/>
  <c r="AI15" i="36"/>
  <c r="AK2" i="36"/>
  <c r="AK4" i="36" s="1"/>
  <c r="AK13" i="36" s="1"/>
  <c r="AL3" i="36"/>
  <c r="AI15" i="35"/>
  <c r="AL3" i="35"/>
  <c r="AK2" i="35"/>
  <c r="AK4" i="35"/>
  <c r="AK13" i="35" s="1"/>
  <c r="AJ6" i="35"/>
  <c r="AJ10" i="35"/>
  <c r="AJ16" i="35" s="1"/>
  <c r="AJ7" i="35"/>
  <c r="AJ8" i="35"/>
  <c r="AJ5" i="35"/>
  <c r="AJ14" i="35" s="1"/>
  <c r="AJ9" i="35"/>
  <c r="AJ15" i="36" l="1"/>
  <c r="AK6" i="36"/>
  <c r="AK10" i="36"/>
  <c r="AK16" i="36" s="1"/>
  <c r="AK8" i="36"/>
  <c r="AK7" i="36"/>
  <c r="AK5" i="36"/>
  <c r="AK14" i="36" s="1"/>
  <c r="AK9" i="36"/>
  <c r="AL2" i="36"/>
  <c r="AL4" i="36" s="1"/>
  <c r="AL13" i="36" s="1"/>
  <c r="AK8" i="35"/>
  <c r="AK5" i="35"/>
  <c r="AK14" i="35" s="1"/>
  <c r="AK6" i="35"/>
  <c r="AK9" i="35"/>
  <c r="AK7" i="35"/>
  <c r="AK10" i="35"/>
  <c r="AK16" i="35" s="1"/>
  <c r="AL2" i="35"/>
  <c r="AJ15" i="35"/>
  <c r="AL5" i="36" l="1"/>
  <c r="AL14" i="36" s="1"/>
  <c r="AL9" i="36"/>
  <c r="AL7" i="36"/>
  <c r="AL6" i="36"/>
  <c r="AL10" i="36"/>
  <c r="AL16" i="36" s="1"/>
  <c r="AL8" i="36"/>
  <c r="AK15" i="36"/>
  <c r="AL5" i="35"/>
  <c r="AL14" i="35" s="1"/>
  <c r="AL9" i="35"/>
  <c r="AL8" i="35"/>
  <c r="AL6" i="35"/>
  <c r="AL10" i="35"/>
  <c r="AL16" i="35" s="1"/>
  <c r="AL7" i="35"/>
  <c r="AL4" i="35"/>
  <c r="AL13" i="35" s="1"/>
  <c r="AK15" i="35"/>
  <c r="AL15" i="36" l="1"/>
  <c r="AL15" i="35"/>
  <c r="I10" i="16" l="1"/>
  <c r="H10" i="16"/>
  <c r="B5" i="16" s="1"/>
  <c r="G10" i="16"/>
  <c r="BD9" i="23" l="1"/>
  <c r="BE7" i="23"/>
  <c r="BA7" i="23"/>
  <c r="AW7" i="23"/>
  <c r="AR7" i="23"/>
  <c r="AO7" i="23"/>
  <c r="AT7" i="23"/>
  <c r="BD7" i="23"/>
  <c r="AZ7" i="23"/>
  <c r="AV7" i="23"/>
  <c r="AQ7" i="23"/>
  <c r="BC7" i="23"/>
  <c r="AY7" i="23"/>
  <c r="AU7" i="23"/>
  <c r="AP7" i="23"/>
  <c r="BB7" i="23"/>
  <c r="AX7" i="23"/>
  <c r="AS7" i="23"/>
  <c r="AP11" i="23"/>
  <c r="AR9" i="23"/>
  <c r="AU9" i="23"/>
  <c r="AW9" i="23"/>
  <c r="AY9" i="23"/>
  <c r="BA11" i="23"/>
  <c r="BC9" i="23"/>
  <c r="BE9" i="23"/>
  <c r="AO11" i="23"/>
  <c r="AO9" i="23"/>
  <c r="AT11" i="23"/>
  <c r="AP9" i="23"/>
  <c r="AR11" i="23"/>
  <c r="AU11" i="23"/>
  <c r="AW11" i="23"/>
  <c r="AY11" i="23"/>
  <c r="BA9" i="23"/>
  <c r="BC11" i="23"/>
  <c r="BE11" i="23"/>
  <c r="AQ9" i="23"/>
  <c r="AS9" i="23"/>
  <c r="AV11" i="23"/>
  <c r="AX9" i="23"/>
  <c r="AZ11" i="23"/>
  <c r="BB11" i="23"/>
  <c r="BD11" i="23"/>
  <c r="AT9" i="23"/>
  <c r="H13" i="16" s="1"/>
  <c r="AQ11" i="23"/>
  <c r="AS11" i="23"/>
  <c r="AV9" i="23"/>
  <c r="AX11" i="23"/>
  <c r="AZ9" i="23"/>
  <c r="BB9" i="23"/>
  <c r="I13" i="16" l="1"/>
  <c r="G13" i="16"/>
  <c r="H11" i="16"/>
  <c r="H12" i="16"/>
  <c r="I11" i="16"/>
  <c r="I12" i="16"/>
  <c r="G11" i="16"/>
  <c r="G1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 Davis</author>
  </authors>
  <commentList>
    <comment ref="C1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Jon Davis:</t>
        </r>
        <r>
          <rPr>
            <sz val="9"/>
            <color indexed="81"/>
            <rFont val="Tahoma"/>
            <family val="2"/>
          </rPr>
          <t xml:space="preserve">
9157 of 10865 at time of analysis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 Davis</author>
  </authors>
  <commentList>
    <comment ref="F4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Jon Davis:</t>
        </r>
        <r>
          <rPr>
            <sz val="9"/>
            <color indexed="81"/>
            <rFont val="Tahoma"/>
            <family val="2"/>
          </rPr>
          <t xml:space="preserve">
Actual average discount as of time of analysis</t>
        </r>
      </text>
    </comment>
  </commentList>
</comments>
</file>

<file path=xl/sharedStrings.xml><?xml version="1.0" encoding="utf-8"?>
<sst xmlns="http://schemas.openxmlformats.org/spreadsheetml/2006/main" count="829" uniqueCount="141">
  <si>
    <t>2026 TAP Reconcilable Rider Reports and Projection Model - PROD March 2026</t>
  </si>
  <si>
    <t>For:</t>
  </si>
  <si>
    <t>Philadelphia Water Department</t>
  </si>
  <si>
    <t>By:</t>
  </si>
  <si>
    <t>Note: Production data is subject to restatement.</t>
  </si>
  <si>
    <t>Sheet Name</t>
  </si>
  <si>
    <t>Description</t>
  </si>
  <si>
    <t>Table of Contents</t>
  </si>
  <si>
    <t>List of each sheet in the workbook</t>
  </si>
  <si>
    <t>TRR_Summary</t>
  </si>
  <si>
    <t>Summary of assumptions and results by period of major variables requested of Raftelis</t>
  </si>
  <si>
    <t>TRR_Projections</t>
  </si>
  <si>
    <t>Results by month of major variables requested of Raftelis</t>
  </si>
  <si>
    <t>Data Source</t>
  </si>
  <si>
    <t>Description of data source for Combined Data and reports DR-1, DR-2</t>
  </si>
  <si>
    <t>Combined Data</t>
  </si>
  <si>
    <t>Combined reporting on Water Monthly Retail Billed Volume; Sewer Monthly Retail Billed Volume; Monthly TAP Participants; and Monthly Total TAP Discount Amounts</t>
  </si>
  <si>
    <t>DR_1</t>
  </si>
  <si>
    <t>Water Monthly Retail Billed Volume</t>
  </si>
  <si>
    <t>DR_2</t>
  </si>
  <si>
    <t>Sewer Monthly Retail Billed Volume</t>
  </si>
  <si>
    <t>Assumptions used to develop the Results below</t>
  </si>
  <si>
    <t>Assumption or scenario type</t>
  </si>
  <si>
    <t>Scenario</t>
  </si>
  <si>
    <t>TAP Subscription Projection</t>
  </si>
  <si>
    <t>Increasing</t>
  </si>
  <si>
    <t>due to continued prequalification</t>
  </si>
  <si>
    <t>Monthly Cost per TAP Participant*</t>
  </si>
  <si>
    <t>and projected to be stable over time</t>
  </si>
  <si>
    <t>Monthly Consumption per TAP Participant*</t>
  </si>
  <si>
    <t>CF and projected to be stable over time</t>
  </si>
  <si>
    <t>*Per Participant Data (Most Recent Period - Actual Data)</t>
  </si>
  <si>
    <t>Average Monthly Number of TAP Participants</t>
  </si>
  <si>
    <t>Total Number of TAP Participants</t>
  </si>
  <si>
    <t>Total TAP Discount</t>
  </si>
  <si>
    <t>Total TAP Water Consumption (CCF)</t>
  </si>
  <si>
    <t>Total TAP Sewer Consumption (CCF)</t>
  </si>
  <si>
    <t>Reconciled Period - Actual</t>
  </si>
  <si>
    <t>to</t>
  </si>
  <si>
    <t>Most Recent Period - Actual</t>
  </si>
  <si>
    <t>Most Recent Period - Projected</t>
  </si>
  <si>
    <t>Most Recent Period - Entire</t>
  </si>
  <si>
    <t>Next Rate Period</t>
  </si>
  <si>
    <t>Data Type</t>
  </si>
  <si>
    <t>Actual</t>
  </si>
  <si>
    <t>Projected</t>
  </si>
  <si>
    <t>Projected Increase in Participants</t>
  </si>
  <si>
    <t>Total Participants</t>
  </si>
  <si>
    <t>Discount</t>
  </si>
  <si>
    <t>Total Discounts</t>
  </si>
  <si>
    <t>Water Consumption</t>
  </si>
  <si>
    <t>Sewer Consumption</t>
  </si>
  <si>
    <t>Year</t>
  </si>
  <si>
    <t>Month</t>
  </si>
  <si>
    <t>Is TAP</t>
  </si>
  <si>
    <t>Customer Type</t>
  </si>
  <si>
    <t>Water Usage CCF</t>
  </si>
  <si>
    <t>Water Bill Amt</t>
  </si>
  <si>
    <t>Sewer Usage CCF</t>
  </si>
  <si>
    <t>Sewer Bill Amt</t>
  </si>
  <si>
    <t>TAP Participants</t>
  </si>
  <si>
    <t>TAP Bills</t>
  </si>
  <si>
    <t>TAP Credits</t>
  </si>
  <si>
    <t>Non-TAP</t>
  </si>
  <si>
    <t>No Discount</t>
  </si>
  <si>
    <t>Non-PHA</t>
  </si>
  <si>
    <t>PHA</t>
  </si>
  <si>
    <t>PWD</t>
  </si>
  <si>
    <t>Senior Discount</t>
  </si>
  <si>
    <t>TAP</t>
  </si>
  <si>
    <t xml:space="preserve"> -   </t>
  </si>
  <si>
    <t xml:space="preserve"> $-   </t>
  </si>
  <si>
    <t>Customer Group</t>
  </si>
  <si>
    <t>Discount Group</t>
  </si>
  <si>
    <t>All Groups</t>
  </si>
  <si>
    <t>Senior Discount*</t>
  </si>
  <si>
    <t>PHA Discount</t>
  </si>
  <si>
    <t>Non-PHA Discount (Other discount)</t>
  </si>
  <si>
    <t>No Additional Discount</t>
  </si>
  <si>
    <t>PWD (not subject to reconciliation)</t>
  </si>
  <si>
    <t>Water Billed Volume Subtotals, by Customer Group</t>
  </si>
  <si>
    <t xml:space="preserve">*Senior Citizen Discount figures represent only those Senior Citizen Discount customers not enrolled in TAP. </t>
  </si>
  <si>
    <t>Senior Citizen Discount customers enrolled in TAP are included in the TAP Customer Group.</t>
  </si>
  <si>
    <t>Sewer Billed Volume Subtotals, by Customer Group</t>
  </si>
  <si>
    <t>Data through Dec 2025 are from reports run on static copy of basis2 on 12/31/2025</t>
  </si>
  <si>
    <t>Data Jan to Mar 2026 are from reports run on production copy of basis2 on 4/7/2026</t>
  </si>
  <si>
    <t>Section 1) Activity on Applications Submitted between 11/5/2017 and 11/11/2017</t>
  </si>
  <si>
    <t>Total Submitted:</t>
  </si>
  <si>
    <t>Pending -&gt; In Progress</t>
  </si>
  <si>
    <t>In Progress</t>
  </si>
  <si>
    <t>Of Applications Submitted between 11/5/2017 and 11/11/2017, Status as of 11/11/2017 is:</t>
  </si>
  <si>
    <t>In Progress:</t>
  </si>
  <si>
    <t>Section 2) Status Changes between 11/5/2017 and 11/11/2017 on Applications Submitted before 11/5/2017</t>
  </si>
  <si>
    <t>Incomplete -&gt; In Progress</t>
  </si>
  <si>
    <t>Exception -&gt; In Progress</t>
  </si>
  <si>
    <t>Incomplete:</t>
  </si>
  <si>
    <t>In Progress -&gt; Incomplete</t>
  </si>
  <si>
    <t>Denied:</t>
  </si>
  <si>
    <t>In Progress -&gt; Denied</t>
  </si>
  <si>
    <t>Incomplete -&gt; Denied</t>
  </si>
  <si>
    <t>Exception:</t>
  </si>
  <si>
    <t>In Progress -&gt; Exception</t>
  </si>
  <si>
    <t>Approved:</t>
  </si>
  <si>
    <t>In Progress -&gt; Approved</t>
  </si>
  <si>
    <t>Active:</t>
  </si>
  <si>
    <t>In Progress -&gt; Active</t>
  </si>
  <si>
    <t>Incomplete -&gt; Active</t>
  </si>
  <si>
    <t>Approved -&gt; Active</t>
  </si>
  <si>
    <t>Closed:</t>
  </si>
  <si>
    <t>Active -&gt; Closed</t>
  </si>
  <si>
    <t>Section 3) Applications Submitted Since 7/1/2017 in Each Status as of 11/11/2017</t>
  </si>
  <si>
    <t>Of All Applications, Status as of 11/11/2017 is:</t>
  </si>
  <si>
    <t>Expired:</t>
  </si>
  <si>
    <t>WRBCC Recertification</t>
  </si>
  <si>
    <t>In Progress Applications</t>
  </si>
  <si>
    <t>Mass Mailing Data Date</t>
  </si>
  <si>
    <t>Count</t>
  </si>
  <si>
    <t>% of Decided Applications Approved</t>
  </si>
  <si>
    <t>Number of Outstanding Applications</t>
  </si>
  <si>
    <t>Assumptions</t>
  </si>
  <si>
    <t>Expected to be Approved</t>
  </si>
  <si>
    <t>WRBCC &lt;=150%</t>
  </si>
  <si>
    <t>Recert upon Plan Expiration (est)</t>
  </si>
  <si>
    <t>To be decided by</t>
  </si>
  <si>
    <t>Back on WRBCC AND &lt;=150% (est)</t>
  </si>
  <si>
    <t>Recert after Moratorium (est)</t>
  </si>
  <si>
    <t>(no longer eligible for WRBCC)</t>
  </si>
  <si>
    <t>PROJECTED SUBSCRIPTION 1 (4-YR RAMP)</t>
  </si>
  <si>
    <t>No. of TAP Bills</t>
  </si>
  <si>
    <t>Projected Increase</t>
  </si>
  <si>
    <t>Cost</t>
  </si>
  <si>
    <t>Discount per Bill</t>
  </si>
  <si>
    <t>WRBCC Additions</t>
  </si>
  <si>
    <t>Est. Cost</t>
  </si>
  <si>
    <t>Annual Growth Rate</t>
  </si>
  <si>
    <t>Enrollment at end</t>
  </si>
  <si>
    <t>FY2018</t>
  </si>
  <si>
    <t>FY2019</t>
  </si>
  <si>
    <t>FY2020</t>
  </si>
  <si>
    <t>FY2021</t>
  </si>
  <si>
    <t>FY2022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</si>
</sst>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\$* #,##0.00_);_(\$* \(#,##0.00\);_(\$* &quot;-&quot;??_);_(@_)"/>
    <numFmt numFmtId="167" formatCode="[$-409]mmm\ yyyy"/>
    <numFmt numFmtId="168" formatCode="&quot;$&quot;#,##0"/>
    <numFmt numFmtId="169" formatCode="[$-409]mmmm\ 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A9A9A9"/>
      <name val="Calibri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Calibri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176D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2176D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8" tint="-0.249977111117893"/>
      </left>
      <right style="medium">
        <color theme="8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2176D2"/>
      </left>
      <right/>
      <top style="thin">
        <color rgb="FF2176D2"/>
      </top>
      <bottom/>
      <diagonal/>
    </border>
    <border>
      <left/>
      <right/>
      <top style="thin">
        <color rgb="FF2176D2"/>
      </top>
      <bottom/>
      <diagonal/>
    </border>
    <border>
      <left style="thin">
        <color rgb="FF2176D2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2176D2"/>
      </left>
      <right/>
      <top/>
      <bottom/>
      <diagonal/>
    </border>
    <border>
      <left style="thin">
        <color rgb="FF2176D2"/>
      </left>
      <right/>
      <top/>
      <bottom style="thin">
        <color rgb="FF2176D2"/>
      </bottom>
      <diagonal/>
    </border>
    <border>
      <left/>
      <right/>
      <top/>
      <bottom style="thin">
        <color rgb="FF2176D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3" fillId="0" borderId="0"/>
    <xf numFmtId="0" fontId="20" fillId="0" borderId="0"/>
    <xf numFmtId="0" fontId="4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</cellStyleXfs>
  <cellXfs count="187">
    <xf numFmtId="0" fontId="0" fillId="0" borderId="0" xfId="0"/>
    <xf numFmtId="164" fontId="0" fillId="0" borderId="0" xfId="42" applyNumberFormat="1" applyFont="1"/>
    <xf numFmtId="0" fontId="18" fillId="0" borderId="0" xfId="0" applyFont="1"/>
    <xf numFmtId="10" fontId="19" fillId="33" borderId="10" xfId="44" applyNumberFormat="1" applyFont="1" applyFill="1" applyBorder="1"/>
    <xf numFmtId="0" fontId="14" fillId="0" borderId="0" xfId="0" applyFont="1"/>
    <xf numFmtId="0" fontId="24" fillId="0" borderId="0" xfId="0" applyFont="1" applyAlignment="1">
      <alignment horizontal="justify" vertical="center"/>
    </xf>
    <xf numFmtId="0" fontId="0" fillId="35" borderId="0" xfId="0" applyFill="1"/>
    <xf numFmtId="0" fontId="25" fillId="35" borderId="0" xfId="0" applyFont="1" applyFill="1"/>
    <xf numFmtId="0" fontId="0" fillId="35" borderId="0" xfId="0" applyFill="1" applyAlignment="1">
      <alignment horizontal="right"/>
    </xf>
    <xf numFmtId="0" fontId="14" fillId="35" borderId="0" xfId="0" applyFont="1" applyFill="1"/>
    <xf numFmtId="14" fontId="14" fillId="35" borderId="0" xfId="0" applyNumberFormat="1" applyFont="1" applyFill="1"/>
    <xf numFmtId="0" fontId="26" fillId="0" borderId="0" xfId="0" applyFont="1"/>
    <xf numFmtId="0" fontId="20" fillId="0" borderId="0" xfId="45"/>
    <xf numFmtId="164" fontId="20" fillId="0" borderId="0" xfId="42" applyNumberFormat="1" applyFont="1"/>
    <xf numFmtId="0" fontId="27" fillId="0" borderId="0" xfId="45" applyFont="1" applyAlignment="1">
      <alignment indent="1"/>
    </xf>
    <xf numFmtId="164" fontId="27" fillId="0" borderId="0" xfId="42" applyNumberFormat="1" applyFont="1"/>
    <xf numFmtId="0" fontId="28" fillId="0" borderId="11" xfId="0" applyFont="1" applyBorder="1" applyAlignment="1">
      <alignment horizontal="center"/>
    </xf>
    <xf numFmtId="0" fontId="29" fillId="36" borderId="11" xfId="0" applyFont="1" applyFill="1" applyBorder="1"/>
    <xf numFmtId="164" fontId="29" fillId="36" borderId="11" xfId="42" applyNumberFormat="1" applyFont="1" applyFill="1" applyBorder="1"/>
    <xf numFmtId="0" fontId="0" fillId="0" borderId="0" xfId="0" applyAlignment="1">
      <alignment horizontal="right"/>
    </xf>
    <xf numFmtId="9" fontId="30" fillId="0" borderId="12" xfId="44" applyFont="1" applyFill="1" applyBorder="1"/>
    <xf numFmtId="0" fontId="29" fillId="0" borderId="13" xfId="0" applyFont="1" applyBorder="1"/>
    <xf numFmtId="164" fontId="29" fillId="0" borderId="13" xfId="42" applyNumberFormat="1" applyFont="1" applyBorder="1"/>
    <xf numFmtId="164" fontId="31" fillId="0" borderId="0" xfId="42" applyNumberFormat="1" applyFont="1"/>
    <xf numFmtId="164" fontId="30" fillId="0" borderId="12" xfId="42" applyNumberFormat="1" applyFont="1" applyFill="1" applyBorder="1"/>
    <xf numFmtId="0" fontId="18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9" fontId="29" fillId="33" borderId="10" xfId="0" applyNumberFormat="1" applyFont="1" applyFill="1" applyBorder="1"/>
    <xf numFmtId="0" fontId="29" fillId="33" borderId="10" xfId="42" applyNumberFormat="1" applyFont="1" applyFill="1" applyBorder="1"/>
    <xf numFmtId="9" fontId="0" fillId="0" borderId="0" xfId="0" applyNumberFormat="1"/>
    <xf numFmtId="164" fontId="32" fillId="0" borderId="0" xfId="42" applyNumberFormat="1" applyFont="1"/>
    <xf numFmtId="164" fontId="0" fillId="0" borderId="0" xfId="42" applyNumberFormat="1" applyFont="1" applyAlignment="1">
      <alignment horizontal="center" wrapText="1"/>
    </xf>
    <xf numFmtId="10" fontId="0" fillId="0" borderId="0" xfId="44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64" fontId="16" fillId="0" borderId="0" xfId="42" applyNumberFormat="1" applyFont="1"/>
    <xf numFmtId="10" fontId="0" fillId="0" borderId="0" xfId="44" applyNumberFormat="1" applyFont="1"/>
    <xf numFmtId="44" fontId="16" fillId="0" borderId="0" xfId="43" applyFont="1"/>
    <xf numFmtId="44" fontId="30" fillId="0" borderId="12" xfId="43" applyFont="1" applyFill="1" applyBorder="1"/>
    <xf numFmtId="43" fontId="0" fillId="0" borderId="0" xfId="42" applyFont="1"/>
    <xf numFmtId="10" fontId="30" fillId="0" borderId="12" xfId="44" applyNumberFormat="1" applyFont="1" applyFill="1" applyBorder="1"/>
    <xf numFmtId="44" fontId="35" fillId="0" borderId="0" xfId="43" applyFont="1"/>
    <xf numFmtId="43" fontId="36" fillId="0" borderId="0" xfId="42" applyFont="1"/>
    <xf numFmtId="43" fontId="0" fillId="0" borderId="0" xfId="42" applyFont="1" applyFill="1"/>
    <xf numFmtId="10" fontId="30" fillId="0" borderId="17" xfId="44" applyNumberFormat="1" applyFont="1" applyFill="1" applyBorder="1"/>
    <xf numFmtId="164" fontId="35" fillId="0" borderId="0" xfId="42" applyNumberFormat="1" applyFont="1" applyBorder="1"/>
    <xf numFmtId="0" fontId="0" fillId="0" borderId="16" xfId="0" applyBorder="1"/>
    <xf numFmtId="164" fontId="35" fillId="0" borderId="16" xfId="42" applyNumberFormat="1" applyFont="1" applyBorder="1"/>
    <xf numFmtId="10" fontId="19" fillId="33" borderId="18" xfId="44" applyNumberFormat="1" applyFont="1" applyFill="1" applyBorder="1"/>
    <xf numFmtId="44" fontId="35" fillId="0" borderId="16" xfId="43" applyFont="1" applyBorder="1"/>
    <xf numFmtId="168" fontId="36" fillId="0" borderId="0" xfId="42" applyNumberFormat="1" applyFont="1"/>
    <xf numFmtId="164" fontId="35" fillId="0" borderId="0" xfId="42" applyNumberFormat="1" applyFont="1"/>
    <xf numFmtId="10" fontId="19" fillId="33" borderId="15" xfId="44" applyNumberFormat="1" applyFont="1" applyFill="1" applyBorder="1"/>
    <xf numFmtId="0" fontId="0" fillId="37" borderId="0" xfId="0" applyFill="1"/>
    <xf numFmtId="164" fontId="35" fillId="37" borderId="0" xfId="42" applyNumberFormat="1" applyFont="1" applyFill="1"/>
    <xf numFmtId="164" fontId="28" fillId="0" borderId="11" xfId="42" applyNumberFormat="1" applyFont="1" applyBorder="1" applyAlignment="1">
      <alignment horizontal="center"/>
    </xf>
    <xf numFmtId="164" fontId="28" fillId="0" borderId="11" xfId="42" applyNumberFormat="1" applyFont="1" applyBorder="1" applyAlignment="1">
      <alignment horizontal="center" wrapText="1"/>
    </xf>
    <xf numFmtId="165" fontId="29" fillId="36" borderId="11" xfId="43" applyNumberFormat="1" applyFont="1" applyFill="1" applyBorder="1"/>
    <xf numFmtId="0" fontId="29" fillId="0" borderId="0" xfId="0" applyFont="1"/>
    <xf numFmtId="165" fontId="29" fillId="0" borderId="0" xfId="43" applyNumberFormat="1" applyFont="1"/>
    <xf numFmtId="9" fontId="29" fillId="0" borderId="0" xfId="44" applyFont="1"/>
    <xf numFmtId="164" fontId="29" fillId="0" borderId="0" xfId="42" applyNumberFormat="1" applyFont="1"/>
    <xf numFmtId="0" fontId="29" fillId="36" borderId="0" xfId="0" applyFont="1" applyFill="1"/>
    <xf numFmtId="165" fontId="29" fillId="36" borderId="0" xfId="43" applyNumberFormat="1" applyFont="1" applyFill="1"/>
    <xf numFmtId="9" fontId="29" fillId="36" borderId="0" xfId="44" applyFont="1" applyFill="1"/>
    <xf numFmtId="164" fontId="29" fillId="36" borderId="0" xfId="42" applyNumberFormat="1" applyFont="1" applyFill="1"/>
    <xf numFmtId="165" fontId="14" fillId="0" borderId="0" xfId="43" applyNumberFormat="1" applyFont="1"/>
    <xf numFmtId="9" fontId="14" fillId="0" borderId="0" xfId="44" applyFont="1"/>
    <xf numFmtId="164" fontId="14" fillId="0" borderId="0" xfId="42" applyNumberFormat="1" applyFont="1"/>
    <xf numFmtId="164" fontId="0" fillId="0" borderId="0" xfId="0" applyNumberFormat="1"/>
    <xf numFmtId="3" fontId="0" fillId="0" borderId="0" xfId="0" applyNumberFormat="1"/>
    <xf numFmtId="0" fontId="18" fillId="0" borderId="19" xfId="0" applyFont="1" applyBorder="1"/>
    <xf numFmtId="164" fontId="16" fillId="0" borderId="0" xfId="42" applyNumberFormat="1" applyFont="1" applyBorder="1"/>
    <xf numFmtId="164" fontId="0" fillId="0" borderId="0" xfId="42" applyNumberFormat="1" applyFont="1" applyBorder="1"/>
    <xf numFmtId="164" fontId="16" fillId="0" borderId="25" xfId="42" applyNumberFormat="1" applyFont="1" applyBorder="1"/>
    <xf numFmtId="164" fontId="23" fillId="0" borderId="0" xfId="46" applyNumberFormat="1"/>
    <xf numFmtId="166" fontId="20" fillId="0" borderId="0" xfId="46" applyNumberFormat="1" applyFont="1"/>
    <xf numFmtId="0" fontId="37" fillId="0" borderId="24" xfId="0" applyFont="1" applyBorder="1"/>
    <xf numFmtId="0" fontId="38" fillId="0" borderId="22" xfId="0" applyFont="1" applyBorder="1"/>
    <xf numFmtId="0" fontId="39" fillId="0" borderId="22" xfId="0" applyFont="1" applyBorder="1"/>
    <xf numFmtId="0" fontId="40" fillId="0" borderId="22" xfId="0" applyFont="1" applyBorder="1"/>
    <xf numFmtId="0" fontId="0" fillId="0" borderId="0" xfId="0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6" xfId="0" applyFont="1" applyBorder="1"/>
    <xf numFmtId="0" fontId="38" fillId="0" borderId="0" xfId="0" applyFont="1"/>
    <xf numFmtId="0" fontId="37" fillId="0" borderId="25" xfId="0" applyFont="1" applyBorder="1"/>
    <xf numFmtId="0" fontId="16" fillId="0" borderId="20" xfId="0" applyFont="1" applyBorder="1" applyAlignment="1">
      <alignment horizontal="center" wrapText="1"/>
    </xf>
    <xf numFmtId="10" fontId="19" fillId="33" borderId="27" xfId="44" applyNumberFormat="1" applyFont="1" applyFill="1" applyBorder="1"/>
    <xf numFmtId="164" fontId="0" fillId="0" borderId="0" xfId="42" applyNumberFormat="1" applyFont="1" applyFill="1" applyBorder="1"/>
    <xf numFmtId="0" fontId="0" fillId="0" borderId="28" xfId="0" applyBorder="1"/>
    <xf numFmtId="0" fontId="0" fillId="0" borderId="29" xfId="0" applyBorder="1"/>
    <xf numFmtId="10" fontId="19" fillId="33" borderId="30" xfId="44" applyNumberFormat="1" applyFont="1" applyFill="1" applyBorder="1"/>
    <xf numFmtId="0" fontId="21" fillId="34" borderId="31" xfId="46" applyFont="1" applyFill="1" applyBorder="1" applyAlignment="1">
      <alignment horizontal="left"/>
    </xf>
    <xf numFmtId="0" fontId="22" fillId="0" borderId="31" xfId="46" applyFont="1" applyBorder="1" applyAlignment="1">
      <alignment horizontal="right"/>
    </xf>
    <xf numFmtId="0" fontId="22" fillId="0" borderId="32" xfId="46" applyFont="1" applyBorder="1" applyAlignment="1">
      <alignment horizontal="right"/>
    </xf>
    <xf numFmtId="3" fontId="0" fillId="0" borderId="33" xfId="0" applyNumberFormat="1" applyBorder="1"/>
    <xf numFmtId="164" fontId="0" fillId="0" borderId="33" xfId="42" applyNumberFormat="1" applyFont="1" applyFill="1" applyBorder="1"/>
    <xf numFmtId="0" fontId="39" fillId="0" borderId="0" xfId="0" applyFont="1"/>
    <xf numFmtId="0" fontId="40" fillId="0" borderId="0" xfId="0" applyFont="1"/>
    <xf numFmtId="169" fontId="40" fillId="0" borderId="0" xfId="0" quotePrefix="1" applyNumberFormat="1" applyFont="1"/>
    <xf numFmtId="169" fontId="38" fillId="0" borderId="0" xfId="0" applyNumberFormat="1" applyFont="1"/>
    <xf numFmtId="169" fontId="37" fillId="0" borderId="25" xfId="0" quotePrefix="1" applyNumberFormat="1" applyFont="1" applyBorder="1"/>
    <xf numFmtId="165" fontId="16" fillId="0" borderId="0" xfId="43" applyNumberFormat="1" applyFont="1" applyBorder="1"/>
    <xf numFmtId="165" fontId="0" fillId="0" borderId="0" xfId="43" applyNumberFormat="1" applyFont="1" applyBorder="1"/>
    <xf numFmtId="165" fontId="16" fillId="0" borderId="25" xfId="43" applyNumberFormat="1" applyFont="1" applyBorder="1"/>
    <xf numFmtId="164" fontId="16" fillId="0" borderId="25" xfId="42" applyNumberFormat="1" applyFont="1" applyFill="1" applyBorder="1"/>
    <xf numFmtId="169" fontId="39" fillId="33" borderId="0" xfId="0" quotePrefix="1" applyNumberFormat="1" applyFont="1" applyFill="1"/>
    <xf numFmtId="169" fontId="40" fillId="33" borderId="0" xfId="0" quotePrefix="1" applyNumberFormat="1" applyFont="1" applyFill="1"/>
    <xf numFmtId="0" fontId="13" fillId="0" borderId="0" xfId="0" applyFont="1"/>
    <xf numFmtId="0" fontId="13" fillId="39" borderId="0" xfId="0" applyFont="1" applyFill="1"/>
    <xf numFmtId="0" fontId="13" fillId="38" borderId="0" xfId="0" applyFont="1" applyFill="1"/>
    <xf numFmtId="167" fontId="21" fillId="34" borderId="0" xfId="47" applyNumberFormat="1" applyFont="1" applyFill="1" applyAlignment="1">
      <alignment horizontal="center"/>
    </xf>
    <xf numFmtId="164" fontId="20" fillId="0" borderId="0" xfId="47" applyNumberFormat="1"/>
    <xf numFmtId="166" fontId="20" fillId="0" borderId="0" xfId="47" applyNumberFormat="1"/>
    <xf numFmtId="167" fontId="21" fillId="34" borderId="0" xfId="46" applyNumberFormat="1" applyFont="1" applyFill="1" applyAlignment="1">
      <alignment horizontal="center"/>
    </xf>
    <xf numFmtId="164" fontId="16" fillId="0" borderId="34" xfId="42" applyNumberFormat="1" applyFont="1" applyBorder="1"/>
    <xf numFmtId="164" fontId="16" fillId="0" borderId="23" xfId="42" applyNumberFormat="1" applyFont="1" applyBorder="1"/>
    <xf numFmtId="164" fontId="16" fillId="0" borderId="26" xfId="42" applyNumberFormat="1" applyFont="1" applyFill="1" applyBorder="1"/>
    <xf numFmtId="0" fontId="0" fillId="0" borderId="23" xfId="0" applyBorder="1"/>
    <xf numFmtId="0" fontId="0" fillId="0" borderId="0" xfId="43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25" xfId="0" applyBorder="1"/>
    <xf numFmtId="0" fontId="0" fillId="0" borderId="26" xfId="0" applyBorder="1"/>
    <xf numFmtId="0" fontId="0" fillId="0" borderId="35" xfId="0" applyBorder="1"/>
    <xf numFmtId="0" fontId="0" fillId="0" borderId="36" xfId="0" applyBorder="1"/>
    <xf numFmtId="0" fontId="16" fillId="0" borderId="22" xfId="0" applyFont="1" applyBorder="1"/>
    <xf numFmtId="0" fontId="0" fillId="0" borderId="22" xfId="0" applyBorder="1"/>
    <xf numFmtId="0" fontId="41" fillId="0" borderId="22" xfId="0" applyFont="1" applyBorder="1" applyAlignment="1">
      <alignment horizontal="left" indent="1"/>
    </xf>
    <xf numFmtId="0" fontId="0" fillId="0" borderId="24" xfId="0" applyBorder="1"/>
    <xf numFmtId="0" fontId="16" fillId="0" borderId="16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43" fontId="0" fillId="0" borderId="0" xfId="0" applyNumberFormat="1"/>
    <xf numFmtId="0" fontId="16" fillId="35" borderId="0" xfId="0" applyFont="1" applyFill="1"/>
    <xf numFmtId="14" fontId="0" fillId="0" borderId="0" xfId="0" applyNumberFormat="1" applyAlignment="1">
      <alignment horizontal="left"/>
    </xf>
    <xf numFmtId="0" fontId="44" fillId="0" borderId="0" xfId="0" applyFont="1"/>
    <xf numFmtId="14" fontId="44" fillId="0" borderId="0" xfId="0" applyNumberFormat="1" applyFont="1"/>
    <xf numFmtId="0" fontId="44" fillId="0" borderId="0" xfId="0" quotePrefix="1" applyFont="1"/>
    <xf numFmtId="17" fontId="44" fillId="0" borderId="0" xfId="0" quotePrefix="1" applyNumberFormat="1" applyFont="1"/>
    <xf numFmtId="44" fontId="0" fillId="0" borderId="0" xfId="43" applyFont="1" applyBorder="1" applyAlignment="1">
      <alignment horizontal="right" wrapText="1"/>
    </xf>
    <xf numFmtId="1" fontId="0" fillId="0" borderId="0" xfId="0" applyNumberFormat="1" applyAlignment="1">
      <alignment horizontal="right" wrapText="1"/>
    </xf>
    <xf numFmtId="0" fontId="46" fillId="0" borderId="0" xfId="0" applyFont="1"/>
    <xf numFmtId="44" fontId="45" fillId="0" borderId="0" xfId="43" applyFont="1" applyFill="1"/>
    <xf numFmtId="1" fontId="45" fillId="0" borderId="0" xfId="0" applyNumberFormat="1" applyFont="1"/>
    <xf numFmtId="0" fontId="45" fillId="0" borderId="0" xfId="0" applyFont="1"/>
    <xf numFmtId="14" fontId="0" fillId="0" borderId="0" xfId="0" applyNumberFormat="1"/>
    <xf numFmtId="166" fontId="20" fillId="0" borderId="0" xfId="45" applyNumberFormat="1"/>
    <xf numFmtId="164" fontId="20" fillId="0" borderId="0" xfId="45" applyNumberFormat="1"/>
    <xf numFmtId="0" fontId="31" fillId="40" borderId="0" xfId="0" applyFont="1" applyFill="1"/>
    <xf numFmtId="0" fontId="47" fillId="0" borderId="0" xfId="0" applyFont="1"/>
    <xf numFmtId="0" fontId="0" fillId="41" borderId="0" xfId="0" applyFill="1"/>
    <xf numFmtId="0" fontId="21" fillId="34" borderId="38" xfId="0" applyFont="1" applyFill="1" applyBorder="1" applyAlignment="1">
      <alignment horizontal="left"/>
    </xf>
    <xf numFmtId="0" fontId="21" fillId="34" borderId="16" xfId="0" applyFont="1" applyFill="1" applyBorder="1" applyAlignment="1">
      <alignment horizontal="left"/>
    </xf>
    <xf numFmtId="0" fontId="21" fillId="34" borderId="39" xfId="0" applyFont="1" applyFill="1" applyBorder="1"/>
    <xf numFmtId="164" fontId="21" fillId="34" borderId="39" xfId="0" applyNumberFormat="1" applyFont="1" applyFill="1" applyBorder="1"/>
    <xf numFmtId="3" fontId="21" fillId="34" borderId="39" xfId="0" applyNumberFormat="1" applyFont="1" applyFill="1" applyBorder="1" applyAlignment="1">
      <alignment wrapText="1"/>
    </xf>
    <xf numFmtId="0" fontId="0" fillId="0" borderId="39" xfId="0" applyBorder="1"/>
    <xf numFmtId="0" fontId="26" fillId="0" borderId="39" xfId="0" applyFont="1" applyBorder="1"/>
    <xf numFmtId="164" fontId="26" fillId="0" borderId="39" xfId="42" applyNumberFormat="1" applyFont="1" applyBorder="1"/>
    <xf numFmtId="3" fontId="0" fillId="0" borderId="39" xfId="0" applyNumberFormat="1" applyBorder="1"/>
    <xf numFmtId="0" fontId="14" fillId="0" borderId="39" xfId="0" applyFont="1" applyBorder="1"/>
    <xf numFmtId="0" fontId="21" fillId="34" borderId="39" xfId="0" applyFont="1" applyFill="1" applyBorder="1" applyAlignment="1">
      <alignment horizontal="center"/>
    </xf>
    <xf numFmtId="166" fontId="0" fillId="0" borderId="0" xfId="0" applyNumberFormat="1"/>
    <xf numFmtId="0" fontId="20" fillId="0" borderId="0" xfId="45" applyAlignment="1">
      <alignment wrapText="1"/>
    </xf>
    <xf numFmtId="3" fontId="20" fillId="0" borderId="0" xfId="45" applyNumberFormat="1"/>
    <xf numFmtId="4" fontId="26" fillId="0" borderId="0" xfId="0" applyNumberFormat="1" applyFont="1"/>
    <xf numFmtId="8" fontId="26" fillId="0" borderId="0" xfId="0" applyNumberFormat="1" applyFont="1"/>
    <xf numFmtId="3" fontId="26" fillId="0" borderId="0" xfId="0" applyNumberFormat="1" applyFont="1"/>
    <xf numFmtId="0" fontId="22" fillId="0" borderId="0" xfId="46" applyFont="1" applyAlignment="1">
      <alignment horizontal="right"/>
    </xf>
    <xf numFmtId="0" fontId="21" fillId="41" borderId="37" xfId="0" applyFont="1" applyFill="1" applyBorder="1" applyAlignment="1">
      <alignment horizontal="left"/>
    </xf>
    <xf numFmtId="0" fontId="21" fillId="41" borderId="0" xfId="0" applyFont="1" applyFill="1" applyAlignment="1">
      <alignment horizontal="left"/>
    </xf>
    <xf numFmtId="0" fontId="21" fillId="34" borderId="38" xfId="0" applyFont="1" applyFill="1" applyBorder="1" applyAlignment="1">
      <alignment horizontal="left"/>
    </xf>
    <xf numFmtId="0" fontId="21" fillId="34" borderId="16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21" fillId="34" borderId="0" xfId="45" applyFont="1" applyFill="1" applyAlignment="1">
      <alignment wrapText="1"/>
    </xf>
    <xf numFmtId="0" fontId="20" fillId="0" borderId="0" xfId="45" applyAlignment="1">
      <alignment wrapText="1"/>
    </xf>
    <xf numFmtId="0" fontId="16" fillId="0" borderId="0" xfId="0" applyFont="1" applyAlignment="1">
      <alignment horizontal="center" vertical="center"/>
    </xf>
    <xf numFmtId="9" fontId="29" fillId="33" borderId="14" xfId="0" applyNumberFormat="1" applyFont="1" applyFill="1" applyBorder="1" applyAlignment="1">
      <alignment horizontal="right" vertical="center"/>
    </xf>
    <xf numFmtId="9" fontId="29" fillId="33" borderId="15" xfId="0" applyNumberFormat="1" applyFont="1" applyFill="1" applyBorder="1" applyAlignment="1">
      <alignment horizontal="right" vertical="center"/>
    </xf>
    <xf numFmtId="164" fontId="0" fillId="0" borderId="16" xfId="42" applyNumberFormat="1" applyFont="1" applyBorder="1" applyAlignment="1">
      <alignment horizontal="center"/>
    </xf>
    <xf numFmtId="0" fontId="49" fillId="34" borderId="16" xfId="0" applyFont="1" applyFill="1" applyBorder="1" applyAlignment="1">
      <alignment horizontal="left"/>
    </xf>
    <xf numFmtId="3" fontId="49" fillId="34" borderId="39" xfId="0" applyNumberFormat="1" applyFont="1" applyFill="1" applyBorder="1" applyAlignment="1">
      <alignment wrapText="1"/>
    </xf>
    <xf numFmtId="0" fontId="21" fillId="34" borderId="0" xfId="0" applyFont="1" applyFill="1" applyAlignment="1">
      <alignment wrapText="1"/>
    </xf>
    <xf numFmtId="3" fontId="21" fillId="34" borderId="0" xfId="0" applyNumberFormat="1" applyFont="1" applyFill="1" applyAlignment="1">
      <alignment wrapText="1"/>
    </xf>
    <xf numFmtId="166" fontId="21" fillId="34" borderId="0" xfId="0" applyNumberFormat="1" applyFont="1" applyFill="1" applyAlignment="1">
      <alignment wrapText="1"/>
    </xf>
    <xf numFmtId="164" fontId="21" fillId="34" borderId="0" xfId="0" applyNumberFormat="1" applyFont="1" applyFill="1" applyAlignment="1">
      <alignment wrapText="1"/>
    </xf>
    <xf numFmtId="0" fontId="22" fillId="0" borderId="0" xfId="45" applyFont="1" applyAlignment="1"/>
    <xf numFmtId="0" fontId="20" fillId="0" borderId="0" xfId="45" applyAlignment="1"/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9" xr:uid="{2335FF84-5FBA-4EBD-9BC9-92E447EAE98C}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00000000-0005-0000-0000-000027000000}"/>
    <cellStyle name="Normal 3" xfId="46" xr:uid="{00000000-0005-0000-0000-000028000000}"/>
    <cellStyle name="Normal 3 2" xfId="47" xr:uid="{F78064FE-9DE0-4D69-A761-6B9ACF6F9114}"/>
    <cellStyle name="Normal 4" xfId="48" xr:uid="{A03FED56-F493-4B0C-AF80-656EEB9227B0}"/>
    <cellStyle name="Normal 5" xfId="51" xr:uid="{21D17166-2F59-4DCA-9433-A28EEF4E3FC3}"/>
    <cellStyle name="Note" xfId="15" builtinId="10" customBuiltin="1"/>
    <cellStyle name="Output" xfId="10" builtinId="21" customBuiltin="1"/>
    <cellStyle name="Percent" xfId="44" builtinId="5"/>
    <cellStyle name="Percent 2" xfId="50" xr:uid="{35628409-E516-4CCF-B950-2E253DEDD82F}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217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37950</xdr:colOff>
      <xdr:row>3</xdr:row>
      <xdr:rowOff>143574</xdr:rowOff>
    </xdr:from>
    <xdr:to>
      <xdr:col>5</xdr:col>
      <xdr:colOff>510820</xdr:colOff>
      <xdr:row>6</xdr:row>
      <xdr:rowOff>68543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59719D-27CC-4367-A3F0-CD2D00AD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29" y="837752"/>
          <a:ext cx="3139471" cy="4707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aftelis.sharepoint.com/sites/RaftelisHome/Project_Data_D/Pennsylvania/PHILADELPHIA%20WATER%20DEPT/Rate%20Proceedings/2026%20TAP-R%20Rate%20Case/PWD-5%20Rate%20Rider%20Reporting%20Model%2020260101.xlsx" TargetMode="External"/><Relationship Id="rId1" Type="http://schemas.openxmlformats.org/officeDocument/2006/relationships/externalLinkPath" Target="PWD-5%20Rate%20Rider%20Reporting%20Model%20202601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Table of Contents"/>
      <sheetName val="TRR_Summary"/>
      <sheetName val="TRR_Projections"/>
      <sheetName val="Combined Data"/>
      <sheetName val="DR_1"/>
      <sheetName val="DR_2"/>
      <sheetName val="Data Source"/>
      <sheetName val="051018 Model_Applications"/>
      <sheetName val="051018 Model_Assumptions"/>
      <sheetName val="051018 Model_Model"/>
      <sheetName val="051018 Model_Cost Estim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79998168889431442"/>
    <pageSetUpPr fitToPage="1"/>
  </sheetPr>
  <dimension ref="A2:B11"/>
  <sheetViews>
    <sheetView zoomScaleNormal="100" workbookViewId="0">
      <selection activeCell="B9" sqref="B9"/>
    </sheetView>
  </sheetViews>
  <sheetFormatPr defaultColWidth="9.140625" defaultRowHeight="14.25"/>
  <cols>
    <col min="1" max="1" width="9.140625" style="6"/>
    <col min="2" max="2" width="9.5703125" style="6" bestFit="1" customWidth="1"/>
    <col min="3" max="16384" width="9.140625" style="6"/>
  </cols>
  <sheetData>
    <row r="2" spans="1:2">
      <c r="B2" s="132" t="s">
        <v>0</v>
      </c>
    </row>
    <row r="3" spans="1:2" ht="26.65" customHeight="1">
      <c r="A3" s="8" t="s">
        <v>1</v>
      </c>
      <c r="B3" s="7" t="s">
        <v>2</v>
      </c>
    </row>
    <row r="4" spans="1:2">
      <c r="A4" s="8"/>
    </row>
    <row r="5" spans="1:2">
      <c r="A5" s="8" t="s">
        <v>3</v>
      </c>
    </row>
    <row r="9" spans="1:2">
      <c r="B9" s="9" t="s">
        <v>4</v>
      </c>
    </row>
    <row r="10" spans="1:2">
      <c r="B10" s="9"/>
    </row>
    <row r="11" spans="1:2">
      <c r="B11" s="10"/>
    </row>
  </sheetData>
  <pageMargins left="0.7" right="0.7" top="0.75" bottom="0.75" header="0.3" footer="0.3"/>
  <pageSetup orientation="landscape" r:id="rId1"/>
  <headerFooter>
    <oddHeader>&amp;L2026 TAP Reconcilable Rider Reports and Projection Model: &amp;A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B2:I18"/>
  <sheetViews>
    <sheetView workbookViewId="0"/>
  </sheetViews>
  <sheetFormatPr defaultColWidth="8.85546875" defaultRowHeight="14.25"/>
  <cols>
    <col min="1" max="1" width="2.85546875" customWidth="1"/>
    <col min="2" max="2" width="26.42578125" bestFit="1" customWidth="1"/>
    <col min="3" max="3" width="9.42578125" bestFit="1" customWidth="1"/>
    <col min="8" max="8" width="14.140625" customWidth="1"/>
    <col min="9" max="9" width="11.42578125" bestFit="1" customWidth="1"/>
  </cols>
  <sheetData>
    <row r="2" spans="2:9">
      <c r="B2" s="175" t="s">
        <v>113</v>
      </c>
      <c r="C2" s="175"/>
    </row>
    <row r="3" spans="2:9">
      <c r="H3" s="175" t="s">
        <v>114</v>
      </c>
      <c r="I3" s="175"/>
    </row>
    <row r="4" spans="2:9">
      <c r="B4" s="16" t="s">
        <v>115</v>
      </c>
      <c r="C4" s="16" t="s">
        <v>116</v>
      </c>
    </row>
    <row r="5" spans="2:9">
      <c r="B5" s="17">
        <v>20171105</v>
      </c>
      <c r="C5" s="18">
        <v>1182</v>
      </c>
      <c r="H5" s="19" t="s">
        <v>117</v>
      </c>
      <c r="I5" s="20">
        <f>SUM('051018 Model_Applications'!B39:B40)/SUM('051018 Model_Applications'!B35,'051018 Model_Applications'!B37,'051018 Model_Applications'!B39,'051018 Model_Applications'!B40)</f>
        <v>0.59217625899280579</v>
      </c>
    </row>
    <row r="6" spans="2:9">
      <c r="B6" s="21">
        <v>20171023</v>
      </c>
      <c r="C6" s="22">
        <v>1116</v>
      </c>
    </row>
    <row r="7" spans="2:9">
      <c r="C7" s="23">
        <f>SUM(C5:C6)</f>
        <v>2298</v>
      </c>
      <c r="H7" s="19" t="s">
        <v>118</v>
      </c>
      <c r="I7" s="24">
        <f>'051018 Model_Applications'!B34+'051018 Model_Applications'!B38</f>
        <v>6159</v>
      </c>
    </row>
    <row r="9" spans="2:9">
      <c r="C9" s="25" t="s">
        <v>119</v>
      </c>
      <c r="H9" s="19" t="s">
        <v>120</v>
      </c>
      <c r="I9" s="24">
        <f>ROUND(I7*I5,0)</f>
        <v>3647</v>
      </c>
    </row>
    <row r="10" spans="2:9" ht="4.9000000000000004" customHeight="1">
      <c r="C10" s="2"/>
    </row>
    <row r="11" spans="2:9">
      <c r="B11" s="26" t="s">
        <v>121</v>
      </c>
      <c r="C11" s="27">
        <v>0.84279797514956278</v>
      </c>
    </row>
    <row r="12" spans="2:9" ht="4.9000000000000004" customHeight="1">
      <c r="B12" s="19"/>
    </row>
    <row r="13" spans="2:9">
      <c r="B13" s="19" t="s">
        <v>122</v>
      </c>
      <c r="C13" s="27">
        <v>0.3</v>
      </c>
      <c r="H13" s="19" t="s">
        <v>123</v>
      </c>
      <c r="I13" s="28">
        <v>201801</v>
      </c>
    </row>
    <row r="14" spans="2:9" ht="4.9000000000000004" customHeight="1">
      <c r="B14" s="19"/>
      <c r="C14" s="29"/>
    </row>
    <row r="15" spans="2:9">
      <c r="B15" s="19" t="s">
        <v>124</v>
      </c>
      <c r="C15" s="27">
        <v>0.02</v>
      </c>
      <c r="H15" s="19"/>
      <c r="I15" s="30"/>
    </row>
    <row r="16" spans="2:9" ht="4.9000000000000004" customHeight="1">
      <c r="B16" s="19"/>
    </row>
    <row r="17" spans="2:3">
      <c r="B17" s="19" t="s">
        <v>125</v>
      </c>
      <c r="C17" s="176">
        <v>0.6</v>
      </c>
    </row>
    <row r="18" spans="2:3">
      <c r="B18" s="19" t="s">
        <v>126</v>
      </c>
      <c r="C18" s="177"/>
    </row>
  </sheetData>
  <mergeCells count="3">
    <mergeCell ref="B2:C2"/>
    <mergeCell ref="H3:I3"/>
    <mergeCell ref="C17:C18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B1:G62"/>
  <sheetViews>
    <sheetView workbookViewId="0"/>
  </sheetViews>
  <sheetFormatPr defaultColWidth="8.85546875" defaultRowHeight="14.25"/>
  <cols>
    <col min="1" max="1" width="2.85546875" customWidth="1"/>
    <col min="3" max="3" width="12.28515625" style="1" customWidth="1"/>
    <col min="4" max="4" width="9.42578125" style="35" customWidth="1"/>
    <col min="5" max="5" width="14.28515625" customWidth="1"/>
    <col min="6" max="6" width="15" customWidth="1"/>
    <col min="7" max="7" width="9.42578125" customWidth="1"/>
  </cols>
  <sheetData>
    <row r="1" spans="2:7">
      <c r="C1" s="178" t="s">
        <v>127</v>
      </c>
      <c r="D1" s="178"/>
      <c r="E1" s="178"/>
      <c r="F1" s="178"/>
      <c r="G1" s="178"/>
    </row>
    <row r="2" spans="2:7" ht="28.5">
      <c r="C2" s="31" t="s">
        <v>128</v>
      </c>
      <c r="D2" s="32" t="s">
        <v>129</v>
      </c>
      <c r="E2" s="33" t="s">
        <v>130</v>
      </c>
      <c r="F2" s="33" t="s">
        <v>131</v>
      </c>
      <c r="G2" s="33" t="s">
        <v>132</v>
      </c>
    </row>
    <row r="3" spans="2:7">
      <c r="B3">
        <v>201707</v>
      </c>
      <c r="C3" s="34">
        <v>0</v>
      </c>
      <c r="E3" s="36">
        <v>0</v>
      </c>
      <c r="F3" s="1"/>
      <c r="G3" s="1"/>
    </row>
    <row r="4" spans="2:7">
      <c r="B4">
        <v>201708</v>
      </c>
      <c r="C4" s="34">
        <v>765</v>
      </c>
      <c r="E4" s="36">
        <v>41654.159999999974</v>
      </c>
      <c r="F4" s="37">
        <v>54.61</v>
      </c>
      <c r="G4" s="38"/>
    </row>
    <row r="5" spans="2:7">
      <c r="B5">
        <v>201709</v>
      </c>
      <c r="C5" s="34">
        <v>1434</v>
      </c>
      <c r="D5" s="39">
        <f>(C5-C4)/C4</f>
        <v>0.87450980392156863</v>
      </c>
      <c r="E5" s="36">
        <v>92609.250000000102</v>
      </c>
      <c r="G5" s="38"/>
    </row>
    <row r="6" spans="2:7">
      <c r="B6">
        <v>201710</v>
      </c>
      <c r="C6" s="34">
        <v>1992</v>
      </c>
      <c r="D6" s="39">
        <f t="shared" ref="D6:D12" si="0">(C6-C5)/C5</f>
        <v>0.38912133891213391</v>
      </c>
      <c r="E6" s="36">
        <v>112973.10000000002</v>
      </c>
      <c r="G6" s="38"/>
    </row>
    <row r="7" spans="2:7">
      <c r="B7">
        <v>201711</v>
      </c>
      <c r="C7" s="34">
        <v>2615</v>
      </c>
      <c r="D7" s="39">
        <f t="shared" si="0"/>
        <v>0.31275100401606426</v>
      </c>
      <c r="E7" s="40">
        <f t="shared" ref="E7:E62" si="1">C7*F$4</f>
        <v>142805.15</v>
      </c>
      <c r="F7" s="41"/>
      <c r="G7" s="42"/>
    </row>
    <row r="8" spans="2:7">
      <c r="B8">
        <v>201712</v>
      </c>
      <c r="C8" s="34">
        <v>3900</v>
      </c>
      <c r="D8" s="39">
        <f t="shared" si="0"/>
        <v>0.491395793499044</v>
      </c>
      <c r="E8" s="40">
        <f t="shared" si="1"/>
        <v>212979</v>
      </c>
      <c r="F8" s="41"/>
      <c r="G8" s="24">
        <f>'051018 Model_Assumptions'!C13*'051018 Model_Assumptions'!C11*(1-'051018 Model_Assumptions'!C15)*'051018 Model_Assumptions'!C7</f>
        <v>569.40442558674636</v>
      </c>
    </row>
    <row r="9" spans="2:7">
      <c r="B9">
        <v>201801</v>
      </c>
      <c r="C9" s="34">
        <v>5206</v>
      </c>
      <c r="D9" s="39">
        <f t="shared" si="0"/>
        <v>0.33487179487179486</v>
      </c>
      <c r="E9" s="40">
        <f t="shared" si="1"/>
        <v>284299.65999999997</v>
      </c>
      <c r="F9" s="41"/>
      <c r="G9" s="42"/>
    </row>
    <row r="10" spans="2:7">
      <c r="B10">
        <v>201802</v>
      </c>
      <c r="C10" s="34">
        <v>6150</v>
      </c>
      <c r="D10" s="39">
        <f t="shared" si="0"/>
        <v>0.18132923549750288</v>
      </c>
      <c r="E10" s="40">
        <f t="shared" si="1"/>
        <v>335851.5</v>
      </c>
      <c r="F10" s="41"/>
      <c r="G10" s="42"/>
    </row>
    <row r="11" spans="2:7">
      <c r="B11">
        <v>201803</v>
      </c>
      <c r="C11" s="34">
        <v>7197</v>
      </c>
      <c r="D11" s="39">
        <f t="shared" si="0"/>
        <v>0.1702439024390244</v>
      </c>
      <c r="E11" s="40">
        <f t="shared" si="1"/>
        <v>393028.17</v>
      </c>
      <c r="F11" s="41"/>
      <c r="G11" s="42"/>
    </row>
    <row r="12" spans="2:7">
      <c r="B12">
        <v>201804</v>
      </c>
      <c r="C12" s="34">
        <v>8081</v>
      </c>
      <c r="D12" s="43">
        <f t="shared" si="0"/>
        <v>0.12282895650965681</v>
      </c>
      <c r="E12" s="40">
        <f t="shared" si="1"/>
        <v>441303.41</v>
      </c>
      <c r="F12" s="41"/>
      <c r="G12" s="24">
        <f>'051018 Model_Assumptions'!C17*'051018 Model_Assumptions'!C11*'051018 Model_Assumptions'!C7</f>
        <v>1162.049848136217</v>
      </c>
    </row>
    <row r="13" spans="2:7">
      <c r="B13">
        <v>201805</v>
      </c>
      <c r="C13" s="44">
        <f>C12*(1+D13)</f>
        <v>9293.15</v>
      </c>
      <c r="D13" s="3">
        <v>0.15</v>
      </c>
      <c r="E13" s="40">
        <f t="shared" si="1"/>
        <v>507498.9215</v>
      </c>
      <c r="F13" s="41"/>
      <c r="G13" s="42"/>
    </row>
    <row r="14" spans="2:7">
      <c r="B14" s="45">
        <v>201806</v>
      </c>
      <c r="C14" s="46">
        <f>C13*(1+D14)</f>
        <v>10687.122499999999</v>
      </c>
      <c r="D14" s="47">
        <v>0.15</v>
      </c>
      <c r="E14" s="48">
        <f t="shared" si="1"/>
        <v>583623.75972500001</v>
      </c>
      <c r="F14" s="49">
        <f>SUM(E3:E14)</f>
        <v>3148626.0812250003</v>
      </c>
      <c r="G14" s="42"/>
    </row>
    <row r="15" spans="2:7">
      <c r="B15">
        <v>201807</v>
      </c>
      <c r="C15" s="50">
        <f t="shared" ref="C15:C62" si="2">C14*(1+D15)</f>
        <v>11221.478625</v>
      </c>
      <c r="D15" s="51">
        <v>0.05</v>
      </c>
      <c r="E15" s="40">
        <f t="shared" si="1"/>
        <v>612804.94771124993</v>
      </c>
      <c r="F15" s="49"/>
      <c r="G15" s="42"/>
    </row>
    <row r="16" spans="2:7">
      <c r="B16">
        <v>201808</v>
      </c>
      <c r="C16" s="50">
        <f t="shared" si="2"/>
        <v>11782.552556250001</v>
      </c>
      <c r="D16" s="3">
        <v>0.05</v>
      </c>
      <c r="E16" s="40">
        <f t="shared" si="1"/>
        <v>643445.19509681256</v>
      </c>
      <c r="F16" s="49"/>
      <c r="G16" s="42"/>
    </row>
    <row r="17" spans="2:7">
      <c r="B17">
        <v>201809</v>
      </c>
      <c r="C17" s="50">
        <f t="shared" si="2"/>
        <v>12371.680184062501</v>
      </c>
      <c r="D17" s="3">
        <v>0.05</v>
      </c>
      <c r="E17" s="40">
        <f t="shared" si="1"/>
        <v>675617.45485165319</v>
      </c>
      <c r="F17" s="49"/>
      <c r="G17" s="42"/>
    </row>
    <row r="18" spans="2:7">
      <c r="B18">
        <v>201810</v>
      </c>
      <c r="C18" s="50">
        <f t="shared" si="2"/>
        <v>12990.264193265626</v>
      </c>
      <c r="D18" s="3">
        <v>0.05</v>
      </c>
      <c r="E18" s="40">
        <f t="shared" si="1"/>
        <v>709398.32759423589</v>
      </c>
      <c r="F18" s="49"/>
      <c r="G18" s="42"/>
    </row>
    <row r="19" spans="2:7">
      <c r="B19">
        <v>201811</v>
      </c>
      <c r="C19" s="50">
        <f t="shared" si="2"/>
        <v>13250.069477130939</v>
      </c>
      <c r="D19" s="3">
        <v>0.02</v>
      </c>
      <c r="E19" s="40">
        <f t="shared" si="1"/>
        <v>723586.29414612055</v>
      </c>
      <c r="F19" s="49"/>
      <c r="G19" s="38"/>
    </row>
    <row r="20" spans="2:7">
      <c r="B20">
        <v>201812</v>
      </c>
      <c r="C20" s="50">
        <f t="shared" si="2"/>
        <v>13515.070866673557</v>
      </c>
      <c r="D20" s="3">
        <v>0.02</v>
      </c>
      <c r="E20" s="40">
        <f t="shared" si="1"/>
        <v>738058.02002904296</v>
      </c>
      <c r="F20" s="49"/>
      <c r="G20" s="38"/>
    </row>
    <row r="21" spans="2:7">
      <c r="B21">
        <v>201901</v>
      </c>
      <c r="C21" s="50">
        <f t="shared" si="2"/>
        <v>13785.37228400703</v>
      </c>
      <c r="D21" s="3">
        <v>0.02</v>
      </c>
      <c r="E21" s="40">
        <f t="shared" si="1"/>
        <v>752819.18042962393</v>
      </c>
      <c r="F21" s="49"/>
      <c r="G21" s="1"/>
    </row>
    <row r="22" spans="2:7">
      <c r="B22">
        <v>201902</v>
      </c>
      <c r="C22" s="50">
        <f t="shared" si="2"/>
        <v>14061.07972968717</v>
      </c>
      <c r="D22" s="3">
        <v>0.02</v>
      </c>
      <c r="E22" s="40">
        <f t="shared" si="1"/>
        <v>767875.56403821637</v>
      </c>
      <c r="F22" s="49"/>
      <c r="G22" s="1"/>
    </row>
    <row r="23" spans="2:7">
      <c r="B23">
        <v>201903</v>
      </c>
      <c r="C23" s="50">
        <f t="shared" si="2"/>
        <v>14342.301324280914</v>
      </c>
      <c r="D23" s="3">
        <v>0.02</v>
      </c>
      <c r="E23" s="40">
        <f t="shared" si="1"/>
        <v>783233.07531898073</v>
      </c>
      <c r="F23" s="49"/>
      <c r="G23" s="1"/>
    </row>
    <row r="24" spans="2:7">
      <c r="B24">
        <v>201904</v>
      </c>
      <c r="C24" s="50">
        <f t="shared" si="2"/>
        <v>14915.993377252151</v>
      </c>
      <c r="D24" s="3">
        <v>0.04</v>
      </c>
      <c r="E24" s="40">
        <f t="shared" si="1"/>
        <v>814562.39833173994</v>
      </c>
      <c r="F24" s="49"/>
      <c r="G24" s="1"/>
    </row>
    <row r="25" spans="2:7">
      <c r="B25">
        <v>201905</v>
      </c>
      <c r="C25" s="50">
        <f t="shared" si="2"/>
        <v>15512.633112342237</v>
      </c>
      <c r="D25" s="3">
        <v>0.04</v>
      </c>
      <c r="E25" s="40">
        <f t="shared" si="1"/>
        <v>847144.89426500956</v>
      </c>
      <c r="F25" s="49"/>
      <c r="G25" s="1"/>
    </row>
    <row r="26" spans="2:7">
      <c r="B26">
        <v>201906</v>
      </c>
      <c r="C26" s="50">
        <f t="shared" si="2"/>
        <v>16133.138436835927</v>
      </c>
      <c r="D26" s="3">
        <v>0.04</v>
      </c>
      <c r="E26" s="40">
        <f t="shared" si="1"/>
        <v>881030.69003560999</v>
      </c>
      <c r="F26" s="49">
        <f>SUM(E15:E26)</f>
        <v>8949576.0418482944</v>
      </c>
      <c r="G26" s="1"/>
    </row>
    <row r="27" spans="2:7">
      <c r="B27">
        <v>201907</v>
      </c>
      <c r="C27" s="50">
        <f t="shared" si="2"/>
        <v>16617.132589941004</v>
      </c>
      <c r="D27" s="3">
        <v>0.03</v>
      </c>
      <c r="E27" s="40">
        <f t="shared" si="1"/>
        <v>907461.61073667824</v>
      </c>
      <c r="F27" s="49"/>
    </row>
    <row r="28" spans="2:7">
      <c r="B28">
        <v>201908</v>
      </c>
      <c r="C28" s="50">
        <f t="shared" si="2"/>
        <v>17115.646567639236</v>
      </c>
      <c r="D28" s="3">
        <v>0.03</v>
      </c>
      <c r="E28" s="40">
        <f t="shared" si="1"/>
        <v>934685.45905877871</v>
      </c>
      <c r="F28" s="49"/>
    </row>
    <row r="29" spans="2:7">
      <c r="B29">
        <v>201909</v>
      </c>
      <c r="C29" s="50">
        <f t="shared" si="2"/>
        <v>17629.115964668414</v>
      </c>
      <c r="D29" s="3">
        <v>0.03</v>
      </c>
      <c r="E29" s="40">
        <f t="shared" si="1"/>
        <v>962726.02283054206</v>
      </c>
      <c r="F29" s="49"/>
    </row>
    <row r="30" spans="2:7">
      <c r="B30">
        <v>201910</v>
      </c>
      <c r="C30" s="50">
        <f t="shared" si="2"/>
        <v>18157.989443608465</v>
      </c>
      <c r="D30" s="3">
        <v>0.03</v>
      </c>
      <c r="E30" s="40">
        <f t="shared" si="1"/>
        <v>991607.80351545825</v>
      </c>
      <c r="F30" s="49"/>
    </row>
    <row r="31" spans="2:7">
      <c r="B31">
        <v>201911</v>
      </c>
      <c r="C31" s="50">
        <f t="shared" si="2"/>
        <v>18521.149232480635</v>
      </c>
      <c r="D31" s="3">
        <v>0.02</v>
      </c>
      <c r="E31" s="40">
        <f t="shared" si="1"/>
        <v>1011439.9595857675</v>
      </c>
      <c r="F31" s="49"/>
    </row>
    <row r="32" spans="2:7">
      <c r="B32">
        <v>201912</v>
      </c>
      <c r="C32" s="50">
        <f t="shared" si="2"/>
        <v>18891.572217130248</v>
      </c>
      <c r="D32" s="3">
        <v>0.02</v>
      </c>
      <c r="E32" s="40">
        <f t="shared" si="1"/>
        <v>1031668.7587774828</v>
      </c>
      <c r="F32" s="49"/>
    </row>
    <row r="33" spans="2:6">
      <c r="B33">
        <v>202001</v>
      </c>
      <c r="C33" s="50">
        <f t="shared" si="2"/>
        <v>19269.403661472854</v>
      </c>
      <c r="D33" s="3">
        <v>0.02</v>
      </c>
      <c r="E33" s="40">
        <f t="shared" si="1"/>
        <v>1052302.1339530325</v>
      </c>
      <c r="F33" s="49"/>
    </row>
    <row r="34" spans="2:6">
      <c r="B34">
        <v>202002</v>
      </c>
      <c r="C34" s="50">
        <f t="shared" si="2"/>
        <v>19654.79173470231</v>
      </c>
      <c r="D34" s="3">
        <v>0.02</v>
      </c>
      <c r="E34" s="40">
        <f t="shared" si="1"/>
        <v>1073348.1766320933</v>
      </c>
      <c r="F34" s="49"/>
    </row>
    <row r="35" spans="2:6">
      <c r="B35">
        <v>202003</v>
      </c>
      <c r="C35" s="50">
        <f t="shared" si="2"/>
        <v>20047.887569396356</v>
      </c>
      <c r="D35" s="3">
        <v>0.02</v>
      </c>
      <c r="E35" s="40">
        <f t="shared" si="1"/>
        <v>1094815.140164735</v>
      </c>
      <c r="F35" s="49"/>
    </row>
    <row r="36" spans="2:6">
      <c r="B36">
        <v>202004</v>
      </c>
      <c r="C36" s="50">
        <f t="shared" si="2"/>
        <v>20649.324196478246</v>
      </c>
      <c r="D36" s="3">
        <v>0.03</v>
      </c>
      <c r="E36" s="40">
        <f t="shared" si="1"/>
        <v>1127659.5943696771</v>
      </c>
      <c r="F36" s="49"/>
    </row>
    <row r="37" spans="2:6">
      <c r="B37">
        <v>202005</v>
      </c>
      <c r="C37" s="50">
        <f t="shared" si="2"/>
        <v>21268.803922372594</v>
      </c>
      <c r="D37" s="3">
        <v>0.03</v>
      </c>
      <c r="E37" s="40">
        <f t="shared" si="1"/>
        <v>1161489.3822007673</v>
      </c>
      <c r="F37" s="49"/>
    </row>
    <row r="38" spans="2:6">
      <c r="B38">
        <v>202006</v>
      </c>
      <c r="C38" s="50">
        <f t="shared" si="2"/>
        <v>21906.868040043773</v>
      </c>
      <c r="D38" s="3">
        <v>0.03</v>
      </c>
      <c r="E38" s="40">
        <f t="shared" si="1"/>
        <v>1196334.0636667905</v>
      </c>
      <c r="F38" s="49">
        <f>SUM(E27:E38)</f>
        <v>12545538.105491802</v>
      </c>
    </row>
    <row r="39" spans="2:6">
      <c r="B39">
        <v>202007</v>
      </c>
      <c r="C39" s="50">
        <f t="shared" si="2"/>
        <v>22345.00540084465</v>
      </c>
      <c r="D39" s="3">
        <v>0.02</v>
      </c>
      <c r="E39" s="40">
        <f t="shared" si="1"/>
        <v>1220260.7449401263</v>
      </c>
      <c r="F39" s="49"/>
    </row>
    <row r="40" spans="2:6">
      <c r="B40">
        <v>202008</v>
      </c>
      <c r="C40" s="50">
        <f t="shared" si="2"/>
        <v>22791.905508861542</v>
      </c>
      <c r="D40" s="3">
        <v>0.02</v>
      </c>
      <c r="E40" s="40">
        <f t="shared" si="1"/>
        <v>1244665.9598389289</v>
      </c>
      <c r="F40" s="49"/>
    </row>
    <row r="41" spans="2:6">
      <c r="B41">
        <v>202009</v>
      </c>
      <c r="C41" s="50">
        <f t="shared" si="2"/>
        <v>23247.743619038774</v>
      </c>
      <c r="D41" s="3">
        <v>0.02</v>
      </c>
      <c r="E41" s="40">
        <f t="shared" si="1"/>
        <v>1269559.2790357075</v>
      </c>
      <c r="F41" s="49"/>
    </row>
    <row r="42" spans="2:6">
      <c r="B42">
        <v>202010</v>
      </c>
      <c r="C42" s="50">
        <f t="shared" si="2"/>
        <v>23712.698491419549</v>
      </c>
      <c r="D42" s="3">
        <v>0.02</v>
      </c>
      <c r="E42" s="40">
        <f t="shared" si="1"/>
        <v>1294950.4646164216</v>
      </c>
      <c r="F42" s="49"/>
    </row>
    <row r="43" spans="2:6">
      <c r="B43">
        <v>202011</v>
      </c>
      <c r="C43" s="50">
        <f t="shared" si="2"/>
        <v>23712.698491419549</v>
      </c>
      <c r="D43" s="3">
        <v>0</v>
      </c>
      <c r="E43" s="40">
        <f t="shared" si="1"/>
        <v>1294950.4646164216</v>
      </c>
      <c r="F43" s="49"/>
    </row>
    <row r="44" spans="2:6">
      <c r="B44">
        <v>202012</v>
      </c>
      <c r="C44" s="50">
        <f t="shared" si="2"/>
        <v>23712.698491419549</v>
      </c>
      <c r="D44" s="3">
        <v>0</v>
      </c>
      <c r="E44" s="40">
        <f t="shared" si="1"/>
        <v>1294950.4646164216</v>
      </c>
      <c r="F44" s="49"/>
    </row>
    <row r="45" spans="2:6">
      <c r="B45">
        <v>202101</v>
      </c>
      <c r="C45" s="50">
        <f t="shared" si="2"/>
        <v>23712.698491419549</v>
      </c>
      <c r="D45" s="3">
        <v>0</v>
      </c>
      <c r="E45" s="40">
        <f t="shared" si="1"/>
        <v>1294950.4646164216</v>
      </c>
      <c r="F45" s="49"/>
    </row>
    <row r="46" spans="2:6">
      <c r="B46">
        <v>202102</v>
      </c>
      <c r="C46" s="50">
        <f t="shared" si="2"/>
        <v>23712.698491419549</v>
      </c>
      <c r="D46" s="3">
        <v>0</v>
      </c>
      <c r="E46" s="40">
        <f t="shared" si="1"/>
        <v>1294950.4646164216</v>
      </c>
      <c r="F46" s="49"/>
    </row>
    <row r="47" spans="2:6">
      <c r="B47">
        <v>202103</v>
      </c>
      <c r="C47" s="50">
        <f t="shared" si="2"/>
        <v>23712.698491419549</v>
      </c>
      <c r="D47" s="3">
        <v>0</v>
      </c>
      <c r="E47" s="40">
        <f t="shared" si="1"/>
        <v>1294950.4646164216</v>
      </c>
      <c r="F47" s="49"/>
    </row>
    <row r="48" spans="2:6">
      <c r="B48">
        <v>202104</v>
      </c>
      <c r="C48" s="50">
        <f t="shared" si="2"/>
        <v>24186.95246124794</v>
      </c>
      <c r="D48" s="3">
        <v>0.02</v>
      </c>
      <c r="E48" s="40">
        <f t="shared" si="1"/>
        <v>1320849.4739087499</v>
      </c>
      <c r="F48" s="49"/>
    </row>
    <row r="49" spans="2:6">
      <c r="B49">
        <v>202105</v>
      </c>
      <c r="C49" s="50">
        <f t="shared" si="2"/>
        <v>24670.691510472898</v>
      </c>
      <c r="D49" s="3">
        <v>0.02</v>
      </c>
      <c r="E49" s="40">
        <f t="shared" si="1"/>
        <v>1347266.4633869249</v>
      </c>
      <c r="F49" s="49"/>
    </row>
    <row r="50" spans="2:6">
      <c r="B50" s="52">
        <v>202106</v>
      </c>
      <c r="C50" s="53">
        <f t="shared" si="2"/>
        <v>25164.105340682356</v>
      </c>
      <c r="D50" s="3">
        <v>0.02</v>
      </c>
      <c r="E50" s="40">
        <f t="shared" si="1"/>
        <v>1374211.7926546633</v>
      </c>
      <c r="F50" s="49">
        <f>SUM(E39:E50)</f>
        <v>15546516.501463631</v>
      </c>
    </row>
    <row r="51" spans="2:6">
      <c r="B51">
        <v>202107</v>
      </c>
      <c r="C51" s="50">
        <f t="shared" si="2"/>
        <v>25164.105340682356</v>
      </c>
      <c r="D51" s="3">
        <v>0</v>
      </c>
      <c r="E51" s="40">
        <f t="shared" si="1"/>
        <v>1374211.7926546633</v>
      </c>
      <c r="F51" s="49"/>
    </row>
    <row r="52" spans="2:6">
      <c r="B52">
        <v>202108</v>
      </c>
      <c r="C52" s="50">
        <f t="shared" si="2"/>
        <v>25164.105340682356</v>
      </c>
      <c r="D52" s="3">
        <v>0</v>
      </c>
      <c r="E52" s="40">
        <f t="shared" si="1"/>
        <v>1374211.7926546633</v>
      </c>
      <c r="F52" s="49"/>
    </row>
    <row r="53" spans="2:6">
      <c r="B53">
        <v>202109</v>
      </c>
      <c r="C53" s="50">
        <f t="shared" si="2"/>
        <v>25164.105340682356</v>
      </c>
      <c r="D53" s="3">
        <v>0</v>
      </c>
      <c r="E53" s="40">
        <f t="shared" si="1"/>
        <v>1374211.7926546633</v>
      </c>
      <c r="F53" s="49"/>
    </row>
    <row r="54" spans="2:6">
      <c r="B54">
        <v>202110</v>
      </c>
      <c r="C54" s="50">
        <f t="shared" si="2"/>
        <v>25164.105340682356</v>
      </c>
      <c r="D54" s="3">
        <v>0</v>
      </c>
      <c r="E54" s="40">
        <f t="shared" si="1"/>
        <v>1374211.7926546633</v>
      </c>
      <c r="F54" s="49"/>
    </row>
    <row r="55" spans="2:6">
      <c r="B55">
        <v>202111</v>
      </c>
      <c r="C55" s="50">
        <f t="shared" si="2"/>
        <v>25164.105340682356</v>
      </c>
      <c r="D55" s="3">
        <v>0</v>
      </c>
      <c r="E55" s="40">
        <f t="shared" si="1"/>
        <v>1374211.7926546633</v>
      </c>
      <c r="F55" s="49"/>
    </row>
    <row r="56" spans="2:6">
      <c r="B56">
        <v>202112</v>
      </c>
      <c r="C56" s="50">
        <f t="shared" si="2"/>
        <v>25164.105340682356</v>
      </c>
      <c r="D56" s="3">
        <v>0</v>
      </c>
      <c r="E56" s="40">
        <f t="shared" si="1"/>
        <v>1374211.7926546633</v>
      </c>
      <c r="F56" s="49"/>
    </row>
    <row r="57" spans="2:6">
      <c r="B57">
        <v>202201</v>
      </c>
      <c r="C57" s="50">
        <f t="shared" si="2"/>
        <v>25164.105340682356</v>
      </c>
      <c r="D57" s="3">
        <v>0</v>
      </c>
      <c r="E57" s="40">
        <f t="shared" si="1"/>
        <v>1374211.7926546633</v>
      </c>
      <c r="F57" s="49"/>
    </row>
    <row r="58" spans="2:6">
      <c r="B58">
        <v>202202</v>
      </c>
      <c r="C58" s="50">
        <f t="shared" si="2"/>
        <v>25164.105340682356</v>
      </c>
      <c r="D58" s="3">
        <v>0</v>
      </c>
      <c r="E58" s="40">
        <f t="shared" si="1"/>
        <v>1374211.7926546633</v>
      </c>
      <c r="F58" s="49"/>
    </row>
    <row r="59" spans="2:6">
      <c r="B59">
        <v>202203</v>
      </c>
      <c r="C59" s="50">
        <f t="shared" si="2"/>
        <v>25164.105340682356</v>
      </c>
      <c r="D59" s="3">
        <v>0</v>
      </c>
      <c r="E59" s="40">
        <f t="shared" si="1"/>
        <v>1374211.7926546633</v>
      </c>
      <c r="F59" s="49"/>
    </row>
    <row r="60" spans="2:6">
      <c r="B60">
        <v>202204</v>
      </c>
      <c r="C60" s="50">
        <f t="shared" si="2"/>
        <v>25164.105340682356</v>
      </c>
      <c r="D60" s="3">
        <v>0</v>
      </c>
      <c r="E60" s="40">
        <f t="shared" si="1"/>
        <v>1374211.7926546633</v>
      </c>
      <c r="F60" s="49"/>
    </row>
    <row r="61" spans="2:6">
      <c r="B61">
        <v>202205</v>
      </c>
      <c r="C61" s="50">
        <f t="shared" si="2"/>
        <v>25164.105340682356</v>
      </c>
      <c r="D61" s="3">
        <v>0</v>
      </c>
      <c r="E61" s="40">
        <f t="shared" si="1"/>
        <v>1374211.7926546633</v>
      </c>
      <c r="F61" s="49"/>
    </row>
    <row r="62" spans="2:6">
      <c r="B62">
        <v>202206</v>
      </c>
      <c r="C62" s="50">
        <f t="shared" si="2"/>
        <v>25164.105340682356</v>
      </c>
      <c r="D62" s="3">
        <v>0</v>
      </c>
      <c r="E62" s="40">
        <f t="shared" si="1"/>
        <v>1374211.7926546633</v>
      </c>
      <c r="F62" s="49"/>
    </row>
  </sheetData>
  <mergeCells count="1">
    <mergeCell ref="C1:G1"/>
  </mergeCell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D7"/>
  <sheetViews>
    <sheetView workbookViewId="0"/>
  </sheetViews>
  <sheetFormatPr defaultColWidth="8.85546875" defaultRowHeight="14.25"/>
  <cols>
    <col min="2" max="2" width="12.42578125" bestFit="1" customWidth="1"/>
    <col min="3" max="3" width="12.42578125" customWidth="1"/>
    <col min="4" max="4" width="14.140625" style="1" customWidth="1"/>
  </cols>
  <sheetData>
    <row r="1" spans="1:4">
      <c r="A1" t="str">
        <f>'051018 Model_Model'!C1</f>
        <v>PROJECTED SUBSCRIPTION 1 (4-YR RAMP)</v>
      </c>
    </row>
    <row r="2" spans="1:4" ht="28.5">
      <c r="A2" s="16" t="s">
        <v>52</v>
      </c>
      <c r="B2" s="54" t="s">
        <v>133</v>
      </c>
      <c r="C2" s="55" t="s">
        <v>134</v>
      </c>
      <c r="D2" s="55" t="s">
        <v>135</v>
      </c>
    </row>
    <row r="3" spans="1:4">
      <c r="A3" s="17" t="s">
        <v>136</v>
      </c>
      <c r="B3" s="56">
        <f>SUM('051018 Model_Model'!E3:E14)</f>
        <v>3148626.0812250003</v>
      </c>
      <c r="C3" s="56"/>
      <c r="D3" s="18">
        <f>'051018 Model_Model'!C14</f>
        <v>10687.122499999999</v>
      </c>
    </row>
    <row r="4" spans="1:4">
      <c r="A4" s="57" t="s">
        <v>137</v>
      </c>
      <c r="B4" s="58">
        <f>SUM('051018 Model_Model'!E15:E26)</f>
        <v>8949576.0418482944</v>
      </c>
      <c r="C4" s="59">
        <f>(D4-D3)/D3</f>
        <v>0.5095867420660638</v>
      </c>
      <c r="D4" s="60">
        <f>'051018 Model_Model'!C26</f>
        <v>16133.138436835927</v>
      </c>
    </row>
    <row r="5" spans="1:4">
      <c r="A5" s="61" t="s">
        <v>138</v>
      </c>
      <c r="B5" s="62">
        <f>SUM('051018 Model_Model'!E27:E38)</f>
        <v>12545538.105491802</v>
      </c>
      <c r="C5" s="63">
        <f>(D5-D4)/D4</f>
        <v>0.3578801251729794</v>
      </c>
      <c r="D5" s="64">
        <f>'051018 Model_Model'!C38</f>
        <v>21906.868040043773</v>
      </c>
    </row>
    <row r="6" spans="1:4">
      <c r="A6" s="4" t="s">
        <v>139</v>
      </c>
      <c r="B6" s="65">
        <f>SUM('051018 Model_Model'!E39:E50)</f>
        <v>15546516.501463631</v>
      </c>
      <c r="C6" s="66">
        <f>(D6-D5)/D5</f>
        <v>0.14868566764927998</v>
      </c>
      <c r="D6" s="67">
        <f>'051018 Model_Model'!C50</f>
        <v>25164.105340682356</v>
      </c>
    </row>
    <row r="7" spans="1:4">
      <c r="A7" s="61" t="s">
        <v>140</v>
      </c>
      <c r="B7" s="62">
        <f>SUM('051018 Model_Model'!E51:E62)</f>
        <v>16490541.51185596</v>
      </c>
      <c r="C7" s="63">
        <f>(D7-D6)/D6</f>
        <v>0</v>
      </c>
      <c r="D7" s="64">
        <f>'051018 Model_Model'!C62</f>
        <v>25164.105340682356</v>
      </c>
    </row>
  </sheetData>
  <pageMargins left="0.7" right="0.7" top="0.75" bottom="0.75" header="0.3" footer="0.3"/>
  <pageSetup scale="72" orientation="landscape" r:id="rId1"/>
  <headerFooter>
    <oddHeader>&amp;CTAP Lost Revenue Projection
Revised Baseline</oddHeader>
    <oddFooter>&amp;CDraft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79998168889431442"/>
  </sheetPr>
  <dimension ref="A1:B8"/>
  <sheetViews>
    <sheetView zoomScaleNormal="100" workbookViewId="0">
      <selection activeCell="I21" sqref="I21"/>
    </sheetView>
  </sheetViews>
  <sheetFormatPr defaultColWidth="8.85546875" defaultRowHeight="14.25"/>
  <cols>
    <col min="1" max="1" width="30.140625" customWidth="1"/>
    <col min="2" max="2" width="82.5703125" customWidth="1"/>
  </cols>
  <sheetData>
    <row r="1" spans="1:2">
      <c r="A1" s="2" t="s">
        <v>5</v>
      </c>
      <c r="B1" s="2" t="s">
        <v>6</v>
      </c>
    </row>
    <row r="2" spans="1:2">
      <c r="A2" t="s">
        <v>7</v>
      </c>
      <c r="B2" t="s">
        <v>8</v>
      </c>
    </row>
    <row r="3" spans="1:2">
      <c r="A3" t="s">
        <v>9</v>
      </c>
      <c r="B3" t="s">
        <v>10</v>
      </c>
    </row>
    <row r="4" spans="1:2">
      <c r="A4" t="s">
        <v>11</v>
      </c>
      <c r="B4" t="s">
        <v>12</v>
      </c>
    </row>
    <row r="5" spans="1:2">
      <c r="A5" t="s">
        <v>13</v>
      </c>
      <c r="B5" t="s">
        <v>14</v>
      </c>
    </row>
    <row r="6" spans="1:2" ht="28.5">
      <c r="A6" t="s">
        <v>15</v>
      </c>
      <c r="B6" s="5" t="s">
        <v>16</v>
      </c>
    </row>
    <row r="7" spans="1:2">
      <c r="A7" t="s">
        <v>17</v>
      </c>
      <c r="B7" t="s">
        <v>18</v>
      </c>
    </row>
    <row r="8" spans="1:2">
      <c r="A8" t="s">
        <v>19</v>
      </c>
      <c r="B8" t="s">
        <v>20</v>
      </c>
    </row>
  </sheetData>
  <pageMargins left="0.7" right="0.7" top="0.75" bottom="0.75" header="0.3" footer="0.3"/>
  <pageSetup orientation="landscape" r:id="rId1"/>
  <headerFooter>
    <oddHeader xml:space="preserve">&amp;L2026 TAP Reconcilable Rider Reports and Projection Model: &amp;A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  <pageSetUpPr fitToPage="1"/>
  </sheetPr>
  <dimension ref="A1:K26"/>
  <sheetViews>
    <sheetView zoomScale="112" zoomScaleNormal="112" workbookViewId="0">
      <selection activeCell="G4" sqref="G4"/>
    </sheetView>
  </sheetViews>
  <sheetFormatPr defaultColWidth="8.85546875" defaultRowHeight="14.25"/>
  <cols>
    <col min="1" max="1" width="42.5703125" customWidth="1"/>
    <col min="2" max="2" width="17.28515625" customWidth="1"/>
    <col min="3" max="3" width="3.28515625" customWidth="1"/>
    <col min="4" max="4" width="15.140625" customWidth="1"/>
    <col min="5" max="6" width="16.28515625" customWidth="1"/>
    <col min="7" max="7" width="13.140625" customWidth="1"/>
    <col min="8" max="9" width="17.42578125" customWidth="1"/>
    <col min="11" max="11" width="15.28515625" customWidth="1"/>
    <col min="12" max="12" width="11.85546875" bestFit="1" customWidth="1"/>
  </cols>
  <sheetData>
    <row r="1" spans="1:11">
      <c r="A1" s="70" t="s">
        <v>21</v>
      </c>
      <c r="B1" s="123"/>
      <c r="C1" s="123"/>
      <c r="D1" s="123"/>
      <c r="E1" s="123"/>
      <c r="F1" s="123"/>
      <c r="G1" s="123"/>
      <c r="H1" s="123"/>
      <c r="I1" s="124"/>
    </row>
    <row r="2" spans="1:11">
      <c r="A2" s="125" t="s">
        <v>22</v>
      </c>
      <c r="B2" s="45"/>
      <c r="C2" s="83" t="s">
        <v>23</v>
      </c>
      <c r="D2" s="45"/>
      <c r="E2" s="45"/>
      <c r="I2" s="118"/>
    </row>
    <row r="3" spans="1:11">
      <c r="A3" s="126" t="s">
        <v>24</v>
      </c>
      <c r="B3" s="130" t="s">
        <v>25</v>
      </c>
      <c r="C3" t="s">
        <v>26</v>
      </c>
      <c r="G3" s="140"/>
      <c r="H3" s="140"/>
      <c r="I3" s="118"/>
    </row>
    <row r="4" spans="1:11" ht="14.25" customHeight="1">
      <c r="A4" s="126" t="s">
        <v>27</v>
      </c>
      <c r="B4" s="138">
        <f>G10/F10</f>
        <v>64.494897570416924</v>
      </c>
      <c r="C4" t="s">
        <v>28</v>
      </c>
      <c r="E4" s="119"/>
      <c r="G4" s="9" t="s">
        <v>4</v>
      </c>
      <c r="H4" s="141"/>
      <c r="I4" s="118"/>
    </row>
    <row r="5" spans="1:11" ht="14.25" customHeight="1">
      <c r="A5" s="126" t="s">
        <v>29</v>
      </c>
      <c r="B5" s="139">
        <f>H10/F10*100</f>
        <v>668.60547991185763</v>
      </c>
      <c r="C5" t="s">
        <v>30</v>
      </c>
      <c r="E5" s="119"/>
      <c r="F5" s="120"/>
      <c r="G5" s="148"/>
      <c r="H5" s="142"/>
      <c r="I5" s="118"/>
    </row>
    <row r="6" spans="1:11">
      <c r="A6" s="127" t="s">
        <v>31</v>
      </c>
      <c r="G6" s="143"/>
      <c r="H6" s="143"/>
      <c r="I6" s="118"/>
    </row>
    <row r="7" spans="1:11" ht="14.65" thickBot="1">
      <c r="A7" s="128"/>
      <c r="B7" s="121"/>
      <c r="C7" s="121"/>
      <c r="D7" s="121"/>
      <c r="E7" s="121"/>
      <c r="F7" s="121"/>
      <c r="G7" s="121"/>
      <c r="H7" s="121"/>
      <c r="I7" s="122"/>
    </row>
    <row r="8" spans="1:11" ht="42.75">
      <c r="A8" s="70"/>
      <c r="B8" s="86"/>
      <c r="C8" s="86"/>
      <c r="D8" s="86"/>
      <c r="E8" s="82" t="s">
        <v>32</v>
      </c>
      <c r="F8" s="82" t="s">
        <v>33</v>
      </c>
      <c r="G8" s="129" t="s">
        <v>34</v>
      </c>
      <c r="H8" s="129" t="s">
        <v>35</v>
      </c>
      <c r="I8" s="81" t="s">
        <v>36</v>
      </c>
      <c r="J8" s="4"/>
    </row>
    <row r="9" spans="1:11">
      <c r="A9" s="78" t="s">
        <v>37</v>
      </c>
      <c r="B9" s="106">
        <v>45748</v>
      </c>
      <c r="C9" s="97" t="s">
        <v>38</v>
      </c>
      <c r="D9" s="106">
        <v>45870</v>
      </c>
      <c r="E9" s="71">
        <f>AVERAGEIFS(TRR_Projections!$5:$5,TRR_Projections!$4:$4,"&gt;="&amp;TRR_Summary!B9,TRR_Projections!$4:$4,"&lt;="&amp;TRR_Summary!D9)</f>
        <v>65475.8</v>
      </c>
      <c r="F9" s="71">
        <f>SUMIFS(TRR_Projections!$5:$5,TRR_Projections!$4:$4,"&gt;="&amp;TRR_Summary!B9,TRR_Projections!$4:$4,"&lt;="&amp;TRR_Summary!D9)</f>
        <v>327379</v>
      </c>
      <c r="G9" s="102">
        <f>SUMIFS(TRR_Projections!$7:$7,TRR_Projections!$4:$4,"&gt;="&amp;TRR_Summary!B9,TRR_Projections!$4:$4,"&lt;="&amp;TRR_Summary!D9)</f>
        <v>17162078.25</v>
      </c>
      <c r="H9" s="71">
        <f>SUMIFS(TRR_Projections!$9:$9,TRR_Projections!$4:$4,"&gt;="&amp;TRR_Summary!B9,TRR_Projections!$4:$4,"&lt;="&amp;TRR_Summary!D9)</f>
        <v>2071880</v>
      </c>
      <c r="I9" s="115">
        <f>SUMIFS(TRR_Projections!$11:$11,TRR_Projections!$4:$4,"&gt;="&amp;TRR_Summary!B9,TRR_Projections!$4:$4,"&lt;="&amp;TRR_Summary!D9)</f>
        <v>2070258</v>
      </c>
      <c r="J9" s="4"/>
      <c r="K9" s="4"/>
    </row>
    <row r="10" spans="1:11">
      <c r="A10" s="79" t="s">
        <v>39</v>
      </c>
      <c r="B10" s="99">
        <f>EDATE(D9,1)</f>
        <v>45901</v>
      </c>
      <c r="C10" s="98" t="s">
        <v>38</v>
      </c>
      <c r="D10" s="107">
        <v>46082</v>
      </c>
      <c r="E10" s="72">
        <f>AVERAGEIFS(TRR_Projections!$5:$5,TRR_Projections!$4:$4,"&gt;="&amp;TRR_Summary!B10,TRR_Projections!$4:$4,"&lt;="&amp;TRR_Summary!D10)</f>
        <v>65543.28571428571</v>
      </c>
      <c r="F10" s="72">
        <f>SUMIFS(TRR_Projections!$5:$5,TRR_Projections!$4:$4,"&gt;="&amp;TRR_Summary!B10,TRR_Projections!$4:$4,"&lt;="&amp;TRR_Summary!D10)</f>
        <v>458803</v>
      </c>
      <c r="G10" s="103">
        <f>SUMIFS(TRR_Projections!$7:$7,TRR_Projections!$4:$4,"&gt;="&amp;TRR_Summary!B10,TRR_Projections!$4:$4,"&lt;="&amp;TRR_Summary!D10)</f>
        <v>29590452.489999998</v>
      </c>
      <c r="H10" s="72">
        <f>SUMIFS(TRR_Projections!$9:$9,TRR_Projections!$4:$4,"&gt;="&amp;TRR_Summary!B10,TRR_Projections!$4:$4,"&lt;="&amp;TRR_Summary!D10)</f>
        <v>3067582</v>
      </c>
      <c r="I10" s="116">
        <f>SUMIFS(TRR_Projections!$11:$11,TRR_Projections!$4:$4,"&gt;="&amp;TRR_Summary!B10,TRR_Projections!$4:$4,"&lt;="&amp;TRR_Summary!D10)</f>
        <v>3065312</v>
      </c>
      <c r="J10" s="4"/>
    </row>
    <row r="11" spans="1:11">
      <c r="A11" s="79" t="s">
        <v>40</v>
      </c>
      <c r="B11" s="99">
        <f>EDATE(D10,1)</f>
        <v>46113</v>
      </c>
      <c r="C11" s="98" t="s">
        <v>38</v>
      </c>
      <c r="D11" s="107">
        <v>46235</v>
      </c>
      <c r="E11" s="88">
        <f>AVERAGEIFS(TRR_Projections!$5:$5,TRR_Projections!$4:$4,"&gt;="&amp;TRR_Summary!B11,TRR_Projections!$4:$4,"&lt;="&amp;TRR_Summary!D11)</f>
        <v>68919.750834692182</v>
      </c>
      <c r="F11" s="72">
        <f>SUMIFS(TRR_Projections!$5:$5,TRR_Projections!$4:$4,"&gt;="&amp;TRR_Summary!B11,TRR_Projections!$4:$4,"&lt;="&amp;TRR_Summary!D11)</f>
        <v>344598.75417346088</v>
      </c>
      <c r="G11" s="103">
        <f>SUMIFS(TRR_Projections!$7:$7,TRR_Projections!$4:$4,"&gt;="&amp;TRR_Summary!B11,TRR_Projections!$4:$4,"&lt;="&amp;TRR_Summary!D11)</f>
        <v>22224861.353310641</v>
      </c>
      <c r="H11" s="72">
        <f>SUMIFS(TRR_Projections!$9:$9,TRR_Projections!$4:$4,"&gt;="&amp;TRR_Summary!B11,TRR_Projections!$4:$4,"&lt;="&amp;TRR_Summary!D11)</f>
        <v>2304006.1541117509</v>
      </c>
      <c r="I11" s="116">
        <f>SUMIFS(TRR_Projections!$11:$11,TRR_Projections!$4:$4,"&gt;="&amp;TRR_Summary!B11,TRR_Projections!$4:$4,"&lt;="&amp;TRR_Summary!D11)</f>
        <v>2304006.1541117509</v>
      </c>
      <c r="J11" s="4"/>
    </row>
    <row r="12" spans="1:11">
      <c r="A12" s="77" t="s">
        <v>41</v>
      </c>
      <c r="B12" s="100">
        <f>B10</f>
        <v>45901</v>
      </c>
      <c r="C12" s="84" t="s">
        <v>38</v>
      </c>
      <c r="D12" s="100">
        <f>D11</f>
        <v>46235</v>
      </c>
      <c r="E12" s="71">
        <f>AVERAGEIFS(TRR_Projections!$5:$5,TRR_Projections!$4:$4,"&gt;="&amp;TRR_Summary!B12,TRR_Projections!$4:$4,"&lt;="&amp;TRR_Summary!D12)</f>
        <v>66950.14618112173</v>
      </c>
      <c r="F12" s="71">
        <f>SUMIFS(TRR_Projections!$5:$5,TRR_Projections!$4:$4,"&gt;="&amp;TRR_Summary!B12,TRR_Projections!$4:$4,"&lt;="&amp;TRR_Summary!D12)</f>
        <v>803401.75417346077</v>
      </c>
      <c r="G12" s="102">
        <f>SUMIFS(TRR_Projections!$7:$7,TRR_Projections!$4:$4,"&gt;="&amp;TRR_Summary!B12,TRR_Projections!$4:$4,"&lt;="&amp;TRR_Summary!D12)</f>
        <v>51815313.843310639</v>
      </c>
      <c r="H12" s="71">
        <f>SUMIFS(TRR_Projections!$9:$9,TRR_Projections!$4:$4,"&gt;="&amp;TRR_Summary!B12,TRR_Projections!$4:$4,"&lt;="&amp;TRR_Summary!D12)</f>
        <v>5371588.1541117504</v>
      </c>
      <c r="I12" s="116">
        <f>SUMIFS(TRR_Projections!$11:$11,TRR_Projections!$4:$4,"&gt;="&amp;TRR_Summary!B12,TRR_Projections!$4:$4,"&lt;="&amp;TRR_Summary!D12)</f>
        <v>5369318.1541117504</v>
      </c>
      <c r="J12" s="4"/>
    </row>
    <row r="13" spans="1:11" ht="14.65" thickBot="1">
      <c r="A13" s="76" t="s">
        <v>42</v>
      </c>
      <c r="B13" s="101">
        <f>EDATE(D12,1)</f>
        <v>46266</v>
      </c>
      <c r="C13" s="85" t="s">
        <v>38</v>
      </c>
      <c r="D13" s="101">
        <f>EDATE(B13,11)</f>
        <v>46600</v>
      </c>
      <c r="E13" s="73">
        <f>AVERAGEIFS(TRR_Projections!$5:$5,TRR_Projections!$4:$4,"&gt;="&amp;TRR_Summary!B13,TRR_Projections!$4:$4,"&lt;="&amp;TRR_Summary!D13)</f>
        <v>70400.276454953608</v>
      </c>
      <c r="F13" s="73">
        <f>SUMIFS(TRR_Projections!$5:$5,TRR_Projections!$4:$4,"&gt;="&amp;TRR_Summary!B13,TRR_Projections!$4:$4,"&lt;="&amp;TRR_Summary!D13)</f>
        <v>844803.31745944335</v>
      </c>
      <c r="G13" s="104">
        <f>SUMIFS(TRR_Projections!$7:$7,TRR_Projections!$4:$4,"&gt;="&amp;TRR_Summary!B13,TRR_Projections!$4:$4,"&lt;="&amp;TRR_Summary!D13)</f>
        <v>54485503.42669522</v>
      </c>
      <c r="H13" s="105">
        <f>SUMIFS(TRR_Projections!$9:$9,TRR_Projections!$4:$4,"&gt;="&amp;TRR_Summary!B13,TRR_Projections!$4:$4,"&lt;="&amp;TRR_Summary!D13)</f>
        <v>5648401.2750110067</v>
      </c>
      <c r="I13" s="117">
        <f>SUMIFS(TRR_Projections!$11:$11,TRR_Projections!$4:$4,"&gt;="&amp;TRR_Summary!B13,TRR_Projections!$4:$4,"&lt;="&amp;TRR_Summary!D13)</f>
        <v>5648401.2750110067</v>
      </c>
      <c r="J13" s="4"/>
    </row>
    <row r="14" spans="1:11">
      <c r="J14" s="4"/>
    </row>
    <row r="15" spans="1:11">
      <c r="A15" s="4"/>
      <c r="F15" s="131"/>
      <c r="H15" s="38"/>
    </row>
    <row r="16" spans="1:11">
      <c r="A16" s="4"/>
    </row>
    <row r="22" spans="1:9">
      <c r="A22" s="4"/>
      <c r="B22" s="4"/>
      <c r="C22" s="4"/>
      <c r="D22" s="4"/>
      <c r="E22" s="4"/>
      <c r="F22" s="4"/>
      <c r="G22" s="4"/>
      <c r="H22" s="4"/>
      <c r="I22" s="1"/>
    </row>
    <row r="23" spans="1:9">
      <c r="A23" s="4"/>
      <c r="B23" s="4"/>
      <c r="C23" s="4"/>
      <c r="D23" s="4"/>
      <c r="E23" s="4"/>
      <c r="F23" s="4"/>
      <c r="G23" s="4"/>
      <c r="H23" s="4"/>
      <c r="I23" s="1"/>
    </row>
    <row r="24" spans="1:9">
      <c r="A24" s="4"/>
      <c r="B24" s="4"/>
      <c r="C24" s="4"/>
      <c r="D24" s="4"/>
      <c r="E24" s="4"/>
      <c r="F24" s="4"/>
      <c r="G24" s="4"/>
      <c r="H24" s="4"/>
      <c r="I24" s="1"/>
    </row>
    <row r="25" spans="1:9">
      <c r="A25" s="4"/>
      <c r="B25" s="4"/>
      <c r="C25" s="4"/>
      <c r="D25" s="4"/>
      <c r="E25" s="4"/>
      <c r="F25" s="4"/>
      <c r="G25" s="4"/>
      <c r="H25" s="4"/>
    </row>
    <row r="26" spans="1:9">
      <c r="A26" s="4"/>
    </row>
  </sheetData>
  <dataValidations count="1">
    <dataValidation allowBlank="1" showDropDown="1" showInputMessage="1" showErrorMessage="1" promptTitle="Rate of increase" sqref="B3" xr:uid="{00000000-0002-0000-0300-000002000000}"/>
  </dataValidations>
  <pageMargins left="0.7" right="0.7" top="0.75" bottom="0.75" header="0.3" footer="0.3"/>
  <pageSetup scale="77" orientation="landscape" r:id="rId1"/>
  <headerFooter>
    <oddHeader>&amp;L2026 TAP Reconcilable Rider Reports and Projection Model: &amp;A</oddHeader>
  </headerFooter>
  <ignoredErrors>
    <ignoredError sqref="B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9"/>
  </sheetPr>
  <dimension ref="A1:BE29"/>
  <sheetViews>
    <sheetView topLeftCell="AE1" zoomScale="85" zoomScaleNormal="85" workbookViewId="0">
      <selection activeCell="AL13" sqref="AL13"/>
    </sheetView>
  </sheetViews>
  <sheetFormatPr defaultColWidth="8.85546875" defaultRowHeight="14.25"/>
  <cols>
    <col min="1" max="1" width="36" customWidth="1"/>
    <col min="2" max="2" width="16" customWidth="1"/>
    <col min="3" max="9" width="14.85546875" customWidth="1"/>
    <col min="10" max="10" width="16.85546875" customWidth="1"/>
    <col min="11" max="21" width="14.85546875" customWidth="1"/>
    <col min="22" max="22" width="18" customWidth="1"/>
    <col min="23" max="45" width="14.85546875" customWidth="1"/>
    <col min="46" max="46" width="15.85546875" customWidth="1"/>
    <col min="47" max="57" width="13.28515625" bestFit="1" customWidth="1"/>
  </cols>
  <sheetData>
    <row r="1" spans="1:57" s="108" customFormat="1">
      <c r="B1" s="108" t="str">
        <f>IF(B4=TRR_Summary!$B9,"Reconciled Period",IF(B4=TRR_Summary!$B10,"Most Recent Period",IF(B4=TRR_Summary!$B13,"Next Rate Period","")))</f>
        <v/>
      </c>
      <c r="C1" s="108" t="str">
        <f>IF(C4=TRR_Summary!$B9,"Reconciled Period",IF(C4=TRR_Summary!$B10,"Most Recent Period",IF(C4=TRR_Summary!$B13,"Next Rate Period","")))</f>
        <v/>
      </c>
      <c r="D1" s="108" t="str">
        <f>IF(D4=TRR_Summary!$B9,"Reconciled Period",IF(D4=TRR_Summary!$B10,"Most Recent Period",IF(D4=TRR_Summary!$B13,"Next Rate Period","")))</f>
        <v/>
      </c>
      <c r="E1" s="108" t="str">
        <f>IF(E4=TRR_Summary!$B9,"Reconciled Period",IF(E4=TRR_Summary!$B10,"Most Recent Period",IF(E4=TRR_Summary!$B13,"Next Rate Period","")))</f>
        <v/>
      </c>
      <c r="F1" s="108" t="str">
        <f>IF(F4=TRR_Summary!$B9,"Reconciled Period",IF(F4=TRR_Summary!$B10,"Most Recent Period",IF(F4=TRR_Summary!$B13,"Next Rate Period","")))</f>
        <v/>
      </c>
      <c r="G1" s="108" t="str">
        <f>IF(G4=TRR_Summary!$B9,"Reconciled Period",IF(G4=TRR_Summary!$B10,"Most Recent Period",IF(G4=TRR_Summary!$B13,"Next Rate Period","")))</f>
        <v/>
      </c>
      <c r="H1" s="108" t="str">
        <f>IF(H4=TRR_Summary!$B9,"Reconciled Period",IF(H4=TRR_Summary!$B10,"Most Recent Period",IF(H4=TRR_Summary!$B13,"Next Rate Period","")))</f>
        <v/>
      </c>
      <c r="I1" s="108" t="str">
        <f>IF(I4=TRR_Summary!$B9,"Reconciled Period",IF(I4=TRR_Summary!$B10,"Most Recent Period",IF(I4=TRR_Summary!$B13,"Next Rate Period","")))</f>
        <v/>
      </c>
      <c r="J1" s="108" t="str">
        <f>IF(J4=TRR_Summary!$B9,"Reconciled Period",IF(J4=TRR_Summary!$B10,"Most Recent Period",IF(J4=TRR_Summary!$B13,"Next Rate Period","")))</f>
        <v/>
      </c>
      <c r="K1" s="108" t="str">
        <f>IF(K4=TRR_Summary!$B9,"Reconciled Period",IF(K4=TRR_Summary!$B10,"Most Recent Period",IF(K4=TRR_Summary!$B13,"Next Rate Period","")))</f>
        <v/>
      </c>
      <c r="L1" s="108" t="str">
        <f>IF(L4=TRR_Summary!$B9,"Reconciled Period",IF(L4=TRR_Summary!$B10,"Most Recent Period",IF(L4=TRR_Summary!$B13,"Next Rate Period","")))</f>
        <v/>
      </c>
      <c r="M1" s="108" t="str">
        <f>IF(M4=TRR_Summary!$B9,"Reconciled Period",IF(M4=TRR_Summary!$B10,"Most Recent Period",IF(M4=TRR_Summary!$B13,"Next Rate Period","")))</f>
        <v/>
      </c>
      <c r="N1" s="108" t="str">
        <f>IF(N4=TRR_Summary!$B9,"Reconciled Period",IF(N4=TRR_Summary!$B10,"Most Recent Period",IF(N4=TRR_Summary!$B13,"Next Rate Period","")))</f>
        <v/>
      </c>
      <c r="O1" s="108" t="str">
        <f>IF(O4=TRR_Summary!$B9,"Reconciled Period",IF(O4=TRR_Summary!$B10,"Most Recent Period",IF(O4=TRR_Summary!$B13,"Next Rate Period","")))</f>
        <v/>
      </c>
      <c r="P1" s="108" t="str">
        <f>IF(P4=TRR_Summary!$B9,"Reconciled Period",IF(P4=TRR_Summary!$B10,"Most Recent Period",IF(P4=TRR_Summary!$B13,"Next Rate Period","")))</f>
        <v/>
      </c>
      <c r="Q1" s="108" t="str">
        <f>IF(Q4=TRR_Summary!$B9,"Reconciled Period",IF(Q4=TRR_Summary!$B10,"Most Recent Period",IF(Q4=TRR_Summary!$B13,"Next Rate Period","")))</f>
        <v/>
      </c>
      <c r="R1" s="108" t="str">
        <f>IF(R4=TRR_Summary!$B9,"Reconciled Period",IF(R4=TRR_Summary!$B10,"Most Recent Period",IF(R4=TRR_Summary!$B13,"Next Rate Period","")))</f>
        <v/>
      </c>
      <c r="S1" s="108" t="str">
        <f>IF(S4=TRR_Summary!$B9,"Reconciled Period",IF(S4=TRR_Summary!$B10,"Most Recent Period",IF(S4=TRR_Summary!$B13,"Next Rate Period","")))</f>
        <v/>
      </c>
      <c r="T1" s="108" t="str">
        <f>IF(T4=TRR_Summary!$B9,"Reconciled Period",IF(T4=TRR_Summary!$B10,"Most Recent Period",IF(T4=TRR_Summary!$B13,"Next Rate Period","")))</f>
        <v/>
      </c>
      <c r="U1" s="108" t="str">
        <f>IF(U4=TRR_Summary!$B9,"Reconciled Period",IF(U4=TRR_Summary!$B10,"Most Recent Period",IF(U4=TRR_Summary!$B13,"Next Rate Period","")))</f>
        <v/>
      </c>
      <c r="V1" s="108" t="str">
        <f>IF(V4=TRR_Summary!$B9,"Reconciled Period",IF(V4=TRR_Summary!$B10,"Most Recent Period",IF(V4=TRR_Summary!$B13,"Next Rate Period","")))</f>
        <v/>
      </c>
      <c r="W1" s="108" t="str">
        <f>IF(W4=TRR_Summary!$B9,"Reconciled Period",IF(W4=TRR_Summary!$B10,"Most Recent Period",IF(W4=TRR_Summary!$B13,"Next Rate Period","")))</f>
        <v/>
      </c>
      <c r="X1" s="108" t="str">
        <f>IF(X4=TRR_Summary!$B9,"Reconciled Period",IF(X4=TRR_Summary!$B10,"Most Recent Period",IF(X4=TRR_Summary!$B13,"Next Rate Period","")))</f>
        <v/>
      </c>
      <c r="Y1" s="108" t="str">
        <f>IF(Y4=TRR_Summary!$B9,"Reconciled Period",IF(Y4=TRR_Summary!$B10,"Most Recent Period",IF(Y4=TRR_Summary!$B13,"Next Rate Period","")))</f>
        <v/>
      </c>
      <c r="Z1" s="108" t="str">
        <f>IF(Z4=TRR_Summary!$B9,"Reconciled Period",IF(Z4=TRR_Summary!$B10,"Most Recent Period",IF(Z4=TRR_Summary!$B13,"Next Rate Period","")))</f>
        <v/>
      </c>
      <c r="AA1" s="108" t="str">
        <f>IF(AA4=TRR_Summary!$B9,"Reconciled Period",IF(AA4=TRR_Summary!$B10,"Most Recent Period",IF(AA4=TRR_Summary!$B13,"Next Rate Period","")))</f>
        <v/>
      </c>
      <c r="AB1" s="108" t="str">
        <f>IF(AB4=TRR_Summary!$B9,"Reconciled Period",IF(AB4=TRR_Summary!$B10,"Most Recent Period",IF(AB4=TRR_Summary!$B13,"Next Rate Period","")))</f>
        <v/>
      </c>
      <c r="AC1" s="147" t="str">
        <f>IF(AC4=TRR_Summary!$B9,"Reconciled Period",IF(AC4=TRR_Summary!$B10,"Most Recent Period",IF(AC4=TRR_Summary!$B13,"Next Rate Period","")))</f>
        <v>Reconciled Period</v>
      </c>
      <c r="AD1" s="147" t="str">
        <f>IF(AD4=TRR_Summary!$B9,"Reconciled Period",IF(AD4=TRR_Summary!$B10,"Most Recent Period",IF(AD4=TRR_Summary!$B13,"Next Rate Period","")))</f>
        <v/>
      </c>
      <c r="AE1" s="147" t="str">
        <f>IF(AE4=TRR_Summary!$B9,"Reconciled Period",IF(AE4=TRR_Summary!$B10,"Most Recent Period",IF(AE4=TRR_Summary!$B13,"Next Rate Period","")))</f>
        <v/>
      </c>
      <c r="AF1" s="147" t="str">
        <f>IF(AF4=TRR_Summary!$B9,"Reconciled Period",IF(AF4=TRR_Summary!$B10,"Most Recent Period",IF(AF4=TRR_Summary!$B13,"Next Rate Period","")))</f>
        <v/>
      </c>
      <c r="AG1" s="147" t="str">
        <f>IF(AG4=TRR_Summary!$B9,"Reconciled Period",IF(AG4=TRR_Summary!$B10,"Most Recent Period",IF(AG4=TRR_Summary!$B13,"Next Rate Period","")))</f>
        <v/>
      </c>
      <c r="AH1" s="109" t="str">
        <f>IF(AH4=TRR_Summary!$B9,"Reconciled Period",IF(AH4=TRR_Summary!$B10,"Most Recent Period",IF(AH4=TRR_Summary!$B13,"Next Rate Period","")))</f>
        <v>Most Recent Period</v>
      </c>
      <c r="AI1" s="109" t="str">
        <f>IF(AI4=TRR_Summary!$B9,"Reconciled Period",IF(AI4=TRR_Summary!$B10,"Most Recent Period",IF(AI4=TRR_Summary!$B13,"Next Rate Period","")))</f>
        <v/>
      </c>
      <c r="AJ1" s="109" t="str">
        <f>IF(AJ4=TRR_Summary!$B9,"Reconciled Period",IF(AJ4=TRR_Summary!$B10,"Most Recent Period",IF(AJ4=TRR_Summary!$B13,"Next Rate Period","")))</f>
        <v/>
      </c>
      <c r="AK1" s="109" t="str">
        <f>IF(AK4=TRR_Summary!$B9,"Reconciled Period",IF(AK4=TRR_Summary!$B10,"Most Recent Period",IF(AK4=TRR_Summary!$B13,"Next Rate Period","")))</f>
        <v/>
      </c>
      <c r="AL1" s="109" t="str">
        <f>IF(AL4=TRR_Summary!$B9,"Reconciled Period",IF(AL4=TRR_Summary!$B10,"Most Recent Period",IF(AL4=TRR_Summary!$B13,"Next Rate Period","")))</f>
        <v/>
      </c>
      <c r="AM1" s="109" t="str">
        <f>IF(AM4=TRR_Summary!$B9,"Reconciled Period",IF(AM4=TRR_Summary!$B10,"Most Recent Period",IF(AM4=TRR_Summary!$B13,"Next Rate Period","")))</f>
        <v/>
      </c>
      <c r="AN1" s="109" t="str">
        <f>IF(AN4=TRR_Summary!$B9,"Reconciled Period",IF(AN4=TRR_Summary!$B10,"Most Recent Period",IF(AN4=TRR_Summary!$B13,"Next Rate Period","")))</f>
        <v/>
      </c>
      <c r="AO1" s="109" t="str">
        <f>IF(AO4=TRR_Summary!$B9,"Reconciled Period",IF(AO4=TRR_Summary!$B10,"Most Recent Period",IF(AO4=TRR_Summary!$B13,"Next Rate Period","")))</f>
        <v/>
      </c>
      <c r="AP1" s="109" t="str">
        <f>IF(AP4=TRR_Summary!$B9,"Reconciled Period",IF(AP4=TRR_Summary!$B10,"Most Recent Period",IF(AP4=TRR_Summary!$B13,"Next Rate Period","")))</f>
        <v/>
      </c>
      <c r="AQ1" s="109" t="str">
        <f>IF(AQ4=TRR_Summary!$B9,"Reconciled Period",IF(AQ4=TRR_Summary!$B10,"Most Recent Period",IF(AQ4=TRR_Summary!$B13,"Next Rate Period","")))</f>
        <v/>
      </c>
      <c r="AR1" s="109" t="str">
        <f>IF(AR4=TRR_Summary!$B9,"Reconciled Period",IF(AR4=TRR_Summary!$B10,"Most Recent Period",IF(AR4=TRR_Summary!$B13,"Next Rate Period","")))</f>
        <v/>
      </c>
      <c r="AS1" s="109" t="str">
        <f>IF(AS4=TRR_Summary!$B9,"Reconciled Period",IF(AS4=TRR_Summary!$B10,"Most Recent Period",IF(AS4=TRR_Summary!$B13,"Next Rate Period","")))</f>
        <v/>
      </c>
      <c r="AT1" s="110" t="str">
        <f>IF(AT4=TRR_Summary!$B9,"Reconciled Period",IF(AT4=TRR_Summary!$B10,"Most Recent Period",IF(AT4=TRR_Summary!$B13,"Next Rate Period","")))</f>
        <v>Next Rate Period</v>
      </c>
      <c r="AU1" s="110" t="str">
        <f>IF(AU4=TRR_Summary!$B9,"Reconciled Period",IF(AU4=TRR_Summary!$B10,"Most Recent Period",IF(AU4=TRR_Summary!$B13,"Next Rate Period","")))</f>
        <v/>
      </c>
      <c r="AV1" s="110" t="str">
        <f>IF(AV4=TRR_Summary!$B9,"Reconciled Period",IF(AV4=TRR_Summary!$B10,"Most Recent Period",IF(AV4=TRR_Summary!$B13,"Next Rate Period","")))</f>
        <v/>
      </c>
      <c r="AW1" s="110" t="str">
        <f>IF(AW4=TRR_Summary!$B9,"Reconciled Period",IF(AW4=TRR_Summary!$B10,"Most Recent Period",IF(AW4=TRR_Summary!$B13,"Next Rate Period","")))</f>
        <v/>
      </c>
      <c r="AX1" s="110" t="str">
        <f>IF(AX4=TRR_Summary!$B9,"Reconciled Period",IF(AX4=TRR_Summary!$B10,"Most Recent Period",IF(AX4=TRR_Summary!$B13,"Next Rate Period","")))</f>
        <v/>
      </c>
      <c r="AY1" s="110" t="str">
        <f>IF(AY4=TRR_Summary!$B9,"Reconciled Period",IF(AY4=TRR_Summary!$B10,"Most Recent Period",IF(AY4=TRR_Summary!$B13,"Next Rate Period","")))</f>
        <v/>
      </c>
      <c r="AZ1" s="110" t="str">
        <f>IF(AZ4=TRR_Summary!$B9,"Reconciled Period",IF(AZ4=TRR_Summary!$B10,"Most Recent Period",IF(AZ4=TRR_Summary!$B13,"Next Rate Period","")))</f>
        <v/>
      </c>
      <c r="BA1" s="110" t="str">
        <f>IF(BA4=TRR_Summary!$B9,"Reconciled Period",IF(BA4=TRR_Summary!$B10,"Most Recent Period",IF(BA4=TRR_Summary!$B13,"Next Rate Period","")))</f>
        <v/>
      </c>
      <c r="BB1" s="110" t="str">
        <f>IF(BB4=TRR_Summary!$B9,"Reconciled Period",IF(BB4=TRR_Summary!$B10,"Most Recent Period",IF(BB4=TRR_Summary!$B13,"Next Rate Period","")))</f>
        <v/>
      </c>
      <c r="BC1" s="110" t="str">
        <f>IF(BC4=TRR_Summary!$B9,"Reconciled Period",IF(BC4=TRR_Summary!$B10,"Most Recent Period",IF(BC4=TRR_Summary!$B13,"Next Rate Period","")))</f>
        <v/>
      </c>
      <c r="BD1" s="110" t="str">
        <f>IF(BD4=TRR_Summary!$B9,"Reconciled Period",IF(BD4=TRR_Summary!$B10,"Most Recent Period",IF(BD4=TRR_Summary!$B13,"Next Rate Period","")))</f>
        <v/>
      </c>
      <c r="BE1" s="110" t="str">
        <f>IF(BE4=TRR_Summary!$B9,"Reconciled Period",IF(BE4=TRR_Summary!$B10,"Most Recent Period",IF(BE4=TRR_Summary!$B13,"Next Rate Period","")))</f>
        <v/>
      </c>
    </row>
    <row r="2" spans="1:57">
      <c r="A2" s="89" t="s">
        <v>43</v>
      </c>
      <c r="B2" s="90" t="s">
        <v>44</v>
      </c>
      <c r="C2" s="90" t="s">
        <v>44</v>
      </c>
      <c r="D2" s="90" t="s">
        <v>44</v>
      </c>
      <c r="E2" s="90" t="s">
        <v>44</v>
      </c>
      <c r="F2" s="90" t="s">
        <v>44</v>
      </c>
      <c r="G2" s="90" t="s">
        <v>44</v>
      </c>
      <c r="H2" s="90" t="s">
        <v>44</v>
      </c>
      <c r="I2" s="90" t="s">
        <v>44</v>
      </c>
      <c r="J2" s="90" t="s">
        <v>44</v>
      </c>
      <c r="K2" s="90" t="s">
        <v>44</v>
      </c>
      <c r="L2" s="90" t="s">
        <v>44</v>
      </c>
      <c r="M2" s="90" t="s">
        <v>44</v>
      </c>
      <c r="N2" s="90" t="s">
        <v>44</v>
      </c>
      <c r="O2" s="90" t="s">
        <v>44</v>
      </c>
      <c r="P2" s="90" t="s">
        <v>44</v>
      </c>
      <c r="Q2" s="90" t="s">
        <v>44</v>
      </c>
      <c r="R2" s="90" t="s">
        <v>44</v>
      </c>
      <c r="S2" s="90" t="s">
        <v>44</v>
      </c>
      <c r="T2" s="90" t="s">
        <v>44</v>
      </c>
      <c r="U2" s="90" t="s">
        <v>44</v>
      </c>
      <c r="V2" s="90" t="s">
        <v>44</v>
      </c>
      <c r="W2" s="90" t="s">
        <v>44</v>
      </c>
      <c r="X2" s="90" t="s">
        <v>44</v>
      </c>
      <c r="Y2" s="90" t="s">
        <v>44</v>
      </c>
      <c r="Z2" s="90" t="s">
        <v>44</v>
      </c>
      <c r="AA2" s="90" t="s">
        <v>44</v>
      </c>
      <c r="AB2" s="90" t="s">
        <v>44</v>
      </c>
      <c r="AC2" s="90" t="s">
        <v>44</v>
      </c>
      <c r="AD2" s="90" t="s">
        <v>44</v>
      </c>
      <c r="AE2" s="90" t="s">
        <v>44</v>
      </c>
      <c r="AF2" s="90" t="s">
        <v>44</v>
      </c>
      <c r="AG2" s="90" t="s">
        <v>44</v>
      </c>
      <c r="AH2" s="90" t="s">
        <v>44</v>
      </c>
      <c r="AI2" s="90" t="s">
        <v>44</v>
      </c>
      <c r="AJ2" s="90" t="s">
        <v>44</v>
      </c>
      <c r="AK2" s="90" t="s">
        <v>44</v>
      </c>
      <c r="AL2" s="90" t="s">
        <v>44</v>
      </c>
      <c r="AM2" s="90" t="s">
        <v>44</v>
      </c>
      <c r="AN2" s="90" t="s">
        <v>44</v>
      </c>
      <c r="AO2" s="90" t="s">
        <v>45</v>
      </c>
      <c r="AP2" s="90" t="s">
        <v>45</v>
      </c>
      <c r="AQ2" s="90" t="s">
        <v>45</v>
      </c>
      <c r="AR2" s="90" t="s">
        <v>45</v>
      </c>
      <c r="AS2" s="90" t="s">
        <v>45</v>
      </c>
      <c r="AT2" t="s">
        <v>45</v>
      </c>
      <c r="AU2" t="s">
        <v>45</v>
      </c>
      <c r="AV2" t="s">
        <v>45</v>
      </c>
      <c r="AW2" t="s">
        <v>45</v>
      </c>
      <c r="AX2" t="s">
        <v>45</v>
      </c>
      <c r="AY2" t="s">
        <v>45</v>
      </c>
      <c r="AZ2" t="s">
        <v>45</v>
      </c>
      <c r="BA2" t="s">
        <v>45</v>
      </c>
      <c r="BB2" t="s">
        <v>45</v>
      </c>
      <c r="BC2" t="s">
        <v>45</v>
      </c>
      <c r="BD2" t="s">
        <v>45</v>
      </c>
      <c r="BE2" t="s">
        <v>45</v>
      </c>
    </row>
    <row r="3" spans="1:57">
      <c r="A3" s="91" t="s">
        <v>46</v>
      </c>
      <c r="B3" s="3"/>
      <c r="C3" s="3"/>
      <c r="D3" s="3"/>
      <c r="E3" s="3"/>
      <c r="F3" s="3"/>
      <c r="G3" s="3"/>
      <c r="H3" s="3"/>
      <c r="I3" s="87"/>
      <c r="J3" s="87"/>
      <c r="K3" s="8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>
        <v>2.5000000000000001E-3</v>
      </c>
      <c r="AP3" s="3">
        <v>2.5000000000000001E-3</v>
      </c>
      <c r="AQ3" s="3">
        <v>2.5000000000000001E-3</v>
      </c>
      <c r="AR3" s="3">
        <v>2.5000000000000001E-3</v>
      </c>
      <c r="AS3" s="3">
        <v>2.5000000000000001E-3</v>
      </c>
      <c r="AT3" s="3">
        <v>2.5000000000000001E-3</v>
      </c>
      <c r="AU3" s="3">
        <v>2.5000000000000001E-3</v>
      </c>
      <c r="AV3" s="3">
        <v>2.5000000000000001E-3</v>
      </c>
      <c r="AW3" s="3">
        <v>2.5000000000000001E-3</v>
      </c>
      <c r="AX3" s="3">
        <v>2.5000000000000001E-3</v>
      </c>
      <c r="AY3" s="3">
        <v>2.5000000000000001E-3</v>
      </c>
      <c r="AZ3" s="3">
        <v>2.5000000000000001E-3</v>
      </c>
      <c r="BA3" s="3">
        <v>2.5000000000000001E-3</v>
      </c>
      <c r="BB3" s="3">
        <v>2.5000000000000001E-3</v>
      </c>
      <c r="BC3" s="3">
        <v>2.5000000000000001E-3</v>
      </c>
      <c r="BD3" s="3">
        <v>2.5000000000000001E-3</v>
      </c>
      <c r="BE3" s="3">
        <v>2.5000000000000001E-3</v>
      </c>
    </row>
    <row r="4" spans="1:57" s="80" customFormat="1">
      <c r="A4" s="92"/>
      <c r="B4" s="114">
        <v>44927</v>
      </c>
      <c r="C4" s="114">
        <v>44958</v>
      </c>
      <c r="D4" s="114">
        <v>44986</v>
      </c>
      <c r="E4" s="114">
        <v>45017</v>
      </c>
      <c r="F4" s="114">
        <v>45047</v>
      </c>
      <c r="G4" s="114">
        <v>45078</v>
      </c>
      <c r="H4" s="114">
        <v>45108</v>
      </c>
      <c r="I4" s="114">
        <v>45139</v>
      </c>
      <c r="J4" s="114">
        <v>45170</v>
      </c>
      <c r="K4" s="114">
        <v>45200</v>
      </c>
      <c r="L4" s="114">
        <v>45231</v>
      </c>
      <c r="M4" s="111">
        <v>45261</v>
      </c>
      <c r="N4" s="111">
        <v>45292</v>
      </c>
      <c r="O4" s="111">
        <v>45323</v>
      </c>
      <c r="P4" s="111">
        <v>45352</v>
      </c>
      <c r="Q4" s="111">
        <v>45383</v>
      </c>
      <c r="R4" s="111">
        <v>45413</v>
      </c>
      <c r="S4" s="111">
        <v>45444</v>
      </c>
      <c r="T4" s="111">
        <v>45474</v>
      </c>
      <c r="U4" s="111">
        <v>45505</v>
      </c>
      <c r="V4" s="111">
        <v>45536</v>
      </c>
      <c r="W4" s="111">
        <v>45566</v>
      </c>
      <c r="X4" s="111">
        <v>45597</v>
      </c>
      <c r="Y4" s="111">
        <v>45627</v>
      </c>
      <c r="Z4" s="111">
        <v>45658</v>
      </c>
      <c r="AA4" s="111">
        <v>45689</v>
      </c>
      <c r="AB4" s="111">
        <v>45717</v>
      </c>
      <c r="AC4" s="111">
        <v>45748</v>
      </c>
      <c r="AD4" s="111">
        <v>45778</v>
      </c>
      <c r="AE4" s="111">
        <v>45809</v>
      </c>
      <c r="AF4" s="111">
        <v>45839</v>
      </c>
      <c r="AG4" s="111">
        <v>45870</v>
      </c>
      <c r="AH4" s="111">
        <v>45901</v>
      </c>
      <c r="AI4" s="111">
        <v>45931</v>
      </c>
      <c r="AJ4" s="111">
        <v>45962</v>
      </c>
      <c r="AK4" s="111">
        <v>45992</v>
      </c>
      <c r="AL4" s="111">
        <v>46023</v>
      </c>
      <c r="AM4" s="111">
        <v>46054</v>
      </c>
      <c r="AN4" s="111">
        <v>46082</v>
      </c>
      <c r="AO4" s="111">
        <v>46113</v>
      </c>
      <c r="AP4" s="111">
        <v>46143</v>
      </c>
      <c r="AQ4" s="111">
        <v>46174</v>
      </c>
      <c r="AR4" s="111">
        <v>46204</v>
      </c>
      <c r="AS4" s="111">
        <v>46235</v>
      </c>
      <c r="AT4" s="111">
        <v>46266</v>
      </c>
      <c r="AU4" s="111">
        <v>46296</v>
      </c>
      <c r="AV4" s="111">
        <v>46327</v>
      </c>
      <c r="AW4" s="111">
        <v>46357</v>
      </c>
      <c r="AX4" s="111">
        <v>46388</v>
      </c>
      <c r="AY4" s="111">
        <v>46419</v>
      </c>
      <c r="AZ4" s="111">
        <v>46447</v>
      </c>
      <c r="BA4" s="111">
        <v>46478</v>
      </c>
      <c r="BB4" s="111">
        <v>46508</v>
      </c>
      <c r="BC4" s="111">
        <v>46539</v>
      </c>
      <c r="BD4" s="111">
        <v>46569</v>
      </c>
      <c r="BE4" s="111">
        <v>46600</v>
      </c>
    </row>
    <row r="5" spans="1:57">
      <c r="A5" s="93" t="s">
        <v>47</v>
      </c>
      <c r="B5" s="74">
        <f>SUMIFS('Combined Data'!$I:$I,'Combined Data'!$A:$A,YEAR(TRR_Projections!B$4),'Combined Data'!$B:$B,MONTH(TRR_Projections!B$4),'Combined Data'!$C:$C,"TAP")</f>
        <v>14928</v>
      </c>
      <c r="C5" s="74">
        <f>SUMIFS('Combined Data'!$I:$I,'Combined Data'!$A:$A,YEAR(TRR_Projections!C$4),'Combined Data'!$B:$B,MONTH(TRR_Projections!C$4),'Combined Data'!$C:$C,"TAP")</f>
        <v>13947</v>
      </c>
      <c r="D5" s="74">
        <f>SUMIFS('Combined Data'!$I:$I,'Combined Data'!$A:$A,YEAR(TRR_Projections!D$4),'Combined Data'!$B:$B,MONTH(TRR_Projections!D$4),'Combined Data'!$C:$C,"TAP")</f>
        <v>15547</v>
      </c>
      <c r="E5" s="74">
        <f>SUMIFS('Combined Data'!$I:$I,'Combined Data'!$A:$A,YEAR(TRR_Projections!E$4),'Combined Data'!$B:$B,MONTH(TRR_Projections!E$4),'Combined Data'!$C:$C,"TAP")</f>
        <v>14794</v>
      </c>
      <c r="F5" s="74">
        <f>SUMIFS('Combined Data'!$I:$I,'Combined Data'!$A:$A,YEAR(TRR_Projections!F$4),'Combined Data'!$B:$B,MONTH(TRR_Projections!F$4),'Combined Data'!$C:$C,"TAP")</f>
        <v>16323</v>
      </c>
      <c r="G5" s="74">
        <f>SUMIFS('Combined Data'!$I:$I,'Combined Data'!$A:$A,YEAR(TRR_Projections!G$4),'Combined Data'!$B:$B,MONTH(TRR_Projections!G$4),'Combined Data'!$C:$C,"TAP")</f>
        <v>18411</v>
      </c>
      <c r="H5" s="74">
        <f>SUMIFS('Combined Data'!$I:$I,'Combined Data'!$A:$A,YEAR(TRR_Projections!H$4),'Combined Data'!$B:$B,MONTH(TRR_Projections!H$4),'Combined Data'!$C:$C,"TAP")</f>
        <v>19005</v>
      </c>
      <c r="I5" s="74">
        <f>SUMIFS('Combined Data'!$I:$I,'Combined Data'!$A:$A,YEAR(TRR_Projections!I$4),'Combined Data'!$B:$B,MONTH(TRR_Projections!I$4),'Combined Data'!$C:$C,"TAP")</f>
        <v>19585</v>
      </c>
      <c r="J5" s="74">
        <f>SUMIFS('Combined Data'!$I:$I,'Combined Data'!$A:$A,YEAR(TRR_Projections!J$4),'Combined Data'!$B:$B,MONTH(TRR_Projections!J$4),'Combined Data'!$C:$C,"TAP")</f>
        <v>20076</v>
      </c>
      <c r="K5" s="74">
        <f>SUMIFS('Combined Data'!$I:$I,'Combined Data'!$A:$A,YEAR(TRR_Projections!K$4),'Combined Data'!$B:$B,MONTH(TRR_Projections!K$4),'Combined Data'!$C:$C,"TAP")</f>
        <v>20677</v>
      </c>
      <c r="L5" s="74">
        <f>SUMIFS('Combined Data'!$I:$I,'Combined Data'!$A:$A,YEAR(TRR_Projections!L$4),'Combined Data'!$B:$B,MONTH(TRR_Projections!L$4),'Combined Data'!$C:$C,"TAP")</f>
        <v>21133</v>
      </c>
      <c r="M5" s="74">
        <f>SUMIFS('Combined Data'!$I:$I,'Combined Data'!$A:$A,YEAR(TRR_Projections!M$4),'Combined Data'!$B:$B,MONTH(TRR_Projections!M$4),'Combined Data'!$C:$C,"TAP")</f>
        <v>21404</v>
      </c>
      <c r="N5" s="74">
        <f>SUMIFS('Combined Data'!$I:$I,'Combined Data'!$A:$A,YEAR(TRR_Projections!N$4),'Combined Data'!$B:$B,MONTH(TRR_Projections!N$4),'Combined Data'!$C:$C,"TAP")</f>
        <v>21840</v>
      </c>
      <c r="O5" s="74">
        <f>SUMIFS('Combined Data'!$I:$I,'Combined Data'!$A:$A,YEAR(TRR_Projections!O$4),'Combined Data'!$B:$B,MONTH(TRR_Projections!O$4),'Combined Data'!$C:$C,"TAP")</f>
        <v>28092</v>
      </c>
      <c r="P5" s="74">
        <f>SUMIFS('Combined Data'!$I:$I,'Combined Data'!$A:$A,YEAR(TRR_Projections!P$4),'Combined Data'!$B:$B,MONTH(TRR_Projections!P$4),'Combined Data'!$C:$C,"TAP")</f>
        <v>49213</v>
      </c>
      <c r="Q5" s="74">
        <f>SUMIFS('Combined Data'!$I:$I,'Combined Data'!$A:$A,YEAR(TRR_Projections!Q$4),'Combined Data'!$B:$B,MONTH(TRR_Projections!Q$4),'Combined Data'!$C:$C,"TAP")</f>
        <v>57098</v>
      </c>
      <c r="R5" s="74">
        <f>SUMIFS('Combined Data'!$I:$I,'Combined Data'!$A:$A,YEAR(TRR_Projections!R$4),'Combined Data'!$B:$B,MONTH(TRR_Projections!R$4),'Combined Data'!$C:$C,"TAP")</f>
        <v>57529</v>
      </c>
      <c r="S5" s="74">
        <f>SUMIFS('Combined Data'!$I:$I,'Combined Data'!$A:$A,YEAR(TRR_Projections!S$4),'Combined Data'!$B:$B,MONTH(TRR_Projections!S$4),'Combined Data'!$C:$C,"TAP")</f>
        <v>54109</v>
      </c>
      <c r="T5" s="74">
        <f>SUMIFS('Combined Data'!$I:$I,'Combined Data'!$A:$A,YEAR(TRR_Projections!T$4),'Combined Data'!$B:$B,MONTH(TRR_Projections!T$4),'Combined Data'!$C:$C,"TAP")</f>
        <v>58247</v>
      </c>
      <c r="U5" s="74">
        <f>SUMIFS('Combined Data'!$I:$I,'Combined Data'!$A:$A,YEAR(TRR_Projections!U$4),'Combined Data'!$B:$B,MONTH(TRR_Projections!U$4),'Combined Data'!$C:$C,"TAP")</f>
        <v>58482</v>
      </c>
      <c r="V5" s="74">
        <f>SUMIFS('Combined Data'!$I:$I,'Combined Data'!$A:$A,YEAR(TRR_Projections!V$4),'Combined Data'!$B:$B,MONTH(TRR_Projections!V$4),'Combined Data'!$C:$C,"TAP")</f>
        <v>59151</v>
      </c>
      <c r="W5" s="74">
        <f>SUMIFS('Combined Data'!$I:$I,'Combined Data'!$A:$A,YEAR(TRR_Projections!W$4),'Combined Data'!$B:$B,MONTH(TRR_Projections!W$4),'Combined Data'!$C:$C,"TAP")</f>
        <v>59939</v>
      </c>
      <c r="X5" s="74">
        <f>SUMIFS('Combined Data'!$I:$I,'Combined Data'!$A:$A,YEAR(TRR_Projections!X$4),'Combined Data'!$B:$B,MONTH(TRR_Projections!X$4),'Combined Data'!$C:$C,"TAP")</f>
        <v>56189</v>
      </c>
      <c r="Y5" s="74">
        <f>SUMIFS('Combined Data'!$I:$I,'Combined Data'!$A:$A,YEAR(TRR_Projections!Y$4),'Combined Data'!$B:$B,MONTH(TRR_Projections!Y$4),'Combined Data'!$C:$C,"TAP")</f>
        <v>60112</v>
      </c>
      <c r="Z5" s="74">
        <f>SUMIFS('Combined Data'!$I:$I,'Combined Data'!$A:$A,YEAR(TRR_Projections!Z$4),'Combined Data'!$B:$B,MONTH(TRR_Projections!Z$4),'Combined Data'!$C:$C,"TAP")</f>
        <v>60286</v>
      </c>
      <c r="AA5" s="74">
        <f>SUMIFS('Combined Data'!$I:$I,'Combined Data'!$A:$A,YEAR(TRR_Projections!AA$4),'Combined Data'!$B:$B,MONTH(TRR_Projections!AA$4),'Combined Data'!$C:$C,"TAP")</f>
        <v>58843</v>
      </c>
      <c r="AB5" s="74">
        <f>SUMIFS('Combined Data'!$I:$I,'Combined Data'!$A:$A,YEAR(TRR_Projections!AB$4),'Combined Data'!$B:$B,MONTH(TRR_Projections!AB$4),'Combined Data'!$C:$C,"TAP")</f>
        <v>64044</v>
      </c>
      <c r="AC5" s="74">
        <f>SUMIFS('Combined Data'!$I:$I,'Combined Data'!$A:$A,YEAR(TRR_Projections!AC$4),'Combined Data'!$B:$B,MONTH(TRR_Projections!AC$4),'Combined Data'!$C:$C,"TAP")</f>
        <v>64762</v>
      </c>
      <c r="AD5" s="74">
        <f>SUMIFS('Combined Data'!$I:$I,'Combined Data'!$A:$A,YEAR(TRR_Projections!AD$4),'Combined Data'!$B:$B,MONTH(TRR_Projections!AD$4),'Combined Data'!$C:$C,"TAP")</f>
        <v>65114</v>
      </c>
      <c r="AE5" s="74">
        <f>SUMIFS('Combined Data'!$I:$I,'Combined Data'!$A:$A,YEAR(TRR_Projections!AE$4),'Combined Data'!$B:$B,MONTH(TRR_Projections!AE$4),'Combined Data'!$C:$C,"TAP")</f>
        <v>65257</v>
      </c>
      <c r="AF5" s="74">
        <f>SUMIFS('Combined Data'!$I:$I,'Combined Data'!$A:$A,YEAR(TRR_Projections!AF$4),'Combined Data'!$B:$B,MONTH(TRR_Projections!AF$4),'Combined Data'!$C:$C,"TAP")</f>
        <v>65853</v>
      </c>
      <c r="AG5" s="74">
        <f>SUMIFS('Combined Data'!$I:$I,'Combined Data'!$A:$A,YEAR(TRR_Projections!AG$4),'Combined Data'!$B:$B,MONTH(TRR_Projections!AG$4),'Combined Data'!$C:$C,"TAP")</f>
        <v>66393</v>
      </c>
      <c r="AH5" s="74">
        <f>SUMIFS('Combined Data'!$I:$I,'Combined Data'!$A:$A,YEAR(TRR_Projections!AH$4),'Combined Data'!$B:$B,MONTH(TRR_Projections!AH$4),'Combined Data'!$C:$C,"TAP")</f>
        <v>66827</v>
      </c>
      <c r="AI5" s="74">
        <f>SUMIFS('Combined Data'!$I:$I,'Combined Data'!$A:$A,YEAR(TRR_Projections!AI$4),'Combined Data'!$B:$B,MONTH(TRR_Projections!AI$4),'Combined Data'!$C:$C,"TAP")</f>
        <v>67155</v>
      </c>
      <c r="AJ5" s="74">
        <f>SUMIFS('Combined Data'!$I:$I,'Combined Data'!$A:$A,YEAR(TRR_Projections!AJ$4),'Combined Data'!$B:$B,MONTH(TRR_Projections!AJ$4),'Combined Data'!$C:$C,"TAP")</f>
        <v>56281</v>
      </c>
      <c r="AK5" s="74">
        <f>SUMIFS('Combined Data'!$I:$I,'Combined Data'!$A:$A,YEAR(TRR_Projections!AK$4),'Combined Data'!$B:$B,MONTH(TRR_Projections!AK$4),'Combined Data'!$C:$C,"TAP")</f>
        <v>67815</v>
      </c>
      <c r="AL5" s="74">
        <f>SUMIFS('Combined Data'!$I:$I,'Combined Data'!$A:$A,YEAR(TRR_Projections!AL$4),'Combined Data'!$B:$B,MONTH(TRR_Projections!AL$4),'Combined Data'!$C:$C,"TAP")</f>
        <v>67686</v>
      </c>
      <c r="AM5" s="74">
        <f>SUMIFS('Combined Data'!$I:$I,'Combined Data'!$A:$A,YEAR(TRR_Projections!AM$4),'Combined Data'!$B:$B,MONTH(TRR_Projections!AM$4),'Combined Data'!$C:$C,"TAP")</f>
        <v>64634</v>
      </c>
      <c r="AN5" s="74">
        <f>SUMIFS('Combined Data'!$I:$I,'Combined Data'!$A:$A,YEAR(TRR_Projections!AN$4),'Combined Data'!$B:$B,MONTH(TRR_Projections!AN$4),'Combined Data'!$C:$C,"TAP")</f>
        <v>68405</v>
      </c>
      <c r="AO5" s="112">
        <f t="shared" ref="AO5:BE5" si="0">AN5*(1+AO3)</f>
        <v>68576.012499999997</v>
      </c>
      <c r="AP5" s="112">
        <f t="shared" si="0"/>
        <v>68747.45253124999</v>
      </c>
      <c r="AQ5" s="112">
        <f t="shared" si="0"/>
        <v>68919.321162578111</v>
      </c>
      <c r="AR5" s="112">
        <f t="shared" si="0"/>
        <v>69091.619465484546</v>
      </c>
      <c r="AS5" s="112">
        <f t="shared" si="0"/>
        <v>69264.348514148252</v>
      </c>
      <c r="AT5" s="112">
        <f t="shared" si="0"/>
        <v>69437.509385433616</v>
      </c>
      <c r="AU5" s="112">
        <f t="shared" si="0"/>
        <v>69611.103158897196</v>
      </c>
      <c r="AV5" s="112">
        <f t="shared" si="0"/>
        <v>69785.130916794442</v>
      </c>
      <c r="AW5" s="112">
        <f t="shared" si="0"/>
        <v>69959.593744086422</v>
      </c>
      <c r="AX5" s="112">
        <f t="shared" si="0"/>
        <v>70134.492728446639</v>
      </c>
      <c r="AY5" s="112">
        <f t="shared" si="0"/>
        <v>70309.828960267754</v>
      </c>
      <c r="AZ5" s="112">
        <f t="shared" si="0"/>
        <v>70485.603532668421</v>
      </c>
      <c r="BA5" s="112">
        <f t="shared" si="0"/>
        <v>70661.817541500088</v>
      </c>
      <c r="BB5" s="112">
        <f t="shared" si="0"/>
        <v>70838.472085353831</v>
      </c>
      <c r="BC5" s="112">
        <f t="shared" si="0"/>
        <v>71015.568265567214</v>
      </c>
      <c r="BD5" s="112">
        <f t="shared" si="0"/>
        <v>71193.107186231122</v>
      </c>
      <c r="BE5" s="112">
        <f t="shared" si="0"/>
        <v>71371.089954196694</v>
      </c>
    </row>
    <row r="6" spans="1:57" s="80" customFormat="1">
      <c r="A6" s="92" t="s">
        <v>48</v>
      </c>
      <c r="B6" s="114">
        <f t="shared" ref="B6:I6" si="1">B4</f>
        <v>44927</v>
      </c>
      <c r="C6" s="114">
        <f t="shared" si="1"/>
        <v>44958</v>
      </c>
      <c r="D6" s="114">
        <f t="shared" si="1"/>
        <v>44986</v>
      </c>
      <c r="E6" s="114">
        <f t="shared" si="1"/>
        <v>45017</v>
      </c>
      <c r="F6" s="114">
        <f t="shared" si="1"/>
        <v>45047</v>
      </c>
      <c r="G6" s="114">
        <f t="shared" si="1"/>
        <v>45078</v>
      </c>
      <c r="H6" s="114">
        <f t="shared" si="1"/>
        <v>45108</v>
      </c>
      <c r="I6" s="114">
        <f t="shared" si="1"/>
        <v>45139</v>
      </c>
      <c r="J6" s="114">
        <f t="shared" ref="J6:BE6" si="2">J4</f>
        <v>45170</v>
      </c>
      <c r="K6" s="114">
        <f t="shared" si="2"/>
        <v>45200</v>
      </c>
      <c r="L6" s="114">
        <f t="shared" si="2"/>
        <v>45231</v>
      </c>
      <c r="M6" s="111">
        <f t="shared" si="2"/>
        <v>45261</v>
      </c>
      <c r="N6" s="111">
        <f t="shared" ref="N6:O6" si="3">N4</f>
        <v>45292</v>
      </c>
      <c r="O6" s="111">
        <f t="shared" si="3"/>
        <v>45323</v>
      </c>
      <c r="P6" s="111">
        <f t="shared" si="2"/>
        <v>45352</v>
      </c>
      <c r="Q6" s="111">
        <f t="shared" si="2"/>
        <v>45383</v>
      </c>
      <c r="R6" s="111">
        <f t="shared" si="2"/>
        <v>45413</v>
      </c>
      <c r="S6" s="111">
        <f t="shared" si="2"/>
        <v>45444</v>
      </c>
      <c r="T6" s="111">
        <f t="shared" si="2"/>
        <v>45474</v>
      </c>
      <c r="U6" s="111">
        <f t="shared" si="2"/>
        <v>45505</v>
      </c>
      <c r="V6" s="111">
        <f t="shared" si="2"/>
        <v>45536</v>
      </c>
      <c r="W6" s="111">
        <f t="shared" si="2"/>
        <v>45566</v>
      </c>
      <c r="X6" s="111">
        <f t="shared" si="2"/>
        <v>45597</v>
      </c>
      <c r="Y6" s="111">
        <f t="shared" si="2"/>
        <v>45627</v>
      </c>
      <c r="Z6" s="111">
        <f t="shared" si="2"/>
        <v>45658</v>
      </c>
      <c r="AA6" s="111">
        <f t="shared" si="2"/>
        <v>45689</v>
      </c>
      <c r="AB6" s="111">
        <f t="shared" si="2"/>
        <v>45717</v>
      </c>
      <c r="AC6" s="111">
        <f t="shared" ref="AC6:AK6" si="4">AC4</f>
        <v>45748</v>
      </c>
      <c r="AD6" s="111">
        <f t="shared" si="4"/>
        <v>45778</v>
      </c>
      <c r="AE6" s="111">
        <f t="shared" si="4"/>
        <v>45809</v>
      </c>
      <c r="AF6" s="111">
        <f t="shared" si="4"/>
        <v>45839</v>
      </c>
      <c r="AG6" s="111">
        <f t="shared" si="4"/>
        <v>45870</v>
      </c>
      <c r="AH6" s="111">
        <f t="shared" si="4"/>
        <v>45901</v>
      </c>
      <c r="AI6" s="111">
        <f t="shared" si="4"/>
        <v>45931</v>
      </c>
      <c r="AJ6" s="111">
        <f t="shared" si="4"/>
        <v>45962</v>
      </c>
      <c r="AK6" s="111">
        <f t="shared" si="4"/>
        <v>45992</v>
      </c>
      <c r="AL6" s="111">
        <f t="shared" ref="AL6:AN6" si="5">AL4</f>
        <v>46023</v>
      </c>
      <c r="AM6" s="111">
        <f t="shared" si="5"/>
        <v>46054</v>
      </c>
      <c r="AN6" s="111">
        <f t="shared" si="5"/>
        <v>46082</v>
      </c>
      <c r="AO6" s="111">
        <f t="shared" si="2"/>
        <v>46113</v>
      </c>
      <c r="AP6" s="111">
        <f t="shared" si="2"/>
        <v>46143</v>
      </c>
      <c r="AQ6" s="111">
        <f t="shared" si="2"/>
        <v>46174</v>
      </c>
      <c r="AR6" s="111">
        <f t="shared" si="2"/>
        <v>46204</v>
      </c>
      <c r="AS6" s="111">
        <f t="shared" si="2"/>
        <v>46235</v>
      </c>
      <c r="AT6" s="111">
        <f t="shared" si="2"/>
        <v>46266</v>
      </c>
      <c r="AU6" s="111">
        <f t="shared" si="2"/>
        <v>46296</v>
      </c>
      <c r="AV6" s="111">
        <f t="shared" si="2"/>
        <v>46327</v>
      </c>
      <c r="AW6" s="111">
        <f t="shared" si="2"/>
        <v>46357</v>
      </c>
      <c r="AX6" s="111">
        <f t="shared" si="2"/>
        <v>46388</v>
      </c>
      <c r="AY6" s="111">
        <f t="shared" si="2"/>
        <v>46419</v>
      </c>
      <c r="AZ6" s="111">
        <f t="shared" si="2"/>
        <v>46447</v>
      </c>
      <c r="BA6" s="111">
        <f t="shared" si="2"/>
        <v>46478</v>
      </c>
      <c r="BB6" s="111">
        <f t="shared" si="2"/>
        <v>46508</v>
      </c>
      <c r="BC6" s="111">
        <f t="shared" si="2"/>
        <v>46539</v>
      </c>
      <c r="BD6" s="111">
        <f t="shared" si="2"/>
        <v>46569</v>
      </c>
      <c r="BE6" s="111">
        <f t="shared" si="2"/>
        <v>46600</v>
      </c>
    </row>
    <row r="7" spans="1:57" s="11" customFormat="1">
      <c r="A7" s="93" t="s">
        <v>49</v>
      </c>
      <c r="B7" s="75">
        <f>SUMIFS('Combined Data'!$K:$K,'Combined Data'!$A:$A,YEAR(TRR_Projections!B$4),'Combined Data'!$B:$B,MONTH(TRR_Projections!B$4),'Combined Data'!$C:$C,"TAP")</f>
        <v>868704.43</v>
      </c>
      <c r="C7" s="75">
        <f>SUMIFS('Combined Data'!$K:$K,'Combined Data'!$A:$A,YEAR(TRR_Projections!C$4),'Combined Data'!$B:$B,MONTH(TRR_Projections!C$4),'Combined Data'!$C:$C,"TAP")</f>
        <v>693673.77</v>
      </c>
      <c r="D7" s="75">
        <f>SUMIFS('Combined Data'!$K:$K,'Combined Data'!$A:$A,YEAR(TRR_Projections!D$4),'Combined Data'!$B:$B,MONTH(TRR_Projections!D$4),'Combined Data'!$C:$C,"TAP")</f>
        <v>850938.61999999988</v>
      </c>
      <c r="E7" s="75">
        <f>SUMIFS('Combined Data'!$K:$K,'Combined Data'!$A:$A,YEAR(TRR_Projections!E$4),'Combined Data'!$B:$B,MONTH(TRR_Projections!E$4),'Combined Data'!$C:$C,"TAP")</f>
        <v>716098.40999999992</v>
      </c>
      <c r="F7" s="75">
        <f>SUMIFS('Combined Data'!$K:$K,'Combined Data'!$A:$A,YEAR(TRR_Projections!F$4),'Combined Data'!$B:$B,MONTH(TRR_Projections!F$4),'Combined Data'!$C:$C,"TAP")</f>
        <v>752697.26</v>
      </c>
      <c r="G7" s="75">
        <f>SUMIFS('Combined Data'!$K:$K,'Combined Data'!$A:$A,YEAR(TRR_Projections!G$4),'Combined Data'!$B:$B,MONTH(TRR_Projections!G$4),'Combined Data'!$C:$C,"TAP")</f>
        <v>974438.17</v>
      </c>
      <c r="H7" s="75">
        <f>SUMIFS('Combined Data'!$K:$K,'Combined Data'!$A:$A,YEAR(TRR_Projections!H$4),'Combined Data'!$B:$B,MONTH(TRR_Projections!H$4),'Combined Data'!$C:$C,"TAP")</f>
        <v>1062160.1300000001</v>
      </c>
      <c r="I7" s="75">
        <f>SUMIFS('Combined Data'!$K:$K,'Combined Data'!$A:$A,YEAR(TRR_Projections!I$4),'Combined Data'!$B:$B,MONTH(TRR_Projections!I$4),'Combined Data'!$C:$C,"TAP")</f>
        <v>1024554.34</v>
      </c>
      <c r="J7" s="75">
        <f>SUMIFS('Combined Data'!$K:$K,'Combined Data'!$A:$A,YEAR(TRR_Projections!J$4),'Combined Data'!$B:$B,MONTH(TRR_Projections!J$4),'Combined Data'!$C:$C,"TAP")</f>
        <v>1222816.92</v>
      </c>
      <c r="K7" s="75">
        <f>SUMIFS('Combined Data'!$K:$K,'Combined Data'!$A:$A,YEAR(TRR_Projections!K$4),'Combined Data'!$B:$B,MONTH(TRR_Projections!K$4),'Combined Data'!$C:$C,"TAP")</f>
        <v>1187375.29</v>
      </c>
      <c r="L7" s="75">
        <f>SUMIFS('Combined Data'!$K:$K,'Combined Data'!$A:$A,YEAR(TRR_Projections!L$4),'Combined Data'!$B:$B,MONTH(TRR_Projections!L$4),'Combined Data'!$C:$C,"TAP")</f>
        <v>1259286.79</v>
      </c>
      <c r="M7" s="75">
        <f>SUMIFS('Combined Data'!$K:$K,'Combined Data'!$A:$A,YEAR(TRR_Projections!M$4),'Combined Data'!$B:$B,MONTH(TRR_Projections!M$4),'Combined Data'!$C:$C,"TAP")</f>
        <v>1280348.1299999999</v>
      </c>
      <c r="N7" s="75">
        <f>SUMIFS('Combined Data'!$K:$K,'Combined Data'!$A:$A,YEAR(TRR_Projections!N$4),'Combined Data'!$B:$B,MONTH(TRR_Projections!N$4),'Combined Data'!$C:$C,"TAP")</f>
        <v>1325915.3500000001</v>
      </c>
      <c r="O7" s="75">
        <f>SUMIFS('Combined Data'!$K:$K,'Combined Data'!$A:$A,YEAR(TRR_Projections!O$4),'Combined Data'!$B:$B,MONTH(TRR_Projections!O$4),'Combined Data'!$C:$C,"TAP")</f>
        <v>1497446.1500000001</v>
      </c>
      <c r="P7" s="75">
        <f>SUMIFS('Combined Data'!$K:$K,'Combined Data'!$A:$A,YEAR(TRR_Projections!P$4),'Combined Data'!$B:$B,MONTH(TRR_Projections!P$4),'Combined Data'!$C:$C,"TAP")</f>
        <v>1978894.8699999999</v>
      </c>
      <c r="Q7" s="75">
        <f>SUMIFS('Combined Data'!$K:$K,'Combined Data'!$A:$A,YEAR(TRR_Projections!Q$4),'Combined Data'!$B:$B,MONTH(TRR_Projections!Q$4),'Combined Data'!$C:$C,"TAP")</f>
        <v>2090227.74</v>
      </c>
      <c r="R7" s="75">
        <f>SUMIFS('Combined Data'!$K:$K,'Combined Data'!$A:$A,YEAR(TRR_Projections!R$4),'Combined Data'!$B:$B,MONTH(TRR_Projections!R$4),'Combined Data'!$C:$C,"TAP")</f>
        <v>2363991.42</v>
      </c>
      <c r="S7" s="75">
        <f>SUMIFS('Combined Data'!$K:$K,'Combined Data'!$A:$A,YEAR(TRR_Projections!S$4),'Combined Data'!$B:$B,MONTH(TRR_Projections!S$4),'Combined Data'!$C:$C,"TAP")</f>
        <v>2347910.54</v>
      </c>
      <c r="T7" s="75">
        <f>SUMIFS('Combined Data'!$K:$K,'Combined Data'!$A:$A,YEAR(TRR_Projections!T$4),'Combined Data'!$B:$B,MONTH(TRR_Projections!T$4),'Combined Data'!$C:$C,"TAP")</f>
        <v>2532949.0099999998</v>
      </c>
      <c r="U7" s="75">
        <f>SUMIFS('Combined Data'!$K:$K,'Combined Data'!$A:$A,YEAR(TRR_Projections!U$4),'Combined Data'!$B:$B,MONTH(TRR_Projections!U$4),'Combined Data'!$C:$C,"TAP")</f>
        <v>2727371.14</v>
      </c>
      <c r="V7" s="75">
        <f>SUMIFS('Combined Data'!$K:$K,'Combined Data'!$A:$A,YEAR(TRR_Projections!V$4),'Combined Data'!$B:$B,MONTH(TRR_Projections!V$4),'Combined Data'!$C:$C,"TAP")</f>
        <v>3178212.67</v>
      </c>
      <c r="W7" s="75">
        <f>SUMIFS('Combined Data'!$K:$K,'Combined Data'!$A:$A,YEAR(TRR_Projections!W$4),'Combined Data'!$B:$B,MONTH(TRR_Projections!W$4),'Combined Data'!$C:$C,"TAP")</f>
        <v>3375675.9899999998</v>
      </c>
      <c r="X7" s="75">
        <f>SUMIFS('Combined Data'!$K:$K,'Combined Data'!$A:$A,YEAR(TRR_Projections!X$4),'Combined Data'!$B:$B,MONTH(TRR_Projections!X$4),'Combined Data'!$C:$C,"TAP")</f>
        <v>2968651.24</v>
      </c>
      <c r="Y7" s="75">
        <f>SUMIFS('Combined Data'!$K:$K,'Combined Data'!$A:$A,YEAR(TRR_Projections!Y$4),'Combined Data'!$B:$B,MONTH(TRR_Projections!Y$4),'Combined Data'!$C:$C,"TAP")</f>
        <v>3167355.29</v>
      </c>
      <c r="Z7" s="75">
        <f>SUMIFS('Combined Data'!$K:$K,'Combined Data'!$A:$A,YEAR(TRR_Projections!Z$4),'Combined Data'!$B:$B,MONTH(TRR_Projections!Z$4),'Combined Data'!$C:$C,"TAP")</f>
        <v>3630279.19</v>
      </c>
      <c r="AA7" s="75">
        <f>SUMIFS('Combined Data'!$K:$K,'Combined Data'!$A:$A,YEAR(TRR_Projections!AA$4),'Combined Data'!$B:$B,MONTH(TRR_Projections!AA$4),'Combined Data'!$C:$C,"TAP")</f>
        <v>2978785.48</v>
      </c>
      <c r="AB7" s="75">
        <f>SUMIFS('Combined Data'!$K:$K,'Combined Data'!$A:$A,YEAR(TRR_Projections!AB$4),'Combined Data'!$B:$B,MONTH(TRR_Projections!AB$4),'Combined Data'!$C:$C,"TAP")</f>
        <v>3051535.99</v>
      </c>
      <c r="AC7" s="75">
        <f>SUMIFS('Combined Data'!$K:$K,'Combined Data'!$A:$A,YEAR(TRR_Projections!AC$4),'Combined Data'!$B:$B,MONTH(TRR_Projections!AC$4),'Combined Data'!$C:$C,"TAP")</f>
        <v>3128342.41</v>
      </c>
      <c r="AD7" s="75">
        <f>SUMIFS('Combined Data'!$K:$K,'Combined Data'!$A:$A,YEAR(TRR_Projections!AD$4),'Combined Data'!$B:$B,MONTH(TRR_Projections!AD$4),'Combined Data'!$C:$C,"TAP")</f>
        <v>3243724.0700000003</v>
      </c>
      <c r="AE7" s="75">
        <f>SUMIFS('Combined Data'!$K:$K,'Combined Data'!$A:$A,YEAR(TRR_Projections!AE$4),'Combined Data'!$B:$B,MONTH(TRR_Projections!AE$4),'Combined Data'!$C:$C,"TAP")</f>
        <v>3486841.07</v>
      </c>
      <c r="AF7" s="75">
        <f>SUMIFS('Combined Data'!$K:$K,'Combined Data'!$A:$A,YEAR(TRR_Projections!AF$4),'Combined Data'!$B:$B,MONTH(TRR_Projections!AF$4),'Combined Data'!$C:$C,"TAP")</f>
        <v>3526644.22</v>
      </c>
      <c r="AG7" s="75">
        <f>SUMIFS('Combined Data'!$K:$K,'Combined Data'!$A:$A,YEAR(TRR_Projections!AG$4),'Combined Data'!$B:$B,MONTH(TRR_Projections!AG$4),'Combined Data'!$C:$C,"TAP")</f>
        <v>3776526.48</v>
      </c>
      <c r="AH7" s="75">
        <f>SUMIFS('Combined Data'!$K:$K,'Combined Data'!$A:$A,YEAR(TRR_Projections!AH$4),'Combined Data'!$B:$B,MONTH(TRR_Projections!AH$4),'Combined Data'!$C:$C,"TAP")</f>
        <v>3997140.2</v>
      </c>
      <c r="AI7" s="75">
        <f>SUMIFS('Combined Data'!$K:$K,'Combined Data'!$A:$A,YEAR(TRR_Projections!AI$4),'Combined Data'!$B:$B,MONTH(TRR_Projections!AI$4),'Combined Data'!$C:$C,"TAP")</f>
        <v>4545754.26</v>
      </c>
      <c r="AJ7" s="75">
        <f>SUMIFS('Combined Data'!$K:$K,'Combined Data'!$A:$A,YEAR(TRR_Projections!AJ$4),'Combined Data'!$B:$B,MONTH(TRR_Projections!AJ$4),'Combined Data'!$C:$C,"TAP")</f>
        <v>3282881.9</v>
      </c>
      <c r="AK7" s="75">
        <f>SUMIFS('Combined Data'!$K:$K,'Combined Data'!$A:$A,YEAR(TRR_Projections!AK$4),'Combined Data'!$B:$B,MONTH(TRR_Projections!AK$4),'Combined Data'!$C:$C,"TAP")</f>
        <v>4386029.1899999995</v>
      </c>
      <c r="AL7" s="75">
        <f>SUMIFS('Combined Data'!$K:$K,'Combined Data'!$A:$A,YEAR(TRR_Projections!AL$4),'Combined Data'!$B:$B,MONTH(TRR_Projections!AL$4),'Combined Data'!$C:$C,"TAP")</f>
        <v>4712907.8499999996</v>
      </c>
      <c r="AM7" s="75">
        <f>SUMIFS('Combined Data'!$K:$K,'Combined Data'!$A:$A,YEAR(TRR_Projections!AM$4),'Combined Data'!$B:$B,MONTH(TRR_Projections!AM$4),'Combined Data'!$C:$C,"TAP")</f>
        <v>4147095.5700000003</v>
      </c>
      <c r="AN7" s="75">
        <f>SUMIFS('Combined Data'!$K:$K,'Combined Data'!$A:$A,YEAR(TRR_Projections!AN$4),'Combined Data'!$B:$B,MONTH(TRR_Projections!AN$4),'Combined Data'!$C:$C,"TAP")</f>
        <v>4518643.5199999996</v>
      </c>
      <c r="AO7" s="113">
        <f>TRR_Summary!$B$4*AO5</f>
        <v>4422802.9019751307</v>
      </c>
      <c r="AP7" s="113">
        <f>TRR_Summary!$B$4*AP5</f>
        <v>4433859.9092300674</v>
      </c>
      <c r="AQ7" s="113">
        <f>TRR_Summary!$B$4*AQ5</f>
        <v>4444944.5590031426</v>
      </c>
      <c r="AR7" s="113">
        <f>TRR_Summary!$B$4*AR5</f>
        <v>4456056.9204006502</v>
      </c>
      <c r="AS7" s="113">
        <f>TRR_Summary!$B$4*AS5</f>
        <v>4467197.0627016509</v>
      </c>
      <c r="AT7" s="113">
        <f>TRR_Summary!$B$4*AT5</f>
        <v>4478365.0553584052</v>
      </c>
      <c r="AU7" s="113">
        <f>TRR_Summary!$B$4*AU5</f>
        <v>4489560.9679968003</v>
      </c>
      <c r="AV7" s="113">
        <f>TRR_Summary!$B$4*AV5</f>
        <v>4500784.870416793</v>
      </c>
      <c r="AW7" s="113">
        <f>TRR_Summary!$B$4*AW5</f>
        <v>4512036.8325928347</v>
      </c>
      <c r="AX7" s="113">
        <f>TRR_Summary!$B$4*AX5</f>
        <v>4523316.9246743163</v>
      </c>
      <c r="AY7" s="113">
        <f>TRR_Summary!$B$4*AY5</f>
        <v>4534625.2169860024</v>
      </c>
      <c r="AZ7" s="113">
        <f>TRR_Summary!$B$4*AZ5</f>
        <v>4545961.7800284671</v>
      </c>
      <c r="BA7" s="113">
        <f>TRR_Summary!$B$4*BA5</f>
        <v>4557326.6844785381</v>
      </c>
      <c r="BB7" s="113">
        <f>TRR_Summary!$B$4*BB5</f>
        <v>4568720.0011897339</v>
      </c>
      <c r="BC7" s="113">
        <f>TRR_Summary!$B$4*BC5</f>
        <v>4580141.8011927083</v>
      </c>
      <c r="BD7" s="113">
        <f>TRR_Summary!$B$4*BD5</f>
        <v>4591592.1556956889</v>
      </c>
      <c r="BE7" s="113">
        <f>TRR_Summary!$B$4*BE5</f>
        <v>4603071.1360849282</v>
      </c>
    </row>
    <row r="8" spans="1:57" s="80" customFormat="1">
      <c r="A8" s="92" t="s">
        <v>50</v>
      </c>
      <c r="B8" s="114">
        <f t="shared" ref="B8:I8" si="6">B6</f>
        <v>44927</v>
      </c>
      <c r="C8" s="114">
        <f t="shared" si="6"/>
        <v>44958</v>
      </c>
      <c r="D8" s="114">
        <f t="shared" si="6"/>
        <v>44986</v>
      </c>
      <c r="E8" s="114">
        <f t="shared" si="6"/>
        <v>45017</v>
      </c>
      <c r="F8" s="114">
        <f t="shared" si="6"/>
        <v>45047</v>
      </c>
      <c r="G8" s="114">
        <f t="shared" si="6"/>
        <v>45078</v>
      </c>
      <c r="H8" s="114">
        <f t="shared" si="6"/>
        <v>45108</v>
      </c>
      <c r="I8" s="114">
        <f t="shared" si="6"/>
        <v>45139</v>
      </c>
      <c r="J8" s="114">
        <f t="shared" ref="J8:BE8" si="7">J6</f>
        <v>45170</v>
      </c>
      <c r="K8" s="114">
        <f t="shared" si="7"/>
        <v>45200</v>
      </c>
      <c r="L8" s="114">
        <f t="shared" si="7"/>
        <v>45231</v>
      </c>
      <c r="M8" s="111">
        <f t="shared" si="7"/>
        <v>45261</v>
      </c>
      <c r="N8" s="111">
        <f t="shared" ref="N8:O8" si="8">N6</f>
        <v>45292</v>
      </c>
      <c r="O8" s="111">
        <f t="shared" si="8"/>
        <v>45323</v>
      </c>
      <c r="P8" s="111">
        <f t="shared" si="7"/>
        <v>45352</v>
      </c>
      <c r="Q8" s="111">
        <f t="shared" si="7"/>
        <v>45383</v>
      </c>
      <c r="R8" s="111">
        <f t="shared" si="7"/>
        <v>45413</v>
      </c>
      <c r="S8" s="111">
        <f t="shared" si="7"/>
        <v>45444</v>
      </c>
      <c r="T8" s="111">
        <f t="shared" si="7"/>
        <v>45474</v>
      </c>
      <c r="U8" s="111">
        <f t="shared" si="7"/>
        <v>45505</v>
      </c>
      <c r="V8" s="111">
        <f t="shared" si="7"/>
        <v>45536</v>
      </c>
      <c r="W8" s="111">
        <f t="shared" si="7"/>
        <v>45566</v>
      </c>
      <c r="X8" s="111">
        <f t="shared" si="7"/>
        <v>45597</v>
      </c>
      <c r="Y8" s="111">
        <f t="shared" si="7"/>
        <v>45627</v>
      </c>
      <c r="Z8" s="111">
        <f t="shared" si="7"/>
        <v>45658</v>
      </c>
      <c r="AA8" s="111">
        <f t="shared" si="7"/>
        <v>45689</v>
      </c>
      <c r="AB8" s="111">
        <f t="shared" si="7"/>
        <v>45717</v>
      </c>
      <c r="AC8" s="111">
        <f t="shared" ref="AC8:AK8" si="9">AC6</f>
        <v>45748</v>
      </c>
      <c r="AD8" s="111">
        <f t="shared" si="9"/>
        <v>45778</v>
      </c>
      <c r="AE8" s="111">
        <f t="shared" si="9"/>
        <v>45809</v>
      </c>
      <c r="AF8" s="111">
        <f t="shared" si="9"/>
        <v>45839</v>
      </c>
      <c r="AG8" s="111">
        <f t="shared" si="9"/>
        <v>45870</v>
      </c>
      <c r="AH8" s="111">
        <f t="shared" si="9"/>
        <v>45901</v>
      </c>
      <c r="AI8" s="111">
        <f t="shared" si="9"/>
        <v>45931</v>
      </c>
      <c r="AJ8" s="111">
        <f t="shared" si="9"/>
        <v>45962</v>
      </c>
      <c r="AK8" s="111">
        <f t="shared" si="9"/>
        <v>45992</v>
      </c>
      <c r="AL8" s="111">
        <f t="shared" ref="AL8:AN8" si="10">AL6</f>
        <v>46023</v>
      </c>
      <c r="AM8" s="111">
        <f t="shared" si="10"/>
        <v>46054</v>
      </c>
      <c r="AN8" s="111">
        <f t="shared" si="10"/>
        <v>46082</v>
      </c>
      <c r="AO8" s="111">
        <f t="shared" si="7"/>
        <v>46113</v>
      </c>
      <c r="AP8" s="111">
        <f t="shared" si="7"/>
        <v>46143</v>
      </c>
      <c r="AQ8" s="111">
        <f t="shared" si="7"/>
        <v>46174</v>
      </c>
      <c r="AR8" s="111">
        <f t="shared" si="7"/>
        <v>46204</v>
      </c>
      <c r="AS8" s="111">
        <f t="shared" si="7"/>
        <v>46235</v>
      </c>
      <c r="AT8" s="111">
        <f t="shared" si="7"/>
        <v>46266</v>
      </c>
      <c r="AU8" s="111">
        <f t="shared" si="7"/>
        <v>46296</v>
      </c>
      <c r="AV8" s="111">
        <f t="shared" si="7"/>
        <v>46327</v>
      </c>
      <c r="AW8" s="111">
        <f t="shared" si="7"/>
        <v>46357</v>
      </c>
      <c r="AX8" s="111">
        <f t="shared" si="7"/>
        <v>46388</v>
      </c>
      <c r="AY8" s="111">
        <f t="shared" si="7"/>
        <v>46419</v>
      </c>
      <c r="AZ8" s="111">
        <f t="shared" si="7"/>
        <v>46447</v>
      </c>
      <c r="BA8" s="111">
        <f t="shared" si="7"/>
        <v>46478</v>
      </c>
      <c r="BB8" s="111">
        <f t="shared" si="7"/>
        <v>46508</v>
      </c>
      <c r="BC8" s="111">
        <f t="shared" si="7"/>
        <v>46539</v>
      </c>
      <c r="BD8" s="111">
        <f t="shared" si="7"/>
        <v>46569</v>
      </c>
      <c r="BE8" s="111">
        <f t="shared" si="7"/>
        <v>46600</v>
      </c>
    </row>
    <row r="9" spans="1:57">
      <c r="A9" s="93" t="s">
        <v>35</v>
      </c>
      <c r="B9" s="69">
        <f>SUMIFS('Combined Data'!$E:$E,'Combined Data'!$A:$A,YEAR(TRR_Projections!B$4),'Combined Data'!$B:$B,MONTH(TRR_Projections!B$4),'Combined Data'!$C:$C,"TAP")</f>
        <v>119863</v>
      </c>
      <c r="C9" s="69">
        <f>SUMIFS('Combined Data'!$E:$E,'Combined Data'!$A:$A,YEAR(TRR_Projections!C$4),'Combined Data'!$B:$B,MONTH(TRR_Projections!C$4),'Combined Data'!$C:$C,"TAP")</f>
        <v>95406</v>
      </c>
      <c r="D9" s="69">
        <f>SUMIFS('Combined Data'!$E:$E,'Combined Data'!$A:$A,YEAR(TRR_Projections!D$4),'Combined Data'!$B:$B,MONTH(TRR_Projections!D$4),'Combined Data'!$C:$C,"TAP")</f>
        <v>118160</v>
      </c>
      <c r="E9" s="69">
        <f>SUMIFS('Combined Data'!$E:$E,'Combined Data'!$A:$A,YEAR(TRR_Projections!E$4),'Combined Data'!$B:$B,MONTH(TRR_Projections!E$4),'Combined Data'!$C:$C,"TAP")</f>
        <v>98901</v>
      </c>
      <c r="F9" s="69">
        <f>SUMIFS('Combined Data'!$E:$E,'Combined Data'!$A:$A,YEAR(TRR_Projections!F$4),'Combined Data'!$B:$B,MONTH(TRR_Projections!F$4),'Combined Data'!$C:$C,"TAP")</f>
        <v>104317</v>
      </c>
      <c r="G9" s="69">
        <f>SUMIFS('Combined Data'!$E:$E,'Combined Data'!$A:$A,YEAR(TRR_Projections!G$4),'Combined Data'!$B:$B,MONTH(TRR_Projections!G$4),'Combined Data'!$C:$C,"TAP")</f>
        <v>133262</v>
      </c>
      <c r="H9" s="69">
        <f>SUMIFS('Combined Data'!$E:$E,'Combined Data'!$A:$A,YEAR(TRR_Projections!H$4),'Combined Data'!$B:$B,MONTH(TRR_Projections!H$4),'Combined Data'!$C:$C,"TAP")</f>
        <v>144907</v>
      </c>
      <c r="I9" s="69">
        <f>SUMIFS('Combined Data'!$E:$E,'Combined Data'!$A:$A,YEAR(TRR_Projections!I$4),'Combined Data'!$B:$B,MONTH(TRR_Projections!I$4),'Combined Data'!$C:$C,"TAP")</f>
        <v>139198</v>
      </c>
      <c r="J9" s="69">
        <f>SUMIFS('Combined Data'!$E:$E,'Combined Data'!$A:$A,YEAR(TRR_Projections!J$4),'Combined Data'!$B:$B,MONTH(TRR_Projections!J$4),'Combined Data'!$C:$C,"TAP")</f>
        <v>156850</v>
      </c>
      <c r="K9" s="69">
        <f>SUMIFS('Combined Data'!$E:$E,'Combined Data'!$A:$A,YEAR(TRR_Projections!K$4),'Combined Data'!$B:$B,MONTH(TRR_Projections!K$4),'Combined Data'!$C:$C,"TAP")</f>
        <v>143368</v>
      </c>
      <c r="L9" s="69">
        <f>SUMIFS('Combined Data'!$E:$E,'Combined Data'!$A:$A,YEAR(TRR_Projections!L$4),'Combined Data'!$B:$B,MONTH(TRR_Projections!L$4),'Combined Data'!$C:$C,"TAP")</f>
        <v>151823</v>
      </c>
      <c r="M9" s="69">
        <f>SUMIFS('Combined Data'!$E:$E,'Combined Data'!$A:$A,YEAR(TRR_Projections!M$4),'Combined Data'!$B:$B,MONTH(TRR_Projections!M$4),'Combined Data'!$C:$C,"TAP")</f>
        <v>153405</v>
      </c>
      <c r="N9" s="69">
        <f>SUMIFS('Combined Data'!$E:$E,'Combined Data'!$A:$A,YEAR(TRR_Projections!N$4),'Combined Data'!$B:$B,MONTH(TRR_Projections!N$4),'Combined Data'!$C:$C,"TAP")</f>
        <v>158733</v>
      </c>
      <c r="O9" s="69">
        <f>SUMIFS('Combined Data'!$E:$E,'Combined Data'!$A:$A,YEAR(TRR_Projections!O$4),'Combined Data'!$B:$B,MONTH(TRR_Projections!O$4),'Combined Data'!$C:$C,"TAP")</f>
        <v>190670</v>
      </c>
      <c r="P9" s="69">
        <f>SUMIFS('Combined Data'!$E:$E,'Combined Data'!$A:$A,YEAR(TRR_Projections!P$4),'Combined Data'!$B:$B,MONTH(TRR_Projections!P$4),'Combined Data'!$C:$C,"TAP")</f>
        <v>295199</v>
      </c>
      <c r="Q9" s="69">
        <f>SUMIFS('Combined Data'!$E:$E,'Combined Data'!$A:$A,YEAR(TRR_Projections!Q$4),'Combined Data'!$B:$B,MONTH(TRR_Projections!Q$4),'Combined Data'!$C:$C,"TAP")</f>
        <v>325552</v>
      </c>
      <c r="R9" s="69">
        <f>SUMIFS('Combined Data'!$E:$E,'Combined Data'!$A:$A,YEAR(TRR_Projections!R$4),'Combined Data'!$B:$B,MONTH(TRR_Projections!R$4),'Combined Data'!$C:$C,"TAP")</f>
        <v>363582</v>
      </c>
      <c r="S9" s="69">
        <f>SUMIFS('Combined Data'!$E:$E,'Combined Data'!$A:$A,YEAR(TRR_Projections!S$4),'Combined Data'!$B:$B,MONTH(TRR_Projections!S$4),'Combined Data'!$C:$C,"TAP")</f>
        <v>351514</v>
      </c>
      <c r="T9" s="69">
        <f>SUMIFS('Combined Data'!$E:$E,'Combined Data'!$A:$A,YEAR(TRR_Projections!T$4),'Combined Data'!$B:$B,MONTH(TRR_Projections!T$4),'Combined Data'!$C:$C,"TAP")</f>
        <v>377977</v>
      </c>
      <c r="U9" s="69">
        <f>SUMIFS('Combined Data'!$E:$E,'Combined Data'!$A:$A,YEAR(TRR_Projections!U$4),'Combined Data'!$B:$B,MONTH(TRR_Projections!U$4),'Combined Data'!$C:$C,"TAP")</f>
        <v>400254</v>
      </c>
      <c r="V9" s="69">
        <f>SUMIFS('Combined Data'!$E:$E,'Combined Data'!$A:$A,YEAR(TRR_Projections!V$4),'Combined Data'!$B:$B,MONTH(TRR_Projections!V$4),'Combined Data'!$C:$C,"TAP")</f>
        <v>419861</v>
      </c>
      <c r="W9" s="69">
        <f>SUMIFS('Combined Data'!$E:$E,'Combined Data'!$A:$A,YEAR(TRR_Projections!W$4),'Combined Data'!$B:$B,MONTH(TRR_Projections!W$4),'Combined Data'!$C:$C,"TAP")</f>
        <v>407993</v>
      </c>
      <c r="X9" s="69">
        <f>SUMIFS('Combined Data'!$E:$E,'Combined Data'!$A:$A,YEAR(TRR_Projections!X$4),'Combined Data'!$B:$B,MONTH(TRR_Projections!X$4),'Combined Data'!$C:$C,"TAP")</f>
        <v>356885</v>
      </c>
      <c r="Y9" s="69">
        <f>SUMIFS('Combined Data'!$E:$E,'Combined Data'!$A:$A,YEAR(TRR_Projections!Y$4),'Combined Data'!$B:$B,MONTH(TRR_Projections!Y$4),'Combined Data'!$C:$C,"TAP")</f>
        <v>381139</v>
      </c>
      <c r="Z9" s="69">
        <f>SUMIFS('Combined Data'!$E:$E,'Combined Data'!$A:$A,YEAR(TRR_Projections!Z$4),'Combined Data'!$B:$B,MONTH(TRR_Projections!Z$4),'Combined Data'!$C:$C,"TAP")</f>
        <v>431332</v>
      </c>
      <c r="AA9" s="69">
        <f>SUMIFS('Combined Data'!$E:$E,'Combined Data'!$A:$A,YEAR(TRR_Projections!AA$4),'Combined Data'!$B:$B,MONTH(TRR_Projections!AA$4),'Combined Data'!$C:$C,"TAP")</f>
        <v>362543</v>
      </c>
      <c r="AB9" s="69">
        <f>SUMIFS('Combined Data'!$E:$E,'Combined Data'!$A:$A,YEAR(TRR_Projections!AB$4),'Combined Data'!$B:$B,MONTH(TRR_Projections!AB$4),'Combined Data'!$C:$C,"TAP")</f>
        <v>375751</v>
      </c>
      <c r="AC9" s="69">
        <f>SUMIFS('Combined Data'!$E:$E,'Combined Data'!$A:$A,YEAR(TRR_Projections!AC$4),'Combined Data'!$B:$B,MONTH(TRR_Projections!AC$4),'Combined Data'!$C:$C,"TAP")</f>
        <v>382353</v>
      </c>
      <c r="AD9" s="69">
        <f>SUMIFS('Combined Data'!$E:$E,'Combined Data'!$A:$A,YEAR(TRR_Projections!AD$4),'Combined Data'!$B:$B,MONTH(TRR_Projections!AD$4),'Combined Data'!$C:$C,"TAP")</f>
        <v>395758</v>
      </c>
      <c r="AE9" s="69">
        <f>SUMIFS('Combined Data'!$E:$E,'Combined Data'!$A:$A,YEAR(TRR_Projections!AE$4),'Combined Data'!$B:$B,MONTH(TRR_Projections!AE$4),'Combined Data'!$C:$C,"TAP")</f>
        <v>419696</v>
      </c>
      <c r="AF9" s="69">
        <f>SUMIFS('Combined Data'!$E:$E,'Combined Data'!$A:$A,YEAR(TRR_Projections!AF$4),'Combined Data'!$B:$B,MONTH(TRR_Projections!AF$4),'Combined Data'!$C:$C,"TAP")</f>
        <v>423997</v>
      </c>
      <c r="AG9" s="69">
        <f>SUMIFS('Combined Data'!$E:$E,'Combined Data'!$A:$A,YEAR(TRR_Projections!AG$4),'Combined Data'!$B:$B,MONTH(TRR_Projections!AG$4),'Combined Data'!$C:$C,"TAP")</f>
        <v>450076</v>
      </c>
      <c r="AH9" s="69">
        <f>SUMIFS('Combined Data'!$E:$E,'Combined Data'!$A:$A,YEAR(TRR_Projections!AH$4),'Combined Data'!$B:$B,MONTH(TRR_Projections!AH$4),'Combined Data'!$C:$C,"TAP")</f>
        <v>444157</v>
      </c>
      <c r="AI9" s="69">
        <f>SUMIFS('Combined Data'!$E:$E,'Combined Data'!$A:$A,YEAR(TRR_Projections!AI$4),'Combined Data'!$B:$B,MONTH(TRR_Projections!AI$4),'Combined Data'!$C:$C,"TAP")</f>
        <v>466827</v>
      </c>
      <c r="AJ9" s="69">
        <f>SUMIFS('Combined Data'!$E:$E,'Combined Data'!$A:$A,YEAR(TRR_Projections!AJ$4),'Combined Data'!$B:$B,MONTH(TRR_Projections!AJ$4),'Combined Data'!$C:$C,"TAP")</f>
        <v>340206</v>
      </c>
      <c r="AK9" s="69">
        <f>SUMIFS('Combined Data'!$E:$E,'Combined Data'!$A:$A,YEAR(TRR_Projections!AK$4),'Combined Data'!$B:$B,MONTH(TRR_Projections!AK$4),'Combined Data'!$C:$C,"TAP")</f>
        <v>453729</v>
      </c>
      <c r="AL9" s="69">
        <f>SUMIFS('Combined Data'!$E:$E,'Combined Data'!$A:$A,YEAR(TRR_Projections!AL$4),'Combined Data'!$B:$B,MONTH(TRR_Projections!AL$4),'Combined Data'!$C:$C,"TAP")</f>
        <v>474801</v>
      </c>
      <c r="AM9" s="69">
        <f>SUMIFS('Combined Data'!$E:$E,'Combined Data'!$A:$A,YEAR(TRR_Projections!AM$4),'Combined Data'!$B:$B,MONTH(TRR_Projections!AM$4),'Combined Data'!$C:$C,"TAP")</f>
        <v>423513</v>
      </c>
      <c r="AN9" s="69">
        <f>SUMIFS('Combined Data'!$E:$E,'Combined Data'!$A:$A,YEAR(TRR_Projections!AN$4),'Combined Data'!$B:$B,MONTH(TRR_Projections!AN$4),'Combined Data'!$C:$C,"TAP")</f>
        <v>464349</v>
      </c>
      <c r="AO9" s="88">
        <f>TRR_Summary!$B$5*AO5/100</f>
        <v>458502.97748004051</v>
      </c>
      <c r="AP9" s="88">
        <f>TRR_Summary!$B$5*AP5/100</f>
        <v>459649.2349237405</v>
      </c>
      <c r="AQ9" s="88">
        <f>TRR_Summary!$B$5*AQ5/100</f>
        <v>460798.35801104986</v>
      </c>
      <c r="AR9" s="88">
        <f>TRR_Summary!$B$5*AR5/100</f>
        <v>461950.35390607739</v>
      </c>
      <c r="AS9" s="88">
        <f>TRR_Summary!$B$5*AS5/100</f>
        <v>463105.22979084251</v>
      </c>
      <c r="AT9" s="88">
        <f>TRR_Summary!$B$5*AT5/100</f>
        <v>464262.9928653196</v>
      </c>
      <c r="AU9" s="88">
        <f>TRR_Summary!$B$5*AU5/100</f>
        <v>465423.65034748288</v>
      </c>
      <c r="AV9" s="88">
        <f>TRR_Summary!$B$5*AV5/100</f>
        <v>466587.2094733516</v>
      </c>
      <c r="AW9" s="88">
        <f>TRR_Summary!$B$5*AW5/100</f>
        <v>467753.67749703495</v>
      </c>
      <c r="AX9" s="88">
        <f>TRR_Summary!$B$5*AX5/100</f>
        <v>468923.06169077754</v>
      </c>
      <c r="AY9" s="88">
        <f>TRR_Summary!$B$5*AY5/100</f>
        <v>470095.3693450045</v>
      </c>
      <c r="AZ9" s="88">
        <f>TRR_Summary!$B$5*AZ5/100</f>
        <v>471270.60776836699</v>
      </c>
      <c r="BA9" s="88">
        <f>TRR_Summary!$B$5*BA5/100</f>
        <v>472448.7842877878</v>
      </c>
      <c r="BB9" s="88">
        <f>TRR_Summary!$B$5*BB5/100</f>
        <v>473629.90624850726</v>
      </c>
      <c r="BC9" s="88">
        <f>TRR_Summary!$B$5*BC5/100</f>
        <v>474813.98101412854</v>
      </c>
      <c r="BD9" s="88">
        <f>TRR_Summary!$B$5*BD5/100</f>
        <v>476001.01596666384</v>
      </c>
      <c r="BE9" s="88">
        <f>TRR_Summary!$B$5*BE5/100</f>
        <v>477191.01850658044</v>
      </c>
    </row>
    <row r="10" spans="1:57" s="80" customFormat="1">
      <c r="A10" s="92" t="s">
        <v>51</v>
      </c>
      <c r="B10" s="114">
        <f t="shared" ref="B10" si="11">B8</f>
        <v>44927</v>
      </c>
      <c r="C10" s="114">
        <f t="shared" ref="C10:AK10" si="12">C8</f>
        <v>44958</v>
      </c>
      <c r="D10" s="114">
        <f t="shared" si="12"/>
        <v>44986</v>
      </c>
      <c r="E10" s="114">
        <f t="shared" si="12"/>
        <v>45017</v>
      </c>
      <c r="F10" s="114">
        <f t="shared" si="12"/>
        <v>45047</v>
      </c>
      <c r="G10" s="114">
        <f t="shared" si="12"/>
        <v>45078</v>
      </c>
      <c r="H10" s="114">
        <f t="shared" si="12"/>
        <v>45108</v>
      </c>
      <c r="I10" s="114">
        <f t="shared" si="12"/>
        <v>45139</v>
      </c>
      <c r="J10" s="114">
        <f t="shared" si="12"/>
        <v>45170</v>
      </c>
      <c r="K10" s="114">
        <f t="shared" si="12"/>
        <v>45200</v>
      </c>
      <c r="L10" s="114">
        <f t="shared" si="12"/>
        <v>45231</v>
      </c>
      <c r="M10" s="114">
        <f t="shared" si="12"/>
        <v>45261</v>
      </c>
      <c r="N10" s="114">
        <f t="shared" si="12"/>
        <v>45292</v>
      </c>
      <c r="O10" s="114">
        <f t="shared" si="12"/>
        <v>45323</v>
      </c>
      <c r="P10" s="114">
        <f t="shared" si="12"/>
        <v>45352</v>
      </c>
      <c r="Q10" s="114">
        <f t="shared" si="12"/>
        <v>45383</v>
      </c>
      <c r="R10" s="114">
        <f t="shared" si="12"/>
        <v>45413</v>
      </c>
      <c r="S10" s="114">
        <f t="shared" si="12"/>
        <v>45444</v>
      </c>
      <c r="T10" s="114">
        <f t="shared" si="12"/>
        <v>45474</v>
      </c>
      <c r="U10" s="114">
        <f t="shared" si="12"/>
        <v>45505</v>
      </c>
      <c r="V10" s="114">
        <f t="shared" si="12"/>
        <v>45536</v>
      </c>
      <c r="W10" s="114">
        <f t="shared" si="12"/>
        <v>45566</v>
      </c>
      <c r="X10" s="114">
        <f t="shared" si="12"/>
        <v>45597</v>
      </c>
      <c r="Y10" s="114">
        <f t="shared" si="12"/>
        <v>45627</v>
      </c>
      <c r="Z10" s="114">
        <f t="shared" si="12"/>
        <v>45658</v>
      </c>
      <c r="AA10" s="114">
        <f t="shared" si="12"/>
        <v>45689</v>
      </c>
      <c r="AB10" s="114">
        <f t="shared" si="12"/>
        <v>45717</v>
      </c>
      <c r="AC10" s="114">
        <f t="shared" si="12"/>
        <v>45748</v>
      </c>
      <c r="AD10" s="114">
        <f t="shared" si="12"/>
        <v>45778</v>
      </c>
      <c r="AE10" s="114">
        <f t="shared" si="12"/>
        <v>45809</v>
      </c>
      <c r="AF10" s="114">
        <f t="shared" si="12"/>
        <v>45839</v>
      </c>
      <c r="AG10" s="114">
        <f t="shared" si="12"/>
        <v>45870</v>
      </c>
      <c r="AH10" s="114">
        <f t="shared" si="12"/>
        <v>45901</v>
      </c>
      <c r="AI10" s="114">
        <f t="shared" si="12"/>
        <v>45931</v>
      </c>
      <c r="AJ10" s="114">
        <f t="shared" si="12"/>
        <v>45962</v>
      </c>
      <c r="AK10" s="114">
        <f t="shared" si="12"/>
        <v>45992</v>
      </c>
      <c r="AL10" s="114">
        <f t="shared" ref="AL10:AN10" si="13">AL8</f>
        <v>46023</v>
      </c>
      <c r="AM10" s="114">
        <f t="shared" si="13"/>
        <v>46054</v>
      </c>
      <c r="AN10" s="114">
        <f t="shared" si="13"/>
        <v>46082</v>
      </c>
      <c r="AO10" s="111">
        <f t="shared" ref="AO10:BE10" si="14">AO8</f>
        <v>46113</v>
      </c>
      <c r="AP10" s="111">
        <f t="shared" si="14"/>
        <v>46143</v>
      </c>
      <c r="AQ10" s="111">
        <f t="shared" si="14"/>
        <v>46174</v>
      </c>
      <c r="AR10" s="111">
        <f t="shared" si="14"/>
        <v>46204</v>
      </c>
      <c r="AS10" s="111">
        <f t="shared" si="14"/>
        <v>46235</v>
      </c>
      <c r="AT10" s="111">
        <f t="shared" si="14"/>
        <v>46266</v>
      </c>
      <c r="AU10" s="111">
        <f t="shared" si="14"/>
        <v>46296</v>
      </c>
      <c r="AV10" s="111">
        <f t="shared" si="14"/>
        <v>46327</v>
      </c>
      <c r="AW10" s="111">
        <f t="shared" si="14"/>
        <v>46357</v>
      </c>
      <c r="AX10" s="111">
        <f t="shared" si="14"/>
        <v>46388</v>
      </c>
      <c r="AY10" s="111">
        <f t="shared" si="14"/>
        <v>46419</v>
      </c>
      <c r="AZ10" s="111">
        <f t="shared" si="14"/>
        <v>46447</v>
      </c>
      <c r="BA10" s="111">
        <f t="shared" si="14"/>
        <v>46478</v>
      </c>
      <c r="BB10" s="111">
        <f t="shared" si="14"/>
        <v>46508</v>
      </c>
      <c r="BC10" s="111">
        <f t="shared" si="14"/>
        <v>46539</v>
      </c>
      <c r="BD10" s="111">
        <f t="shared" si="14"/>
        <v>46569</v>
      </c>
      <c r="BE10" s="111">
        <f t="shared" si="14"/>
        <v>46600</v>
      </c>
    </row>
    <row r="11" spans="1:57">
      <c r="A11" s="94" t="s">
        <v>36</v>
      </c>
      <c r="B11" s="95">
        <f>SUMIFS('Combined Data'!$G:$G,'Combined Data'!$A:$A,YEAR(TRR_Projections!B$4),'Combined Data'!$B:$B,MONTH(TRR_Projections!B$4),'Combined Data'!$C:$C,"TAP")</f>
        <v>119847</v>
      </c>
      <c r="C11" s="95">
        <f>SUMIFS('Combined Data'!$G:$G,'Combined Data'!$A:$A,YEAR(TRR_Projections!C$4),'Combined Data'!$B:$B,MONTH(TRR_Projections!C$4),'Combined Data'!$C:$C,"TAP")</f>
        <v>95396</v>
      </c>
      <c r="D11" s="95">
        <f>SUMIFS('Combined Data'!$G:$G,'Combined Data'!$A:$A,YEAR(TRR_Projections!D$4),'Combined Data'!$B:$B,MONTH(TRR_Projections!D$4),'Combined Data'!$C:$C,"TAP")</f>
        <v>118146</v>
      </c>
      <c r="E11" s="95">
        <f>SUMIFS('Combined Data'!$G:$G,'Combined Data'!$A:$A,YEAR(TRR_Projections!E$4),'Combined Data'!$B:$B,MONTH(TRR_Projections!E$4),'Combined Data'!$C:$C,"TAP")</f>
        <v>98887</v>
      </c>
      <c r="F11" s="95">
        <f>SUMIFS('Combined Data'!$G:$G,'Combined Data'!$A:$A,YEAR(TRR_Projections!F$4),'Combined Data'!$B:$B,MONTH(TRR_Projections!F$4),'Combined Data'!$C:$C,"TAP")</f>
        <v>104306</v>
      </c>
      <c r="G11" s="95">
        <f>SUMIFS('Combined Data'!$G:$G,'Combined Data'!$A:$A,YEAR(TRR_Projections!G$4),'Combined Data'!$B:$B,MONTH(TRR_Projections!G$4),'Combined Data'!$C:$C,"TAP")</f>
        <v>133240</v>
      </c>
      <c r="H11" s="95">
        <f>SUMIFS('Combined Data'!$G:$G,'Combined Data'!$A:$A,YEAR(TRR_Projections!H$4),'Combined Data'!$B:$B,MONTH(TRR_Projections!H$4),'Combined Data'!$C:$C,"TAP")</f>
        <v>144890</v>
      </c>
      <c r="I11" s="95">
        <f>SUMIFS('Combined Data'!$G:$G,'Combined Data'!$A:$A,YEAR(TRR_Projections!I$4),'Combined Data'!$B:$B,MONTH(TRR_Projections!I$4),'Combined Data'!$C:$C,"TAP")</f>
        <v>139159</v>
      </c>
      <c r="J11" s="95">
        <f>SUMIFS('Combined Data'!$G:$G,'Combined Data'!$A:$A,YEAR(TRR_Projections!J$4),'Combined Data'!$B:$B,MONTH(TRR_Projections!J$4),'Combined Data'!$C:$C,"TAP")</f>
        <v>156807</v>
      </c>
      <c r="K11" s="95">
        <f>SUMIFS('Combined Data'!$G:$G,'Combined Data'!$A:$A,YEAR(TRR_Projections!K$4),'Combined Data'!$B:$B,MONTH(TRR_Projections!K$4),'Combined Data'!$C:$C,"TAP")</f>
        <v>143306</v>
      </c>
      <c r="L11" s="95">
        <f>SUMIFS('Combined Data'!$G:$G,'Combined Data'!$A:$A,YEAR(TRR_Projections!L$4),'Combined Data'!$B:$B,MONTH(TRR_Projections!L$4),'Combined Data'!$C:$C,"TAP")</f>
        <v>151778</v>
      </c>
      <c r="M11" s="95">
        <f>SUMIFS('Combined Data'!$G:$G,'Combined Data'!$A:$A,YEAR(TRR_Projections!M$4),'Combined Data'!$B:$B,MONTH(TRR_Projections!M$4),'Combined Data'!$C:$C,"TAP")</f>
        <v>153355</v>
      </c>
      <c r="N11" s="95">
        <f>SUMIFS('Combined Data'!$G:$G,'Combined Data'!$A:$A,YEAR(TRR_Projections!N$4),'Combined Data'!$B:$B,MONTH(TRR_Projections!N$4),'Combined Data'!$C:$C,"TAP")</f>
        <v>158685</v>
      </c>
      <c r="O11" s="95">
        <f>SUMIFS('Combined Data'!$G:$G,'Combined Data'!$A:$A,YEAR(TRR_Projections!O$4),'Combined Data'!$B:$B,MONTH(TRR_Projections!O$4),'Combined Data'!$C:$C,"TAP")</f>
        <v>190596</v>
      </c>
      <c r="P11" s="95">
        <f>SUMIFS('Combined Data'!$G:$G,'Combined Data'!$A:$A,YEAR(TRR_Projections!P$4),'Combined Data'!$B:$B,MONTH(TRR_Projections!P$4),'Combined Data'!$C:$C,"TAP")</f>
        <v>295003</v>
      </c>
      <c r="Q11" s="95">
        <f>SUMIFS('Combined Data'!$G:$G,'Combined Data'!$A:$A,YEAR(TRR_Projections!Q$4),'Combined Data'!$B:$B,MONTH(TRR_Projections!Q$4),'Combined Data'!$C:$C,"TAP")</f>
        <v>325268</v>
      </c>
      <c r="R11" s="95">
        <f>SUMIFS('Combined Data'!$G:$G,'Combined Data'!$A:$A,YEAR(TRR_Projections!R$4),'Combined Data'!$B:$B,MONTH(TRR_Projections!R$4),'Combined Data'!$C:$C,"TAP")</f>
        <v>363280</v>
      </c>
      <c r="S11" s="95">
        <f>SUMIFS('Combined Data'!$G:$G,'Combined Data'!$A:$A,YEAR(TRR_Projections!S$4),'Combined Data'!$B:$B,MONTH(TRR_Projections!S$4),'Combined Data'!$C:$C,"TAP")</f>
        <v>351186</v>
      </c>
      <c r="T11" s="95">
        <f>SUMIFS('Combined Data'!$G:$G,'Combined Data'!$A:$A,YEAR(TRR_Projections!T$4),'Combined Data'!$B:$B,MONTH(TRR_Projections!T$4),'Combined Data'!$C:$C,"TAP")</f>
        <v>377552</v>
      </c>
      <c r="U11" s="95">
        <f>SUMIFS('Combined Data'!$G:$G,'Combined Data'!$A:$A,YEAR(TRR_Projections!U$4),'Combined Data'!$B:$B,MONTH(TRR_Projections!U$4),'Combined Data'!$C:$C,"TAP")</f>
        <v>399834</v>
      </c>
      <c r="V11" s="95">
        <f>SUMIFS('Combined Data'!$G:$G,'Combined Data'!$A:$A,YEAR(TRR_Projections!V$4),'Combined Data'!$B:$B,MONTH(TRR_Projections!V$4),'Combined Data'!$C:$C,"TAP")</f>
        <v>419515</v>
      </c>
      <c r="W11" s="95">
        <f>SUMIFS('Combined Data'!$G:$G,'Combined Data'!$A:$A,YEAR(TRR_Projections!W$4),'Combined Data'!$B:$B,MONTH(TRR_Projections!W$4),'Combined Data'!$C:$C,"TAP")</f>
        <v>407617</v>
      </c>
      <c r="X11" s="95">
        <f>SUMIFS('Combined Data'!$G:$G,'Combined Data'!$A:$A,YEAR(TRR_Projections!X$4),'Combined Data'!$B:$B,MONTH(TRR_Projections!X$4),'Combined Data'!$C:$C,"TAP")</f>
        <v>356544</v>
      </c>
      <c r="Y11" s="95">
        <f>SUMIFS('Combined Data'!$G:$G,'Combined Data'!$A:$A,YEAR(TRR_Projections!Y$4),'Combined Data'!$B:$B,MONTH(TRR_Projections!Y$4),'Combined Data'!$C:$C,"TAP")</f>
        <v>380804</v>
      </c>
      <c r="Z11" s="95">
        <f>SUMIFS('Combined Data'!$G:$G,'Combined Data'!$A:$A,YEAR(TRR_Projections!Z$4),'Combined Data'!$B:$B,MONTH(TRR_Projections!Z$4),'Combined Data'!$C:$C,"TAP")</f>
        <v>431025</v>
      </c>
      <c r="AA11" s="95">
        <f>SUMIFS('Combined Data'!$G:$G,'Combined Data'!$A:$A,YEAR(TRR_Projections!AA$4),'Combined Data'!$B:$B,MONTH(TRR_Projections!AA$4),'Combined Data'!$C:$C,"TAP")</f>
        <v>362258</v>
      </c>
      <c r="AB11" s="95">
        <f>SUMIFS('Combined Data'!$G:$G,'Combined Data'!$A:$A,YEAR(TRR_Projections!AB$4),'Combined Data'!$B:$B,MONTH(TRR_Projections!AB$4),'Combined Data'!$C:$C,"TAP")</f>
        <v>375462</v>
      </c>
      <c r="AC11" s="95">
        <f>SUMIFS('Combined Data'!$G:$G,'Combined Data'!$A:$A,YEAR(TRR_Projections!AC$4),'Combined Data'!$B:$B,MONTH(TRR_Projections!AC$4),'Combined Data'!$C:$C,"TAP")</f>
        <v>382075</v>
      </c>
      <c r="AD11" s="95">
        <f>SUMIFS('Combined Data'!$G:$G,'Combined Data'!$A:$A,YEAR(TRR_Projections!AD$4),'Combined Data'!$B:$B,MONTH(TRR_Projections!AD$4),'Combined Data'!$C:$C,"TAP")</f>
        <v>395427</v>
      </c>
      <c r="AE11" s="95">
        <f>SUMIFS('Combined Data'!$G:$G,'Combined Data'!$A:$A,YEAR(TRR_Projections!AE$4),'Combined Data'!$B:$B,MONTH(TRR_Projections!AE$4),'Combined Data'!$C:$C,"TAP")</f>
        <v>419359</v>
      </c>
      <c r="AF11" s="95">
        <f>SUMIFS('Combined Data'!$G:$G,'Combined Data'!$A:$A,YEAR(TRR_Projections!AF$4),'Combined Data'!$B:$B,MONTH(TRR_Projections!AF$4),'Combined Data'!$C:$C,"TAP")</f>
        <v>423626</v>
      </c>
      <c r="AG11" s="95">
        <f>SUMIFS('Combined Data'!$G:$G,'Combined Data'!$A:$A,YEAR(TRR_Projections!AG$4),'Combined Data'!$B:$B,MONTH(TRR_Projections!AG$4),'Combined Data'!$C:$C,"TAP")</f>
        <v>449771</v>
      </c>
      <c r="AH11" s="95">
        <f>SUMIFS('Combined Data'!$G:$G,'Combined Data'!$A:$A,YEAR(TRR_Projections!AH$4),'Combined Data'!$B:$B,MONTH(TRR_Projections!AH$4),'Combined Data'!$C:$C,"TAP")</f>
        <v>443876</v>
      </c>
      <c r="AI11" s="95">
        <f>SUMIFS('Combined Data'!$G:$G,'Combined Data'!$A:$A,YEAR(TRR_Projections!AI$4),'Combined Data'!$B:$B,MONTH(TRR_Projections!AI$4),'Combined Data'!$C:$C,"TAP")</f>
        <v>466528</v>
      </c>
      <c r="AJ11" s="95">
        <f>SUMIFS('Combined Data'!$G:$G,'Combined Data'!$A:$A,YEAR(TRR_Projections!AJ$4),'Combined Data'!$B:$B,MONTH(TRR_Projections!AJ$4),'Combined Data'!$C:$C,"TAP")</f>
        <v>339938</v>
      </c>
      <c r="AK11" s="95">
        <f>SUMIFS('Combined Data'!$G:$G,'Combined Data'!$A:$A,YEAR(TRR_Projections!AK$4),'Combined Data'!$B:$B,MONTH(TRR_Projections!AK$4),'Combined Data'!$C:$C,"TAP")</f>
        <v>453388</v>
      </c>
      <c r="AL11" s="95">
        <f>SUMIFS('Combined Data'!$G:$G,'Combined Data'!$A:$A,YEAR(TRR_Projections!AL$4),'Combined Data'!$B:$B,MONTH(TRR_Projections!AL$4),'Combined Data'!$C:$C,"TAP")</f>
        <v>474423</v>
      </c>
      <c r="AM11" s="95">
        <f>SUMIFS('Combined Data'!$G:$G,'Combined Data'!$A:$A,YEAR(TRR_Projections!AM$4),'Combined Data'!$B:$B,MONTH(TRR_Projections!AM$4),'Combined Data'!$C:$C,"TAP")</f>
        <v>423187</v>
      </c>
      <c r="AN11" s="95">
        <f>SUMIFS('Combined Data'!$G:$G,'Combined Data'!$A:$A,YEAR(TRR_Projections!AN$4),'Combined Data'!$B:$B,MONTH(TRR_Projections!AN$4),'Combined Data'!$C:$C,"TAP")</f>
        <v>463972</v>
      </c>
      <c r="AO11" s="96">
        <f>TRR_Summary!$B$5*AO5/100</f>
        <v>458502.97748004051</v>
      </c>
      <c r="AP11" s="96">
        <f>TRR_Summary!$B$5*AP5/100</f>
        <v>459649.2349237405</v>
      </c>
      <c r="AQ11" s="96">
        <f>TRR_Summary!$B$5*AQ5/100</f>
        <v>460798.35801104986</v>
      </c>
      <c r="AR11" s="96">
        <f>TRR_Summary!$B$5*AR5/100</f>
        <v>461950.35390607739</v>
      </c>
      <c r="AS11" s="96">
        <f>TRR_Summary!$B$5*AS5/100</f>
        <v>463105.22979084251</v>
      </c>
      <c r="AT11" s="96">
        <f>TRR_Summary!$B$5*AT5/100</f>
        <v>464262.9928653196</v>
      </c>
      <c r="AU11" s="96">
        <f>TRR_Summary!$B$5*AU5/100</f>
        <v>465423.65034748288</v>
      </c>
      <c r="AV11" s="96">
        <f>TRR_Summary!$B$5*AV5/100</f>
        <v>466587.2094733516</v>
      </c>
      <c r="AW11" s="96">
        <f>TRR_Summary!$B$5*AW5/100</f>
        <v>467753.67749703495</v>
      </c>
      <c r="AX11" s="96">
        <f>TRR_Summary!$B$5*AX5/100</f>
        <v>468923.06169077754</v>
      </c>
      <c r="AY11" s="96">
        <f>TRR_Summary!$B$5*AY5/100</f>
        <v>470095.3693450045</v>
      </c>
      <c r="AZ11" s="96">
        <f>TRR_Summary!$B$5*AZ5/100</f>
        <v>471270.60776836699</v>
      </c>
      <c r="BA11" s="96">
        <f>TRR_Summary!$B$5*BA5/100</f>
        <v>472448.7842877878</v>
      </c>
      <c r="BB11" s="96">
        <f>TRR_Summary!$B$5*BB5/100</f>
        <v>473629.90624850726</v>
      </c>
      <c r="BC11" s="96">
        <f>TRR_Summary!$B$5*BC5/100</f>
        <v>474813.98101412854</v>
      </c>
      <c r="BD11" s="96">
        <f>TRR_Summary!$B$5*BD5/100</f>
        <v>476001.01596666384</v>
      </c>
      <c r="BE11" s="96">
        <f>TRR_Summary!$B$5*BE5/100</f>
        <v>477191.01850658044</v>
      </c>
    </row>
    <row r="12" spans="1:57">
      <c r="A12" s="167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</row>
    <row r="13" spans="1:57" ht="1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AL13" s="9" t="s">
        <v>4</v>
      </c>
    </row>
    <row r="14" spans="1:57" ht="15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57" ht="15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57" ht="15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ht="15"/>
    <row r="18" ht="15"/>
    <row r="19" ht="15"/>
    <row r="20" ht="15"/>
    <row r="22" ht="15"/>
    <row r="23" ht="15"/>
    <row r="24" ht="15"/>
    <row r="25" ht="15"/>
    <row r="26" ht="15"/>
    <row r="27" ht="15"/>
    <row r="28" ht="15"/>
    <row r="29" ht="15"/>
  </sheetData>
  <conditionalFormatting sqref="B4:BE4 B6:BE6 B8:BE8 B10:BE10">
    <cfRule type="expression" dxfId="0" priority="6">
      <formula>B$2="Actual"</formula>
    </cfRule>
  </conditionalFormatting>
  <pageMargins left="0.7" right="0.7" top="0.75" bottom="0.75" header="0.3" footer="0.3"/>
  <pageSetup fitToWidth="0" fitToHeight="0" orientation="landscape" r:id="rId1"/>
  <headerFooter>
    <oddHeader>&amp;L2026 TAP Reconcilable Rider Reports and Projection Model: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ECCF-6BB3-4A00-9BF3-9155696A18F4}">
  <dimension ref="A1:N274"/>
  <sheetViews>
    <sheetView topLeftCell="A241" zoomScaleNormal="100" workbookViewId="0">
      <selection activeCell="N254" sqref="N254"/>
    </sheetView>
  </sheetViews>
  <sheetFormatPr defaultColWidth="9.140625" defaultRowHeight="14.25"/>
  <cols>
    <col min="1" max="1" width="6.5703125" style="12" customWidth="1"/>
    <col min="2" max="2" width="4.28515625" style="12" customWidth="1"/>
    <col min="3" max="3" width="8.5703125" style="12" customWidth="1"/>
    <col min="4" max="4" width="13.5703125" style="12" customWidth="1"/>
    <col min="5" max="5" width="13.5703125" style="163" customWidth="1"/>
    <col min="6" max="6" width="14.42578125" style="145" bestFit="1" customWidth="1"/>
    <col min="7" max="7" width="13.5703125" style="163" customWidth="1"/>
    <col min="8" max="8" width="14.42578125" style="145" bestFit="1" customWidth="1"/>
    <col min="9" max="9" width="11.28515625" style="146" customWidth="1"/>
    <col min="10" max="10" width="8" style="146" customWidth="1"/>
    <col min="11" max="11" width="13.42578125" style="145" customWidth="1"/>
    <col min="12" max="16384" width="9.140625" style="12"/>
  </cols>
  <sheetData>
    <row r="1" spans="1:11" s="162" customFormat="1" ht="42.75">
      <c r="A1" s="181" t="s">
        <v>52</v>
      </c>
      <c r="B1" s="181" t="s">
        <v>53</v>
      </c>
      <c r="C1" s="181" t="s">
        <v>54</v>
      </c>
      <c r="D1" s="181" t="s">
        <v>55</v>
      </c>
      <c r="E1" s="182" t="s">
        <v>56</v>
      </c>
      <c r="F1" s="183" t="s">
        <v>57</v>
      </c>
      <c r="G1" s="182" t="s">
        <v>58</v>
      </c>
      <c r="H1" s="183" t="s">
        <v>59</v>
      </c>
      <c r="I1" s="184" t="s">
        <v>60</v>
      </c>
      <c r="J1" s="184" t="s">
        <v>61</v>
      </c>
      <c r="K1" s="183" t="s">
        <v>62</v>
      </c>
    </row>
    <row r="2" spans="1:11">
      <c r="A2">
        <v>2023</v>
      </c>
      <c r="B2">
        <v>1</v>
      </c>
      <c r="C2" t="s">
        <v>63</v>
      </c>
      <c r="D2" t="s">
        <v>64</v>
      </c>
      <c r="E2" s="69">
        <v>4376747</v>
      </c>
      <c r="F2" s="161">
        <v>20402427.859999999</v>
      </c>
      <c r="G2" s="69">
        <v>4150181</v>
      </c>
      <c r="H2" s="161">
        <v>15184710.49</v>
      </c>
      <c r="I2" s="68">
        <v>0</v>
      </c>
      <c r="J2" s="68">
        <v>0</v>
      </c>
      <c r="K2" s="161">
        <v>0</v>
      </c>
    </row>
    <row r="3" spans="1:11">
      <c r="A3">
        <v>2023</v>
      </c>
      <c r="B3">
        <v>1</v>
      </c>
      <c r="C3" t="s">
        <v>63</v>
      </c>
      <c r="D3" t="s">
        <v>65</v>
      </c>
      <c r="E3" s="69">
        <v>143791</v>
      </c>
      <c r="F3" s="161">
        <v>478886.21</v>
      </c>
      <c r="G3" s="69">
        <v>141844</v>
      </c>
      <c r="H3" s="161">
        <v>386082.11</v>
      </c>
      <c r="I3" s="68">
        <v>0</v>
      </c>
      <c r="J3" s="68">
        <v>0</v>
      </c>
      <c r="K3" s="161">
        <v>0</v>
      </c>
    </row>
    <row r="4" spans="1:11">
      <c r="A4">
        <v>2023</v>
      </c>
      <c r="B4">
        <v>1</v>
      </c>
      <c r="C4" t="s">
        <v>63</v>
      </c>
      <c r="D4" t="s">
        <v>66</v>
      </c>
      <c r="E4" s="69">
        <v>147568</v>
      </c>
      <c r="F4" s="161">
        <v>630317.99</v>
      </c>
      <c r="G4" s="69">
        <v>147568</v>
      </c>
      <c r="H4" s="161">
        <v>508908.72</v>
      </c>
      <c r="I4" s="68">
        <v>0</v>
      </c>
      <c r="J4" s="68">
        <v>0</v>
      </c>
      <c r="K4" s="161">
        <v>0</v>
      </c>
    </row>
    <row r="5" spans="1:11">
      <c r="A5">
        <v>2023</v>
      </c>
      <c r="B5">
        <v>1</v>
      </c>
      <c r="C5" t="s">
        <v>63</v>
      </c>
      <c r="D5" t="s">
        <v>67</v>
      </c>
      <c r="E5" s="69">
        <v>212455</v>
      </c>
      <c r="F5" s="161">
        <v>777916.45</v>
      </c>
      <c r="G5" s="69">
        <v>212455</v>
      </c>
      <c r="H5" s="161">
        <v>769051.35</v>
      </c>
      <c r="I5" s="68">
        <v>0</v>
      </c>
      <c r="J5" s="68">
        <v>0</v>
      </c>
      <c r="K5" s="161">
        <v>0</v>
      </c>
    </row>
    <row r="6" spans="1:11">
      <c r="A6">
        <v>2023</v>
      </c>
      <c r="B6">
        <v>1</v>
      </c>
      <c r="C6" t="s">
        <v>63</v>
      </c>
      <c r="D6" t="s">
        <v>68</v>
      </c>
      <c r="E6" s="69">
        <v>85245</v>
      </c>
      <c r="F6" s="161">
        <v>336546.58</v>
      </c>
      <c r="G6" s="69">
        <v>85147</v>
      </c>
      <c r="H6" s="161">
        <v>246090.84</v>
      </c>
      <c r="I6" s="68">
        <v>0</v>
      </c>
      <c r="J6" s="68">
        <v>0</v>
      </c>
      <c r="K6" s="161">
        <v>0</v>
      </c>
    </row>
    <row r="7" spans="1:11">
      <c r="A7">
        <v>2023</v>
      </c>
      <c r="B7">
        <v>1</v>
      </c>
      <c r="C7" t="s">
        <v>69</v>
      </c>
      <c r="D7" t="s">
        <v>64</v>
      </c>
      <c r="E7" s="69">
        <v>92678</v>
      </c>
      <c r="F7" s="161">
        <v>448658.68</v>
      </c>
      <c r="G7" s="69">
        <v>92655</v>
      </c>
      <c r="H7" s="161">
        <v>329195.15000000002</v>
      </c>
      <c r="I7" s="68">
        <v>10466</v>
      </c>
      <c r="J7" s="68">
        <v>10580</v>
      </c>
      <c r="K7" s="161">
        <v>711933.56</v>
      </c>
    </row>
    <row r="8" spans="1:11">
      <c r="A8">
        <v>2023</v>
      </c>
      <c r="B8">
        <v>1</v>
      </c>
      <c r="C8" t="s">
        <v>69</v>
      </c>
      <c r="D8" t="s">
        <v>68</v>
      </c>
      <c r="E8" s="69">
        <v>27185</v>
      </c>
      <c r="F8" s="161">
        <v>100979.35</v>
      </c>
      <c r="G8" s="69">
        <v>27192</v>
      </c>
      <c r="H8" s="161">
        <v>74049.179999999993</v>
      </c>
      <c r="I8" s="68">
        <v>4462</v>
      </c>
      <c r="J8" s="68">
        <v>4493</v>
      </c>
      <c r="K8" s="161">
        <v>156770.87</v>
      </c>
    </row>
    <row r="9" spans="1:11">
      <c r="A9">
        <v>2023</v>
      </c>
      <c r="B9">
        <v>2</v>
      </c>
      <c r="C9" t="s">
        <v>63</v>
      </c>
      <c r="D9" t="s">
        <v>64</v>
      </c>
      <c r="E9" s="69">
        <v>3698547</v>
      </c>
      <c r="F9" s="161">
        <v>17149887.41</v>
      </c>
      <c r="G9" s="69">
        <v>3495098</v>
      </c>
      <c r="H9" s="161">
        <v>12748563.16</v>
      </c>
      <c r="I9" s="68">
        <v>0</v>
      </c>
      <c r="J9" s="68">
        <v>0</v>
      </c>
      <c r="K9" s="161">
        <v>0</v>
      </c>
    </row>
    <row r="10" spans="1:11">
      <c r="A10">
        <v>2023</v>
      </c>
      <c r="B10">
        <v>2</v>
      </c>
      <c r="C10" t="s">
        <v>63</v>
      </c>
      <c r="D10" t="s">
        <v>65</v>
      </c>
      <c r="E10" s="69">
        <v>126418</v>
      </c>
      <c r="F10" s="161">
        <v>421055.08</v>
      </c>
      <c r="G10" s="69">
        <v>126314</v>
      </c>
      <c r="H10" s="161">
        <v>345228.13</v>
      </c>
      <c r="I10" s="68">
        <v>0</v>
      </c>
      <c r="J10" s="68">
        <v>0</v>
      </c>
      <c r="K10" s="161">
        <v>0</v>
      </c>
    </row>
    <row r="11" spans="1:11">
      <c r="A11">
        <v>2023</v>
      </c>
      <c r="B11">
        <v>2</v>
      </c>
      <c r="C11" t="s">
        <v>63</v>
      </c>
      <c r="D11" t="s">
        <v>66</v>
      </c>
      <c r="E11" s="69">
        <v>123529</v>
      </c>
      <c r="F11" s="161">
        <v>528059.62</v>
      </c>
      <c r="G11" s="69">
        <v>123529</v>
      </c>
      <c r="H11" s="161">
        <v>425446.84</v>
      </c>
      <c r="I11" s="68">
        <v>0</v>
      </c>
      <c r="J11" s="68">
        <v>0</v>
      </c>
      <c r="K11" s="161">
        <v>0</v>
      </c>
    </row>
    <row r="12" spans="1:11">
      <c r="A12">
        <v>2023</v>
      </c>
      <c r="B12">
        <v>2</v>
      </c>
      <c r="C12" t="s">
        <v>63</v>
      </c>
      <c r="D12" t="s">
        <v>67</v>
      </c>
      <c r="E12" s="69">
        <v>230409</v>
      </c>
      <c r="F12" s="161">
        <v>837169.7</v>
      </c>
      <c r="G12" s="69">
        <v>230409</v>
      </c>
      <c r="H12" s="161">
        <v>834080.58</v>
      </c>
      <c r="I12" s="68">
        <v>0</v>
      </c>
      <c r="J12" s="68">
        <v>0</v>
      </c>
      <c r="K12" s="161">
        <v>0</v>
      </c>
    </row>
    <row r="13" spans="1:11">
      <c r="A13">
        <v>2023</v>
      </c>
      <c r="B13">
        <v>2</v>
      </c>
      <c r="C13" t="s">
        <v>63</v>
      </c>
      <c r="D13" t="s">
        <v>68</v>
      </c>
      <c r="E13" s="69">
        <v>66830</v>
      </c>
      <c r="F13" s="161">
        <v>263761.36</v>
      </c>
      <c r="G13" s="69">
        <v>66743</v>
      </c>
      <c r="H13" s="161">
        <v>192690.74</v>
      </c>
      <c r="I13" s="68">
        <v>0</v>
      </c>
      <c r="J13" s="68">
        <v>0</v>
      </c>
      <c r="K13" s="161">
        <v>0</v>
      </c>
    </row>
    <row r="14" spans="1:11">
      <c r="A14">
        <v>2023</v>
      </c>
      <c r="B14">
        <v>2</v>
      </c>
      <c r="C14" t="s">
        <v>69</v>
      </c>
      <c r="D14" t="s">
        <v>64</v>
      </c>
      <c r="E14" s="69">
        <v>71816</v>
      </c>
      <c r="F14" s="161">
        <v>352338.61</v>
      </c>
      <c r="G14" s="69">
        <v>71800</v>
      </c>
      <c r="H14" s="161">
        <v>258205.42</v>
      </c>
      <c r="I14" s="68">
        <v>9740</v>
      </c>
      <c r="J14" s="68">
        <v>9814</v>
      </c>
      <c r="K14" s="161">
        <v>560007.4</v>
      </c>
    </row>
    <row r="15" spans="1:11">
      <c r="A15">
        <v>2023</v>
      </c>
      <c r="B15">
        <v>2</v>
      </c>
      <c r="C15" t="s">
        <v>69</v>
      </c>
      <c r="D15" t="s">
        <v>68</v>
      </c>
      <c r="E15" s="69">
        <v>23590</v>
      </c>
      <c r="F15" s="161">
        <v>87525.41</v>
      </c>
      <c r="G15" s="69">
        <v>23596</v>
      </c>
      <c r="H15" s="161">
        <v>64234.35</v>
      </c>
      <c r="I15" s="68">
        <v>4207</v>
      </c>
      <c r="J15" s="68">
        <v>4208</v>
      </c>
      <c r="K15" s="161">
        <v>133666.37</v>
      </c>
    </row>
    <row r="16" spans="1:11">
      <c r="A16">
        <v>2023</v>
      </c>
      <c r="B16">
        <v>3</v>
      </c>
      <c r="C16" t="s">
        <v>63</v>
      </c>
      <c r="D16" t="s">
        <v>64</v>
      </c>
      <c r="E16" s="69">
        <v>4356078</v>
      </c>
      <c r="F16" s="161">
        <v>20093654.920000002</v>
      </c>
      <c r="G16" s="69">
        <v>4092693</v>
      </c>
      <c r="H16" s="161">
        <v>14855377.99</v>
      </c>
      <c r="I16" s="68">
        <v>0</v>
      </c>
      <c r="J16" s="68">
        <v>0</v>
      </c>
      <c r="K16" s="161">
        <v>0</v>
      </c>
    </row>
    <row r="17" spans="1:11">
      <c r="A17">
        <v>2023</v>
      </c>
      <c r="B17">
        <v>3</v>
      </c>
      <c r="C17" t="s">
        <v>63</v>
      </c>
      <c r="D17" t="s">
        <v>65</v>
      </c>
      <c r="E17" s="69">
        <v>150824</v>
      </c>
      <c r="F17" s="161">
        <v>503891.65</v>
      </c>
      <c r="G17" s="69">
        <v>150178</v>
      </c>
      <c r="H17" s="161">
        <v>410702.7</v>
      </c>
      <c r="I17" s="68">
        <v>0</v>
      </c>
      <c r="J17" s="68">
        <v>0</v>
      </c>
      <c r="K17" s="161">
        <v>0</v>
      </c>
    </row>
    <row r="18" spans="1:11">
      <c r="A18">
        <v>2023</v>
      </c>
      <c r="B18">
        <v>3</v>
      </c>
      <c r="C18" t="s">
        <v>63</v>
      </c>
      <c r="D18" t="s">
        <v>66</v>
      </c>
      <c r="E18" s="69">
        <v>124845</v>
      </c>
      <c r="F18" s="161">
        <v>540127.98</v>
      </c>
      <c r="G18" s="69">
        <v>124845</v>
      </c>
      <c r="H18" s="161">
        <v>431518.91</v>
      </c>
      <c r="I18" s="68">
        <v>0</v>
      </c>
      <c r="J18" s="68">
        <v>0</v>
      </c>
      <c r="K18" s="161">
        <v>0</v>
      </c>
    </row>
    <row r="19" spans="1:11">
      <c r="A19">
        <v>2023</v>
      </c>
      <c r="B19">
        <v>3</v>
      </c>
      <c r="C19" t="s">
        <v>63</v>
      </c>
      <c r="D19" t="s">
        <v>67</v>
      </c>
      <c r="E19" s="69">
        <v>264318</v>
      </c>
      <c r="F19" s="161">
        <v>965068.26</v>
      </c>
      <c r="G19" s="69">
        <v>264318</v>
      </c>
      <c r="H19" s="161">
        <v>957256.66</v>
      </c>
      <c r="I19" s="68">
        <v>0</v>
      </c>
      <c r="J19" s="68">
        <v>0</v>
      </c>
      <c r="K19" s="161">
        <v>0</v>
      </c>
    </row>
    <row r="20" spans="1:11">
      <c r="A20">
        <v>2023</v>
      </c>
      <c r="B20">
        <v>3</v>
      </c>
      <c r="C20" t="s">
        <v>63</v>
      </c>
      <c r="D20" t="s">
        <v>68</v>
      </c>
      <c r="E20" s="69">
        <v>81790</v>
      </c>
      <c r="F20" s="161">
        <v>328457.56</v>
      </c>
      <c r="G20" s="69">
        <v>81706</v>
      </c>
      <c r="H20" s="161">
        <v>239718.26</v>
      </c>
      <c r="I20" s="68">
        <v>0</v>
      </c>
      <c r="J20" s="68">
        <v>0</v>
      </c>
      <c r="K20" s="161">
        <v>0</v>
      </c>
    </row>
    <row r="21" spans="1:11">
      <c r="A21">
        <v>2023</v>
      </c>
      <c r="B21">
        <v>3</v>
      </c>
      <c r="C21" t="s">
        <v>69</v>
      </c>
      <c r="D21" t="s">
        <v>64</v>
      </c>
      <c r="E21" s="69">
        <v>90184</v>
      </c>
      <c r="F21" s="161">
        <v>442631.56</v>
      </c>
      <c r="G21" s="69">
        <v>90163</v>
      </c>
      <c r="H21" s="161">
        <v>324129.53999999998</v>
      </c>
      <c r="I21" s="68">
        <v>10925</v>
      </c>
      <c r="J21" s="68">
        <v>12675</v>
      </c>
      <c r="K21" s="161">
        <v>692171.07</v>
      </c>
    </row>
    <row r="22" spans="1:11">
      <c r="A22">
        <v>2023</v>
      </c>
      <c r="B22">
        <v>3</v>
      </c>
      <c r="C22" t="s">
        <v>69</v>
      </c>
      <c r="D22" t="s">
        <v>68</v>
      </c>
      <c r="E22" s="69">
        <v>27976</v>
      </c>
      <c r="F22" s="161">
        <v>103941.07</v>
      </c>
      <c r="G22" s="69">
        <v>27983</v>
      </c>
      <c r="H22" s="161">
        <v>76120.72</v>
      </c>
      <c r="I22" s="68">
        <v>4622</v>
      </c>
      <c r="J22" s="68">
        <v>5381</v>
      </c>
      <c r="K22" s="161">
        <v>158767.54999999999</v>
      </c>
    </row>
    <row r="23" spans="1:11">
      <c r="A23">
        <v>2023</v>
      </c>
      <c r="B23">
        <v>4</v>
      </c>
      <c r="C23" t="s">
        <v>63</v>
      </c>
      <c r="D23" t="s">
        <v>64</v>
      </c>
      <c r="E23" s="69">
        <v>3880098</v>
      </c>
      <c r="F23" s="161">
        <v>17821596.420000002</v>
      </c>
      <c r="G23" s="69">
        <v>3686406</v>
      </c>
      <c r="H23" s="161">
        <v>13381017.529999999</v>
      </c>
      <c r="I23" s="68">
        <v>0</v>
      </c>
      <c r="J23" s="68">
        <v>0</v>
      </c>
      <c r="K23" s="161">
        <v>0</v>
      </c>
    </row>
    <row r="24" spans="1:11">
      <c r="A24">
        <v>2023</v>
      </c>
      <c r="B24">
        <v>4</v>
      </c>
      <c r="C24" t="s">
        <v>63</v>
      </c>
      <c r="D24" t="s">
        <v>65</v>
      </c>
      <c r="E24" s="69">
        <v>139933</v>
      </c>
      <c r="F24" s="161">
        <v>463658.3</v>
      </c>
      <c r="G24" s="69">
        <v>139078</v>
      </c>
      <c r="H24" s="161">
        <v>379783.53</v>
      </c>
      <c r="I24" s="68">
        <v>0</v>
      </c>
      <c r="J24" s="68">
        <v>0</v>
      </c>
      <c r="K24" s="161">
        <v>0</v>
      </c>
    </row>
    <row r="25" spans="1:11">
      <c r="A25">
        <v>2023</v>
      </c>
      <c r="B25">
        <v>4</v>
      </c>
      <c r="C25" t="s">
        <v>63</v>
      </c>
      <c r="D25" t="s">
        <v>66</v>
      </c>
      <c r="E25" s="69">
        <v>119024</v>
      </c>
      <c r="F25" s="161">
        <v>518132</v>
      </c>
      <c r="G25" s="69">
        <v>119023</v>
      </c>
      <c r="H25" s="161">
        <v>408666.14</v>
      </c>
      <c r="I25" s="68">
        <v>0</v>
      </c>
      <c r="J25" s="68">
        <v>0</v>
      </c>
      <c r="K25" s="161">
        <v>0</v>
      </c>
    </row>
    <row r="26" spans="1:11">
      <c r="A26">
        <v>2023</v>
      </c>
      <c r="B26">
        <v>4</v>
      </c>
      <c r="C26" t="s">
        <v>63</v>
      </c>
      <c r="D26" t="s">
        <v>67</v>
      </c>
      <c r="E26" s="69">
        <v>145287</v>
      </c>
      <c r="F26" s="161">
        <v>535751.79</v>
      </c>
      <c r="G26" s="69">
        <v>145287</v>
      </c>
      <c r="H26" s="161">
        <v>525938.93999999994</v>
      </c>
      <c r="I26" s="68">
        <v>0</v>
      </c>
      <c r="J26" s="68">
        <v>0</v>
      </c>
      <c r="K26" s="161">
        <v>0</v>
      </c>
    </row>
    <row r="27" spans="1:11">
      <c r="A27">
        <v>2023</v>
      </c>
      <c r="B27">
        <v>4</v>
      </c>
      <c r="C27" t="s">
        <v>63</v>
      </c>
      <c r="D27" t="s">
        <v>68</v>
      </c>
      <c r="E27" s="69">
        <v>64140</v>
      </c>
      <c r="F27" s="161">
        <v>254518.55</v>
      </c>
      <c r="G27" s="69">
        <v>64064</v>
      </c>
      <c r="H27" s="161">
        <v>185571.3</v>
      </c>
      <c r="I27" s="68">
        <v>0</v>
      </c>
      <c r="J27" s="68">
        <v>0</v>
      </c>
      <c r="K27" s="161">
        <v>0</v>
      </c>
    </row>
    <row r="28" spans="1:11">
      <c r="A28">
        <v>2023</v>
      </c>
      <c r="B28">
        <v>4</v>
      </c>
      <c r="C28" t="s">
        <v>69</v>
      </c>
      <c r="D28" t="s">
        <v>64</v>
      </c>
      <c r="E28" s="69">
        <v>75490</v>
      </c>
      <c r="F28" s="161">
        <v>370900.05</v>
      </c>
      <c r="G28" s="69">
        <v>75469</v>
      </c>
      <c r="H28" s="161">
        <v>271357.17</v>
      </c>
      <c r="I28" s="68">
        <v>10428</v>
      </c>
      <c r="J28" s="68">
        <v>10442</v>
      </c>
      <c r="K28" s="161">
        <v>584202.71</v>
      </c>
    </row>
    <row r="29" spans="1:11">
      <c r="A29">
        <v>2023</v>
      </c>
      <c r="B29">
        <v>4</v>
      </c>
      <c r="C29" t="s">
        <v>69</v>
      </c>
      <c r="D29" t="s">
        <v>68</v>
      </c>
      <c r="E29" s="69">
        <v>23411</v>
      </c>
      <c r="F29" s="161">
        <v>86379.51</v>
      </c>
      <c r="G29" s="69">
        <v>23418</v>
      </c>
      <c r="H29" s="161">
        <v>63275.01</v>
      </c>
      <c r="I29" s="68">
        <v>4366</v>
      </c>
      <c r="J29" s="68">
        <v>4395</v>
      </c>
      <c r="K29" s="161">
        <v>131895.70000000001</v>
      </c>
    </row>
    <row r="30" spans="1:11">
      <c r="A30">
        <v>2023</v>
      </c>
      <c r="B30">
        <v>5</v>
      </c>
      <c r="C30" t="s">
        <v>63</v>
      </c>
      <c r="D30" t="s">
        <v>64</v>
      </c>
      <c r="E30" s="69">
        <v>3903540</v>
      </c>
      <c r="F30" s="161">
        <v>18377362.100000001</v>
      </c>
      <c r="G30" s="69">
        <v>3698131</v>
      </c>
      <c r="H30" s="161">
        <v>13674432.050000001</v>
      </c>
      <c r="I30" s="68">
        <v>0</v>
      </c>
      <c r="J30" s="68">
        <v>0</v>
      </c>
      <c r="K30" s="161">
        <v>0</v>
      </c>
    </row>
    <row r="31" spans="1:11">
      <c r="A31">
        <v>2023</v>
      </c>
      <c r="B31">
        <v>5</v>
      </c>
      <c r="C31" t="s">
        <v>63</v>
      </c>
      <c r="D31" t="s">
        <v>65</v>
      </c>
      <c r="E31" s="69">
        <v>139030</v>
      </c>
      <c r="F31" s="161">
        <v>461554.99</v>
      </c>
      <c r="G31" s="69">
        <v>138233</v>
      </c>
      <c r="H31" s="161">
        <v>377360.64000000001</v>
      </c>
      <c r="I31" s="68">
        <v>0</v>
      </c>
      <c r="J31" s="68">
        <v>0</v>
      </c>
      <c r="K31" s="161">
        <v>0</v>
      </c>
    </row>
    <row r="32" spans="1:11">
      <c r="A32">
        <v>2023</v>
      </c>
      <c r="B32">
        <v>5</v>
      </c>
      <c r="C32" t="s">
        <v>63</v>
      </c>
      <c r="D32" t="s">
        <v>66</v>
      </c>
      <c r="E32" s="69">
        <v>106352</v>
      </c>
      <c r="F32" s="161">
        <v>465506.39</v>
      </c>
      <c r="G32" s="69">
        <v>106352</v>
      </c>
      <c r="H32" s="161">
        <v>365723.19</v>
      </c>
      <c r="I32" s="68">
        <v>0</v>
      </c>
      <c r="J32" s="68">
        <v>0</v>
      </c>
      <c r="K32" s="161">
        <v>0</v>
      </c>
    </row>
    <row r="33" spans="1:11">
      <c r="A33">
        <v>2023</v>
      </c>
      <c r="B33">
        <v>5</v>
      </c>
      <c r="C33" t="s">
        <v>63</v>
      </c>
      <c r="D33" t="s">
        <v>67</v>
      </c>
      <c r="E33" s="69">
        <v>251389</v>
      </c>
      <c r="F33" s="161">
        <v>913478.69</v>
      </c>
      <c r="G33" s="69">
        <v>251389</v>
      </c>
      <c r="H33" s="161">
        <v>910028.18</v>
      </c>
      <c r="I33" s="68">
        <v>0</v>
      </c>
      <c r="J33" s="68">
        <v>0</v>
      </c>
      <c r="K33" s="161">
        <v>0</v>
      </c>
    </row>
    <row r="34" spans="1:11">
      <c r="A34">
        <v>2023</v>
      </c>
      <c r="B34">
        <v>5</v>
      </c>
      <c r="C34" t="s">
        <v>63</v>
      </c>
      <c r="D34" t="s">
        <v>68</v>
      </c>
      <c r="E34" s="69">
        <v>64900</v>
      </c>
      <c r="F34" s="161">
        <v>257563.98</v>
      </c>
      <c r="G34" s="69">
        <v>64802</v>
      </c>
      <c r="H34" s="161">
        <v>187405.68</v>
      </c>
      <c r="I34" s="68">
        <v>0</v>
      </c>
      <c r="J34" s="68">
        <v>0</v>
      </c>
      <c r="K34" s="161">
        <v>0</v>
      </c>
    </row>
    <row r="35" spans="1:11">
      <c r="A35">
        <v>2023</v>
      </c>
      <c r="B35">
        <v>5</v>
      </c>
      <c r="C35" t="s">
        <v>69</v>
      </c>
      <c r="D35" t="s">
        <v>64</v>
      </c>
      <c r="E35" s="69">
        <v>79708</v>
      </c>
      <c r="F35" s="161">
        <v>391633.79</v>
      </c>
      <c r="G35" s="69">
        <v>79691</v>
      </c>
      <c r="H35" s="161">
        <v>286375.21999999997</v>
      </c>
      <c r="I35" s="68">
        <v>11501</v>
      </c>
      <c r="J35" s="68">
        <v>11571</v>
      </c>
      <c r="K35" s="161">
        <v>614896.23</v>
      </c>
    </row>
    <row r="36" spans="1:11">
      <c r="A36">
        <v>2023</v>
      </c>
      <c r="B36">
        <v>5</v>
      </c>
      <c r="C36" t="s">
        <v>69</v>
      </c>
      <c r="D36" t="s">
        <v>68</v>
      </c>
      <c r="E36" s="69">
        <v>24609</v>
      </c>
      <c r="F36" s="161">
        <v>91473.84</v>
      </c>
      <c r="G36" s="69">
        <v>24615</v>
      </c>
      <c r="H36" s="161">
        <v>66883.02</v>
      </c>
      <c r="I36" s="68">
        <v>4822</v>
      </c>
      <c r="J36" s="68">
        <v>4909</v>
      </c>
      <c r="K36" s="161">
        <v>137801.03</v>
      </c>
    </row>
    <row r="37" spans="1:11">
      <c r="A37">
        <v>2023</v>
      </c>
      <c r="B37">
        <v>6</v>
      </c>
      <c r="C37" t="s">
        <v>63</v>
      </c>
      <c r="D37" t="s">
        <v>64</v>
      </c>
      <c r="E37" s="69">
        <v>4447620</v>
      </c>
      <c r="F37" s="161">
        <v>20639889.510000002</v>
      </c>
      <c r="G37" s="69">
        <v>4188592</v>
      </c>
      <c r="H37" s="161">
        <v>15246325.109999999</v>
      </c>
      <c r="I37" s="68">
        <v>0</v>
      </c>
      <c r="J37" s="68">
        <v>0</v>
      </c>
      <c r="K37" s="161">
        <v>0</v>
      </c>
    </row>
    <row r="38" spans="1:11">
      <c r="A38">
        <v>2023</v>
      </c>
      <c r="B38">
        <v>6</v>
      </c>
      <c r="C38" t="s">
        <v>63</v>
      </c>
      <c r="D38" t="s">
        <v>65</v>
      </c>
      <c r="E38" s="69">
        <v>167037</v>
      </c>
      <c r="F38" s="161">
        <v>560791.05000000005</v>
      </c>
      <c r="G38" s="69">
        <v>166102</v>
      </c>
      <c r="H38" s="161">
        <v>461521.59</v>
      </c>
      <c r="I38" s="68">
        <v>0</v>
      </c>
      <c r="J38" s="68">
        <v>0</v>
      </c>
      <c r="K38" s="161">
        <v>0</v>
      </c>
    </row>
    <row r="39" spans="1:11">
      <c r="A39">
        <v>2023</v>
      </c>
      <c r="B39">
        <v>6</v>
      </c>
      <c r="C39" t="s">
        <v>63</v>
      </c>
      <c r="D39" t="s">
        <v>66</v>
      </c>
      <c r="E39" s="69">
        <v>124383</v>
      </c>
      <c r="F39" s="161">
        <v>539961.63</v>
      </c>
      <c r="G39" s="69">
        <v>124350</v>
      </c>
      <c r="H39" s="161">
        <v>427677.51</v>
      </c>
      <c r="I39" s="68">
        <v>0</v>
      </c>
      <c r="J39" s="68">
        <v>0</v>
      </c>
      <c r="K39" s="161">
        <v>0</v>
      </c>
    </row>
    <row r="40" spans="1:11">
      <c r="A40">
        <v>2023</v>
      </c>
      <c r="B40">
        <v>6</v>
      </c>
      <c r="C40" t="s">
        <v>63</v>
      </c>
      <c r="D40" t="s">
        <v>67</v>
      </c>
      <c r="E40" s="69">
        <v>262730</v>
      </c>
      <c r="F40" s="161">
        <v>953149.1</v>
      </c>
      <c r="G40" s="69">
        <v>262730</v>
      </c>
      <c r="H40" s="161">
        <v>951082.6</v>
      </c>
      <c r="I40" s="68">
        <v>0</v>
      </c>
      <c r="J40" s="68">
        <v>0</v>
      </c>
      <c r="K40" s="161">
        <v>0</v>
      </c>
    </row>
    <row r="41" spans="1:11">
      <c r="A41">
        <v>2023</v>
      </c>
      <c r="B41">
        <v>6</v>
      </c>
      <c r="C41" t="s">
        <v>63</v>
      </c>
      <c r="D41" t="s">
        <v>68</v>
      </c>
      <c r="E41" s="69">
        <v>83563</v>
      </c>
      <c r="F41" s="161">
        <v>328892.88</v>
      </c>
      <c r="G41" s="69">
        <v>83450</v>
      </c>
      <c r="H41" s="161">
        <v>240747.78</v>
      </c>
      <c r="I41" s="68">
        <v>0</v>
      </c>
      <c r="J41" s="68">
        <v>0</v>
      </c>
      <c r="K41" s="161">
        <v>0</v>
      </c>
    </row>
    <row r="42" spans="1:11">
      <c r="A42">
        <v>2023</v>
      </c>
      <c r="B42">
        <v>6</v>
      </c>
      <c r="C42" t="s">
        <v>69</v>
      </c>
      <c r="D42" t="s">
        <v>64</v>
      </c>
      <c r="E42" s="69">
        <v>104483</v>
      </c>
      <c r="F42" s="161">
        <v>513946.96</v>
      </c>
      <c r="G42" s="69">
        <v>104454</v>
      </c>
      <c r="H42" s="161">
        <v>375899.56</v>
      </c>
      <c r="I42" s="68">
        <v>13381</v>
      </c>
      <c r="J42" s="68">
        <v>13469</v>
      </c>
      <c r="K42" s="161">
        <v>812571.5</v>
      </c>
    </row>
    <row r="43" spans="1:11">
      <c r="A43">
        <v>2023</v>
      </c>
      <c r="B43">
        <v>6</v>
      </c>
      <c r="C43" t="s">
        <v>69</v>
      </c>
      <c r="D43" t="s">
        <v>68</v>
      </c>
      <c r="E43" s="69">
        <v>28779</v>
      </c>
      <c r="F43" s="161">
        <v>106998.74</v>
      </c>
      <c r="G43" s="69">
        <v>28786</v>
      </c>
      <c r="H43" s="161">
        <v>78310.600000000006</v>
      </c>
      <c r="I43" s="68">
        <v>5030</v>
      </c>
      <c r="J43" s="68">
        <v>5060</v>
      </c>
      <c r="K43" s="161">
        <v>161866.67000000001</v>
      </c>
    </row>
    <row r="44" spans="1:11">
      <c r="A44">
        <v>2023</v>
      </c>
      <c r="B44">
        <v>7</v>
      </c>
      <c r="C44" t="s">
        <v>63</v>
      </c>
      <c r="D44" t="s">
        <v>64</v>
      </c>
      <c r="E44" s="69">
        <v>4723355</v>
      </c>
      <c r="F44" s="161">
        <v>21740166.59</v>
      </c>
      <c r="G44" s="69">
        <v>4442111</v>
      </c>
      <c r="H44" s="161">
        <v>16161149.75</v>
      </c>
      <c r="I44" s="68">
        <v>0</v>
      </c>
      <c r="J44" s="68">
        <v>0</v>
      </c>
      <c r="K44" s="161">
        <v>0</v>
      </c>
    </row>
    <row r="45" spans="1:11">
      <c r="A45">
        <v>2023</v>
      </c>
      <c r="B45">
        <v>7</v>
      </c>
      <c r="C45" t="s">
        <v>63</v>
      </c>
      <c r="D45" t="s">
        <v>65</v>
      </c>
      <c r="E45" s="69">
        <v>172863</v>
      </c>
      <c r="F45" s="161">
        <v>557793.46</v>
      </c>
      <c r="G45" s="69">
        <v>171830</v>
      </c>
      <c r="H45" s="161">
        <v>468955.44</v>
      </c>
      <c r="I45" s="68">
        <v>0</v>
      </c>
      <c r="J45" s="68">
        <v>0</v>
      </c>
      <c r="K45" s="161">
        <v>0</v>
      </c>
    </row>
    <row r="46" spans="1:11">
      <c r="A46">
        <v>2023</v>
      </c>
      <c r="B46">
        <v>7</v>
      </c>
      <c r="C46" t="s">
        <v>63</v>
      </c>
      <c r="D46" t="s">
        <v>66</v>
      </c>
      <c r="E46" s="69">
        <v>127739</v>
      </c>
      <c r="F46" s="161">
        <v>552879.18000000005</v>
      </c>
      <c r="G46" s="69">
        <v>127670</v>
      </c>
      <c r="H46" s="161">
        <v>439012.18</v>
      </c>
      <c r="I46" s="68">
        <v>0</v>
      </c>
      <c r="J46" s="68">
        <v>0</v>
      </c>
      <c r="K46" s="161">
        <v>0</v>
      </c>
    </row>
    <row r="47" spans="1:11">
      <c r="A47">
        <v>2023</v>
      </c>
      <c r="B47">
        <v>7</v>
      </c>
      <c r="C47" t="s">
        <v>63</v>
      </c>
      <c r="D47" t="s">
        <v>67</v>
      </c>
      <c r="E47" s="69">
        <v>278436</v>
      </c>
      <c r="F47" s="161">
        <v>1009979.32</v>
      </c>
      <c r="G47" s="69">
        <v>278436</v>
      </c>
      <c r="H47" s="161">
        <v>1007938.32</v>
      </c>
      <c r="I47" s="68">
        <v>0</v>
      </c>
      <c r="J47" s="68">
        <v>0</v>
      </c>
      <c r="K47" s="161">
        <v>0</v>
      </c>
    </row>
    <row r="48" spans="1:11">
      <c r="A48">
        <v>2023</v>
      </c>
      <c r="B48">
        <v>7</v>
      </c>
      <c r="C48" t="s">
        <v>63</v>
      </c>
      <c r="D48" t="s">
        <v>68</v>
      </c>
      <c r="E48" s="69">
        <v>78127</v>
      </c>
      <c r="F48" s="161">
        <v>307554.43</v>
      </c>
      <c r="G48" s="69">
        <v>78036</v>
      </c>
      <c r="H48" s="161">
        <v>224154.56</v>
      </c>
      <c r="I48" s="68">
        <v>0</v>
      </c>
      <c r="J48" s="68">
        <v>0</v>
      </c>
      <c r="K48" s="161">
        <v>0</v>
      </c>
    </row>
    <row r="49" spans="1:11">
      <c r="A49">
        <v>2023</v>
      </c>
      <c r="B49">
        <v>7</v>
      </c>
      <c r="C49" t="s">
        <v>69</v>
      </c>
      <c r="D49" t="s">
        <v>64</v>
      </c>
      <c r="E49" s="69">
        <v>113217</v>
      </c>
      <c r="F49" s="161">
        <v>555083.37</v>
      </c>
      <c r="G49" s="69">
        <v>113193</v>
      </c>
      <c r="H49" s="161">
        <v>406603.05</v>
      </c>
      <c r="I49" s="68">
        <v>13833</v>
      </c>
      <c r="J49" s="68">
        <v>14189</v>
      </c>
      <c r="K49" s="161">
        <v>882406.04</v>
      </c>
    </row>
    <row r="50" spans="1:11">
      <c r="A50">
        <v>2023</v>
      </c>
      <c r="B50">
        <v>7</v>
      </c>
      <c r="C50" t="s">
        <v>69</v>
      </c>
      <c r="D50" t="s">
        <v>68</v>
      </c>
      <c r="E50" s="69">
        <v>31690</v>
      </c>
      <c r="F50" s="161">
        <v>117325.11</v>
      </c>
      <c r="G50" s="69">
        <v>31697</v>
      </c>
      <c r="H50" s="161">
        <v>85967.33</v>
      </c>
      <c r="I50" s="68">
        <v>5172</v>
      </c>
      <c r="J50" s="68">
        <v>5329</v>
      </c>
      <c r="K50" s="161">
        <v>179754.09</v>
      </c>
    </row>
    <row r="51" spans="1:11">
      <c r="A51">
        <v>2023</v>
      </c>
      <c r="B51">
        <v>8</v>
      </c>
      <c r="C51" t="s">
        <v>63</v>
      </c>
      <c r="D51" t="s">
        <v>64</v>
      </c>
      <c r="E51" s="69">
        <v>4410824</v>
      </c>
      <c r="F51" s="161">
        <v>20175195.260000002</v>
      </c>
      <c r="G51" s="69">
        <v>4154215</v>
      </c>
      <c r="H51" s="161">
        <v>15062117.84</v>
      </c>
      <c r="I51" s="68">
        <v>0</v>
      </c>
      <c r="J51" s="68">
        <v>0</v>
      </c>
      <c r="K51" s="161">
        <v>0</v>
      </c>
    </row>
    <row r="52" spans="1:11">
      <c r="A52">
        <v>2023</v>
      </c>
      <c r="B52">
        <v>8</v>
      </c>
      <c r="C52" t="s">
        <v>63</v>
      </c>
      <c r="D52" t="s">
        <v>65</v>
      </c>
      <c r="E52" s="69">
        <v>163244</v>
      </c>
      <c r="F52" s="161">
        <v>528602.76</v>
      </c>
      <c r="G52" s="69">
        <v>162427</v>
      </c>
      <c r="H52" s="161">
        <v>442716.6</v>
      </c>
      <c r="I52" s="68">
        <v>0</v>
      </c>
      <c r="J52" s="68">
        <v>0</v>
      </c>
      <c r="K52" s="161">
        <v>0</v>
      </c>
    </row>
    <row r="53" spans="1:11">
      <c r="A53">
        <v>2023</v>
      </c>
      <c r="B53">
        <v>8</v>
      </c>
      <c r="C53" t="s">
        <v>63</v>
      </c>
      <c r="D53" t="s">
        <v>66</v>
      </c>
      <c r="E53" s="69">
        <v>121040</v>
      </c>
      <c r="F53" s="161">
        <v>525359.49</v>
      </c>
      <c r="G53" s="69">
        <v>120978</v>
      </c>
      <c r="H53" s="161">
        <v>415788.26</v>
      </c>
      <c r="I53" s="68">
        <v>0</v>
      </c>
      <c r="J53" s="68">
        <v>0</v>
      </c>
      <c r="K53" s="161">
        <v>0</v>
      </c>
    </row>
    <row r="54" spans="1:11">
      <c r="A54">
        <v>2023</v>
      </c>
      <c r="B54">
        <v>8</v>
      </c>
      <c r="C54" t="s">
        <v>63</v>
      </c>
      <c r="D54" t="s">
        <v>67</v>
      </c>
      <c r="E54" s="69">
        <v>230151</v>
      </c>
      <c r="F54" s="161">
        <v>838525.74</v>
      </c>
      <c r="G54" s="69">
        <v>230151</v>
      </c>
      <c r="H54" s="161">
        <v>833145.87</v>
      </c>
      <c r="I54" s="68">
        <v>0</v>
      </c>
      <c r="J54" s="68">
        <v>0</v>
      </c>
      <c r="K54" s="161">
        <v>0</v>
      </c>
    </row>
    <row r="55" spans="1:11">
      <c r="A55">
        <v>2023</v>
      </c>
      <c r="B55">
        <v>8</v>
      </c>
      <c r="C55" t="s">
        <v>63</v>
      </c>
      <c r="D55" t="s">
        <v>68</v>
      </c>
      <c r="E55" s="69">
        <v>70974</v>
      </c>
      <c r="F55" s="161">
        <v>280399.53999999998</v>
      </c>
      <c r="G55" s="69">
        <v>70882</v>
      </c>
      <c r="H55" s="161">
        <v>204546.88</v>
      </c>
      <c r="I55" s="68">
        <v>0</v>
      </c>
      <c r="J55" s="68">
        <v>0</v>
      </c>
      <c r="K55" s="161">
        <v>0</v>
      </c>
    </row>
    <row r="56" spans="1:11">
      <c r="A56">
        <v>2023</v>
      </c>
      <c r="B56">
        <v>8</v>
      </c>
      <c r="C56" t="s">
        <v>69</v>
      </c>
      <c r="D56" t="s">
        <v>64</v>
      </c>
      <c r="E56" s="69">
        <v>107911</v>
      </c>
      <c r="F56" s="161">
        <v>530100.63</v>
      </c>
      <c r="G56" s="69">
        <v>107866</v>
      </c>
      <c r="H56" s="161">
        <v>388434.28</v>
      </c>
      <c r="I56" s="68">
        <v>14263</v>
      </c>
      <c r="J56" s="68">
        <v>15013</v>
      </c>
      <c r="K56" s="161">
        <v>847338.57</v>
      </c>
    </row>
    <row r="57" spans="1:11">
      <c r="A57">
        <v>2023</v>
      </c>
      <c r="B57">
        <v>8</v>
      </c>
      <c r="C57" t="s">
        <v>69</v>
      </c>
      <c r="D57" t="s">
        <v>68</v>
      </c>
      <c r="E57" s="69">
        <v>31287</v>
      </c>
      <c r="F57" s="161">
        <v>115472.37</v>
      </c>
      <c r="G57" s="69">
        <v>31293</v>
      </c>
      <c r="H57" s="161">
        <v>84755.83</v>
      </c>
      <c r="I57" s="68">
        <v>5322</v>
      </c>
      <c r="J57" s="68">
        <v>5587</v>
      </c>
      <c r="K57" s="161">
        <v>177215.77</v>
      </c>
    </row>
    <row r="58" spans="1:11">
      <c r="A58">
        <v>2023</v>
      </c>
      <c r="B58">
        <v>9</v>
      </c>
      <c r="C58" t="s">
        <v>63</v>
      </c>
      <c r="D58" t="s">
        <v>64</v>
      </c>
      <c r="E58" s="69">
        <v>4806825</v>
      </c>
      <c r="F58" s="161">
        <v>23620045.239999998</v>
      </c>
      <c r="G58" s="69">
        <v>4500127</v>
      </c>
      <c r="H58" s="161">
        <v>16677403.939999999</v>
      </c>
      <c r="I58" s="68">
        <v>0</v>
      </c>
      <c r="J58" s="68">
        <v>0</v>
      </c>
      <c r="K58" s="161">
        <v>0</v>
      </c>
    </row>
    <row r="59" spans="1:11">
      <c r="A59">
        <v>2023</v>
      </c>
      <c r="B59">
        <v>9</v>
      </c>
      <c r="C59" t="s">
        <v>63</v>
      </c>
      <c r="D59" t="s">
        <v>65</v>
      </c>
      <c r="E59" s="69">
        <v>209947</v>
      </c>
      <c r="F59" s="161">
        <v>719354.84</v>
      </c>
      <c r="G59" s="69">
        <v>208739</v>
      </c>
      <c r="H59" s="161">
        <v>584551.75</v>
      </c>
      <c r="I59" s="68">
        <v>0</v>
      </c>
      <c r="J59" s="68">
        <v>0</v>
      </c>
      <c r="K59" s="161">
        <v>0</v>
      </c>
    </row>
    <row r="60" spans="1:11">
      <c r="A60">
        <v>2023</v>
      </c>
      <c r="B60">
        <v>9</v>
      </c>
      <c r="C60" t="s">
        <v>63</v>
      </c>
      <c r="D60" t="s">
        <v>66</v>
      </c>
      <c r="E60" s="69">
        <v>129058</v>
      </c>
      <c r="F60" s="161">
        <v>598345.74</v>
      </c>
      <c r="G60" s="69">
        <v>128986</v>
      </c>
      <c r="H60" s="161">
        <v>453305.32</v>
      </c>
      <c r="I60" s="68">
        <v>0</v>
      </c>
      <c r="J60" s="68">
        <v>0</v>
      </c>
      <c r="K60" s="161">
        <v>0</v>
      </c>
    </row>
    <row r="61" spans="1:11">
      <c r="A61">
        <v>2023</v>
      </c>
      <c r="B61">
        <v>9</v>
      </c>
      <c r="C61" t="s">
        <v>63</v>
      </c>
      <c r="D61" t="s">
        <v>67</v>
      </c>
      <c r="E61" s="69">
        <v>300167</v>
      </c>
      <c r="F61" s="161">
        <v>1140682.67</v>
      </c>
      <c r="G61" s="69">
        <v>300167</v>
      </c>
      <c r="H61" s="161">
        <v>1104701.81</v>
      </c>
      <c r="I61" s="68">
        <v>0</v>
      </c>
      <c r="J61" s="68">
        <v>0</v>
      </c>
      <c r="K61" s="161">
        <v>0</v>
      </c>
    </row>
    <row r="62" spans="1:11">
      <c r="A62">
        <v>2023</v>
      </c>
      <c r="B62">
        <v>9</v>
      </c>
      <c r="C62" t="s">
        <v>63</v>
      </c>
      <c r="D62" t="s">
        <v>68</v>
      </c>
      <c r="E62" s="69">
        <v>77719</v>
      </c>
      <c r="F62" s="161">
        <v>328475.38</v>
      </c>
      <c r="G62" s="69">
        <v>77635</v>
      </c>
      <c r="H62" s="161">
        <v>228209.17</v>
      </c>
      <c r="I62" s="68">
        <v>0</v>
      </c>
      <c r="J62" s="68">
        <v>0</v>
      </c>
      <c r="K62" s="161">
        <v>0</v>
      </c>
    </row>
    <row r="63" spans="1:11">
      <c r="A63">
        <v>2023</v>
      </c>
      <c r="B63">
        <v>9</v>
      </c>
      <c r="C63" t="s">
        <v>69</v>
      </c>
      <c r="D63" t="s">
        <v>64</v>
      </c>
      <c r="E63" s="69">
        <v>121307</v>
      </c>
      <c r="F63" s="161">
        <v>640271.07999999996</v>
      </c>
      <c r="G63" s="69">
        <v>121257</v>
      </c>
      <c r="H63" s="161">
        <v>446349.02</v>
      </c>
      <c r="I63" s="68">
        <v>14648</v>
      </c>
      <c r="J63" s="68">
        <v>14932</v>
      </c>
      <c r="K63" s="161">
        <v>1007620.59</v>
      </c>
    </row>
    <row r="64" spans="1:11">
      <c r="A64">
        <v>2023</v>
      </c>
      <c r="B64">
        <v>9</v>
      </c>
      <c r="C64" t="s">
        <v>69</v>
      </c>
      <c r="D64" t="s">
        <v>68</v>
      </c>
      <c r="E64" s="69">
        <v>35543</v>
      </c>
      <c r="F64" s="161">
        <v>140060.65</v>
      </c>
      <c r="G64" s="69">
        <v>35550</v>
      </c>
      <c r="H64" s="161">
        <v>98470.6</v>
      </c>
      <c r="I64" s="68">
        <v>5428</v>
      </c>
      <c r="J64" s="68">
        <v>5520</v>
      </c>
      <c r="K64" s="161">
        <v>215196.33</v>
      </c>
    </row>
    <row r="65" spans="1:11">
      <c r="A65">
        <v>2023</v>
      </c>
      <c r="B65">
        <v>10</v>
      </c>
      <c r="C65" t="s">
        <v>63</v>
      </c>
      <c r="D65" t="s">
        <v>64</v>
      </c>
      <c r="E65" s="69">
        <v>4054275</v>
      </c>
      <c r="F65" s="161">
        <v>22072008.800000001</v>
      </c>
      <c r="G65" s="69">
        <v>3849732</v>
      </c>
      <c r="H65" s="161">
        <v>14710625.210000001</v>
      </c>
      <c r="I65" s="68">
        <v>0</v>
      </c>
      <c r="J65" s="68">
        <v>0</v>
      </c>
      <c r="K65" s="161">
        <v>0</v>
      </c>
    </row>
    <row r="66" spans="1:11">
      <c r="A66">
        <v>2023</v>
      </c>
      <c r="B66">
        <v>10</v>
      </c>
      <c r="C66" t="s">
        <v>63</v>
      </c>
      <c r="D66" t="s">
        <v>65</v>
      </c>
      <c r="E66" s="69">
        <v>160075</v>
      </c>
      <c r="F66" s="161">
        <v>619789.56000000006</v>
      </c>
      <c r="G66" s="69">
        <v>159390</v>
      </c>
      <c r="H66" s="161">
        <v>463517.52</v>
      </c>
      <c r="I66" s="68">
        <v>0</v>
      </c>
      <c r="J66" s="68">
        <v>0</v>
      </c>
      <c r="K66" s="161">
        <v>0</v>
      </c>
    </row>
    <row r="67" spans="1:11">
      <c r="A67">
        <v>2023</v>
      </c>
      <c r="B67">
        <v>10</v>
      </c>
      <c r="C67" t="s">
        <v>63</v>
      </c>
      <c r="D67" t="s">
        <v>66</v>
      </c>
      <c r="E67" s="69">
        <v>115019</v>
      </c>
      <c r="F67" s="161">
        <v>586488.42000000004</v>
      </c>
      <c r="G67" s="69">
        <v>114958</v>
      </c>
      <c r="H67" s="161">
        <v>417357.12</v>
      </c>
      <c r="I67" s="68">
        <v>0</v>
      </c>
      <c r="J67" s="68">
        <v>0</v>
      </c>
      <c r="K67" s="161">
        <v>0</v>
      </c>
    </row>
    <row r="68" spans="1:11">
      <c r="A68">
        <v>2023</v>
      </c>
      <c r="B68">
        <v>10</v>
      </c>
      <c r="C68" t="s">
        <v>63</v>
      </c>
      <c r="D68" t="s">
        <v>67</v>
      </c>
      <c r="E68" s="69">
        <v>222050</v>
      </c>
      <c r="F68" s="161">
        <v>935511.76</v>
      </c>
      <c r="G68" s="69">
        <v>222050</v>
      </c>
      <c r="H68" s="161">
        <v>847145.27</v>
      </c>
      <c r="I68" s="68">
        <v>0</v>
      </c>
      <c r="J68" s="68">
        <v>0</v>
      </c>
      <c r="K68" s="161">
        <v>0</v>
      </c>
    </row>
    <row r="69" spans="1:11">
      <c r="A69">
        <v>2023</v>
      </c>
      <c r="B69">
        <v>10</v>
      </c>
      <c r="C69" t="s">
        <v>63</v>
      </c>
      <c r="D69" t="s">
        <v>68</v>
      </c>
      <c r="E69" s="69">
        <v>68046</v>
      </c>
      <c r="F69" s="161">
        <v>313939.03000000003</v>
      </c>
      <c r="G69" s="69">
        <v>67957</v>
      </c>
      <c r="H69" s="161">
        <v>204043.84</v>
      </c>
      <c r="I69" s="68">
        <v>0</v>
      </c>
      <c r="J69" s="68">
        <v>0</v>
      </c>
      <c r="K69" s="161">
        <v>0</v>
      </c>
    </row>
    <row r="70" spans="1:11">
      <c r="A70">
        <v>2023</v>
      </c>
      <c r="B70">
        <v>10</v>
      </c>
      <c r="C70" t="s">
        <v>69</v>
      </c>
      <c r="D70" t="s">
        <v>64</v>
      </c>
      <c r="E70" s="69">
        <v>110599</v>
      </c>
      <c r="F70" s="161">
        <v>641642.56999999995</v>
      </c>
      <c r="G70" s="69">
        <v>110531</v>
      </c>
      <c r="H70" s="161">
        <v>419080.89</v>
      </c>
      <c r="I70" s="68">
        <v>15127</v>
      </c>
      <c r="J70" s="68">
        <v>15316</v>
      </c>
      <c r="K70" s="161">
        <v>978284.16</v>
      </c>
    </row>
    <row r="71" spans="1:11">
      <c r="A71">
        <v>2023</v>
      </c>
      <c r="B71">
        <v>10</v>
      </c>
      <c r="C71" t="s">
        <v>69</v>
      </c>
      <c r="D71" t="s">
        <v>68</v>
      </c>
      <c r="E71" s="69">
        <v>32769</v>
      </c>
      <c r="F71" s="161">
        <v>142027.46</v>
      </c>
      <c r="G71" s="69">
        <v>32775</v>
      </c>
      <c r="H71" s="161">
        <v>93507.17</v>
      </c>
      <c r="I71" s="68">
        <v>5550</v>
      </c>
      <c r="J71" s="68">
        <v>5600</v>
      </c>
      <c r="K71" s="161">
        <v>209091.13</v>
      </c>
    </row>
    <row r="72" spans="1:11">
      <c r="A72">
        <v>2023</v>
      </c>
      <c r="B72">
        <v>11</v>
      </c>
      <c r="C72" t="s">
        <v>63</v>
      </c>
      <c r="D72" t="s">
        <v>64</v>
      </c>
      <c r="E72" s="69">
        <v>4069990</v>
      </c>
      <c r="F72" s="161">
        <v>22270407.43</v>
      </c>
      <c r="G72" s="69">
        <v>3859317</v>
      </c>
      <c r="H72" s="161">
        <v>14783597.470000001</v>
      </c>
      <c r="I72" s="68">
        <v>0</v>
      </c>
      <c r="J72" s="68">
        <v>0</v>
      </c>
      <c r="K72" s="161">
        <v>0</v>
      </c>
    </row>
    <row r="73" spans="1:11">
      <c r="A73">
        <v>2023</v>
      </c>
      <c r="B73">
        <v>11</v>
      </c>
      <c r="C73" t="s">
        <v>63</v>
      </c>
      <c r="D73" t="s">
        <v>65</v>
      </c>
      <c r="E73" s="69">
        <v>162669</v>
      </c>
      <c r="F73" s="161">
        <v>619496.67000000004</v>
      </c>
      <c r="G73" s="69">
        <v>161857</v>
      </c>
      <c r="H73" s="161">
        <v>469487.47</v>
      </c>
      <c r="I73" s="68">
        <v>0</v>
      </c>
      <c r="J73" s="68">
        <v>0</v>
      </c>
      <c r="K73" s="161">
        <v>0</v>
      </c>
    </row>
    <row r="74" spans="1:11">
      <c r="A74">
        <v>2023</v>
      </c>
      <c r="B74">
        <v>11</v>
      </c>
      <c r="C74" t="s">
        <v>63</v>
      </c>
      <c r="D74" t="s">
        <v>66</v>
      </c>
      <c r="E74" s="69">
        <v>116462</v>
      </c>
      <c r="F74" s="161">
        <v>593520.88</v>
      </c>
      <c r="G74" s="69">
        <v>116399</v>
      </c>
      <c r="H74" s="161">
        <v>421271.4</v>
      </c>
      <c r="I74" s="68">
        <v>0</v>
      </c>
      <c r="J74" s="68">
        <v>0</v>
      </c>
      <c r="K74" s="161">
        <v>0</v>
      </c>
    </row>
    <row r="75" spans="1:11">
      <c r="A75">
        <v>2023</v>
      </c>
      <c r="B75">
        <v>11</v>
      </c>
      <c r="C75" t="s">
        <v>63</v>
      </c>
      <c r="D75" t="s">
        <v>67</v>
      </c>
      <c r="E75" s="69">
        <v>227503</v>
      </c>
      <c r="F75" s="161">
        <v>960802.1</v>
      </c>
      <c r="G75" s="69">
        <v>227503</v>
      </c>
      <c r="H75" s="161">
        <v>868378.99</v>
      </c>
      <c r="I75" s="68">
        <v>0</v>
      </c>
      <c r="J75" s="68">
        <v>0</v>
      </c>
      <c r="K75" s="161">
        <v>0</v>
      </c>
    </row>
    <row r="76" spans="1:11">
      <c r="A76">
        <v>2023</v>
      </c>
      <c r="B76">
        <v>11</v>
      </c>
      <c r="C76" t="s">
        <v>63</v>
      </c>
      <c r="D76" t="s">
        <v>68</v>
      </c>
      <c r="E76" s="69">
        <v>71872</v>
      </c>
      <c r="F76" s="161">
        <v>331654.46999999997</v>
      </c>
      <c r="G76" s="69">
        <v>71804</v>
      </c>
      <c r="H76" s="161">
        <v>216217.5</v>
      </c>
      <c r="I76" s="68">
        <v>0</v>
      </c>
      <c r="J76" s="68">
        <v>0</v>
      </c>
      <c r="K76" s="161">
        <v>0</v>
      </c>
    </row>
    <row r="77" spans="1:11">
      <c r="A77">
        <v>2023</v>
      </c>
      <c r="B77">
        <v>11</v>
      </c>
      <c r="C77" t="s">
        <v>69</v>
      </c>
      <c r="D77" t="s">
        <v>64</v>
      </c>
      <c r="E77" s="69">
        <v>119166</v>
      </c>
      <c r="F77" s="161">
        <v>686672.49</v>
      </c>
      <c r="G77" s="69">
        <v>119115</v>
      </c>
      <c r="H77" s="161">
        <v>450372.89</v>
      </c>
      <c r="I77" s="68">
        <v>15470</v>
      </c>
      <c r="J77" s="68">
        <v>16042</v>
      </c>
      <c r="K77" s="161">
        <v>1052211.94</v>
      </c>
    </row>
    <row r="78" spans="1:11">
      <c r="A78">
        <v>2023</v>
      </c>
      <c r="B78">
        <v>11</v>
      </c>
      <c r="C78" t="s">
        <v>69</v>
      </c>
      <c r="D78" t="s">
        <v>68</v>
      </c>
      <c r="E78" s="69">
        <v>32657</v>
      </c>
      <c r="F78" s="161">
        <v>142477.29</v>
      </c>
      <c r="G78" s="69">
        <v>32663</v>
      </c>
      <c r="H78" s="161">
        <v>93278.85</v>
      </c>
      <c r="I78" s="68">
        <v>5663</v>
      </c>
      <c r="J78" s="68">
        <v>5807</v>
      </c>
      <c r="K78" s="161">
        <v>207074.85</v>
      </c>
    </row>
    <row r="79" spans="1:11">
      <c r="A79">
        <v>2023</v>
      </c>
      <c r="B79">
        <v>12</v>
      </c>
      <c r="C79" t="s">
        <v>63</v>
      </c>
      <c r="D79" t="s">
        <v>64</v>
      </c>
      <c r="E79" s="69">
        <v>4094124</v>
      </c>
      <c r="F79" s="161">
        <v>22373477.949999999</v>
      </c>
      <c r="G79" s="69">
        <v>3901500</v>
      </c>
      <c r="H79" s="161">
        <v>14903581.27</v>
      </c>
      <c r="I79" s="68">
        <v>0</v>
      </c>
      <c r="J79" s="68">
        <v>0</v>
      </c>
      <c r="K79" s="161">
        <v>0</v>
      </c>
    </row>
    <row r="80" spans="1:11">
      <c r="A80">
        <v>2023</v>
      </c>
      <c r="B80">
        <v>12</v>
      </c>
      <c r="C80" t="s">
        <v>63</v>
      </c>
      <c r="D80" t="s">
        <v>65</v>
      </c>
      <c r="E80" s="69">
        <v>131674</v>
      </c>
      <c r="F80" s="161">
        <v>516279.22</v>
      </c>
      <c r="G80" s="69">
        <v>129850</v>
      </c>
      <c r="H80" s="161">
        <v>374186.72</v>
      </c>
      <c r="I80" s="68">
        <v>0</v>
      </c>
      <c r="J80" s="68">
        <v>0</v>
      </c>
      <c r="K80" s="161">
        <v>0</v>
      </c>
    </row>
    <row r="81" spans="1:11">
      <c r="A81">
        <v>2023</v>
      </c>
      <c r="B81">
        <v>12</v>
      </c>
      <c r="C81" t="s">
        <v>63</v>
      </c>
      <c r="D81" t="s">
        <v>66</v>
      </c>
      <c r="E81" s="69">
        <v>116870</v>
      </c>
      <c r="F81" s="161">
        <v>596089.31000000006</v>
      </c>
      <c r="G81" s="69">
        <v>116857</v>
      </c>
      <c r="H81" s="161">
        <v>424674.69</v>
      </c>
      <c r="I81" s="68">
        <v>0</v>
      </c>
      <c r="J81" s="68">
        <v>0</v>
      </c>
      <c r="K81" s="161">
        <v>0</v>
      </c>
    </row>
    <row r="82" spans="1:11">
      <c r="A82">
        <v>2023</v>
      </c>
      <c r="B82">
        <v>12</v>
      </c>
      <c r="C82" t="s">
        <v>63</v>
      </c>
      <c r="D82" t="s">
        <v>67</v>
      </c>
      <c r="E82" s="69">
        <v>267834</v>
      </c>
      <c r="F82" s="161">
        <v>1125782.72</v>
      </c>
      <c r="G82" s="69">
        <v>267834</v>
      </c>
      <c r="H82" s="161">
        <v>1022217.85</v>
      </c>
      <c r="I82" s="68">
        <v>0</v>
      </c>
      <c r="J82" s="68">
        <v>0</v>
      </c>
      <c r="K82" s="161">
        <v>0</v>
      </c>
    </row>
    <row r="83" spans="1:11">
      <c r="A83">
        <v>2023</v>
      </c>
      <c r="B83">
        <v>12</v>
      </c>
      <c r="C83" t="s">
        <v>63</v>
      </c>
      <c r="D83" t="s">
        <v>68</v>
      </c>
      <c r="E83" s="69">
        <v>69363</v>
      </c>
      <c r="F83" s="161">
        <v>322839.32</v>
      </c>
      <c r="G83" s="69">
        <v>69314</v>
      </c>
      <c r="H83" s="161">
        <v>209993.45</v>
      </c>
      <c r="I83" s="68">
        <v>0</v>
      </c>
      <c r="J83" s="68">
        <v>0</v>
      </c>
      <c r="K83" s="161">
        <v>0</v>
      </c>
    </row>
    <row r="84" spans="1:11">
      <c r="A84">
        <v>2023</v>
      </c>
      <c r="B84">
        <v>12</v>
      </c>
      <c r="C84" t="s">
        <v>69</v>
      </c>
      <c r="D84" t="s">
        <v>64</v>
      </c>
      <c r="E84" s="69">
        <v>121691</v>
      </c>
      <c r="F84" s="161">
        <v>703720.39</v>
      </c>
      <c r="G84" s="69">
        <v>121639</v>
      </c>
      <c r="H84" s="161">
        <v>460985.91</v>
      </c>
      <c r="I84" s="68">
        <v>15636</v>
      </c>
      <c r="J84" s="68">
        <v>15866</v>
      </c>
      <c r="K84" s="161">
        <v>1077718.4099999999</v>
      </c>
    </row>
    <row r="85" spans="1:11">
      <c r="A85">
        <v>2023</v>
      </c>
      <c r="B85">
        <v>12</v>
      </c>
      <c r="C85" t="s">
        <v>69</v>
      </c>
      <c r="D85" t="s">
        <v>68</v>
      </c>
      <c r="E85" s="69">
        <v>31714</v>
      </c>
      <c r="F85" s="161">
        <v>138873.51</v>
      </c>
      <c r="G85" s="69">
        <v>31716</v>
      </c>
      <c r="H85" s="161">
        <v>90631.39</v>
      </c>
      <c r="I85" s="68">
        <v>5768</v>
      </c>
      <c r="J85" s="68">
        <v>5851</v>
      </c>
      <c r="K85" s="161">
        <v>202629.72</v>
      </c>
    </row>
    <row r="86" spans="1:11">
      <c r="A86">
        <v>2024</v>
      </c>
      <c r="B86">
        <v>1</v>
      </c>
      <c r="C86" t="s">
        <v>63</v>
      </c>
      <c r="D86" t="s">
        <v>64</v>
      </c>
      <c r="E86" s="69">
        <v>4209244</v>
      </c>
      <c r="F86" s="161">
        <v>22450145.260000002</v>
      </c>
      <c r="G86" s="69">
        <v>3890711</v>
      </c>
      <c r="H86" s="161">
        <v>14868463.76</v>
      </c>
      <c r="I86" s="68">
        <v>0</v>
      </c>
      <c r="J86" s="68">
        <v>0</v>
      </c>
      <c r="K86" s="161">
        <v>0</v>
      </c>
    </row>
    <row r="87" spans="1:11">
      <c r="A87">
        <v>2024</v>
      </c>
      <c r="B87">
        <v>1</v>
      </c>
      <c r="C87" t="s">
        <v>63</v>
      </c>
      <c r="D87" t="s">
        <v>65</v>
      </c>
      <c r="E87" s="69">
        <v>124715</v>
      </c>
      <c r="F87" s="161">
        <v>491368.67</v>
      </c>
      <c r="G87" s="69">
        <v>124199</v>
      </c>
      <c r="H87" s="161">
        <v>357772.55</v>
      </c>
      <c r="I87" s="68">
        <v>0</v>
      </c>
      <c r="J87" s="68">
        <v>0</v>
      </c>
      <c r="K87" s="161">
        <v>0</v>
      </c>
    </row>
    <row r="88" spans="1:11">
      <c r="A88">
        <v>2024</v>
      </c>
      <c r="B88">
        <v>1</v>
      </c>
      <c r="C88" t="s">
        <v>63</v>
      </c>
      <c r="D88" t="s">
        <v>66</v>
      </c>
      <c r="E88" s="69">
        <v>116966</v>
      </c>
      <c r="F88" s="161">
        <v>594337.31000000006</v>
      </c>
      <c r="G88" s="69">
        <v>116966</v>
      </c>
      <c r="H88" s="161">
        <v>423991.18</v>
      </c>
      <c r="I88" s="68">
        <v>0</v>
      </c>
      <c r="J88" s="68">
        <v>0</v>
      </c>
      <c r="K88" s="161">
        <v>0</v>
      </c>
    </row>
    <row r="89" spans="1:11">
      <c r="A89">
        <v>2024</v>
      </c>
      <c r="B89">
        <v>1</v>
      </c>
      <c r="C89" t="s">
        <v>63</v>
      </c>
      <c r="D89" t="s">
        <v>67</v>
      </c>
      <c r="E89" s="69">
        <v>249868</v>
      </c>
      <c r="F89" s="161">
        <v>1051339.8700000001</v>
      </c>
      <c r="G89" s="69">
        <v>249868</v>
      </c>
      <c r="H89" s="161">
        <v>953746.59</v>
      </c>
      <c r="I89" s="68">
        <v>0</v>
      </c>
      <c r="J89" s="68">
        <v>0</v>
      </c>
      <c r="K89" s="161">
        <v>0</v>
      </c>
    </row>
    <row r="90" spans="1:11">
      <c r="A90">
        <v>2024</v>
      </c>
      <c r="B90">
        <v>1</v>
      </c>
      <c r="C90" t="s">
        <v>63</v>
      </c>
      <c r="D90" t="s">
        <v>68</v>
      </c>
      <c r="E90" s="69">
        <v>70855</v>
      </c>
      <c r="F90" s="161">
        <v>329969.02</v>
      </c>
      <c r="G90" s="69">
        <v>70796</v>
      </c>
      <c r="H90" s="161">
        <v>214457.89</v>
      </c>
      <c r="I90" s="68">
        <v>0</v>
      </c>
      <c r="J90" s="68">
        <v>0</v>
      </c>
      <c r="K90" s="161">
        <v>0</v>
      </c>
    </row>
    <row r="91" spans="1:11">
      <c r="A91">
        <v>2024</v>
      </c>
      <c r="B91">
        <v>1</v>
      </c>
      <c r="C91" t="s">
        <v>69</v>
      </c>
      <c r="D91" t="s">
        <v>64</v>
      </c>
      <c r="E91" s="69">
        <v>124128</v>
      </c>
      <c r="F91" s="161">
        <v>723101.59</v>
      </c>
      <c r="G91" s="69">
        <v>124077</v>
      </c>
      <c r="H91" s="161">
        <v>471340.22</v>
      </c>
      <c r="I91" s="68">
        <v>15968</v>
      </c>
      <c r="J91" s="68">
        <v>16175</v>
      </c>
      <c r="K91" s="161">
        <v>1103585.04</v>
      </c>
    </row>
    <row r="92" spans="1:11">
      <c r="A92">
        <v>2024</v>
      </c>
      <c r="B92">
        <v>1</v>
      </c>
      <c r="C92" t="s">
        <v>69</v>
      </c>
      <c r="D92" t="s">
        <v>68</v>
      </c>
      <c r="E92" s="69">
        <v>34605</v>
      </c>
      <c r="F92" s="161">
        <v>151192.39000000001</v>
      </c>
      <c r="G92" s="69">
        <v>34608</v>
      </c>
      <c r="H92" s="161">
        <v>98791.76</v>
      </c>
      <c r="I92" s="68">
        <v>5872</v>
      </c>
      <c r="J92" s="68">
        <v>5902</v>
      </c>
      <c r="K92" s="161">
        <v>222330.31</v>
      </c>
    </row>
    <row r="93" spans="1:11">
      <c r="A93">
        <v>2024</v>
      </c>
      <c r="B93">
        <v>2</v>
      </c>
      <c r="C93" t="s">
        <v>63</v>
      </c>
      <c r="D93" t="s">
        <v>64</v>
      </c>
      <c r="E93" s="69">
        <v>4028928</v>
      </c>
      <c r="F93" s="161">
        <v>22039538.940000001</v>
      </c>
      <c r="G93" s="69">
        <v>3846877</v>
      </c>
      <c r="H93" s="161">
        <v>14715205.449999999</v>
      </c>
      <c r="I93" s="68">
        <v>0</v>
      </c>
      <c r="J93" s="68">
        <v>0</v>
      </c>
      <c r="K93" s="161">
        <v>0</v>
      </c>
    </row>
    <row r="94" spans="1:11">
      <c r="A94">
        <v>2024</v>
      </c>
      <c r="B94">
        <v>2</v>
      </c>
      <c r="C94" t="s">
        <v>63</v>
      </c>
      <c r="D94" t="s">
        <v>65</v>
      </c>
      <c r="E94" s="69">
        <v>137584</v>
      </c>
      <c r="F94" s="161">
        <v>542301.16</v>
      </c>
      <c r="G94" s="69">
        <v>137058</v>
      </c>
      <c r="H94" s="161">
        <v>396753.09</v>
      </c>
      <c r="I94" s="68">
        <v>0</v>
      </c>
      <c r="J94" s="68">
        <v>0</v>
      </c>
      <c r="K94" s="161">
        <v>0</v>
      </c>
    </row>
    <row r="95" spans="1:11">
      <c r="A95">
        <v>2024</v>
      </c>
      <c r="B95">
        <v>2</v>
      </c>
      <c r="C95" t="s">
        <v>63</v>
      </c>
      <c r="D95" t="s">
        <v>66</v>
      </c>
      <c r="E95" s="69">
        <v>114865</v>
      </c>
      <c r="F95" s="161">
        <v>585702.40000000002</v>
      </c>
      <c r="G95" s="69">
        <v>114865</v>
      </c>
      <c r="H95" s="161">
        <v>416520.47</v>
      </c>
      <c r="I95" s="68">
        <v>0</v>
      </c>
      <c r="J95" s="68">
        <v>0</v>
      </c>
      <c r="K95" s="161">
        <v>0</v>
      </c>
    </row>
    <row r="96" spans="1:11">
      <c r="A96">
        <v>2024</v>
      </c>
      <c r="B96">
        <v>2</v>
      </c>
      <c r="C96" t="s">
        <v>63</v>
      </c>
      <c r="D96" t="s">
        <v>67</v>
      </c>
      <c r="E96" s="69">
        <v>209281</v>
      </c>
      <c r="F96" s="161">
        <v>885956.88</v>
      </c>
      <c r="G96" s="69">
        <v>209281</v>
      </c>
      <c r="H96" s="161">
        <v>798825.6</v>
      </c>
      <c r="I96" s="68">
        <v>0</v>
      </c>
      <c r="J96" s="68">
        <v>0</v>
      </c>
      <c r="K96" s="161">
        <v>0</v>
      </c>
    </row>
    <row r="97" spans="1:11">
      <c r="A97">
        <v>2024</v>
      </c>
      <c r="B97">
        <v>2</v>
      </c>
      <c r="C97" t="s">
        <v>63</v>
      </c>
      <c r="D97" t="s">
        <v>68</v>
      </c>
      <c r="E97" s="69">
        <v>64322</v>
      </c>
      <c r="F97" s="161">
        <v>297809.7</v>
      </c>
      <c r="G97" s="69">
        <v>64266</v>
      </c>
      <c r="H97" s="161">
        <v>193170.91</v>
      </c>
      <c r="I97" s="68">
        <v>0</v>
      </c>
      <c r="J97" s="68">
        <v>0</v>
      </c>
      <c r="K97" s="161">
        <v>0</v>
      </c>
    </row>
    <row r="98" spans="1:11">
      <c r="A98">
        <v>2024</v>
      </c>
      <c r="B98">
        <v>2</v>
      </c>
      <c r="C98" t="s">
        <v>69</v>
      </c>
      <c r="D98" t="s">
        <v>64</v>
      </c>
      <c r="E98" s="69">
        <v>153757</v>
      </c>
      <c r="F98" s="161">
        <v>895923.32</v>
      </c>
      <c r="G98" s="69">
        <v>153681</v>
      </c>
      <c r="H98" s="161">
        <v>583699.89</v>
      </c>
      <c r="I98" s="68">
        <v>21458</v>
      </c>
      <c r="J98" s="68">
        <v>21622</v>
      </c>
      <c r="K98" s="161">
        <v>1268508.8400000001</v>
      </c>
    </row>
    <row r="99" spans="1:11">
      <c r="A99">
        <v>2024</v>
      </c>
      <c r="B99">
        <v>2</v>
      </c>
      <c r="C99" t="s">
        <v>69</v>
      </c>
      <c r="D99" t="s">
        <v>68</v>
      </c>
      <c r="E99" s="69">
        <v>36913</v>
      </c>
      <c r="F99" s="161">
        <v>162081.76</v>
      </c>
      <c r="G99" s="69">
        <v>36915</v>
      </c>
      <c r="H99" s="161">
        <v>105649.36</v>
      </c>
      <c r="I99" s="68">
        <v>6634</v>
      </c>
      <c r="J99" s="68">
        <v>6688</v>
      </c>
      <c r="K99" s="161">
        <v>228937.31</v>
      </c>
    </row>
    <row r="100" spans="1:11">
      <c r="A100">
        <v>2024</v>
      </c>
      <c r="B100">
        <v>3</v>
      </c>
      <c r="C100" t="s">
        <v>63</v>
      </c>
      <c r="D100" t="s">
        <v>64</v>
      </c>
      <c r="E100" s="69">
        <v>3721481</v>
      </c>
      <c r="F100" s="161">
        <v>20352548.170000002</v>
      </c>
      <c r="G100" s="69">
        <v>3526823</v>
      </c>
      <c r="H100" s="161">
        <v>13520045.869999999</v>
      </c>
      <c r="I100" s="68">
        <v>0</v>
      </c>
      <c r="J100" s="68">
        <v>0</v>
      </c>
      <c r="K100" s="161">
        <v>0</v>
      </c>
    </row>
    <row r="101" spans="1:11">
      <c r="A101">
        <v>2024</v>
      </c>
      <c r="B101">
        <v>3</v>
      </c>
      <c r="C101" t="s">
        <v>63</v>
      </c>
      <c r="D101" t="s">
        <v>65</v>
      </c>
      <c r="E101" s="69">
        <v>126328</v>
      </c>
      <c r="F101" s="161">
        <v>497685.88</v>
      </c>
      <c r="G101" s="69">
        <v>125770</v>
      </c>
      <c r="H101" s="161">
        <v>362239.49</v>
      </c>
      <c r="I101" s="68">
        <v>0</v>
      </c>
      <c r="J101" s="68">
        <v>0</v>
      </c>
      <c r="K101" s="161">
        <v>0</v>
      </c>
    </row>
    <row r="102" spans="1:11">
      <c r="A102">
        <v>2024</v>
      </c>
      <c r="B102">
        <v>3</v>
      </c>
      <c r="C102" t="s">
        <v>63</v>
      </c>
      <c r="D102" t="s">
        <v>66</v>
      </c>
      <c r="E102" s="69">
        <v>104168</v>
      </c>
      <c r="F102" s="161">
        <v>531599.93999999994</v>
      </c>
      <c r="G102" s="69">
        <v>104168</v>
      </c>
      <c r="H102" s="161">
        <v>377777.82</v>
      </c>
      <c r="I102" s="68">
        <v>0</v>
      </c>
      <c r="J102" s="68">
        <v>0</v>
      </c>
      <c r="K102" s="161">
        <v>0</v>
      </c>
    </row>
    <row r="103" spans="1:11">
      <c r="A103">
        <v>2024</v>
      </c>
      <c r="B103">
        <v>3</v>
      </c>
      <c r="C103" t="s">
        <v>63</v>
      </c>
      <c r="D103" t="s">
        <v>67</v>
      </c>
      <c r="E103" s="69">
        <v>195178</v>
      </c>
      <c r="F103" s="161">
        <v>825809.86</v>
      </c>
      <c r="G103" s="69">
        <v>195178</v>
      </c>
      <c r="H103" s="161">
        <v>744994.48</v>
      </c>
      <c r="I103" s="68">
        <v>0</v>
      </c>
      <c r="J103" s="68">
        <v>0</v>
      </c>
      <c r="K103" s="161">
        <v>0</v>
      </c>
    </row>
    <row r="104" spans="1:11">
      <c r="A104">
        <v>2024</v>
      </c>
      <c r="B104">
        <v>3</v>
      </c>
      <c r="C104" t="s">
        <v>63</v>
      </c>
      <c r="D104" t="s">
        <v>68</v>
      </c>
      <c r="E104" s="69">
        <v>51815</v>
      </c>
      <c r="F104" s="161">
        <v>246755.88</v>
      </c>
      <c r="G104" s="69">
        <v>51782</v>
      </c>
      <c r="H104" s="161">
        <v>160327.57</v>
      </c>
      <c r="I104" s="68">
        <v>0</v>
      </c>
      <c r="J104" s="68">
        <v>0</v>
      </c>
      <c r="K104" s="161">
        <v>0</v>
      </c>
    </row>
    <row r="105" spans="1:11">
      <c r="A105">
        <v>2024</v>
      </c>
      <c r="B105">
        <v>3</v>
      </c>
      <c r="C105" t="s">
        <v>69</v>
      </c>
      <c r="D105" t="s">
        <v>64</v>
      </c>
      <c r="E105" s="69">
        <v>250176</v>
      </c>
      <c r="F105" s="161">
        <v>1458737.95</v>
      </c>
      <c r="G105" s="69">
        <v>249993</v>
      </c>
      <c r="H105" s="161">
        <v>947655.35</v>
      </c>
      <c r="I105" s="68">
        <v>40564</v>
      </c>
      <c r="J105" s="68">
        <v>40995</v>
      </c>
      <c r="K105" s="161">
        <v>1737037.72</v>
      </c>
    </row>
    <row r="106" spans="1:11">
      <c r="A106">
        <v>2024</v>
      </c>
      <c r="B106">
        <v>3</v>
      </c>
      <c r="C106" t="s">
        <v>69</v>
      </c>
      <c r="D106" t="s">
        <v>68</v>
      </c>
      <c r="E106" s="69">
        <v>45023</v>
      </c>
      <c r="F106" s="161">
        <v>196647.07</v>
      </c>
      <c r="G106" s="69">
        <v>45010</v>
      </c>
      <c r="H106" s="161">
        <v>129270.94</v>
      </c>
      <c r="I106" s="68">
        <v>8649</v>
      </c>
      <c r="J106" s="68">
        <v>8736</v>
      </c>
      <c r="K106" s="161">
        <v>241857.15</v>
      </c>
    </row>
    <row r="107" spans="1:11">
      <c r="A107">
        <v>2024</v>
      </c>
      <c r="B107">
        <v>4</v>
      </c>
      <c r="C107" t="s">
        <v>63</v>
      </c>
      <c r="D107" t="s">
        <v>64</v>
      </c>
      <c r="E107" s="69">
        <v>3666224</v>
      </c>
      <c r="F107" s="161">
        <v>20072258.109999999</v>
      </c>
      <c r="G107" s="69">
        <v>3463460</v>
      </c>
      <c r="H107" s="161">
        <v>13309887.210000001</v>
      </c>
      <c r="I107" s="68">
        <v>0</v>
      </c>
      <c r="J107" s="68">
        <v>0</v>
      </c>
      <c r="K107" s="161">
        <v>0</v>
      </c>
    </row>
    <row r="108" spans="1:11">
      <c r="A108">
        <v>2024</v>
      </c>
      <c r="B108">
        <v>4</v>
      </c>
      <c r="C108" t="s">
        <v>63</v>
      </c>
      <c r="D108" t="s">
        <v>65</v>
      </c>
      <c r="E108" s="69">
        <v>123706</v>
      </c>
      <c r="F108" s="161">
        <v>484966.17</v>
      </c>
      <c r="G108" s="69">
        <v>123052</v>
      </c>
      <c r="H108" s="161">
        <v>354659.18</v>
      </c>
      <c r="I108" s="68">
        <v>0</v>
      </c>
      <c r="J108" s="68">
        <v>0</v>
      </c>
      <c r="K108" s="161">
        <v>0</v>
      </c>
    </row>
    <row r="109" spans="1:11">
      <c r="A109">
        <v>2024</v>
      </c>
      <c r="B109">
        <v>4</v>
      </c>
      <c r="C109" t="s">
        <v>63</v>
      </c>
      <c r="D109" t="s">
        <v>66</v>
      </c>
      <c r="E109" s="69">
        <v>104905</v>
      </c>
      <c r="F109" s="161">
        <v>534611.62</v>
      </c>
      <c r="G109" s="69">
        <v>104904</v>
      </c>
      <c r="H109" s="161">
        <v>380400.75</v>
      </c>
      <c r="I109" s="68">
        <v>0</v>
      </c>
      <c r="J109" s="68">
        <v>0</v>
      </c>
      <c r="K109" s="161">
        <v>0</v>
      </c>
    </row>
    <row r="110" spans="1:11">
      <c r="A110">
        <v>2024</v>
      </c>
      <c r="B110">
        <v>4</v>
      </c>
      <c r="C110" t="s">
        <v>63</v>
      </c>
      <c r="D110" t="s">
        <v>67</v>
      </c>
      <c r="E110" s="69">
        <v>187379</v>
      </c>
      <c r="F110" s="161">
        <v>792059.61</v>
      </c>
      <c r="G110" s="69">
        <v>187379</v>
      </c>
      <c r="H110" s="161">
        <v>715225.65</v>
      </c>
      <c r="I110" s="68">
        <v>0</v>
      </c>
      <c r="J110" s="68">
        <v>0</v>
      </c>
      <c r="K110" s="161">
        <v>0</v>
      </c>
    </row>
    <row r="111" spans="1:11">
      <c r="A111">
        <v>2024</v>
      </c>
      <c r="B111">
        <v>4</v>
      </c>
      <c r="C111" t="s">
        <v>63</v>
      </c>
      <c r="D111" t="s">
        <v>68</v>
      </c>
      <c r="E111" s="69">
        <v>48886</v>
      </c>
      <c r="F111" s="161">
        <v>225532.66</v>
      </c>
      <c r="G111" s="69">
        <v>48853</v>
      </c>
      <c r="H111" s="161">
        <v>146071.28</v>
      </c>
      <c r="I111" s="68">
        <v>0</v>
      </c>
      <c r="J111" s="68">
        <v>0</v>
      </c>
      <c r="K111" s="161">
        <v>0</v>
      </c>
    </row>
    <row r="112" spans="1:11">
      <c r="A112">
        <v>2024</v>
      </c>
      <c r="B112">
        <v>4</v>
      </c>
      <c r="C112" t="s">
        <v>69</v>
      </c>
      <c r="D112" t="s">
        <v>64</v>
      </c>
      <c r="E112" s="69">
        <v>280218</v>
      </c>
      <c r="F112" s="161">
        <v>1648487.01</v>
      </c>
      <c r="G112" s="69">
        <v>279945</v>
      </c>
      <c r="H112" s="161">
        <v>1065488.6599999999</v>
      </c>
      <c r="I112" s="68">
        <v>48082</v>
      </c>
      <c r="J112" s="68">
        <v>48475</v>
      </c>
      <c r="K112" s="161">
        <v>1853191.5</v>
      </c>
    </row>
    <row r="113" spans="1:11">
      <c r="A113">
        <v>2024</v>
      </c>
      <c r="B113">
        <v>4</v>
      </c>
      <c r="C113" t="s">
        <v>69</v>
      </c>
      <c r="D113" t="s">
        <v>68</v>
      </c>
      <c r="E113" s="69">
        <v>45334</v>
      </c>
      <c r="F113" s="161">
        <v>199524.18</v>
      </c>
      <c r="G113" s="69">
        <v>45323</v>
      </c>
      <c r="H113" s="161">
        <v>129946.94</v>
      </c>
      <c r="I113" s="68">
        <v>9016</v>
      </c>
      <c r="J113" s="68">
        <v>9063</v>
      </c>
      <c r="K113" s="161">
        <v>237036.24</v>
      </c>
    </row>
    <row r="114" spans="1:11">
      <c r="A114">
        <v>2024</v>
      </c>
      <c r="B114">
        <v>5</v>
      </c>
      <c r="C114" t="s">
        <v>63</v>
      </c>
      <c r="D114" t="s">
        <v>64</v>
      </c>
      <c r="E114" s="69">
        <v>4074941</v>
      </c>
      <c r="F114" s="161">
        <v>22151684.800000001</v>
      </c>
      <c r="G114" s="69">
        <v>3822618</v>
      </c>
      <c r="H114" s="161">
        <v>14680613.210000001</v>
      </c>
      <c r="I114" s="68">
        <v>0</v>
      </c>
      <c r="J114" s="68">
        <v>0</v>
      </c>
      <c r="K114" s="161">
        <v>0</v>
      </c>
    </row>
    <row r="115" spans="1:11">
      <c r="A115">
        <v>2024</v>
      </c>
      <c r="B115">
        <v>5</v>
      </c>
      <c r="C115" t="s">
        <v>63</v>
      </c>
      <c r="D115" t="s">
        <v>65</v>
      </c>
      <c r="E115" s="69">
        <v>148922</v>
      </c>
      <c r="F115" s="161">
        <v>579904.39</v>
      </c>
      <c r="G115" s="69">
        <v>148256</v>
      </c>
      <c r="H115" s="161">
        <v>426247.33</v>
      </c>
      <c r="I115" s="68">
        <v>0</v>
      </c>
      <c r="J115" s="68">
        <v>0</v>
      </c>
      <c r="K115" s="161">
        <v>0</v>
      </c>
    </row>
    <row r="116" spans="1:11">
      <c r="A116">
        <v>2024</v>
      </c>
      <c r="B116">
        <v>5</v>
      </c>
      <c r="C116" t="s">
        <v>63</v>
      </c>
      <c r="D116" t="s">
        <v>66</v>
      </c>
      <c r="E116" s="69">
        <v>105765</v>
      </c>
      <c r="F116" s="161">
        <v>539224.64</v>
      </c>
      <c r="G116" s="69">
        <v>105757</v>
      </c>
      <c r="H116" s="161">
        <v>383247.02</v>
      </c>
      <c r="I116" s="68">
        <v>0</v>
      </c>
      <c r="J116" s="68">
        <v>0</v>
      </c>
      <c r="K116" s="161">
        <v>0</v>
      </c>
    </row>
    <row r="117" spans="1:11">
      <c r="A117">
        <v>2024</v>
      </c>
      <c r="B117">
        <v>5</v>
      </c>
      <c r="C117" t="s">
        <v>63</v>
      </c>
      <c r="D117" t="s">
        <v>67</v>
      </c>
      <c r="E117" s="69">
        <v>338702</v>
      </c>
      <c r="F117" s="161">
        <v>1430296.63</v>
      </c>
      <c r="G117" s="69">
        <v>338702</v>
      </c>
      <c r="H117" s="161">
        <v>1294897.21</v>
      </c>
      <c r="I117" s="68">
        <v>0</v>
      </c>
      <c r="J117" s="68">
        <v>0</v>
      </c>
      <c r="K117" s="161">
        <v>0</v>
      </c>
    </row>
    <row r="118" spans="1:11">
      <c r="A118">
        <v>2024</v>
      </c>
      <c r="B118">
        <v>5</v>
      </c>
      <c r="C118" t="s">
        <v>63</v>
      </c>
      <c r="D118" t="s">
        <v>68</v>
      </c>
      <c r="E118" s="69">
        <v>52489</v>
      </c>
      <c r="F118" s="161">
        <v>245710.99</v>
      </c>
      <c r="G118" s="69">
        <v>52452</v>
      </c>
      <c r="H118" s="161">
        <v>158974.23000000001</v>
      </c>
      <c r="I118" s="68">
        <v>0</v>
      </c>
      <c r="J118" s="68">
        <v>0</v>
      </c>
      <c r="K118" s="161">
        <v>0</v>
      </c>
    </row>
    <row r="119" spans="1:11">
      <c r="A119">
        <v>2024</v>
      </c>
      <c r="B119">
        <v>5</v>
      </c>
      <c r="C119" t="s">
        <v>69</v>
      </c>
      <c r="D119" t="s">
        <v>64</v>
      </c>
      <c r="E119" s="69">
        <v>315254</v>
      </c>
      <c r="F119" s="161">
        <v>1853809</v>
      </c>
      <c r="G119" s="69">
        <v>314962</v>
      </c>
      <c r="H119" s="161">
        <v>1198573.3999999999</v>
      </c>
      <c r="I119" s="68">
        <v>48414</v>
      </c>
      <c r="J119" s="68">
        <v>51913</v>
      </c>
      <c r="K119" s="161">
        <v>2115357.2599999998</v>
      </c>
    </row>
    <row r="120" spans="1:11">
      <c r="A120">
        <v>2024</v>
      </c>
      <c r="B120">
        <v>5</v>
      </c>
      <c r="C120" t="s">
        <v>69</v>
      </c>
      <c r="D120" t="s">
        <v>68</v>
      </c>
      <c r="E120" s="69">
        <v>48328</v>
      </c>
      <c r="F120" s="161">
        <v>213772.59</v>
      </c>
      <c r="G120" s="69">
        <v>48318</v>
      </c>
      <c r="H120" s="161">
        <v>138842.29999999999</v>
      </c>
      <c r="I120" s="68">
        <v>9115</v>
      </c>
      <c r="J120" s="68">
        <v>9720</v>
      </c>
      <c r="K120" s="161">
        <v>248634.16</v>
      </c>
    </row>
    <row r="121" spans="1:11">
      <c r="A121">
        <v>2024</v>
      </c>
      <c r="B121">
        <v>6</v>
      </c>
      <c r="C121" t="s">
        <v>63</v>
      </c>
      <c r="D121" t="s">
        <v>64</v>
      </c>
      <c r="E121" s="69">
        <v>4044861</v>
      </c>
      <c r="F121" s="161">
        <v>21917716.129999999</v>
      </c>
      <c r="G121" s="69">
        <v>3786264</v>
      </c>
      <c r="H121" s="161">
        <v>14476209.02</v>
      </c>
      <c r="I121" s="68">
        <v>0</v>
      </c>
      <c r="J121" s="68">
        <v>0</v>
      </c>
      <c r="K121" s="161">
        <v>0</v>
      </c>
    </row>
    <row r="122" spans="1:11">
      <c r="A122">
        <v>2024</v>
      </c>
      <c r="B122">
        <v>6</v>
      </c>
      <c r="C122" t="s">
        <v>63</v>
      </c>
      <c r="D122" t="s">
        <v>65</v>
      </c>
      <c r="E122" s="69">
        <v>151051</v>
      </c>
      <c r="F122" s="161">
        <v>577217.47</v>
      </c>
      <c r="G122" s="69">
        <v>150311</v>
      </c>
      <c r="H122" s="161">
        <v>432372.03</v>
      </c>
      <c r="I122" s="68">
        <v>0</v>
      </c>
      <c r="J122" s="68">
        <v>0</v>
      </c>
      <c r="K122" s="161">
        <v>0</v>
      </c>
    </row>
    <row r="123" spans="1:11">
      <c r="A123">
        <v>2024</v>
      </c>
      <c r="B123">
        <v>6</v>
      </c>
      <c r="C123" t="s">
        <v>63</v>
      </c>
      <c r="D123" t="s">
        <v>66</v>
      </c>
      <c r="E123" s="69">
        <v>111189</v>
      </c>
      <c r="F123" s="161">
        <v>567536.19999999995</v>
      </c>
      <c r="G123" s="69">
        <v>111109</v>
      </c>
      <c r="H123" s="161">
        <v>404031.95</v>
      </c>
      <c r="I123" s="68">
        <v>0</v>
      </c>
      <c r="J123" s="68">
        <v>0</v>
      </c>
      <c r="K123" s="161">
        <v>0</v>
      </c>
    </row>
    <row r="124" spans="1:11">
      <c r="A124">
        <v>2024</v>
      </c>
      <c r="B124">
        <v>6</v>
      </c>
      <c r="C124" t="s">
        <v>63</v>
      </c>
      <c r="D124" t="s">
        <v>67</v>
      </c>
      <c r="E124" s="69">
        <v>105040</v>
      </c>
      <c r="F124" s="161">
        <v>449355</v>
      </c>
      <c r="G124" s="69">
        <v>105040</v>
      </c>
      <c r="H124" s="161">
        <v>400937.7</v>
      </c>
      <c r="I124" s="68">
        <v>0</v>
      </c>
      <c r="J124" s="68">
        <v>0</v>
      </c>
      <c r="K124" s="161">
        <v>0</v>
      </c>
    </row>
    <row r="125" spans="1:11">
      <c r="A125">
        <v>2024</v>
      </c>
      <c r="B125">
        <v>6</v>
      </c>
      <c r="C125" t="s">
        <v>63</v>
      </c>
      <c r="D125" t="s">
        <v>68</v>
      </c>
      <c r="E125" s="69">
        <v>52042</v>
      </c>
      <c r="F125" s="161">
        <v>239352.88</v>
      </c>
      <c r="G125" s="69">
        <v>51999</v>
      </c>
      <c r="H125" s="161">
        <v>155180.75</v>
      </c>
      <c r="I125" s="68">
        <v>0</v>
      </c>
      <c r="J125" s="68">
        <v>0</v>
      </c>
      <c r="K125" s="161">
        <v>0</v>
      </c>
    </row>
    <row r="126" spans="1:11">
      <c r="A126">
        <v>2024</v>
      </c>
      <c r="B126">
        <v>6</v>
      </c>
      <c r="C126" t="s">
        <v>69</v>
      </c>
      <c r="D126" t="s">
        <v>64</v>
      </c>
      <c r="E126" s="69">
        <v>304595</v>
      </c>
      <c r="F126" s="161">
        <v>1787208.97</v>
      </c>
      <c r="G126" s="69">
        <v>304289</v>
      </c>
      <c r="H126" s="161">
        <v>1158537.58</v>
      </c>
      <c r="I126" s="68">
        <v>45509</v>
      </c>
      <c r="J126" s="68">
        <v>45835</v>
      </c>
      <c r="K126" s="161">
        <v>2105244.86</v>
      </c>
    </row>
    <row r="127" spans="1:11">
      <c r="A127">
        <v>2024</v>
      </c>
      <c r="B127">
        <v>6</v>
      </c>
      <c r="C127" t="s">
        <v>69</v>
      </c>
      <c r="D127" t="s">
        <v>68</v>
      </c>
      <c r="E127" s="69">
        <v>46919</v>
      </c>
      <c r="F127" s="161">
        <v>207297.93</v>
      </c>
      <c r="G127" s="69">
        <v>46897</v>
      </c>
      <c r="H127" s="161">
        <v>134648.25</v>
      </c>
      <c r="I127" s="68">
        <v>8600</v>
      </c>
      <c r="J127" s="68">
        <v>8735</v>
      </c>
      <c r="K127" s="161">
        <v>242665.68</v>
      </c>
    </row>
    <row r="128" spans="1:11">
      <c r="A128">
        <v>2024</v>
      </c>
      <c r="B128">
        <v>7</v>
      </c>
      <c r="C128" t="s">
        <v>63</v>
      </c>
      <c r="D128" t="s">
        <v>64</v>
      </c>
      <c r="E128" s="69">
        <v>4584362</v>
      </c>
      <c r="F128" s="161">
        <v>24449842.370000001</v>
      </c>
      <c r="G128" s="69">
        <v>4278865</v>
      </c>
      <c r="H128" s="161">
        <v>16341823.6</v>
      </c>
      <c r="I128" s="68">
        <v>0</v>
      </c>
      <c r="J128" s="68">
        <v>0</v>
      </c>
      <c r="K128" s="161">
        <v>0</v>
      </c>
    </row>
    <row r="129" spans="1:11">
      <c r="A129">
        <v>2024</v>
      </c>
      <c r="B129">
        <v>7</v>
      </c>
      <c r="C129" t="s">
        <v>63</v>
      </c>
      <c r="D129" t="s">
        <v>65</v>
      </c>
      <c r="E129" s="69">
        <v>180607</v>
      </c>
      <c r="F129" s="161">
        <v>677363.9</v>
      </c>
      <c r="G129" s="69">
        <v>179594</v>
      </c>
      <c r="H129" s="161">
        <v>515103.74</v>
      </c>
      <c r="I129" s="68">
        <v>0</v>
      </c>
      <c r="J129" s="68">
        <v>0</v>
      </c>
      <c r="K129" s="161">
        <v>0</v>
      </c>
    </row>
    <row r="130" spans="1:11">
      <c r="A130">
        <v>2024</v>
      </c>
      <c r="B130">
        <v>7</v>
      </c>
      <c r="C130" t="s">
        <v>63</v>
      </c>
      <c r="D130" t="s">
        <v>66</v>
      </c>
      <c r="E130" s="69">
        <v>121920</v>
      </c>
      <c r="F130" s="161">
        <v>615700.41</v>
      </c>
      <c r="G130" s="69">
        <v>121844</v>
      </c>
      <c r="H130" s="161">
        <v>441942.94</v>
      </c>
      <c r="I130" s="68">
        <v>0</v>
      </c>
      <c r="J130" s="68">
        <v>0</v>
      </c>
      <c r="K130" s="161">
        <v>0</v>
      </c>
    </row>
    <row r="131" spans="1:11">
      <c r="A131">
        <v>2024</v>
      </c>
      <c r="B131">
        <v>7</v>
      </c>
      <c r="C131" t="s">
        <v>63</v>
      </c>
      <c r="D131" t="s">
        <v>67</v>
      </c>
      <c r="E131" s="69">
        <v>211508</v>
      </c>
      <c r="F131" s="161">
        <v>894145.32</v>
      </c>
      <c r="G131" s="69">
        <v>211508</v>
      </c>
      <c r="H131" s="161">
        <v>807326.03</v>
      </c>
      <c r="I131" s="68">
        <v>0</v>
      </c>
      <c r="J131" s="68">
        <v>0</v>
      </c>
      <c r="K131" s="161">
        <v>0</v>
      </c>
    </row>
    <row r="132" spans="1:11">
      <c r="A132">
        <v>2024</v>
      </c>
      <c r="B132">
        <v>7</v>
      </c>
      <c r="C132" t="s">
        <v>63</v>
      </c>
      <c r="D132" t="s">
        <v>68</v>
      </c>
      <c r="E132" s="69">
        <v>56216</v>
      </c>
      <c r="F132" s="161">
        <v>258947.97</v>
      </c>
      <c r="G132" s="69">
        <v>56172</v>
      </c>
      <c r="H132" s="161">
        <v>168661.8</v>
      </c>
      <c r="I132" s="68">
        <v>0</v>
      </c>
      <c r="J132" s="68">
        <v>0</v>
      </c>
      <c r="K132" s="161">
        <v>0</v>
      </c>
    </row>
    <row r="133" spans="1:11">
      <c r="A133">
        <v>2024</v>
      </c>
      <c r="B133">
        <v>7</v>
      </c>
      <c r="C133" t="s">
        <v>69</v>
      </c>
      <c r="D133" t="s">
        <v>64</v>
      </c>
      <c r="E133" s="69">
        <v>326763</v>
      </c>
      <c r="F133" s="161">
        <v>1920768.29</v>
      </c>
      <c r="G133" s="69">
        <v>326356</v>
      </c>
      <c r="H133" s="161">
        <v>1242988.81</v>
      </c>
      <c r="I133" s="68">
        <v>49006</v>
      </c>
      <c r="J133" s="68">
        <v>49606</v>
      </c>
      <c r="K133" s="161">
        <v>2264643.27</v>
      </c>
    </row>
    <row r="134" spans="1:11">
      <c r="A134">
        <v>2024</v>
      </c>
      <c r="B134">
        <v>7</v>
      </c>
      <c r="C134" t="s">
        <v>69</v>
      </c>
      <c r="D134" t="s">
        <v>68</v>
      </c>
      <c r="E134" s="69">
        <v>51214</v>
      </c>
      <c r="F134" s="161">
        <v>225957.65</v>
      </c>
      <c r="G134" s="69">
        <v>51196</v>
      </c>
      <c r="H134" s="161">
        <v>147083.51999999999</v>
      </c>
      <c r="I134" s="68">
        <v>9241</v>
      </c>
      <c r="J134" s="68">
        <v>9286</v>
      </c>
      <c r="K134" s="161">
        <v>268305.74</v>
      </c>
    </row>
    <row r="135" spans="1:11">
      <c r="A135">
        <v>2024</v>
      </c>
      <c r="B135">
        <v>8</v>
      </c>
      <c r="C135" t="s">
        <v>63</v>
      </c>
      <c r="D135" t="s">
        <v>64</v>
      </c>
      <c r="E135" s="69">
        <v>4698491</v>
      </c>
      <c r="F135" s="161">
        <v>25136224.079999998</v>
      </c>
      <c r="G135" s="69">
        <v>4368119</v>
      </c>
      <c r="H135" s="161">
        <v>16698092.689999999</v>
      </c>
      <c r="I135" s="68">
        <v>0</v>
      </c>
      <c r="J135" s="68">
        <v>0</v>
      </c>
      <c r="K135" s="161">
        <v>0</v>
      </c>
    </row>
    <row r="136" spans="1:11">
      <c r="A136">
        <v>2024</v>
      </c>
      <c r="B136">
        <v>8</v>
      </c>
      <c r="C136" t="s">
        <v>63</v>
      </c>
      <c r="D136" t="s">
        <v>65</v>
      </c>
      <c r="E136" s="69">
        <v>182297</v>
      </c>
      <c r="F136" s="161">
        <v>689094.14</v>
      </c>
      <c r="G136" s="69">
        <v>180977</v>
      </c>
      <c r="H136" s="161">
        <v>522055.13</v>
      </c>
      <c r="I136" s="68">
        <v>0</v>
      </c>
      <c r="J136" s="68">
        <v>0</v>
      </c>
      <c r="K136" s="161">
        <v>0</v>
      </c>
    </row>
    <row r="137" spans="1:11">
      <c r="A137">
        <v>2024</v>
      </c>
      <c r="B137">
        <v>8</v>
      </c>
      <c r="C137" t="s">
        <v>63</v>
      </c>
      <c r="D137" t="s">
        <v>66</v>
      </c>
      <c r="E137" s="69">
        <v>123892</v>
      </c>
      <c r="F137" s="161">
        <v>628890.47</v>
      </c>
      <c r="G137" s="69">
        <v>123811</v>
      </c>
      <c r="H137" s="161">
        <v>449057.65</v>
      </c>
      <c r="I137" s="68">
        <v>0</v>
      </c>
      <c r="J137" s="68">
        <v>0</v>
      </c>
      <c r="K137" s="161">
        <v>0</v>
      </c>
    </row>
    <row r="138" spans="1:11">
      <c r="A138">
        <v>2024</v>
      </c>
      <c r="B138">
        <v>8</v>
      </c>
      <c r="C138" t="s">
        <v>63</v>
      </c>
      <c r="D138" t="s">
        <v>67</v>
      </c>
      <c r="E138" s="69">
        <v>220240</v>
      </c>
      <c r="F138" s="161">
        <v>928984.05</v>
      </c>
      <c r="G138" s="69">
        <v>220240</v>
      </c>
      <c r="H138" s="161">
        <v>840656.09</v>
      </c>
      <c r="I138" s="68">
        <v>0</v>
      </c>
      <c r="J138" s="68">
        <v>0</v>
      </c>
      <c r="K138" s="161">
        <v>0</v>
      </c>
    </row>
    <row r="139" spans="1:11">
      <c r="A139">
        <v>2024</v>
      </c>
      <c r="B139">
        <v>8</v>
      </c>
      <c r="C139" t="s">
        <v>63</v>
      </c>
      <c r="D139" t="s">
        <v>68</v>
      </c>
      <c r="E139" s="69">
        <v>56845</v>
      </c>
      <c r="F139" s="161">
        <v>260536.84</v>
      </c>
      <c r="G139" s="69">
        <v>56805</v>
      </c>
      <c r="H139" s="161">
        <v>169256.32000000001</v>
      </c>
      <c r="I139" s="68">
        <v>0</v>
      </c>
      <c r="J139" s="68">
        <v>0</v>
      </c>
      <c r="K139" s="161">
        <v>0</v>
      </c>
    </row>
    <row r="140" spans="1:11">
      <c r="A140">
        <v>2024</v>
      </c>
      <c r="B140">
        <v>8</v>
      </c>
      <c r="C140" t="s">
        <v>69</v>
      </c>
      <c r="D140" t="s">
        <v>64</v>
      </c>
      <c r="E140" s="69">
        <v>343834</v>
      </c>
      <c r="F140" s="161">
        <v>2015931.07</v>
      </c>
      <c r="G140" s="69">
        <v>343426</v>
      </c>
      <c r="H140" s="161">
        <v>1307714.55</v>
      </c>
      <c r="I140" s="68">
        <v>49186</v>
      </c>
      <c r="J140" s="68">
        <v>49645</v>
      </c>
      <c r="K140" s="161">
        <v>2421271.7000000002</v>
      </c>
    </row>
    <row r="141" spans="1:11">
      <c r="A141">
        <v>2024</v>
      </c>
      <c r="B141">
        <v>8</v>
      </c>
      <c r="C141" t="s">
        <v>69</v>
      </c>
      <c r="D141" t="s">
        <v>68</v>
      </c>
      <c r="E141" s="69">
        <v>56420</v>
      </c>
      <c r="F141" s="161">
        <v>247844.69</v>
      </c>
      <c r="G141" s="69">
        <v>56408</v>
      </c>
      <c r="H141" s="161">
        <v>161941.51999999999</v>
      </c>
      <c r="I141" s="68">
        <v>9296</v>
      </c>
      <c r="J141" s="68">
        <v>9384</v>
      </c>
      <c r="K141" s="161">
        <v>306099.44</v>
      </c>
    </row>
    <row r="142" spans="1:11">
      <c r="A142">
        <v>2024</v>
      </c>
      <c r="B142">
        <v>9</v>
      </c>
      <c r="C142" t="s">
        <v>63</v>
      </c>
      <c r="D142" t="s">
        <v>64</v>
      </c>
      <c r="E142" s="69">
        <v>4607939</v>
      </c>
      <c r="F142" s="161">
        <v>26236903.68</v>
      </c>
      <c r="G142" s="69">
        <v>4310061</v>
      </c>
      <c r="H142" s="161">
        <v>17800139.120000001</v>
      </c>
      <c r="I142" s="68">
        <v>0</v>
      </c>
      <c r="J142" s="68">
        <v>0</v>
      </c>
      <c r="K142" s="161">
        <v>0</v>
      </c>
    </row>
    <row r="143" spans="1:11">
      <c r="A143">
        <v>2024</v>
      </c>
      <c r="B143">
        <v>9</v>
      </c>
      <c r="C143" t="s">
        <v>63</v>
      </c>
      <c r="D143" t="s">
        <v>65</v>
      </c>
      <c r="E143" s="69">
        <v>180260</v>
      </c>
      <c r="F143" s="161">
        <v>727093.68</v>
      </c>
      <c r="G143" s="69">
        <v>179110</v>
      </c>
      <c r="H143" s="161">
        <v>560266.39</v>
      </c>
      <c r="I143" s="68">
        <v>0</v>
      </c>
      <c r="J143" s="68">
        <v>0</v>
      </c>
      <c r="K143" s="161">
        <v>0</v>
      </c>
    </row>
    <row r="144" spans="1:11">
      <c r="A144">
        <v>2024</v>
      </c>
      <c r="B144">
        <v>9</v>
      </c>
      <c r="C144" t="s">
        <v>63</v>
      </c>
      <c r="D144" t="s">
        <v>66</v>
      </c>
      <c r="E144" s="69">
        <v>124112</v>
      </c>
      <c r="F144" s="161">
        <v>666071.76</v>
      </c>
      <c r="G144" s="69">
        <v>124033</v>
      </c>
      <c r="H144" s="161">
        <v>484400.42</v>
      </c>
      <c r="I144" s="68">
        <v>0</v>
      </c>
      <c r="J144" s="68">
        <v>0</v>
      </c>
      <c r="K144" s="161">
        <v>0</v>
      </c>
    </row>
    <row r="145" spans="1:11">
      <c r="A145">
        <v>2024</v>
      </c>
      <c r="B145">
        <v>9</v>
      </c>
      <c r="C145" t="s">
        <v>63</v>
      </c>
      <c r="D145" t="s">
        <v>67</v>
      </c>
      <c r="E145" s="69">
        <v>261753</v>
      </c>
      <c r="F145" s="161">
        <v>1149018.58</v>
      </c>
      <c r="G145" s="69">
        <v>261753</v>
      </c>
      <c r="H145" s="161">
        <v>1054512.0900000001</v>
      </c>
      <c r="I145" s="68">
        <v>0</v>
      </c>
      <c r="J145" s="68">
        <v>0</v>
      </c>
      <c r="K145" s="161">
        <v>0</v>
      </c>
    </row>
    <row r="146" spans="1:11">
      <c r="A146">
        <v>2024</v>
      </c>
      <c r="B146">
        <v>9</v>
      </c>
      <c r="C146" t="s">
        <v>63</v>
      </c>
      <c r="D146" t="s">
        <v>68</v>
      </c>
      <c r="E146" s="69">
        <v>57174</v>
      </c>
      <c r="F146" s="161">
        <v>279355.86</v>
      </c>
      <c r="G146" s="69">
        <v>57132</v>
      </c>
      <c r="H146" s="161">
        <v>185698.45</v>
      </c>
      <c r="I146" s="68">
        <v>0</v>
      </c>
      <c r="J146" s="68">
        <v>0</v>
      </c>
      <c r="K146" s="161">
        <v>0</v>
      </c>
    </row>
    <row r="147" spans="1:11">
      <c r="A147">
        <v>2024</v>
      </c>
      <c r="B147">
        <v>9</v>
      </c>
      <c r="C147" t="s">
        <v>69</v>
      </c>
      <c r="D147" t="s">
        <v>64</v>
      </c>
      <c r="E147" s="69">
        <v>362438</v>
      </c>
      <c r="F147" s="161">
        <v>2246290.42</v>
      </c>
      <c r="G147" s="69">
        <v>362105</v>
      </c>
      <c r="H147" s="161">
        <v>1492213.79</v>
      </c>
      <c r="I147" s="68">
        <v>49845</v>
      </c>
      <c r="J147" s="68">
        <v>50469</v>
      </c>
      <c r="K147" s="161">
        <v>2837024</v>
      </c>
    </row>
    <row r="148" spans="1:11">
      <c r="A148">
        <v>2024</v>
      </c>
      <c r="B148">
        <v>9</v>
      </c>
      <c r="C148" t="s">
        <v>69</v>
      </c>
      <c r="D148" t="s">
        <v>68</v>
      </c>
      <c r="E148" s="69">
        <v>57423</v>
      </c>
      <c r="F148" s="161">
        <v>266180.06</v>
      </c>
      <c r="G148" s="69">
        <v>57410</v>
      </c>
      <c r="H148" s="161">
        <v>177565.69</v>
      </c>
      <c r="I148" s="68">
        <v>9306</v>
      </c>
      <c r="J148" s="68">
        <v>9396</v>
      </c>
      <c r="K148" s="161">
        <v>341188.67</v>
      </c>
    </row>
    <row r="149" spans="1:11">
      <c r="A149">
        <v>2024</v>
      </c>
      <c r="B149">
        <v>10</v>
      </c>
      <c r="C149" t="s">
        <v>63</v>
      </c>
      <c r="D149" t="s">
        <v>64</v>
      </c>
      <c r="E149" s="69">
        <v>4298653</v>
      </c>
      <c r="F149" s="161">
        <v>26399675.879999999</v>
      </c>
      <c r="G149" s="69">
        <v>4027098</v>
      </c>
      <c r="H149" s="161">
        <v>18272772.57</v>
      </c>
      <c r="I149" s="68">
        <v>0</v>
      </c>
      <c r="J149" s="68">
        <v>0</v>
      </c>
      <c r="K149" s="161">
        <v>0</v>
      </c>
    </row>
    <row r="150" spans="1:11">
      <c r="A150">
        <v>2024</v>
      </c>
      <c r="B150">
        <v>10</v>
      </c>
      <c r="C150" t="s">
        <v>63</v>
      </c>
      <c r="D150" t="s">
        <v>65</v>
      </c>
      <c r="E150" s="69">
        <v>162740</v>
      </c>
      <c r="F150" s="161">
        <v>719093.66</v>
      </c>
      <c r="G150" s="69">
        <v>158928</v>
      </c>
      <c r="H150" s="161">
        <v>544269.91</v>
      </c>
      <c r="I150" s="68">
        <v>0</v>
      </c>
      <c r="J150" s="68">
        <v>0</v>
      </c>
      <c r="K150" s="161">
        <v>0</v>
      </c>
    </row>
    <row r="151" spans="1:11">
      <c r="A151">
        <v>2024</v>
      </c>
      <c r="B151">
        <v>10</v>
      </c>
      <c r="C151" t="s">
        <v>63</v>
      </c>
      <c r="D151" t="s">
        <v>66</v>
      </c>
      <c r="E151" s="69">
        <v>118168</v>
      </c>
      <c r="F151" s="161">
        <v>681454.91</v>
      </c>
      <c r="G151" s="69">
        <v>118129</v>
      </c>
      <c r="H151" s="161">
        <v>509959.79</v>
      </c>
      <c r="I151" s="68">
        <v>0</v>
      </c>
      <c r="J151" s="68">
        <v>0</v>
      </c>
      <c r="K151" s="161">
        <v>0</v>
      </c>
    </row>
    <row r="152" spans="1:11">
      <c r="A152">
        <v>2024</v>
      </c>
      <c r="B152">
        <v>10</v>
      </c>
      <c r="C152" t="s">
        <v>63</v>
      </c>
      <c r="D152" t="s">
        <v>67</v>
      </c>
      <c r="E152" s="69">
        <v>342304</v>
      </c>
      <c r="F152" s="161">
        <v>1647933.12</v>
      </c>
      <c r="G152" s="69">
        <v>342304</v>
      </c>
      <c r="H152" s="161">
        <v>1555611.78</v>
      </c>
      <c r="I152" s="68">
        <v>0</v>
      </c>
      <c r="J152" s="68">
        <v>0</v>
      </c>
      <c r="K152" s="161">
        <v>0</v>
      </c>
    </row>
    <row r="153" spans="1:11">
      <c r="A153">
        <v>2024</v>
      </c>
      <c r="B153">
        <v>10</v>
      </c>
      <c r="C153" t="s">
        <v>63</v>
      </c>
      <c r="D153" t="s">
        <v>68</v>
      </c>
      <c r="E153" s="69">
        <v>53664</v>
      </c>
      <c r="F153" s="161">
        <v>279002.59000000003</v>
      </c>
      <c r="G153" s="69">
        <v>53633</v>
      </c>
      <c r="H153" s="161">
        <v>190186.19</v>
      </c>
      <c r="I153" s="68">
        <v>0</v>
      </c>
      <c r="J153" s="68">
        <v>0</v>
      </c>
      <c r="K153" s="161">
        <v>0</v>
      </c>
    </row>
    <row r="154" spans="1:11">
      <c r="A154">
        <v>2024</v>
      </c>
      <c r="B154">
        <v>10</v>
      </c>
      <c r="C154" t="s">
        <v>69</v>
      </c>
      <c r="D154" t="s">
        <v>64</v>
      </c>
      <c r="E154" s="69">
        <v>353323</v>
      </c>
      <c r="F154" s="161">
        <v>2344104.4500000002</v>
      </c>
      <c r="G154" s="69">
        <v>352965</v>
      </c>
      <c r="H154" s="161">
        <v>1595124.25</v>
      </c>
      <c r="I154" s="68">
        <v>50546</v>
      </c>
      <c r="J154" s="68">
        <v>54330</v>
      </c>
      <c r="K154" s="161">
        <v>3022180.88</v>
      </c>
    </row>
    <row r="155" spans="1:11">
      <c r="A155">
        <v>2024</v>
      </c>
      <c r="B155">
        <v>10</v>
      </c>
      <c r="C155" t="s">
        <v>69</v>
      </c>
      <c r="D155" t="s">
        <v>68</v>
      </c>
      <c r="E155" s="69">
        <v>54670</v>
      </c>
      <c r="F155" s="161">
        <v>272791.28999999998</v>
      </c>
      <c r="G155" s="69">
        <v>54652</v>
      </c>
      <c r="H155" s="161">
        <v>186638.84</v>
      </c>
      <c r="I155" s="68">
        <v>9393</v>
      </c>
      <c r="J155" s="68">
        <v>10007</v>
      </c>
      <c r="K155" s="161">
        <v>353495.11</v>
      </c>
    </row>
    <row r="156" spans="1:11">
      <c r="A156">
        <v>2024</v>
      </c>
      <c r="B156">
        <v>11</v>
      </c>
      <c r="C156" t="s">
        <v>63</v>
      </c>
      <c r="D156" t="s">
        <v>64</v>
      </c>
      <c r="E156" s="69">
        <v>3980592</v>
      </c>
      <c r="F156" s="161">
        <v>24337390.399999999</v>
      </c>
      <c r="G156" s="69">
        <v>3746949</v>
      </c>
      <c r="H156" s="161">
        <v>17044422.18</v>
      </c>
      <c r="I156" s="68">
        <v>0</v>
      </c>
      <c r="J156" s="68">
        <v>0</v>
      </c>
      <c r="K156" s="161">
        <v>0</v>
      </c>
    </row>
    <row r="157" spans="1:11">
      <c r="A157">
        <v>2024</v>
      </c>
      <c r="B157">
        <v>11</v>
      </c>
      <c r="C157" t="s">
        <v>63</v>
      </c>
      <c r="D157" t="s">
        <v>65</v>
      </c>
      <c r="E157" s="69">
        <v>153508</v>
      </c>
      <c r="F157" s="161">
        <v>659415.28</v>
      </c>
      <c r="G157" s="69">
        <v>152843</v>
      </c>
      <c r="H157" s="161">
        <v>520499.57</v>
      </c>
      <c r="I157" s="68">
        <v>0</v>
      </c>
      <c r="J157" s="68">
        <v>0</v>
      </c>
      <c r="K157" s="161">
        <v>0</v>
      </c>
    </row>
    <row r="158" spans="1:11">
      <c r="A158">
        <v>2024</v>
      </c>
      <c r="B158">
        <v>11</v>
      </c>
      <c r="C158" t="s">
        <v>63</v>
      </c>
      <c r="D158" t="s">
        <v>66</v>
      </c>
      <c r="E158" s="69">
        <v>113911</v>
      </c>
      <c r="F158" s="161">
        <v>658155.75</v>
      </c>
      <c r="G158" s="69">
        <v>113873</v>
      </c>
      <c r="H158" s="161">
        <v>492101.66</v>
      </c>
      <c r="I158" s="68">
        <v>0</v>
      </c>
      <c r="J158" s="68">
        <v>0</v>
      </c>
      <c r="K158" s="161">
        <v>0</v>
      </c>
    </row>
    <row r="159" spans="1:11">
      <c r="A159">
        <v>2024</v>
      </c>
      <c r="B159">
        <v>11</v>
      </c>
      <c r="C159" t="s">
        <v>63</v>
      </c>
      <c r="D159" t="s">
        <v>67</v>
      </c>
      <c r="E159" s="69">
        <v>151605</v>
      </c>
      <c r="F159" s="161">
        <v>739317.79</v>
      </c>
      <c r="G159" s="69">
        <v>151605</v>
      </c>
      <c r="H159" s="161">
        <v>689954.38</v>
      </c>
      <c r="I159" s="68">
        <v>0</v>
      </c>
      <c r="J159" s="68">
        <v>0</v>
      </c>
      <c r="K159" s="161">
        <v>0</v>
      </c>
    </row>
    <row r="160" spans="1:11">
      <c r="A160">
        <v>2024</v>
      </c>
      <c r="B160">
        <v>11</v>
      </c>
      <c r="C160" t="s">
        <v>63</v>
      </c>
      <c r="D160" t="s">
        <v>68</v>
      </c>
      <c r="E160" s="69">
        <v>48317</v>
      </c>
      <c r="F160" s="161">
        <v>250034.3</v>
      </c>
      <c r="G160" s="69">
        <v>48276</v>
      </c>
      <c r="H160" s="161">
        <v>170397.02</v>
      </c>
      <c r="I160" s="68">
        <v>0</v>
      </c>
      <c r="J160" s="68">
        <v>0</v>
      </c>
      <c r="K160" s="161">
        <v>0</v>
      </c>
    </row>
    <row r="161" spans="1:11">
      <c r="A161">
        <v>2024</v>
      </c>
      <c r="B161">
        <v>11</v>
      </c>
      <c r="C161" t="s">
        <v>69</v>
      </c>
      <c r="D161" t="s">
        <v>64</v>
      </c>
      <c r="E161" s="69">
        <v>309246</v>
      </c>
      <c r="F161" s="161">
        <v>2059818.51</v>
      </c>
      <c r="G161" s="69">
        <v>308914</v>
      </c>
      <c r="H161" s="161">
        <v>1402713.78</v>
      </c>
      <c r="I161" s="68">
        <v>47339</v>
      </c>
      <c r="J161" s="68">
        <v>47598</v>
      </c>
      <c r="K161" s="161">
        <v>2664090.25</v>
      </c>
    </row>
    <row r="162" spans="1:11">
      <c r="A162">
        <v>2024</v>
      </c>
      <c r="B162">
        <v>11</v>
      </c>
      <c r="C162" t="s">
        <v>69</v>
      </c>
      <c r="D162" t="s">
        <v>68</v>
      </c>
      <c r="E162" s="69">
        <v>47639</v>
      </c>
      <c r="F162" s="161">
        <v>238100.77</v>
      </c>
      <c r="G162" s="69">
        <v>47630</v>
      </c>
      <c r="H162" s="161">
        <v>162917.34</v>
      </c>
      <c r="I162" s="68">
        <v>8850</v>
      </c>
      <c r="J162" s="68">
        <v>8861</v>
      </c>
      <c r="K162" s="161">
        <v>304560.99</v>
      </c>
    </row>
    <row r="163" spans="1:11">
      <c r="A163">
        <v>2024</v>
      </c>
      <c r="B163">
        <v>12</v>
      </c>
      <c r="C163" t="s">
        <v>63</v>
      </c>
      <c r="D163" t="s">
        <v>64</v>
      </c>
      <c r="E163" s="69">
        <v>4005215</v>
      </c>
      <c r="F163" s="161">
        <v>24666886.649999999</v>
      </c>
      <c r="G163" s="69">
        <v>3792663</v>
      </c>
      <c r="H163" s="161">
        <v>17219434.59</v>
      </c>
      <c r="I163" s="68">
        <v>0</v>
      </c>
      <c r="J163" s="68">
        <v>0</v>
      </c>
      <c r="K163" s="161">
        <v>0</v>
      </c>
    </row>
    <row r="164" spans="1:11">
      <c r="A164">
        <v>2024</v>
      </c>
      <c r="B164">
        <v>12</v>
      </c>
      <c r="C164" t="s">
        <v>63</v>
      </c>
      <c r="D164" t="s">
        <v>65</v>
      </c>
      <c r="E164" s="69">
        <v>151729</v>
      </c>
      <c r="F164" s="161">
        <v>663969.43000000005</v>
      </c>
      <c r="G164" s="69">
        <v>151305</v>
      </c>
      <c r="H164" s="161">
        <v>513847.58</v>
      </c>
      <c r="I164" s="68">
        <v>0</v>
      </c>
      <c r="J164" s="68">
        <v>0</v>
      </c>
      <c r="K164" s="161">
        <v>0</v>
      </c>
    </row>
    <row r="165" spans="1:11">
      <c r="A165">
        <v>2024</v>
      </c>
      <c r="B165">
        <v>12</v>
      </c>
      <c r="C165" t="s">
        <v>63</v>
      </c>
      <c r="D165" t="s">
        <v>66</v>
      </c>
      <c r="E165" s="69">
        <v>114471</v>
      </c>
      <c r="F165" s="161">
        <v>662480.53</v>
      </c>
      <c r="G165" s="69">
        <v>114439</v>
      </c>
      <c r="H165" s="161">
        <v>495680.78</v>
      </c>
      <c r="I165" s="68">
        <v>0</v>
      </c>
      <c r="J165" s="68">
        <v>0</v>
      </c>
      <c r="K165" s="161">
        <v>0</v>
      </c>
    </row>
    <row r="166" spans="1:11">
      <c r="A166">
        <v>2024</v>
      </c>
      <c r="B166">
        <v>12</v>
      </c>
      <c r="C166" t="s">
        <v>63</v>
      </c>
      <c r="D166" t="s">
        <v>67</v>
      </c>
      <c r="E166" s="69">
        <v>224817</v>
      </c>
      <c r="F166" s="161">
        <v>1088125.17</v>
      </c>
      <c r="G166" s="69">
        <v>224817</v>
      </c>
      <c r="H166" s="161">
        <v>1023142.2</v>
      </c>
      <c r="I166" s="68">
        <v>0</v>
      </c>
      <c r="J166" s="68">
        <v>0</v>
      </c>
      <c r="K166" s="161">
        <v>0</v>
      </c>
    </row>
    <row r="167" spans="1:11">
      <c r="A167">
        <v>2024</v>
      </c>
      <c r="B167">
        <v>12</v>
      </c>
      <c r="C167" t="s">
        <v>63</v>
      </c>
      <c r="D167" t="s">
        <v>68</v>
      </c>
      <c r="E167" s="69">
        <v>50034</v>
      </c>
      <c r="F167" s="161">
        <v>258545.89</v>
      </c>
      <c r="G167" s="69">
        <v>49776</v>
      </c>
      <c r="H167" s="161">
        <v>175441.31</v>
      </c>
      <c r="I167" s="68">
        <v>0</v>
      </c>
      <c r="J167" s="68">
        <v>0</v>
      </c>
      <c r="K167" s="161">
        <v>0</v>
      </c>
    </row>
    <row r="168" spans="1:11">
      <c r="A168">
        <v>2024</v>
      </c>
      <c r="B168">
        <v>12</v>
      </c>
      <c r="C168" t="s">
        <v>69</v>
      </c>
      <c r="D168" t="s">
        <v>64</v>
      </c>
      <c r="E168" s="69">
        <v>328280</v>
      </c>
      <c r="F168" s="161">
        <v>2188002.37</v>
      </c>
      <c r="G168" s="69">
        <v>327957</v>
      </c>
      <c r="H168" s="161">
        <v>1490416.48</v>
      </c>
      <c r="I168" s="68">
        <v>50616</v>
      </c>
      <c r="J168" s="68">
        <v>51423</v>
      </c>
      <c r="K168" s="161">
        <v>2827855.19</v>
      </c>
    </row>
    <row r="169" spans="1:11">
      <c r="A169">
        <v>2024</v>
      </c>
      <c r="B169">
        <v>12</v>
      </c>
      <c r="C169" t="s">
        <v>69</v>
      </c>
      <c r="D169" t="s">
        <v>68</v>
      </c>
      <c r="E169" s="69">
        <v>52859</v>
      </c>
      <c r="F169" s="161">
        <v>262442.84999999998</v>
      </c>
      <c r="G169" s="69">
        <v>52847</v>
      </c>
      <c r="H169" s="161">
        <v>179685.39</v>
      </c>
      <c r="I169" s="68">
        <v>9496</v>
      </c>
      <c r="J169" s="68">
        <v>9689</v>
      </c>
      <c r="K169" s="161">
        <v>339500.1</v>
      </c>
    </row>
    <row r="170" spans="1:11">
      <c r="A170">
        <v>2025</v>
      </c>
      <c r="B170">
        <v>1</v>
      </c>
      <c r="C170" t="s">
        <v>63</v>
      </c>
      <c r="D170" t="s">
        <v>64</v>
      </c>
      <c r="E170" s="69">
        <v>4188616</v>
      </c>
      <c r="F170" s="161">
        <v>26066895.140000001</v>
      </c>
      <c r="G170" s="69">
        <v>3966556</v>
      </c>
      <c r="H170" s="161">
        <v>18165274.23</v>
      </c>
      <c r="I170" s="68">
        <v>0</v>
      </c>
      <c r="J170" s="68">
        <v>0</v>
      </c>
      <c r="K170" s="161">
        <v>0</v>
      </c>
    </row>
    <row r="171" spans="1:11">
      <c r="A171">
        <v>2025</v>
      </c>
      <c r="B171">
        <v>1</v>
      </c>
      <c r="C171" t="s">
        <v>63</v>
      </c>
      <c r="D171" t="s">
        <v>65</v>
      </c>
      <c r="E171" s="69">
        <v>133826</v>
      </c>
      <c r="F171" s="161">
        <v>593548.78</v>
      </c>
      <c r="G171" s="69">
        <v>133315</v>
      </c>
      <c r="H171" s="161">
        <v>456644.05</v>
      </c>
      <c r="I171" s="68">
        <v>0</v>
      </c>
      <c r="J171" s="68">
        <v>0</v>
      </c>
      <c r="K171" s="161">
        <v>0</v>
      </c>
    </row>
    <row r="172" spans="1:11">
      <c r="A172">
        <v>2025</v>
      </c>
      <c r="B172">
        <v>1</v>
      </c>
      <c r="C172" t="s">
        <v>63</v>
      </c>
      <c r="D172" t="s">
        <v>66</v>
      </c>
      <c r="E172" s="69">
        <v>120462</v>
      </c>
      <c r="F172" s="161">
        <v>693904.11</v>
      </c>
      <c r="G172" s="69">
        <v>120426</v>
      </c>
      <c r="H172" s="161">
        <v>521156.81</v>
      </c>
      <c r="I172" s="68">
        <v>0</v>
      </c>
      <c r="J172" s="68">
        <v>0</v>
      </c>
      <c r="K172" s="161">
        <v>0</v>
      </c>
    </row>
    <row r="173" spans="1:11">
      <c r="A173">
        <v>2025</v>
      </c>
      <c r="B173">
        <v>1</v>
      </c>
      <c r="C173" t="s">
        <v>63</v>
      </c>
      <c r="D173" t="s">
        <v>67</v>
      </c>
      <c r="E173" s="69">
        <v>337279</v>
      </c>
      <c r="F173" s="161">
        <v>1630903.28</v>
      </c>
      <c r="G173" s="69">
        <v>337279</v>
      </c>
      <c r="H173" s="161">
        <v>1534956.7</v>
      </c>
      <c r="I173" s="68">
        <v>0</v>
      </c>
      <c r="J173" s="68">
        <v>0</v>
      </c>
      <c r="K173" s="161">
        <v>0</v>
      </c>
    </row>
    <row r="174" spans="1:11">
      <c r="A174">
        <v>2025</v>
      </c>
      <c r="B174">
        <v>1</v>
      </c>
      <c r="C174" t="s">
        <v>63</v>
      </c>
      <c r="D174" t="s">
        <v>68</v>
      </c>
      <c r="E174" s="69">
        <v>59816</v>
      </c>
      <c r="F174" s="161">
        <v>302782.7</v>
      </c>
      <c r="G174" s="69">
        <v>59785</v>
      </c>
      <c r="H174" s="161">
        <v>207456.91</v>
      </c>
      <c r="I174" s="68">
        <v>0</v>
      </c>
      <c r="J174" s="68">
        <v>0</v>
      </c>
      <c r="K174" s="161">
        <v>0</v>
      </c>
    </row>
    <row r="175" spans="1:11">
      <c r="A175">
        <v>2025</v>
      </c>
      <c r="B175">
        <v>1</v>
      </c>
      <c r="C175" t="s">
        <v>69</v>
      </c>
      <c r="D175" t="s">
        <v>64</v>
      </c>
      <c r="E175" s="69">
        <v>371695</v>
      </c>
      <c r="F175" s="161">
        <v>2472853.39</v>
      </c>
      <c r="G175" s="69">
        <v>371412</v>
      </c>
      <c r="H175" s="161">
        <v>1686355.97</v>
      </c>
      <c r="I175" s="68">
        <v>50736</v>
      </c>
      <c r="J175" s="68">
        <v>54169</v>
      </c>
      <c r="K175" s="161">
        <v>3239325.07</v>
      </c>
    </row>
    <row r="176" spans="1:11">
      <c r="A176">
        <v>2025</v>
      </c>
      <c r="B176">
        <v>1</v>
      </c>
      <c r="C176" t="s">
        <v>69</v>
      </c>
      <c r="D176" t="s">
        <v>68</v>
      </c>
      <c r="E176" s="69">
        <v>59637</v>
      </c>
      <c r="F176" s="161">
        <v>297433.59999999998</v>
      </c>
      <c r="G176" s="69">
        <v>59613</v>
      </c>
      <c r="H176" s="161">
        <v>203789.18</v>
      </c>
      <c r="I176" s="68">
        <v>9550</v>
      </c>
      <c r="J176" s="68">
        <v>10203</v>
      </c>
      <c r="K176" s="161">
        <v>390954.12</v>
      </c>
    </row>
    <row r="177" spans="1:11">
      <c r="A177">
        <v>2025</v>
      </c>
      <c r="B177">
        <v>2</v>
      </c>
      <c r="C177" t="s">
        <v>63</v>
      </c>
      <c r="D177" t="s">
        <v>64</v>
      </c>
      <c r="E177" s="69">
        <v>3637811</v>
      </c>
      <c r="F177" s="161">
        <v>22637402.210000001</v>
      </c>
      <c r="G177" s="69">
        <v>3481368</v>
      </c>
      <c r="H177" s="161">
        <v>15904158.58</v>
      </c>
      <c r="I177" s="68">
        <v>0</v>
      </c>
      <c r="J177" s="68">
        <v>0</v>
      </c>
      <c r="K177" s="161">
        <v>0</v>
      </c>
    </row>
    <row r="178" spans="1:11">
      <c r="A178">
        <v>2025</v>
      </c>
      <c r="B178">
        <v>2</v>
      </c>
      <c r="C178" t="s">
        <v>63</v>
      </c>
      <c r="D178" t="s">
        <v>65</v>
      </c>
      <c r="E178" s="69">
        <v>125206</v>
      </c>
      <c r="F178" s="161">
        <v>555825.71</v>
      </c>
      <c r="G178" s="69">
        <v>124636</v>
      </c>
      <c r="H178" s="161">
        <v>427178.83</v>
      </c>
      <c r="I178" s="68">
        <v>0</v>
      </c>
      <c r="J178" s="68">
        <v>0</v>
      </c>
      <c r="K178" s="161">
        <v>0</v>
      </c>
    </row>
    <row r="179" spans="1:11">
      <c r="A179">
        <v>2025</v>
      </c>
      <c r="B179">
        <v>2</v>
      </c>
      <c r="C179" t="s">
        <v>63</v>
      </c>
      <c r="D179" t="s">
        <v>66</v>
      </c>
      <c r="E179" s="69">
        <v>109199</v>
      </c>
      <c r="F179" s="161">
        <v>634095.57999999996</v>
      </c>
      <c r="G179" s="69">
        <v>109157</v>
      </c>
      <c r="H179" s="161">
        <v>473875.48</v>
      </c>
      <c r="I179" s="68">
        <v>0</v>
      </c>
      <c r="J179" s="68">
        <v>0</v>
      </c>
      <c r="K179" s="161">
        <v>0</v>
      </c>
    </row>
    <row r="180" spans="1:11">
      <c r="A180">
        <v>2025</v>
      </c>
      <c r="B180">
        <v>2</v>
      </c>
      <c r="C180" t="s">
        <v>63</v>
      </c>
      <c r="D180" t="s">
        <v>67</v>
      </c>
      <c r="E180" s="69">
        <v>80795</v>
      </c>
      <c r="F180" s="161">
        <v>399818.26</v>
      </c>
      <c r="G180" s="69">
        <v>80795</v>
      </c>
      <c r="H180" s="161">
        <v>367698.01</v>
      </c>
      <c r="I180" s="68">
        <v>0</v>
      </c>
      <c r="J180" s="68">
        <v>0</v>
      </c>
      <c r="K180" s="161">
        <v>0</v>
      </c>
    </row>
    <row r="181" spans="1:11">
      <c r="A181">
        <v>2025</v>
      </c>
      <c r="B181">
        <v>2</v>
      </c>
      <c r="C181" t="s">
        <v>63</v>
      </c>
      <c r="D181" t="s">
        <v>68</v>
      </c>
      <c r="E181" s="69">
        <v>49128</v>
      </c>
      <c r="F181" s="161">
        <v>250794.25</v>
      </c>
      <c r="G181" s="69">
        <v>49096</v>
      </c>
      <c r="H181" s="161">
        <v>172359.72</v>
      </c>
      <c r="I181" s="68">
        <v>0</v>
      </c>
      <c r="J181" s="68">
        <v>0</v>
      </c>
      <c r="K181" s="161">
        <v>0</v>
      </c>
    </row>
    <row r="182" spans="1:11">
      <c r="A182">
        <v>2025</v>
      </c>
      <c r="B182">
        <v>2</v>
      </c>
      <c r="C182" t="s">
        <v>69</v>
      </c>
      <c r="D182" t="s">
        <v>64</v>
      </c>
      <c r="E182" s="69">
        <v>312104</v>
      </c>
      <c r="F182" s="161">
        <v>2074630.12</v>
      </c>
      <c r="G182" s="69">
        <v>311835</v>
      </c>
      <c r="H182" s="161">
        <v>1416212.02</v>
      </c>
      <c r="I182" s="68">
        <v>49782</v>
      </c>
      <c r="J182" s="68">
        <v>49925</v>
      </c>
      <c r="K182" s="161">
        <v>2656946.17</v>
      </c>
    </row>
    <row r="183" spans="1:11">
      <c r="A183">
        <v>2025</v>
      </c>
      <c r="B183">
        <v>2</v>
      </c>
      <c r="C183" t="s">
        <v>69</v>
      </c>
      <c r="D183" t="s">
        <v>68</v>
      </c>
      <c r="E183" s="69">
        <v>50439</v>
      </c>
      <c r="F183" s="161">
        <v>249996.81</v>
      </c>
      <c r="G183" s="69">
        <v>50423</v>
      </c>
      <c r="H183" s="161">
        <v>171760.4</v>
      </c>
      <c r="I183" s="68">
        <v>9061</v>
      </c>
      <c r="J183" s="68">
        <v>9073</v>
      </c>
      <c r="K183" s="161">
        <v>321839.31</v>
      </c>
    </row>
    <row r="184" spans="1:11">
      <c r="A184">
        <v>2025</v>
      </c>
      <c r="B184">
        <v>3</v>
      </c>
      <c r="C184" t="s">
        <v>63</v>
      </c>
      <c r="D184" t="s">
        <v>64</v>
      </c>
      <c r="E184" s="69">
        <v>3666202</v>
      </c>
      <c r="F184" s="161">
        <v>22820838.93</v>
      </c>
      <c r="G184" s="69">
        <v>3448951</v>
      </c>
      <c r="H184" s="161">
        <v>15783290.960000001</v>
      </c>
      <c r="I184" s="68">
        <v>0</v>
      </c>
      <c r="J184" s="68">
        <v>0</v>
      </c>
      <c r="K184" s="161">
        <v>0</v>
      </c>
    </row>
    <row r="185" spans="1:11">
      <c r="A185">
        <v>2025</v>
      </c>
      <c r="B185">
        <v>3</v>
      </c>
      <c r="C185" t="s">
        <v>63</v>
      </c>
      <c r="D185" t="s">
        <v>65</v>
      </c>
      <c r="E185" s="69">
        <v>132291</v>
      </c>
      <c r="F185" s="161">
        <v>587170.18000000005</v>
      </c>
      <c r="G185" s="69">
        <v>131702</v>
      </c>
      <c r="H185" s="161">
        <v>450132.24</v>
      </c>
      <c r="I185" s="68">
        <v>0</v>
      </c>
      <c r="J185" s="68">
        <v>0</v>
      </c>
      <c r="K185" s="161">
        <v>0</v>
      </c>
    </row>
    <row r="186" spans="1:11">
      <c r="A186">
        <v>2025</v>
      </c>
      <c r="B186">
        <v>3</v>
      </c>
      <c r="C186" t="s">
        <v>63</v>
      </c>
      <c r="D186" t="s">
        <v>66</v>
      </c>
      <c r="E186" s="69">
        <v>104711</v>
      </c>
      <c r="F186" s="161">
        <v>611709.01</v>
      </c>
      <c r="G186" s="69">
        <v>104668</v>
      </c>
      <c r="H186" s="161">
        <v>455509.86</v>
      </c>
      <c r="I186" s="68">
        <v>0</v>
      </c>
      <c r="J186" s="68">
        <v>0</v>
      </c>
      <c r="K186" s="161">
        <v>0</v>
      </c>
    </row>
    <row r="187" spans="1:11">
      <c r="A187">
        <v>2025</v>
      </c>
      <c r="B187">
        <v>3</v>
      </c>
      <c r="C187" t="s">
        <v>63</v>
      </c>
      <c r="D187" t="s">
        <v>67</v>
      </c>
      <c r="E187" s="69">
        <v>194055</v>
      </c>
      <c r="F187" s="161">
        <v>942116.83</v>
      </c>
      <c r="G187" s="69">
        <v>194055</v>
      </c>
      <c r="H187" s="161">
        <v>883144.32</v>
      </c>
      <c r="I187" s="68">
        <v>0</v>
      </c>
      <c r="J187" s="68">
        <v>0</v>
      </c>
      <c r="K187" s="161">
        <v>0</v>
      </c>
    </row>
    <row r="188" spans="1:11">
      <c r="A188">
        <v>2025</v>
      </c>
      <c r="B188">
        <v>3</v>
      </c>
      <c r="C188" t="s">
        <v>63</v>
      </c>
      <c r="D188" t="s">
        <v>68</v>
      </c>
      <c r="E188" s="69">
        <v>50086</v>
      </c>
      <c r="F188" s="161">
        <v>257020.85</v>
      </c>
      <c r="G188" s="69">
        <v>50037</v>
      </c>
      <c r="H188" s="161">
        <v>176781.8</v>
      </c>
      <c r="I188" s="68">
        <v>0</v>
      </c>
      <c r="J188" s="68">
        <v>0</v>
      </c>
      <c r="K188" s="161">
        <v>0</v>
      </c>
    </row>
    <row r="189" spans="1:11">
      <c r="A189">
        <v>2025</v>
      </c>
      <c r="B189">
        <v>3</v>
      </c>
      <c r="C189" t="s">
        <v>69</v>
      </c>
      <c r="D189" t="s">
        <v>64</v>
      </c>
      <c r="E189" s="69">
        <v>323993</v>
      </c>
      <c r="F189" s="161">
        <v>2160267.21</v>
      </c>
      <c r="G189" s="69">
        <v>323717</v>
      </c>
      <c r="H189" s="161">
        <v>1471647.66</v>
      </c>
      <c r="I189" s="68">
        <v>54265</v>
      </c>
      <c r="J189" s="68">
        <v>54541</v>
      </c>
      <c r="K189" s="161">
        <v>2726868.83</v>
      </c>
    </row>
    <row r="190" spans="1:11">
      <c r="A190">
        <v>2025</v>
      </c>
      <c r="B190">
        <v>3</v>
      </c>
      <c r="C190" t="s">
        <v>69</v>
      </c>
      <c r="D190" t="s">
        <v>68</v>
      </c>
      <c r="E190" s="69">
        <v>51758</v>
      </c>
      <c r="F190" s="161">
        <v>257544.98</v>
      </c>
      <c r="G190" s="69">
        <v>51745</v>
      </c>
      <c r="H190" s="161">
        <v>176781.71</v>
      </c>
      <c r="I190" s="68">
        <v>9779</v>
      </c>
      <c r="J190" s="68">
        <v>9817</v>
      </c>
      <c r="K190" s="161">
        <v>324667.15999999997</v>
      </c>
    </row>
    <row r="191" spans="1:11">
      <c r="A191">
        <v>2025</v>
      </c>
      <c r="B191">
        <v>4</v>
      </c>
      <c r="C191" t="s">
        <v>63</v>
      </c>
      <c r="D191" t="s">
        <v>64</v>
      </c>
      <c r="E191" s="69">
        <v>3768623</v>
      </c>
      <c r="F191" s="161">
        <v>23642528.359999999</v>
      </c>
      <c r="G191" s="69">
        <v>3580867</v>
      </c>
      <c r="H191" s="161">
        <v>16550453.460000001</v>
      </c>
      <c r="I191" s="68">
        <v>0</v>
      </c>
      <c r="J191" s="68">
        <v>0</v>
      </c>
      <c r="K191" s="161">
        <v>0</v>
      </c>
    </row>
    <row r="192" spans="1:11">
      <c r="A192">
        <v>2025</v>
      </c>
      <c r="B192">
        <v>4</v>
      </c>
      <c r="C192" t="s">
        <v>63</v>
      </c>
      <c r="D192" t="s">
        <v>65</v>
      </c>
      <c r="E192" s="69">
        <v>128264</v>
      </c>
      <c r="F192" s="161">
        <v>568585.36</v>
      </c>
      <c r="G192" s="69">
        <v>127647</v>
      </c>
      <c r="H192" s="161">
        <v>437216.08</v>
      </c>
      <c r="I192" s="68">
        <v>0</v>
      </c>
      <c r="J192" s="68">
        <v>0</v>
      </c>
      <c r="K192" s="161">
        <v>0</v>
      </c>
    </row>
    <row r="193" spans="1:11">
      <c r="A193">
        <v>2025</v>
      </c>
      <c r="B193">
        <v>4</v>
      </c>
      <c r="C193" t="s">
        <v>63</v>
      </c>
      <c r="D193" t="s">
        <v>66</v>
      </c>
      <c r="E193" s="69">
        <v>103127</v>
      </c>
      <c r="F193" s="161">
        <v>602858.05000000005</v>
      </c>
      <c r="G193" s="69">
        <v>103076</v>
      </c>
      <c r="H193" s="161">
        <v>447613.04</v>
      </c>
      <c r="I193" s="68">
        <v>0</v>
      </c>
      <c r="J193" s="68">
        <v>0</v>
      </c>
      <c r="K193" s="161">
        <v>0</v>
      </c>
    </row>
    <row r="194" spans="1:11">
      <c r="A194">
        <v>2025</v>
      </c>
      <c r="B194">
        <v>4</v>
      </c>
      <c r="C194" t="s">
        <v>63</v>
      </c>
      <c r="D194" t="s">
        <v>67</v>
      </c>
      <c r="E194" s="69">
        <v>199603</v>
      </c>
      <c r="F194" s="161">
        <v>969109.57</v>
      </c>
      <c r="G194" s="69">
        <v>199603</v>
      </c>
      <c r="H194" s="161">
        <v>908393.26</v>
      </c>
      <c r="I194" s="68">
        <v>0</v>
      </c>
      <c r="J194" s="68">
        <v>0</v>
      </c>
      <c r="K194" s="161">
        <v>0</v>
      </c>
    </row>
    <row r="195" spans="1:11">
      <c r="A195">
        <v>2025</v>
      </c>
      <c r="B195">
        <v>4</v>
      </c>
      <c r="C195" t="s">
        <v>63</v>
      </c>
      <c r="D195" t="s">
        <v>68</v>
      </c>
      <c r="E195" s="69">
        <v>47494</v>
      </c>
      <c r="F195" s="161">
        <v>241744.99</v>
      </c>
      <c r="G195" s="69">
        <v>47466</v>
      </c>
      <c r="H195" s="161">
        <v>165463.09</v>
      </c>
      <c r="I195" s="68">
        <v>0</v>
      </c>
      <c r="J195" s="68">
        <v>0</v>
      </c>
      <c r="K195" s="161">
        <v>0</v>
      </c>
    </row>
    <row r="196" spans="1:11">
      <c r="A196">
        <v>2025</v>
      </c>
      <c r="B196">
        <v>4</v>
      </c>
      <c r="C196" t="s">
        <v>69</v>
      </c>
      <c r="D196" t="s">
        <v>64</v>
      </c>
      <c r="E196" s="69">
        <v>331034</v>
      </c>
      <c r="F196" s="161">
        <v>2211966.69</v>
      </c>
      <c r="G196" s="69">
        <v>330764</v>
      </c>
      <c r="H196" s="161">
        <v>1505015.02</v>
      </c>
      <c r="I196" s="68">
        <v>54888</v>
      </c>
      <c r="J196" s="68">
        <v>55089</v>
      </c>
      <c r="K196" s="161">
        <v>2807882.43</v>
      </c>
    </row>
    <row r="197" spans="1:11">
      <c r="A197">
        <v>2025</v>
      </c>
      <c r="B197">
        <v>4</v>
      </c>
      <c r="C197" t="s">
        <v>69</v>
      </c>
      <c r="D197" t="s">
        <v>68</v>
      </c>
      <c r="E197" s="69">
        <v>51319</v>
      </c>
      <c r="F197" s="161">
        <v>256259.46</v>
      </c>
      <c r="G197" s="69">
        <v>51311</v>
      </c>
      <c r="H197" s="161">
        <v>175388.91</v>
      </c>
      <c r="I197" s="68">
        <v>9874</v>
      </c>
      <c r="J197" s="68">
        <v>9907</v>
      </c>
      <c r="K197" s="161">
        <v>320459.98</v>
      </c>
    </row>
    <row r="198" spans="1:11">
      <c r="A198">
        <v>2025</v>
      </c>
      <c r="B198">
        <v>5</v>
      </c>
      <c r="C198" t="s">
        <v>63</v>
      </c>
      <c r="D198" t="s">
        <v>64</v>
      </c>
      <c r="E198" s="69">
        <v>3942518</v>
      </c>
      <c r="F198" s="161">
        <v>24435591.390000001</v>
      </c>
      <c r="G198" s="69">
        <v>3702734</v>
      </c>
      <c r="H198" s="161">
        <v>16978701.52</v>
      </c>
      <c r="I198" s="68">
        <v>0</v>
      </c>
      <c r="J198" s="68">
        <v>0</v>
      </c>
      <c r="K198" s="161">
        <v>0</v>
      </c>
    </row>
    <row r="199" spans="1:11">
      <c r="A199">
        <v>2025</v>
      </c>
      <c r="B199">
        <v>5</v>
      </c>
      <c r="C199" t="s">
        <v>63</v>
      </c>
      <c r="D199" t="s">
        <v>65</v>
      </c>
      <c r="E199" s="69">
        <v>141544</v>
      </c>
      <c r="F199" s="161">
        <v>620131.37</v>
      </c>
      <c r="G199" s="69">
        <v>140608</v>
      </c>
      <c r="H199" s="161">
        <v>481604.47</v>
      </c>
      <c r="I199" s="68">
        <v>0</v>
      </c>
      <c r="J199" s="68">
        <v>0</v>
      </c>
      <c r="K199" s="161">
        <v>0</v>
      </c>
    </row>
    <row r="200" spans="1:11">
      <c r="A200">
        <v>2025</v>
      </c>
      <c r="B200">
        <v>5</v>
      </c>
      <c r="C200" t="s">
        <v>63</v>
      </c>
      <c r="D200" t="s">
        <v>66</v>
      </c>
      <c r="E200" s="69">
        <v>120137</v>
      </c>
      <c r="F200" s="161">
        <v>684208.67</v>
      </c>
      <c r="G200" s="69">
        <v>120074</v>
      </c>
      <c r="H200" s="161">
        <v>519994.46</v>
      </c>
      <c r="I200" s="68">
        <v>0</v>
      </c>
      <c r="J200" s="68">
        <v>0</v>
      </c>
      <c r="K200" s="161">
        <v>0</v>
      </c>
    </row>
    <row r="201" spans="1:11">
      <c r="A201">
        <v>2025</v>
      </c>
      <c r="B201">
        <v>5</v>
      </c>
      <c r="C201" t="s">
        <v>63</v>
      </c>
      <c r="D201" t="s">
        <v>67</v>
      </c>
      <c r="E201" s="69">
        <v>200095</v>
      </c>
      <c r="F201" s="161">
        <v>972553.17</v>
      </c>
      <c r="G201" s="69">
        <v>200095</v>
      </c>
      <c r="H201" s="161">
        <v>910632.4</v>
      </c>
      <c r="I201" s="68">
        <v>0</v>
      </c>
      <c r="J201" s="68">
        <v>0</v>
      </c>
      <c r="K201" s="161">
        <v>0</v>
      </c>
    </row>
    <row r="202" spans="1:11">
      <c r="A202">
        <v>2025</v>
      </c>
      <c r="B202">
        <v>5</v>
      </c>
      <c r="C202" t="s">
        <v>63</v>
      </c>
      <c r="D202" t="s">
        <v>68</v>
      </c>
      <c r="E202" s="69">
        <v>47241</v>
      </c>
      <c r="F202" s="161">
        <v>244568.09</v>
      </c>
      <c r="G202" s="69">
        <v>47208</v>
      </c>
      <c r="H202" s="161">
        <v>167145.10999999999</v>
      </c>
      <c r="I202" s="68">
        <v>0</v>
      </c>
      <c r="J202" s="68">
        <v>0</v>
      </c>
      <c r="K202" s="161">
        <v>0</v>
      </c>
    </row>
    <row r="203" spans="1:11">
      <c r="A203">
        <v>2025</v>
      </c>
      <c r="B203">
        <v>5</v>
      </c>
      <c r="C203" t="s">
        <v>69</v>
      </c>
      <c r="D203" t="s">
        <v>64</v>
      </c>
      <c r="E203" s="69">
        <v>343944</v>
      </c>
      <c r="F203" s="161">
        <v>2296330.79</v>
      </c>
      <c r="G203" s="69">
        <v>343624</v>
      </c>
      <c r="H203" s="161">
        <v>1562333.71</v>
      </c>
      <c r="I203" s="68">
        <v>55226</v>
      </c>
      <c r="J203" s="68">
        <v>55442</v>
      </c>
      <c r="K203" s="161">
        <v>2920704.14</v>
      </c>
    </row>
    <row r="204" spans="1:11">
      <c r="A204">
        <v>2025</v>
      </c>
      <c r="B204">
        <v>5</v>
      </c>
      <c r="C204" t="s">
        <v>69</v>
      </c>
      <c r="D204" t="s">
        <v>68</v>
      </c>
      <c r="E204" s="69">
        <v>51814</v>
      </c>
      <c r="F204" s="161">
        <v>258964.3</v>
      </c>
      <c r="G204" s="69">
        <v>51803</v>
      </c>
      <c r="H204" s="161">
        <v>177060.78</v>
      </c>
      <c r="I204" s="68">
        <v>9888</v>
      </c>
      <c r="J204" s="68">
        <v>9910</v>
      </c>
      <c r="K204" s="161">
        <v>323019.93</v>
      </c>
    </row>
    <row r="205" spans="1:11">
      <c r="A205">
        <v>2025</v>
      </c>
      <c r="B205">
        <v>6</v>
      </c>
      <c r="C205" t="s">
        <v>63</v>
      </c>
      <c r="D205" t="s">
        <v>64</v>
      </c>
      <c r="E205" s="69">
        <v>4123420</v>
      </c>
      <c r="F205" s="161">
        <v>25405596.510000002</v>
      </c>
      <c r="G205" s="69">
        <v>3879586</v>
      </c>
      <c r="H205" s="161">
        <v>17737936.57</v>
      </c>
      <c r="I205" s="68">
        <v>0</v>
      </c>
      <c r="J205" s="68">
        <v>0</v>
      </c>
      <c r="K205" s="161">
        <v>0</v>
      </c>
    </row>
    <row r="206" spans="1:11">
      <c r="A206">
        <v>2025</v>
      </c>
      <c r="B206">
        <v>6</v>
      </c>
      <c r="C206" t="s">
        <v>63</v>
      </c>
      <c r="D206" t="s">
        <v>65</v>
      </c>
      <c r="E206" s="69">
        <v>151644</v>
      </c>
      <c r="F206" s="161">
        <v>658101.76000000001</v>
      </c>
      <c r="G206" s="69">
        <v>150750</v>
      </c>
      <c r="H206" s="161">
        <v>516419.11</v>
      </c>
      <c r="I206" s="68">
        <v>0</v>
      </c>
      <c r="J206" s="68">
        <v>0</v>
      </c>
      <c r="K206" s="161">
        <v>0</v>
      </c>
    </row>
    <row r="207" spans="1:11">
      <c r="A207">
        <v>2025</v>
      </c>
      <c r="B207">
        <v>6</v>
      </c>
      <c r="C207" t="s">
        <v>63</v>
      </c>
      <c r="D207" t="s">
        <v>66</v>
      </c>
      <c r="E207" s="69">
        <v>106380</v>
      </c>
      <c r="F207" s="161">
        <v>623490.74</v>
      </c>
      <c r="G207" s="69">
        <v>106299</v>
      </c>
      <c r="H207" s="161">
        <v>461396.22</v>
      </c>
      <c r="I207" s="68">
        <v>0</v>
      </c>
      <c r="J207" s="68">
        <v>0</v>
      </c>
      <c r="K207" s="161">
        <v>0</v>
      </c>
    </row>
    <row r="208" spans="1:11">
      <c r="A208">
        <v>2025</v>
      </c>
      <c r="B208">
        <v>6</v>
      </c>
      <c r="C208" t="s">
        <v>63</v>
      </c>
      <c r="D208" t="s">
        <v>67</v>
      </c>
      <c r="E208" s="69">
        <v>190575</v>
      </c>
      <c r="F208" s="161">
        <v>926787.54</v>
      </c>
      <c r="G208" s="69">
        <v>190575</v>
      </c>
      <c r="H208" s="161">
        <v>867306.87</v>
      </c>
      <c r="I208" s="68">
        <v>0</v>
      </c>
      <c r="J208" s="68">
        <v>0</v>
      </c>
      <c r="K208" s="161">
        <v>0</v>
      </c>
    </row>
    <row r="209" spans="1:11">
      <c r="A209">
        <v>2025</v>
      </c>
      <c r="B209">
        <v>6</v>
      </c>
      <c r="C209" t="s">
        <v>63</v>
      </c>
      <c r="D209" t="s">
        <v>68</v>
      </c>
      <c r="E209" s="69">
        <v>47522</v>
      </c>
      <c r="F209" s="161">
        <v>242345.53</v>
      </c>
      <c r="G209" s="69">
        <v>47485</v>
      </c>
      <c r="H209" s="161">
        <v>165344.56</v>
      </c>
      <c r="I209" s="68">
        <v>0</v>
      </c>
      <c r="J209" s="68">
        <v>0</v>
      </c>
      <c r="K209" s="161">
        <v>0</v>
      </c>
    </row>
    <row r="210" spans="1:11">
      <c r="A210">
        <v>2025</v>
      </c>
      <c r="B210">
        <v>6</v>
      </c>
      <c r="C210" t="s">
        <v>69</v>
      </c>
      <c r="D210" t="s">
        <v>64</v>
      </c>
      <c r="E210" s="69">
        <v>365770</v>
      </c>
      <c r="F210" s="161">
        <v>2440013.5299999998</v>
      </c>
      <c r="G210" s="69">
        <v>365446</v>
      </c>
      <c r="H210" s="161">
        <v>1660856.79</v>
      </c>
      <c r="I210" s="68">
        <v>55348</v>
      </c>
      <c r="J210" s="68">
        <v>55676</v>
      </c>
      <c r="K210" s="161">
        <v>3146791.73</v>
      </c>
    </row>
    <row r="211" spans="1:11">
      <c r="A211">
        <v>2025</v>
      </c>
      <c r="B211">
        <v>6</v>
      </c>
      <c r="C211" t="s">
        <v>69</v>
      </c>
      <c r="D211" t="s">
        <v>68</v>
      </c>
      <c r="E211" s="69">
        <v>53926</v>
      </c>
      <c r="F211" s="161">
        <v>269315.38</v>
      </c>
      <c r="G211" s="69">
        <v>53913</v>
      </c>
      <c r="H211" s="161">
        <v>184137.12</v>
      </c>
      <c r="I211" s="68">
        <v>9909</v>
      </c>
      <c r="J211" s="68">
        <v>9939</v>
      </c>
      <c r="K211" s="161">
        <v>340049.34</v>
      </c>
    </row>
    <row r="212" spans="1:11">
      <c r="A212">
        <v>2025</v>
      </c>
      <c r="B212">
        <v>7</v>
      </c>
      <c r="C212" t="s">
        <v>63</v>
      </c>
      <c r="D212" t="s">
        <v>64</v>
      </c>
      <c r="E212" s="69">
        <v>4307512</v>
      </c>
      <c r="F212" s="161">
        <v>26321943.170000002</v>
      </c>
      <c r="G212" s="69">
        <v>4015717</v>
      </c>
      <c r="H212" s="161">
        <v>18291749.02</v>
      </c>
      <c r="I212" s="68">
        <v>0</v>
      </c>
      <c r="J212" s="68">
        <v>0</v>
      </c>
      <c r="K212" s="161">
        <v>0</v>
      </c>
    </row>
    <row r="213" spans="1:11">
      <c r="A213">
        <v>2025</v>
      </c>
      <c r="B213">
        <v>7</v>
      </c>
      <c r="C213" t="s">
        <v>63</v>
      </c>
      <c r="D213" t="s">
        <v>65</v>
      </c>
      <c r="E213" s="69">
        <v>157139</v>
      </c>
      <c r="F213" s="161">
        <v>673307.31</v>
      </c>
      <c r="G213" s="69">
        <v>155946</v>
      </c>
      <c r="H213" s="161">
        <v>533923.19999999995</v>
      </c>
      <c r="I213" s="68">
        <v>0</v>
      </c>
      <c r="J213" s="68">
        <v>0</v>
      </c>
      <c r="K213" s="161">
        <v>0</v>
      </c>
    </row>
    <row r="214" spans="1:11">
      <c r="A214">
        <v>2025</v>
      </c>
      <c r="B214">
        <v>7</v>
      </c>
      <c r="C214" t="s">
        <v>63</v>
      </c>
      <c r="D214" t="s">
        <v>66</v>
      </c>
      <c r="E214" s="69">
        <v>112691</v>
      </c>
      <c r="F214" s="161">
        <v>657103.43999999994</v>
      </c>
      <c r="G214" s="69">
        <v>112615</v>
      </c>
      <c r="H214" s="161">
        <v>488098.79</v>
      </c>
      <c r="I214" s="68">
        <v>0</v>
      </c>
      <c r="J214" s="68">
        <v>0</v>
      </c>
      <c r="K214" s="161">
        <v>0</v>
      </c>
    </row>
    <row r="215" spans="1:11">
      <c r="A215">
        <v>2025</v>
      </c>
      <c r="B215">
        <v>7</v>
      </c>
      <c r="C215" t="s">
        <v>63</v>
      </c>
      <c r="D215" t="s">
        <v>67</v>
      </c>
      <c r="E215" s="69">
        <v>207729</v>
      </c>
      <c r="F215" s="161">
        <v>1007314.71</v>
      </c>
      <c r="G215" s="69">
        <v>207729</v>
      </c>
      <c r="H215" s="161">
        <v>945374.65</v>
      </c>
      <c r="I215" s="68">
        <v>0</v>
      </c>
      <c r="J215" s="68">
        <v>0</v>
      </c>
      <c r="K215" s="161">
        <v>0</v>
      </c>
    </row>
    <row r="216" spans="1:11">
      <c r="A216">
        <v>2025</v>
      </c>
      <c r="B216">
        <v>7</v>
      </c>
      <c r="C216" t="s">
        <v>63</v>
      </c>
      <c r="D216" t="s">
        <v>68</v>
      </c>
      <c r="E216" s="69">
        <v>47557</v>
      </c>
      <c r="F216" s="161">
        <v>241538.56</v>
      </c>
      <c r="G216" s="69">
        <v>47519</v>
      </c>
      <c r="H216" s="161">
        <v>164857.72</v>
      </c>
      <c r="I216" s="68">
        <v>0</v>
      </c>
      <c r="J216" s="68">
        <v>0</v>
      </c>
      <c r="K216" s="161">
        <v>0</v>
      </c>
    </row>
    <row r="217" spans="1:11">
      <c r="A217">
        <v>2025</v>
      </c>
      <c r="B217">
        <v>7</v>
      </c>
      <c r="C217" t="s">
        <v>69</v>
      </c>
      <c r="D217" t="s">
        <v>64</v>
      </c>
      <c r="E217" s="69">
        <v>367641</v>
      </c>
      <c r="F217" s="161">
        <v>2450690.58</v>
      </c>
      <c r="G217" s="69">
        <v>367284</v>
      </c>
      <c r="H217" s="161">
        <v>1669350.24</v>
      </c>
      <c r="I217" s="68">
        <v>55882</v>
      </c>
      <c r="J217" s="68">
        <v>56463</v>
      </c>
      <c r="K217" s="161">
        <v>3166320.27</v>
      </c>
    </row>
    <row r="218" spans="1:11">
      <c r="A218">
        <v>2025</v>
      </c>
      <c r="B218">
        <v>7</v>
      </c>
      <c r="C218" t="s">
        <v>69</v>
      </c>
      <c r="D218" t="s">
        <v>68</v>
      </c>
      <c r="E218" s="69">
        <v>56356</v>
      </c>
      <c r="F218" s="161">
        <v>280799.53000000003</v>
      </c>
      <c r="G218" s="69">
        <v>56342</v>
      </c>
      <c r="H218" s="161">
        <v>192534.45</v>
      </c>
      <c r="I218" s="68">
        <v>9971</v>
      </c>
      <c r="J218" s="68">
        <v>10030</v>
      </c>
      <c r="K218" s="161">
        <v>360323.95</v>
      </c>
    </row>
    <row r="219" spans="1:11">
      <c r="A219">
        <v>2025</v>
      </c>
      <c r="B219">
        <v>8</v>
      </c>
      <c r="C219" t="s">
        <v>63</v>
      </c>
      <c r="D219" t="s">
        <v>64</v>
      </c>
      <c r="E219" s="69">
        <v>4456512</v>
      </c>
      <c r="F219" s="161">
        <v>27189625.100000001</v>
      </c>
      <c r="G219" s="69">
        <v>4163784</v>
      </c>
      <c r="H219" s="161">
        <v>18977235.760000002</v>
      </c>
      <c r="I219" s="68">
        <v>0</v>
      </c>
      <c r="J219" s="68">
        <v>0</v>
      </c>
      <c r="K219" s="161">
        <v>0</v>
      </c>
    </row>
    <row r="220" spans="1:11">
      <c r="A220">
        <v>2025</v>
      </c>
      <c r="B220">
        <v>8</v>
      </c>
      <c r="C220" t="s">
        <v>63</v>
      </c>
      <c r="D220" t="s">
        <v>65</v>
      </c>
      <c r="E220" s="69">
        <v>167773</v>
      </c>
      <c r="F220" s="161">
        <v>710253.84</v>
      </c>
      <c r="G220" s="69">
        <v>166612</v>
      </c>
      <c r="H220" s="161">
        <v>569783.24</v>
      </c>
      <c r="I220" s="68">
        <v>0</v>
      </c>
      <c r="J220" s="68">
        <v>0</v>
      </c>
      <c r="K220" s="161">
        <v>0</v>
      </c>
    </row>
    <row r="221" spans="1:11">
      <c r="A221">
        <v>2025</v>
      </c>
      <c r="B221">
        <v>8</v>
      </c>
      <c r="C221" t="s">
        <v>63</v>
      </c>
      <c r="D221" t="s">
        <v>66</v>
      </c>
      <c r="E221" s="69">
        <v>113145</v>
      </c>
      <c r="F221" s="161">
        <v>664648.29</v>
      </c>
      <c r="G221" s="69">
        <v>113065</v>
      </c>
      <c r="H221" s="161">
        <v>492319.57</v>
      </c>
      <c r="I221" s="68">
        <v>0</v>
      </c>
      <c r="J221" s="68">
        <v>0</v>
      </c>
      <c r="K221" s="161">
        <v>0</v>
      </c>
    </row>
    <row r="222" spans="1:11">
      <c r="A222">
        <v>2025</v>
      </c>
      <c r="B222">
        <v>8</v>
      </c>
      <c r="C222" t="s">
        <v>63</v>
      </c>
      <c r="D222" t="s">
        <v>67</v>
      </c>
      <c r="E222" s="69">
        <v>231646</v>
      </c>
      <c r="F222" s="161">
        <v>1120694.1599999999</v>
      </c>
      <c r="G222" s="69">
        <v>231646</v>
      </c>
      <c r="H222" s="161">
        <v>1054220.96</v>
      </c>
      <c r="I222" s="68">
        <v>0</v>
      </c>
      <c r="J222" s="68">
        <v>0</v>
      </c>
      <c r="K222" s="161">
        <v>0</v>
      </c>
    </row>
    <row r="223" spans="1:11">
      <c r="A223">
        <v>2025</v>
      </c>
      <c r="B223">
        <v>8</v>
      </c>
      <c r="C223" t="s">
        <v>63</v>
      </c>
      <c r="D223" t="s">
        <v>68</v>
      </c>
      <c r="E223" s="69">
        <v>49689</v>
      </c>
      <c r="F223" s="161">
        <v>255914.85</v>
      </c>
      <c r="G223" s="69">
        <v>49640</v>
      </c>
      <c r="H223" s="161">
        <v>175176.4</v>
      </c>
      <c r="I223" s="68">
        <v>0</v>
      </c>
      <c r="J223" s="68">
        <v>0</v>
      </c>
      <c r="K223" s="161">
        <v>0</v>
      </c>
    </row>
    <row r="224" spans="1:11">
      <c r="A224">
        <v>2025</v>
      </c>
      <c r="B224">
        <v>8</v>
      </c>
      <c r="C224" t="s">
        <v>69</v>
      </c>
      <c r="D224" t="s">
        <v>64</v>
      </c>
      <c r="E224" s="69">
        <v>390292</v>
      </c>
      <c r="F224" s="161">
        <v>2594967.5699999998</v>
      </c>
      <c r="G224" s="69">
        <v>390001</v>
      </c>
      <c r="H224" s="161">
        <v>1771549.8</v>
      </c>
      <c r="I224" s="68">
        <v>56378</v>
      </c>
      <c r="J224" s="68">
        <v>56800</v>
      </c>
      <c r="K224" s="161">
        <v>3395830.3</v>
      </c>
    </row>
    <row r="225" spans="1:11">
      <c r="A225">
        <v>2025</v>
      </c>
      <c r="B225">
        <v>8</v>
      </c>
      <c r="C225" t="s">
        <v>69</v>
      </c>
      <c r="D225" t="s">
        <v>68</v>
      </c>
      <c r="E225" s="69">
        <v>59784</v>
      </c>
      <c r="F225" s="161">
        <v>297405.18</v>
      </c>
      <c r="G225" s="69">
        <v>59770</v>
      </c>
      <c r="H225" s="161">
        <v>204087.62</v>
      </c>
      <c r="I225" s="68">
        <v>10015</v>
      </c>
      <c r="J225" s="68">
        <v>10046</v>
      </c>
      <c r="K225" s="161">
        <v>380696.18</v>
      </c>
    </row>
    <row r="226" spans="1:11">
      <c r="A226">
        <v>2025</v>
      </c>
      <c r="B226">
        <v>9</v>
      </c>
      <c r="C226" t="s">
        <v>63</v>
      </c>
      <c r="D226" t="s">
        <v>64</v>
      </c>
      <c r="E226" s="69">
        <v>4324158</v>
      </c>
      <c r="F226" s="161">
        <v>27966044.75</v>
      </c>
      <c r="G226" s="69">
        <v>4045984</v>
      </c>
      <c r="H226" s="161">
        <v>19748555.48</v>
      </c>
      <c r="I226" s="68">
        <v>0</v>
      </c>
      <c r="J226" s="68">
        <v>0</v>
      </c>
      <c r="K226" s="161">
        <v>0</v>
      </c>
    </row>
    <row r="227" spans="1:11">
      <c r="A227">
        <v>2025</v>
      </c>
      <c r="B227">
        <v>9</v>
      </c>
      <c r="C227" t="s">
        <v>63</v>
      </c>
      <c r="D227" t="s">
        <v>65</v>
      </c>
      <c r="E227" s="69">
        <v>162033</v>
      </c>
      <c r="F227" s="161">
        <v>739411.18</v>
      </c>
      <c r="G227" s="69">
        <v>161087</v>
      </c>
      <c r="H227" s="161">
        <v>588535.48</v>
      </c>
      <c r="I227" s="68">
        <v>0</v>
      </c>
      <c r="J227" s="68">
        <v>0</v>
      </c>
      <c r="K227" s="161">
        <v>0</v>
      </c>
    </row>
    <row r="228" spans="1:11">
      <c r="A228">
        <v>2025</v>
      </c>
      <c r="B228">
        <v>9</v>
      </c>
      <c r="C228" t="s">
        <v>63</v>
      </c>
      <c r="D228" t="s">
        <v>66</v>
      </c>
      <c r="E228" s="69">
        <v>111990</v>
      </c>
      <c r="F228" s="161">
        <v>683186.31</v>
      </c>
      <c r="G228" s="69">
        <v>111914</v>
      </c>
      <c r="H228" s="161">
        <v>513215.45</v>
      </c>
      <c r="I228" s="68">
        <v>0</v>
      </c>
      <c r="J228" s="68">
        <v>0</v>
      </c>
      <c r="K228" s="161">
        <v>0</v>
      </c>
    </row>
    <row r="229" spans="1:11">
      <c r="A229">
        <v>2025</v>
      </c>
      <c r="B229">
        <v>9</v>
      </c>
      <c r="C229" t="s">
        <v>63</v>
      </c>
      <c r="D229" t="s">
        <v>67</v>
      </c>
      <c r="E229" s="69">
        <v>244653</v>
      </c>
      <c r="F229" s="161">
        <v>1213558.76</v>
      </c>
      <c r="G229" s="69">
        <v>244653</v>
      </c>
      <c r="H229" s="161">
        <v>1151979.0900000001</v>
      </c>
      <c r="I229" s="68">
        <v>0</v>
      </c>
      <c r="J229" s="68">
        <v>0</v>
      </c>
      <c r="K229" s="161">
        <v>0</v>
      </c>
    </row>
    <row r="230" spans="1:11">
      <c r="A230">
        <v>2025</v>
      </c>
      <c r="B230">
        <v>9</v>
      </c>
      <c r="C230" t="s">
        <v>63</v>
      </c>
      <c r="D230" t="s">
        <v>68</v>
      </c>
      <c r="E230" s="69">
        <v>47307</v>
      </c>
      <c r="F230" s="161">
        <v>251029.94</v>
      </c>
      <c r="G230" s="69">
        <v>47240</v>
      </c>
      <c r="H230" s="161">
        <v>173549.34</v>
      </c>
      <c r="I230" s="68">
        <v>0</v>
      </c>
      <c r="J230" s="68">
        <v>0</v>
      </c>
      <c r="K230" s="161">
        <v>0</v>
      </c>
    </row>
    <row r="231" spans="1:11">
      <c r="A231">
        <v>2025</v>
      </c>
      <c r="B231">
        <v>9</v>
      </c>
      <c r="C231" t="s">
        <v>69</v>
      </c>
      <c r="D231" t="s">
        <v>64</v>
      </c>
      <c r="E231" s="69">
        <v>382532</v>
      </c>
      <c r="F231" s="161">
        <v>2678859.41</v>
      </c>
      <c r="G231" s="69">
        <v>382270</v>
      </c>
      <c r="H231" s="161">
        <v>1849846.66</v>
      </c>
      <c r="I231" s="68">
        <v>56747</v>
      </c>
      <c r="J231" s="68">
        <v>57160</v>
      </c>
      <c r="K231" s="161">
        <v>3577140.77</v>
      </c>
    </row>
    <row r="232" spans="1:11">
      <c r="A232">
        <v>2025</v>
      </c>
      <c r="B232">
        <v>9</v>
      </c>
      <c r="C232" t="s">
        <v>69</v>
      </c>
      <c r="D232" t="s">
        <v>68</v>
      </c>
      <c r="E232" s="69">
        <v>61625</v>
      </c>
      <c r="F232" s="161">
        <v>319493.21999999997</v>
      </c>
      <c r="G232" s="69">
        <v>61606</v>
      </c>
      <c r="H232" s="161">
        <v>222067.94</v>
      </c>
      <c r="I232" s="68">
        <v>10080</v>
      </c>
      <c r="J232" s="68">
        <v>10167</v>
      </c>
      <c r="K232" s="161">
        <v>419999.43</v>
      </c>
    </row>
    <row r="233" spans="1:11">
      <c r="A233">
        <v>2025</v>
      </c>
      <c r="B233">
        <v>10</v>
      </c>
      <c r="C233" t="s">
        <v>63</v>
      </c>
      <c r="D233" t="s">
        <v>64</v>
      </c>
      <c r="E233" s="69">
        <v>4440404</v>
      </c>
      <c r="F233" s="161">
        <v>30163203.219999999</v>
      </c>
      <c r="G233" s="69">
        <v>4168231</v>
      </c>
      <c r="H233" s="161">
        <v>21486253.100000001</v>
      </c>
      <c r="I233" s="68">
        <v>0</v>
      </c>
      <c r="J233" s="68">
        <v>0</v>
      </c>
      <c r="K233" s="161">
        <v>0</v>
      </c>
    </row>
    <row r="234" spans="1:11">
      <c r="A234">
        <v>2025</v>
      </c>
      <c r="B234">
        <v>10</v>
      </c>
      <c r="C234" t="s">
        <v>63</v>
      </c>
      <c r="D234" t="s">
        <v>65</v>
      </c>
      <c r="E234" s="69">
        <v>181080</v>
      </c>
      <c r="F234" s="161">
        <v>851745.44</v>
      </c>
      <c r="G234" s="69">
        <v>177711</v>
      </c>
      <c r="H234" s="161">
        <v>683149.77</v>
      </c>
      <c r="I234" s="68">
        <v>0</v>
      </c>
      <c r="J234" s="68">
        <v>0</v>
      </c>
      <c r="K234" s="161">
        <v>0</v>
      </c>
    </row>
    <row r="235" spans="1:11">
      <c r="A235">
        <v>2025</v>
      </c>
      <c r="B235">
        <v>10</v>
      </c>
      <c r="C235" t="s">
        <v>63</v>
      </c>
      <c r="D235" t="s">
        <v>66</v>
      </c>
      <c r="E235" s="69">
        <v>107777</v>
      </c>
      <c r="F235" s="161">
        <v>697985.68</v>
      </c>
      <c r="G235" s="69">
        <v>107701</v>
      </c>
      <c r="H235" s="161">
        <v>529184.1</v>
      </c>
      <c r="I235" s="68">
        <v>0</v>
      </c>
      <c r="J235" s="68">
        <v>0</v>
      </c>
      <c r="K235" s="161">
        <v>0</v>
      </c>
    </row>
    <row r="236" spans="1:11">
      <c r="A236">
        <v>2025</v>
      </c>
      <c r="B236">
        <v>10</v>
      </c>
      <c r="C236" t="s">
        <v>63</v>
      </c>
      <c r="D236" t="s">
        <v>67</v>
      </c>
      <c r="E236" s="69">
        <v>352472</v>
      </c>
      <c r="F236" s="161">
        <v>1875884.51</v>
      </c>
      <c r="G236" s="69">
        <v>352472</v>
      </c>
      <c r="H236" s="161">
        <v>1819460.49</v>
      </c>
      <c r="I236" s="68">
        <v>0</v>
      </c>
      <c r="J236" s="68">
        <v>0</v>
      </c>
      <c r="K236" s="161">
        <v>0</v>
      </c>
    </row>
    <row r="237" spans="1:11">
      <c r="A237">
        <v>2025</v>
      </c>
      <c r="B237">
        <v>10</v>
      </c>
      <c r="C237" t="s">
        <v>63</v>
      </c>
      <c r="D237" t="s">
        <v>68</v>
      </c>
      <c r="E237" s="69">
        <v>49343</v>
      </c>
      <c r="F237" s="161">
        <v>276481.09999999998</v>
      </c>
      <c r="G237" s="69">
        <v>49276</v>
      </c>
      <c r="H237" s="161">
        <v>193455.79</v>
      </c>
      <c r="I237" s="68">
        <v>0</v>
      </c>
      <c r="J237" s="68">
        <v>0</v>
      </c>
      <c r="K237" s="161">
        <v>0</v>
      </c>
    </row>
    <row r="238" spans="1:11">
      <c r="A238">
        <v>2025</v>
      </c>
      <c r="B238">
        <v>10</v>
      </c>
      <c r="C238" t="s">
        <v>69</v>
      </c>
      <c r="D238" t="s">
        <v>64</v>
      </c>
      <c r="E238" s="69">
        <v>405182</v>
      </c>
      <c r="F238" s="161">
        <v>2993786.41</v>
      </c>
      <c r="G238" s="69">
        <v>404923</v>
      </c>
      <c r="H238" s="161">
        <v>2087399.92</v>
      </c>
      <c r="I238" s="68">
        <v>57018</v>
      </c>
      <c r="J238" s="68">
        <v>63753</v>
      </c>
      <c r="K238" s="161">
        <v>4093110.86</v>
      </c>
    </row>
    <row r="239" spans="1:11">
      <c r="A239">
        <v>2025</v>
      </c>
      <c r="B239">
        <v>10</v>
      </c>
      <c r="C239" t="s">
        <v>69</v>
      </c>
      <c r="D239" t="s">
        <v>68</v>
      </c>
      <c r="E239" s="69">
        <v>61645</v>
      </c>
      <c r="F239" s="161">
        <v>340411.61</v>
      </c>
      <c r="G239" s="69">
        <v>61605</v>
      </c>
      <c r="H239" s="161">
        <v>238309.63</v>
      </c>
      <c r="I239" s="68">
        <v>10137</v>
      </c>
      <c r="J239" s="68">
        <v>11304</v>
      </c>
      <c r="K239" s="161">
        <v>452643.4</v>
      </c>
    </row>
    <row r="240" spans="1:11">
      <c r="A240">
        <v>2025</v>
      </c>
      <c r="B240">
        <v>11</v>
      </c>
      <c r="C240" t="s">
        <v>63</v>
      </c>
      <c r="D240" t="s">
        <v>64</v>
      </c>
      <c r="E240" s="69">
        <v>3355146</v>
      </c>
      <c r="F240" s="161">
        <v>22997864.309999999</v>
      </c>
      <c r="G240" s="69">
        <v>3149891</v>
      </c>
      <c r="H240" s="161">
        <v>16335037.199999999</v>
      </c>
      <c r="I240" s="68">
        <v>0</v>
      </c>
      <c r="J240" s="68">
        <v>0</v>
      </c>
      <c r="K240" s="161">
        <v>0</v>
      </c>
    </row>
    <row r="241" spans="1:14">
      <c r="A241">
        <v>2025</v>
      </c>
      <c r="B241">
        <v>11</v>
      </c>
      <c r="C241" t="s">
        <v>63</v>
      </c>
      <c r="D241" t="s">
        <v>65</v>
      </c>
      <c r="E241" s="69">
        <v>131467</v>
      </c>
      <c r="F241" s="161">
        <v>631355.43000000005</v>
      </c>
      <c r="G241" s="69">
        <v>130613</v>
      </c>
      <c r="H241" s="161">
        <v>505217.55</v>
      </c>
      <c r="I241" s="68">
        <v>0</v>
      </c>
      <c r="J241" s="68">
        <v>0</v>
      </c>
      <c r="K241" s="161">
        <v>0</v>
      </c>
    </row>
    <row r="242" spans="1:14">
      <c r="A242">
        <v>2025</v>
      </c>
      <c r="B242">
        <v>11</v>
      </c>
      <c r="C242" t="s">
        <v>63</v>
      </c>
      <c r="D242" t="s">
        <v>66</v>
      </c>
      <c r="E242" s="69">
        <v>98283</v>
      </c>
      <c r="F242" s="161">
        <v>632919.01</v>
      </c>
      <c r="G242" s="69">
        <v>98204</v>
      </c>
      <c r="H242" s="161">
        <v>481163.26</v>
      </c>
      <c r="I242" s="68">
        <v>0</v>
      </c>
      <c r="J242" s="68">
        <v>0</v>
      </c>
      <c r="K242" s="161">
        <v>0</v>
      </c>
    </row>
    <row r="243" spans="1:14">
      <c r="A243">
        <v>2025</v>
      </c>
      <c r="B243">
        <v>11</v>
      </c>
      <c r="C243" t="s">
        <v>63</v>
      </c>
      <c r="D243" t="s">
        <v>67</v>
      </c>
      <c r="E243" s="69">
        <v>68383</v>
      </c>
      <c r="F243" s="161">
        <v>374234.72</v>
      </c>
      <c r="G243" s="69">
        <v>68383</v>
      </c>
      <c r="H243" s="161">
        <v>352993.07</v>
      </c>
      <c r="I243" s="68">
        <v>0</v>
      </c>
      <c r="J243" s="68">
        <v>0</v>
      </c>
      <c r="K243" s="161">
        <v>0</v>
      </c>
    </row>
    <row r="244" spans="1:14">
      <c r="A244">
        <v>2025</v>
      </c>
      <c r="B244">
        <v>11</v>
      </c>
      <c r="C244" t="s">
        <v>63</v>
      </c>
      <c r="D244" t="s">
        <v>68</v>
      </c>
      <c r="E244" s="69">
        <v>34367</v>
      </c>
      <c r="F244" s="161">
        <v>191891.69</v>
      </c>
      <c r="G244" s="69">
        <v>34334</v>
      </c>
      <c r="H244" s="161">
        <v>133681.82</v>
      </c>
      <c r="I244" s="68">
        <v>0</v>
      </c>
      <c r="J244" s="68">
        <v>0</v>
      </c>
      <c r="K244" s="161">
        <v>0</v>
      </c>
    </row>
    <row r="245" spans="1:14">
      <c r="A245">
        <v>2025</v>
      </c>
      <c r="B245">
        <v>11</v>
      </c>
      <c r="C245" t="s">
        <v>69</v>
      </c>
      <c r="D245" t="s">
        <v>64</v>
      </c>
      <c r="E245" s="69">
        <v>296061</v>
      </c>
      <c r="F245" s="161">
        <v>2184514.7400000002</v>
      </c>
      <c r="G245" s="69">
        <v>295805</v>
      </c>
      <c r="H245" s="161">
        <v>1522313.07</v>
      </c>
      <c r="I245" s="68">
        <v>47800</v>
      </c>
      <c r="J245" s="68">
        <v>48133</v>
      </c>
      <c r="K245" s="161">
        <v>2963492.77</v>
      </c>
    </row>
    <row r="246" spans="1:14">
      <c r="A246">
        <v>2025</v>
      </c>
      <c r="B246">
        <v>11</v>
      </c>
      <c r="C246" t="s">
        <v>69</v>
      </c>
      <c r="D246" t="s">
        <v>68</v>
      </c>
      <c r="E246" s="69">
        <v>44145</v>
      </c>
      <c r="F246" s="161">
        <v>244004.38</v>
      </c>
      <c r="G246" s="69">
        <v>44133</v>
      </c>
      <c r="H246" s="161">
        <v>170837.58</v>
      </c>
      <c r="I246" s="68">
        <v>8481</v>
      </c>
      <c r="J246" s="68">
        <v>8521</v>
      </c>
      <c r="K246" s="161">
        <v>319389.13</v>
      </c>
    </row>
    <row r="247" spans="1:14">
      <c r="A247">
        <v>2025</v>
      </c>
      <c r="B247">
        <v>12</v>
      </c>
      <c r="C247" t="s">
        <v>63</v>
      </c>
      <c r="D247" t="s">
        <v>64</v>
      </c>
      <c r="E247" s="69">
        <v>4051393</v>
      </c>
      <c r="F247" s="161">
        <v>27783550.809999999</v>
      </c>
      <c r="G247" s="69">
        <v>3868382</v>
      </c>
      <c r="H247" s="161">
        <v>20047818.59</v>
      </c>
      <c r="I247" s="68">
        <v>0</v>
      </c>
      <c r="J247" s="68">
        <v>0</v>
      </c>
      <c r="K247" s="161">
        <v>0</v>
      </c>
    </row>
    <row r="248" spans="1:14">
      <c r="A248">
        <v>2025</v>
      </c>
      <c r="B248">
        <v>12</v>
      </c>
      <c r="C248" t="s">
        <v>63</v>
      </c>
      <c r="D248" t="s">
        <v>65</v>
      </c>
      <c r="E248" s="69">
        <v>139021</v>
      </c>
      <c r="F248" s="161">
        <v>676695.52</v>
      </c>
      <c r="G248" s="69">
        <v>138255</v>
      </c>
      <c r="H248" s="161">
        <v>536289.5</v>
      </c>
      <c r="I248" s="68">
        <v>0</v>
      </c>
      <c r="J248" s="68">
        <v>0</v>
      </c>
      <c r="K248" s="161">
        <v>0</v>
      </c>
    </row>
    <row r="249" spans="1:14">
      <c r="A249">
        <v>2025</v>
      </c>
      <c r="B249">
        <v>12</v>
      </c>
      <c r="C249" t="s">
        <v>63</v>
      </c>
      <c r="D249" t="s">
        <v>66</v>
      </c>
      <c r="E249" s="69">
        <v>106611</v>
      </c>
      <c r="F249" s="161">
        <v>685764.86</v>
      </c>
      <c r="G249" s="69">
        <v>106537</v>
      </c>
      <c r="H249" s="161">
        <v>521816.14</v>
      </c>
      <c r="I249" s="68">
        <v>0</v>
      </c>
      <c r="J249" s="68">
        <v>0</v>
      </c>
      <c r="K249" s="161">
        <v>0</v>
      </c>
    </row>
    <row r="250" spans="1:14">
      <c r="A250">
        <v>2025</v>
      </c>
      <c r="B250">
        <v>12</v>
      </c>
      <c r="C250" t="s">
        <v>63</v>
      </c>
      <c r="D250" t="s">
        <v>67</v>
      </c>
      <c r="E250" s="69">
        <v>241737</v>
      </c>
      <c r="F250" s="161">
        <v>1292419.53</v>
      </c>
      <c r="G250" s="69">
        <v>241737</v>
      </c>
      <c r="H250" s="161">
        <v>1247846.3999999999</v>
      </c>
      <c r="I250" s="68">
        <v>0</v>
      </c>
      <c r="J250" s="68">
        <v>0</v>
      </c>
      <c r="K250" s="161">
        <v>0</v>
      </c>
    </row>
    <row r="251" spans="1:14">
      <c r="A251">
        <v>2025</v>
      </c>
      <c r="B251">
        <v>12</v>
      </c>
      <c r="C251" t="s">
        <v>63</v>
      </c>
      <c r="D251" t="s">
        <v>68</v>
      </c>
      <c r="E251" s="69">
        <v>47086</v>
      </c>
      <c r="F251" s="161">
        <v>260863.09</v>
      </c>
      <c r="G251" s="69">
        <v>47051</v>
      </c>
      <c r="H251" s="161">
        <v>182408.95</v>
      </c>
      <c r="I251" s="68">
        <v>0</v>
      </c>
      <c r="J251" s="68">
        <v>0</v>
      </c>
      <c r="K251" s="161">
        <v>0</v>
      </c>
    </row>
    <row r="252" spans="1:14">
      <c r="A252">
        <v>2025</v>
      </c>
      <c r="B252">
        <v>12</v>
      </c>
      <c r="C252" t="s">
        <v>69</v>
      </c>
      <c r="D252" t="s">
        <v>64</v>
      </c>
      <c r="E252" s="69">
        <v>396078</v>
      </c>
      <c r="F252" s="161">
        <v>2901006.29</v>
      </c>
      <c r="G252" s="69">
        <v>395753</v>
      </c>
      <c r="H252" s="161">
        <v>2023853.15</v>
      </c>
      <c r="I252" s="68">
        <v>57620</v>
      </c>
      <c r="J252" s="68">
        <v>61044</v>
      </c>
      <c r="K252" s="161">
        <v>3968498.05</v>
      </c>
    </row>
    <row r="253" spans="1:14">
      <c r="A253">
        <v>2025</v>
      </c>
      <c r="B253">
        <v>12</v>
      </c>
      <c r="C253" t="s">
        <v>69</v>
      </c>
      <c r="D253" t="s">
        <v>68</v>
      </c>
      <c r="E253" s="69">
        <v>57651</v>
      </c>
      <c r="F253" s="161">
        <v>318890.86</v>
      </c>
      <c r="G253" s="69">
        <v>57635</v>
      </c>
      <c r="H253" s="161">
        <v>223165.55</v>
      </c>
      <c r="I253" s="68">
        <v>10195</v>
      </c>
      <c r="J253" s="68">
        <v>10785</v>
      </c>
      <c r="K253" s="161">
        <v>417531.14</v>
      </c>
    </row>
    <row r="254" spans="1:14" ht="15">
      <c r="A254" s="11">
        <v>2026</v>
      </c>
      <c r="B254" s="11">
        <v>1</v>
      </c>
      <c r="C254" s="11" t="s">
        <v>63</v>
      </c>
      <c r="D254" s="11" t="s">
        <v>64</v>
      </c>
      <c r="E254" s="164">
        <v>4167268</v>
      </c>
      <c r="F254" s="165">
        <v>28606431.960000001</v>
      </c>
      <c r="G254" s="164">
        <v>3957069</v>
      </c>
      <c r="H254" s="165">
        <v>20471215.219999999</v>
      </c>
      <c r="I254" s="11" t="s">
        <v>70</v>
      </c>
      <c r="J254" s="11" t="s">
        <v>70</v>
      </c>
      <c r="K254" s="11" t="s">
        <v>71</v>
      </c>
      <c r="N254" s="9" t="s">
        <v>4</v>
      </c>
    </row>
    <row r="255" spans="1:14">
      <c r="A255" s="11">
        <v>2026</v>
      </c>
      <c r="B255" s="11">
        <v>1</v>
      </c>
      <c r="C255" s="11" t="s">
        <v>63</v>
      </c>
      <c r="D255" s="11" t="s">
        <v>65</v>
      </c>
      <c r="E255" s="164">
        <v>145123</v>
      </c>
      <c r="F255" s="165">
        <v>707086.12</v>
      </c>
      <c r="G255" s="164">
        <v>144181</v>
      </c>
      <c r="H255" s="165">
        <v>561768.84</v>
      </c>
      <c r="I255" s="11" t="s">
        <v>70</v>
      </c>
      <c r="J255" s="11" t="s">
        <v>70</v>
      </c>
      <c r="K255" s="11" t="s">
        <v>71</v>
      </c>
    </row>
    <row r="256" spans="1:14">
      <c r="A256" s="11">
        <v>2026</v>
      </c>
      <c r="B256" s="11">
        <v>1</v>
      </c>
      <c r="C256" s="11" t="s">
        <v>63</v>
      </c>
      <c r="D256" s="11" t="s">
        <v>66</v>
      </c>
      <c r="E256" s="164">
        <v>116739</v>
      </c>
      <c r="F256" s="165">
        <v>748112.51</v>
      </c>
      <c r="G256" s="164">
        <v>116650</v>
      </c>
      <c r="H256" s="165">
        <v>571805.82999999996</v>
      </c>
      <c r="I256" s="11" t="s">
        <v>70</v>
      </c>
      <c r="J256" s="11" t="s">
        <v>70</v>
      </c>
      <c r="K256" s="11" t="s">
        <v>71</v>
      </c>
    </row>
    <row r="257" spans="1:11">
      <c r="A257" s="11">
        <v>2026</v>
      </c>
      <c r="B257" s="11">
        <v>1</v>
      </c>
      <c r="C257" s="11" t="s">
        <v>63</v>
      </c>
      <c r="D257" s="11" t="s">
        <v>67</v>
      </c>
      <c r="E257" s="164">
        <v>291038</v>
      </c>
      <c r="F257" s="165">
        <v>1548963.12</v>
      </c>
      <c r="G257" s="164">
        <v>291038</v>
      </c>
      <c r="H257" s="165">
        <v>1502338.14</v>
      </c>
      <c r="I257" s="11" t="s">
        <v>70</v>
      </c>
      <c r="J257" s="11" t="s">
        <v>70</v>
      </c>
      <c r="K257" s="11" t="s">
        <v>71</v>
      </c>
    </row>
    <row r="258" spans="1:11">
      <c r="A258" s="11">
        <v>2026</v>
      </c>
      <c r="B258" s="11">
        <v>1</v>
      </c>
      <c r="C258" s="11" t="s">
        <v>63</v>
      </c>
      <c r="D258" s="11" t="s">
        <v>68</v>
      </c>
      <c r="E258" s="164">
        <v>50118</v>
      </c>
      <c r="F258" s="165">
        <v>279546.13</v>
      </c>
      <c r="G258" s="164">
        <v>50086</v>
      </c>
      <c r="H258" s="165">
        <v>195768.79</v>
      </c>
      <c r="I258" s="11" t="s">
        <v>70</v>
      </c>
      <c r="J258" s="11" t="s">
        <v>70</v>
      </c>
      <c r="K258" s="11" t="s">
        <v>71</v>
      </c>
    </row>
    <row r="259" spans="1:11">
      <c r="A259" s="11">
        <v>2026</v>
      </c>
      <c r="B259" s="11">
        <v>1</v>
      </c>
      <c r="C259" s="11" t="s">
        <v>69</v>
      </c>
      <c r="D259" s="11" t="s">
        <v>64</v>
      </c>
      <c r="E259" s="164">
        <v>412316</v>
      </c>
      <c r="F259" s="165">
        <v>3046093.1</v>
      </c>
      <c r="G259" s="164">
        <v>411961</v>
      </c>
      <c r="H259" s="165">
        <v>2125207.23</v>
      </c>
      <c r="I259" s="166">
        <v>57536</v>
      </c>
      <c r="J259" s="166">
        <v>57766</v>
      </c>
      <c r="K259" s="165">
        <v>4247536.3</v>
      </c>
    </row>
    <row r="260" spans="1:11">
      <c r="A260" s="11">
        <v>2026</v>
      </c>
      <c r="B260" s="11">
        <v>1</v>
      </c>
      <c r="C260" s="11" t="s">
        <v>69</v>
      </c>
      <c r="D260" s="11" t="s">
        <v>68</v>
      </c>
      <c r="E260" s="164">
        <v>62485</v>
      </c>
      <c r="F260" s="165">
        <v>345202.68</v>
      </c>
      <c r="G260" s="164">
        <v>62462</v>
      </c>
      <c r="H260" s="165">
        <v>241932.92</v>
      </c>
      <c r="I260" s="166">
        <v>10150</v>
      </c>
      <c r="J260" s="166">
        <v>10194</v>
      </c>
      <c r="K260" s="165">
        <v>465371.55</v>
      </c>
    </row>
    <row r="261" spans="1:11">
      <c r="A261" s="11">
        <v>2026</v>
      </c>
      <c r="B261" s="11">
        <v>2</v>
      </c>
      <c r="C261" s="11" t="s">
        <v>63</v>
      </c>
      <c r="D261" s="11" t="s">
        <v>64</v>
      </c>
      <c r="E261" s="164">
        <v>3744303</v>
      </c>
      <c r="F261" s="165">
        <v>25646515.739999998</v>
      </c>
      <c r="G261" s="164">
        <v>3558701</v>
      </c>
      <c r="H261" s="165">
        <v>18441471.190000001</v>
      </c>
      <c r="I261" s="11" t="s">
        <v>70</v>
      </c>
      <c r="J261" s="11" t="s">
        <v>70</v>
      </c>
      <c r="K261" s="11" t="s">
        <v>71</v>
      </c>
    </row>
    <row r="262" spans="1:11">
      <c r="A262" s="11">
        <v>2026</v>
      </c>
      <c r="B262" s="11">
        <v>2</v>
      </c>
      <c r="C262" s="11" t="s">
        <v>63</v>
      </c>
      <c r="D262" s="11" t="s">
        <v>65</v>
      </c>
      <c r="E262" s="164">
        <v>132277</v>
      </c>
      <c r="F262" s="165">
        <v>641876.71</v>
      </c>
      <c r="G262" s="164">
        <v>131822</v>
      </c>
      <c r="H262" s="165">
        <v>511306.53</v>
      </c>
      <c r="I262" s="11" t="s">
        <v>70</v>
      </c>
      <c r="J262" s="11" t="s">
        <v>70</v>
      </c>
      <c r="K262" s="11" t="s">
        <v>71</v>
      </c>
    </row>
    <row r="263" spans="1:11">
      <c r="A263" s="11">
        <v>2026</v>
      </c>
      <c r="B263" s="11">
        <v>2</v>
      </c>
      <c r="C263" s="11" t="s">
        <v>63</v>
      </c>
      <c r="D263" s="11" t="s">
        <v>66</v>
      </c>
      <c r="E263" s="164">
        <v>101717</v>
      </c>
      <c r="F263" s="165">
        <v>652867.6</v>
      </c>
      <c r="G263" s="164">
        <v>101643</v>
      </c>
      <c r="H263" s="165">
        <v>498356.26</v>
      </c>
      <c r="I263" s="11" t="s">
        <v>70</v>
      </c>
      <c r="J263" s="11" t="s">
        <v>70</v>
      </c>
      <c r="K263" s="11" t="s">
        <v>71</v>
      </c>
    </row>
    <row r="264" spans="1:11">
      <c r="A264" s="11">
        <v>2026</v>
      </c>
      <c r="B264" s="11">
        <v>2</v>
      </c>
      <c r="C264" s="11" t="s">
        <v>63</v>
      </c>
      <c r="D264" s="11" t="s">
        <v>67</v>
      </c>
      <c r="E264" s="164">
        <v>244141</v>
      </c>
      <c r="F264" s="165">
        <v>1301512.24</v>
      </c>
      <c r="G264" s="164">
        <v>244141</v>
      </c>
      <c r="H264" s="165">
        <v>1260255.82</v>
      </c>
      <c r="I264" s="11" t="s">
        <v>70</v>
      </c>
      <c r="J264" s="11" t="s">
        <v>70</v>
      </c>
      <c r="K264" s="11" t="s">
        <v>71</v>
      </c>
    </row>
    <row r="265" spans="1:11">
      <c r="A265" s="11">
        <v>2026</v>
      </c>
      <c r="B265" s="11">
        <v>2</v>
      </c>
      <c r="C265" s="11" t="s">
        <v>63</v>
      </c>
      <c r="D265" s="11" t="s">
        <v>68</v>
      </c>
      <c r="E265" s="164">
        <v>46428</v>
      </c>
      <c r="F265" s="165">
        <v>257448.05</v>
      </c>
      <c r="G265" s="164">
        <v>46398</v>
      </c>
      <c r="H265" s="165">
        <v>181327.27</v>
      </c>
      <c r="I265" s="11" t="s">
        <v>70</v>
      </c>
      <c r="J265" s="11" t="s">
        <v>70</v>
      </c>
      <c r="K265" s="11" t="s">
        <v>71</v>
      </c>
    </row>
    <row r="266" spans="1:11">
      <c r="A266" s="11">
        <v>2026</v>
      </c>
      <c r="B266" s="11">
        <v>2</v>
      </c>
      <c r="C266" s="11" t="s">
        <v>69</v>
      </c>
      <c r="D266" s="11" t="s">
        <v>64</v>
      </c>
      <c r="E266" s="164">
        <v>365403</v>
      </c>
      <c r="F266" s="165">
        <v>2690622.59</v>
      </c>
      <c r="G266" s="164">
        <v>365107</v>
      </c>
      <c r="H266" s="165">
        <v>1882777.42</v>
      </c>
      <c r="I266" s="166">
        <v>54935</v>
      </c>
      <c r="J266" s="166">
        <v>55245</v>
      </c>
      <c r="K266" s="165">
        <v>3713326.12</v>
      </c>
    </row>
    <row r="267" spans="1:11">
      <c r="A267" s="11">
        <v>2026</v>
      </c>
      <c r="B267" s="11">
        <v>2</v>
      </c>
      <c r="C267" s="11" t="s">
        <v>69</v>
      </c>
      <c r="D267" s="11" t="s">
        <v>68</v>
      </c>
      <c r="E267" s="164">
        <v>58110</v>
      </c>
      <c r="F267" s="165">
        <v>319833.14</v>
      </c>
      <c r="G267" s="164">
        <v>58080</v>
      </c>
      <c r="H267" s="165">
        <v>224970.61</v>
      </c>
      <c r="I267" s="166">
        <v>9699</v>
      </c>
      <c r="J267" s="166">
        <v>9718</v>
      </c>
      <c r="K267" s="165">
        <v>433769.45</v>
      </c>
    </row>
    <row r="268" spans="1:11">
      <c r="A268" s="11">
        <v>2026</v>
      </c>
      <c r="B268" s="11">
        <v>3</v>
      </c>
      <c r="C268" s="11" t="s">
        <v>63</v>
      </c>
      <c r="D268" s="11" t="s">
        <v>64</v>
      </c>
      <c r="E268" s="164">
        <v>3987806</v>
      </c>
      <c r="F268" s="165">
        <v>27501916.690000001</v>
      </c>
      <c r="G268" s="164">
        <v>3789629</v>
      </c>
      <c r="H268" s="165">
        <v>19681466.809999999</v>
      </c>
      <c r="I268" s="11" t="s">
        <v>70</v>
      </c>
      <c r="J268" s="11" t="s">
        <v>70</v>
      </c>
      <c r="K268" s="11" t="s">
        <v>71</v>
      </c>
    </row>
    <row r="269" spans="1:11">
      <c r="A269" s="11">
        <v>2026</v>
      </c>
      <c r="B269" s="11">
        <v>3</v>
      </c>
      <c r="C269" s="11" t="s">
        <v>63</v>
      </c>
      <c r="D269" s="11" t="s">
        <v>65</v>
      </c>
      <c r="E269" s="164">
        <v>129595</v>
      </c>
      <c r="F269" s="165">
        <v>634332.02</v>
      </c>
      <c r="G269" s="164">
        <v>129066</v>
      </c>
      <c r="H269" s="165">
        <v>502559.66</v>
      </c>
      <c r="I269" s="11" t="s">
        <v>70</v>
      </c>
      <c r="J269" s="11" t="s">
        <v>70</v>
      </c>
      <c r="K269" s="11" t="s">
        <v>71</v>
      </c>
    </row>
    <row r="270" spans="1:11">
      <c r="A270" s="11">
        <v>2026</v>
      </c>
      <c r="B270" s="11">
        <v>3</v>
      </c>
      <c r="C270" s="11" t="s">
        <v>63</v>
      </c>
      <c r="D270" s="11" t="s">
        <v>66</v>
      </c>
      <c r="E270" s="164">
        <v>103297</v>
      </c>
      <c r="F270" s="165">
        <v>664675.64</v>
      </c>
      <c r="G270" s="164">
        <v>103226</v>
      </c>
      <c r="H270" s="165">
        <v>506369.34</v>
      </c>
      <c r="I270" s="11" t="s">
        <v>70</v>
      </c>
      <c r="J270" s="11" t="s">
        <v>70</v>
      </c>
      <c r="K270" s="11" t="s">
        <v>71</v>
      </c>
    </row>
    <row r="271" spans="1:11">
      <c r="A271" s="11">
        <v>2026</v>
      </c>
      <c r="B271" s="11">
        <v>3</v>
      </c>
      <c r="C271" s="11" t="s">
        <v>63</v>
      </c>
      <c r="D271" s="11" t="s">
        <v>67</v>
      </c>
      <c r="E271" s="164">
        <v>199980</v>
      </c>
      <c r="F271" s="165">
        <v>1072277.33</v>
      </c>
      <c r="G271" s="164">
        <v>199980</v>
      </c>
      <c r="H271" s="165">
        <v>1032296.76</v>
      </c>
      <c r="I271" s="11" t="s">
        <v>70</v>
      </c>
      <c r="J271" s="11" t="s">
        <v>70</v>
      </c>
      <c r="K271" s="11" t="s">
        <v>71</v>
      </c>
    </row>
    <row r="272" spans="1:11">
      <c r="A272" s="11">
        <v>2026</v>
      </c>
      <c r="B272" s="11">
        <v>3</v>
      </c>
      <c r="C272" s="11" t="s">
        <v>63</v>
      </c>
      <c r="D272" s="11" t="s">
        <v>68</v>
      </c>
      <c r="E272" s="164">
        <v>52854</v>
      </c>
      <c r="F272" s="165">
        <v>291047.28000000003</v>
      </c>
      <c r="G272" s="164">
        <v>52810</v>
      </c>
      <c r="H272" s="165">
        <v>206018.96</v>
      </c>
      <c r="I272" s="11" t="s">
        <v>70</v>
      </c>
      <c r="J272" s="11" t="s">
        <v>70</v>
      </c>
      <c r="K272" s="11" t="s">
        <v>71</v>
      </c>
    </row>
    <row r="273" spans="1:11">
      <c r="A273" s="11">
        <v>2026</v>
      </c>
      <c r="B273" s="11">
        <v>3</v>
      </c>
      <c r="C273" s="11" t="s">
        <v>69</v>
      </c>
      <c r="D273" s="11" t="s">
        <v>64</v>
      </c>
      <c r="E273" s="164">
        <v>399068</v>
      </c>
      <c r="F273" s="165">
        <v>2935456.31</v>
      </c>
      <c r="G273" s="164">
        <v>398708</v>
      </c>
      <c r="H273" s="165">
        <v>2054441.52</v>
      </c>
      <c r="I273" s="166">
        <v>58107</v>
      </c>
      <c r="J273" s="166">
        <v>61408</v>
      </c>
      <c r="K273" s="165">
        <v>4031252.32</v>
      </c>
    </row>
    <row r="274" spans="1:11">
      <c r="A274" s="11">
        <v>2026</v>
      </c>
      <c r="B274" s="11">
        <v>3</v>
      </c>
      <c r="C274" s="11" t="s">
        <v>69</v>
      </c>
      <c r="D274" s="11" t="s">
        <v>68</v>
      </c>
      <c r="E274" s="164">
        <v>65281</v>
      </c>
      <c r="F274" s="165">
        <v>357237.7</v>
      </c>
      <c r="G274" s="164">
        <v>65264</v>
      </c>
      <c r="H274" s="165">
        <v>252750.31</v>
      </c>
      <c r="I274" s="166">
        <v>10298</v>
      </c>
      <c r="J274" s="166">
        <v>10894</v>
      </c>
      <c r="K274" s="165">
        <v>487391.2</v>
      </c>
    </row>
  </sheetData>
  <pageMargins left="0.7" right="0.7" top="0.75" bottom="0.75" header="0.3" footer="0.3"/>
  <pageSetup orientation="landscape" r:id="rId1"/>
  <headerFooter>
    <oddHeader>&amp;L2026 TAP Reconcilable Rider Reports and Projection Model: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6944-B3D6-4EA3-965F-095E4EBFF650}">
  <sheetPr>
    <tabColor theme="4"/>
  </sheetPr>
  <dimension ref="A1:AO20"/>
  <sheetViews>
    <sheetView topLeftCell="W1" zoomScale="90" zoomScaleNormal="90" workbookViewId="0">
      <selection activeCell="AM19" sqref="AM19"/>
    </sheetView>
  </sheetViews>
  <sheetFormatPr defaultColWidth="8.85546875" defaultRowHeight="14.25"/>
  <cols>
    <col min="1" max="1" width="31.140625" customWidth="1"/>
    <col min="2" max="2" width="30" customWidth="1"/>
    <col min="3" max="13" width="12.5703125" customWidth="1"/>
    <col min="14" max="14" width="12.85546875" customWidth="1"/>
    <col min="15" max="15" width="15.5703125" customWidth="1"/>
    <col min="16" max="17" width="10.5703125" bestFit="1" customWidth="1"/>
    <col min="18" max="19" width="10.85546875" customWidth="1"/>
    <col min="20" max="20" width="11.140625" customWidth="1"/>
    <col min="21" max="21" width="11.85546875" customWidth="1"/>
    <col min="22" max="22" width="12.140625" customWidth="1"/>
    <col min="23" max="23" width="11.5703125" customWidth="1"/>
    <col min="24" max="24" width="10.42578125" customWidth="1"/>
    <col min="25" max="25" width="10.85546875" customWidth="1"/>
    <col min="26" max="26" width="13.140625" customWidth="1"/>
    <col min="27" max="27" width="12.5703125" customWidth="1"/>
    <col min="28" max="28" width="14.85546875" customWidth="1"/>
    <col min="29" max="29" width="15.140625" customWidth="1"/>
    <col min="30" max="38" width="11.85546875" customWidth="1"/>
    <col min="39" max="39" width="12.85546875" customWidth="1"/>
    <col min="40" max="40" width="11.5703125" customWidth="1"/>
    <col min="41" max="41" width="11.140625" customWidth="1"/>
  </cols>
  <sheetData>
    <row r="1" spans="1:41">
      <c r="A1" s="168" t="str">
        <f>"DR-1: Water Billed Volume"</f>
        <v>DR-1: Water Billed Volume</v>
      </c>
      <c r="B1" s="16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</row>
    <row r="2" spans="1:41" ht="15">
      <c r="A2" s="150"/>
      <c r="B2" s="151"/>
      <c r="C2" s="151">
        <v>2023</v>
      </c>
      <c r="D2" s="151">
        <f t="shared" ref="D2:X2" si="0">IF(D3=1,C2+1,C2)</f>
        <v>2023</v>
      </c>
      <c r="E2" s="151">
        <f t="shared" si="0"/>
        <v>2023</v>
      </c>
      <c r="F2" s="151">
        <f t="shared" si="0"/>
        <v>2023</v>
      </c>
      <c r="G2" s="151">
        <f t="shared" si="0"/>
        <v>2023</v>
      </c>
      <c r="H2" s="151">
        <f t="shared" si="0"/>
        <v>2023</v>
      </c>
      <c r="I2" s="151">
        <f t="shared" si="0"/>
        <v>2023</v>
      </c>
      <c r="J2" s="151">
        <f t="shared" si="0"/>
        <v>2023</v>
      </c>
      <c r="K2" s="151">
        <f t="shared" si="0"/>
        <v>2023</v>
      </c>
      <c r="L2" s="151">
        <f t="shared" si="0"/>
        <v>2023</v>
      </c>
      <c r="M2" s="151">
        <f t="shared" si="0"/>
        <v>2023</v>
      </c>
      <c r="N2" s="151">
        <f t="shared" si="0"/>
        <v>2023</v>
      </c>
      <c r="O2" s="151">
        <f t="shared" si="0"/>
        <v>2024</v>
      </c>
      <c r="P2" s="151">
        <f t="shared" si="0"/>
        <v>2024</v>
      </c>
      <c r="Q2" s="151">
        <f t="shared" si="0"/>
        <v>2024</v>
      </c>
      <c r="R2" s="151">
        <f t="shared" si="0"/>
        <v>2024</v>
      </c>
      <c r="S2" s="151">
        <f t="shared" si="0"/>
        <v>2024</v>
      </c>
      <c r="T2" s="151">
        <f t="shared" si="0"/>
        <v>2024</v>
      </c>
      <c r="U2" s="151">
        <f t="shared" si="0"/>
        <v>2024</v>
      </c>
      <c r="V2" s="151">
        <f t="shared" si="0"/>
        <v>2024</v>
      </c>
      <c r="W2" s="151">
        <f t="shared" si="0"/>
        <v>2024</v>
      </c>
      <c r="X2" s="151">
        <f t="shared" si="0"/>
        <v>2024</v>
      </c>
      <c r="Y2" s="151">
        <f>IF(Y3=1,X2+1,X2)</f>
        <v>2024</v>
      </c>
      <c r="Z2" s="151">
        <f t="shared" ref="Z2:AC2" si="1">IF(Z3=1,Y2+1,Y2)</f>
        <v>2024</v>
      </c>
      <c r="AA2" s="151">
        <f t="shared" si="1"/>
        <v>2025</v>
      </c>
      <c r="AB2" s="151">
        <f t="shared" si="1"/>
        <v>2025</v>
      </c>
      <c r="AC2" s="151">
        <f t="shared" si="1"/>
        <v>2025</v>
      </c>
      <c r="AD2" s="151">
        <f t="shared" ref="AD2" si="2">IF(AD3=1,AC2+1,AC2)</f>
        <v>2025</v>
      </c>
      <c r="AE2" s="151">
        <f t="shared" ref="AE2" si="3">IF(AE3=1,AD2+1,AD2)</f>
        <v>2025</v>
      </c>
      <c r="AF2" s="151">
        <f t="shared" ref="AF2" si="4">IF(AF3=1,AE2+1,AE2)</f>
        <v>2025</v>
      </c>
      <c r="AG2" s="151">
        <f t="shared" ref="AG2" si="5">IF(AG3=1,AF2+1,AF2)</f>
        <v>2025</v>
      </c>
      <c r="AH2" s="151">
        <f t="shared" ref="AH2" si="6">IF(AH3=1,AG2+1,AG2)</f>
        <v>2025</v>
      </c>
      <c r="AI2" s="151">
        <f t="shared" ref="AI2" si="7">IF(AI3=1,AH2+1,AH2)</f>
        <v>2025</v>
      </c>
      <c r="AJ2" s="151">
        <f t="shared" ref="AJ2" si="8">IF(AJ3=1,AI2+1,AI2)</f>
        <v>2025</v>
      </c>
      <c r="AK2" s="151">
        <f t="shared" ref="AK2" si="9">IF(AK3=1,AJ2+1,AJ2)</f>
        <v>2025</v>
      </c>
      <c r="AL2" s="151">
        <f t="shared" ref="AL2" si="10">IF(AL3=1,AK2+1,AK2)</f>
        <v>2025</v>
      </c>
      <c r="AM2" s="179">
        <f>IF(AM3=1,AL2+1,AL2)</f>
        <v>2026</v>
      </c>
      <c r="AN2" s="179">
        <f>IF(AN3=1,AM2+1,AM2)</f>
        <v>2026</v>
      </c>
      <c r="AO2" s="179">
        <f>IF(AO3=1,AN2+1,AN2)</f>
        <v>2026</v>
      </c>
    </row>
    <row r="3" spans="1:41" ht="15">
      <c r="A3" s="150"/>
      <c r="B3" s="151"/>
      <c r="C3" s="151">
        <v>1</v>
      </c>
      <c r="D3" s="151">
        <f t="shared" ref="D3:AC3" si="11">IF(C3&lt;12,C3+1,1)</f>
        <v>2</v>
      </c>
      <c r="E3" s="151">
        <f t="shared" si="11"/>
        <v>3</v>
      </c>
      <c r="F3" s="151">
        <f t="shared" si="11"/>
        <v>4</v>
      </c>
      <c r="G3" s="151">
        <f t="shared" si="11"/>
        <v>5</v>
      </c>
      <c r="H3" s="151">
        <f t="shared" si="11"/>
        <v>6</v>
      </c>
      <c r="I3" s="151">
        <f t="shared" si="11"/>
        <v>7</v>
      </c>
      <c r="J3" s="151">
        <f t="shared" si="11"/>
        <v>8</v>
      </c>
      <c r="K3" s="151">
        <f t="shared" si="11"/>
        <v>9</v>
      </c>
      <c r="L3" s="151">
        <f t="shared" si="11"/>
        <v>10</v>
      </c>
      <c r="M3" s="151">
        <f t="shared" si="11"/>
        <v>11</v>
      </c>
      <c r="N3" s="151">
        <f t="shared" si="11"/>
        <v>12</v>
      </c>
      <c r="O3" s="151">
        <f t="shared" si="11"/>
        <v>1</v>
      </c>
      <c r="P3" s="151">
        <f t="shared" si="11"/>
        <v>2</v>
      </c>
      <c r="Q3" s="151">
        <f t="shared" si="11"/>
        <v>3</v>
      </c>
      <c r="R3" s="151">
        <f t="shared" si="11"/>
        <v>4</v>
      </c>
      <c r="S3" s="151">
        <f t="shared" si="11"/>
        <v>5</v>
      </c>
      <c r="T3" s="151">
        <f t="shared" si="11"/>
        <v>6</v>
      </c>
      <c r="U3" s="151">
        <f t="shared" si="11"/>
        <v>7</v>
      </c>
      <c r="V3" s="151">
        <f t="shared" si="11"/>
        <v>8</v>
      </c>
      <c r="W3" s="151">
        <f t="shared" si="11"/>
        <v>9</v>
      </c>
      <c r="X3" s="151">
        <f t="shared" si="11"/>
        <v>10</v>
      </c>
      <c r="Y3" s="151">
        <f t="shared" si="11"/>
        <v>11</v>
      </c>
      <c r="Z3" s="151">
        <f t="shared" si="11"/>
        <v>12</v>
      </c>
      <c r="AA3" s="151">
        <f t="shared" si="11"/>
        <v>1</v>
      </c>
      <c r="AB3" s="151">
        <f t="shared" si="11"/>
        <v>2</v>
      </c>
      <c r="AC3" s="151">
        <f t="shared" si="11"/>
        <v>3</v>
      </c>
      <c r="AD3" s="151">
        <f t="shared" ref="AD3" si="12">IF(AC3&lt;12,AC3+1,1)</f>
        <v>4</v>
      </c>
      <c r="AE3" s="151">
        <f t="shared" ref="AE3" si="13">IF(AD3&lt;12,AD3+1,1)</f>
        <v>5</v>
      </c>
      <c r="AF3" s="151">
        <f t="shared" ref="AF3" si="14">IF(AE3&lt;12,AE3+1,1)</f>
        <v>6</v>
      </c>
      <c r="AG3" s="151">
        <f t="shared" ref="AG3" si="15">IF(AF3&lt;12,AF3+1,1)</f>
        <v>7</v>
      </c>
      <c r="AH3" s="151">
        <f t="shared" ref="AH3" si="16">IF(AG3&lt;12,AG3+1,1)</f>
        <v>8</v>
      </c>
      <c r="AI3" s="151">
        <f t="shared" ref="AI3" si="17">IF(AH3&lt;12,AH3+1,1)</f>
        <v>9</v>
      </c>
      <c r="AJ3" s="151">
        <f t="shared" ref="AJ3" si="18">IF(AI3&lt;12,AI3+1,1)</f>
        <v>10</v>
      </c>
      <c r="AK3" s="151">
        <f t="shared" ref="AK3" si="19">IF(AJ3&lt;12,AJ3+1,1)</f>
        <v>11</v>
      </c>
      <c r="AL3" s="151">
        <f t="shared" ref="AL3" si="20">IF(AK3&lt;12,AK3+1,1)</f>
        <v>12</v>
      </c>
      <c r="AM3" s="179">
        <f>IF(AL3&lt;12,AL3+1,1)</f>
        <v>1</v>
      </c>
      <c r="AN3" s="179">
        <f>IF(AM3&lt;12,AM3+1,1)</f>
        <v>2</v>
      </c>
      <c r="AO3" s="179">
        <f>IF(AN3&lt;12,AN3+1,1)</f>
        <v>3</v>
      </c>
    </row>
    <row r="4" spans="1:41" ht="84.75" customHeight="1">
      <c r="A4" s="152" t="s">
        <v>72</v>
      </c>
      <c r="B4" s="153" t="s">
        <v>73</v>
      </c>
      <c r="C4" s="154" t="str">
        <f t="shared" ref="C4:AC4" si="21">TEXT(C3*29, "Mmmm")&amp;" "&amp;C2&amp;" Water Billed Volume (CCF)"</f>
        <v>January 2023 Water Billed Volume (CCF)</v>
      </c>
      <c r="D4" s="154" t="str">
        <f t="shared" si="21"/>
        <v>February 2023 Water Billed Volume (CCF)</v>
      </c>
      <c r="E4" s="154" t="str">
        <f t="shared" si="21"/>
        <v>March 2023 Water Billed Volume (CCF)</v>
      </c>
      <c r="F4" s="154" t="str">
        <f t="shared" si="21"/>
        <v>April 2023 Water Billed Volume (CCF)</v>
      </c>
      <c r="G4" s="154" t="str">
        <f t="shared" si="21"/>
        <v>May 2023 Water Billed Volume (CCF)</v>
      </c>
      <c r="H4" s="154" t="str">
        <f t="shared" si="21"/>
        <v>June 2023 Water Billed Volume (CCF)</v>
      </c>
      <c r="I4" s="154" t="str">
        <f t="shared" si="21"/>
        <v>July 2023 Water Billed Volume (CCF)</v>
      </c>
      <c r="J4" s="154" t="str">
        <f t="shared" si="21"/>
        <v>August 2023 Water Billed Volume (CCF)</v>
      </c>
      <c r="K4" s="154" t="str">
        <f t="shared" si="21"/>
        <v>September 2023 Water Billed Volume (CCF)</v>
      </c>
      <c r="L4" s="154" t="str">
        <f t="shared" si="21"/>
        <v>October 2023 Water Billed Volume (CCF)</v>
      </c>
      <c r="M4" s="154" t="str">
        <f t="shared" si="21"/>
        <v>November 2023 Water Billed Volume (CCF)</v>
      </c>
      <c r="N4" s="154" t="str">
        <f t="shared" si="21"/>
        <v>December 2023 Water Billed Volume (CCF)</v>
      </c>
      <c r="O4" s="154" t="str">
        <f t="shared" si="21"/>
        <v>January 2024 Water Billed Volume (CCF)</v>
      </c>
      <c r="P4" s="154" t="str">
        <f t="shared" si="21"/>
        <v>February 2024 Water Billed Volume (CCF)</v>
      </c>
      <c r="Q4" s="154" t="str">
        <f t="shared" si="21"/>
        <v>March 2024 Water Billed Volume (CCF)</v>
      </c>
      <c r="R4" s="154" t="str">
        <f t="shared" si="21"/>
        <v>April 2024 Water Billed Volume (CCF)</v>
      </c>
      <c r="S4" s="154" t="str">
        <f t="shared" si="21"/>
        <v>May 2024 Water Billed Volume (CCF)</v>
      </c>
      <c r="T4" s="154" t="str">
        <f t="shared" si="21"/>
        <v>June 2024 Water Billed Volume (CCF)</v>
      </c>
      <c r="U4" s="154" t="str">
        <f t="shared" si="21"/>
        <v>July 2024 Water Billed Volume (CCF)</v>
      </c>
      <c r="V4" s="154" t="str">
        <f t="shared" si="21"/>
        <v>August 2024 Water Billed Volume (CCF)</v>
      </c>
      <c r="W4" s="154" t="str">
        <f t="shared" si="21"/>
        <v>September 2024 Water Billed Volume (CCF)</v>
      </c>
      <c r="X4" s="154" t="str">
        <f t="shared" si="21"/>
        <v>October 2024 Water Billed Volume (CCF)</v>
      </c>
      <c r="Y4" s="154" t="str">
        <f t="shared" si="21"/>
        <v>November 2024 Water Billed Volume (CCF)</v>
      </c>
      <c r="Z4" s="154" t="str">
        <f t="shared" si="21"/>
        <v>December 2024 Water Billed Volume (CCF)</v>
      </c>
      <c r="AA4" s="154" t="str">
        <f t="shared" si="21"/>
        <v>January 2025 Water Billed Volume (CCF)</v>
      </c>
      <c r="AB4" s="154" t="str">
        <f t="shared" si="21"/>
        <v>February 2025 Water Billed Volume (CCF)</v>
      </c>
      <c r="AC4" s="154" t="str">
        <f t="shared" si="21"/>
        <v>March 2025 Water Billed Volume (CCF)</v>
      </c>
      <c r="AD4" s="154" t="str">
        <f t="shared" ref="AD4:AL4" si="22">TEXT(AD3*29, "Mmmm")&amp;" "&amp;AD2&amp;" Water Billed Volume (CCF)"</f>
        <v>April 2025 Water Billed Volume (CCF)</v>
      </c>
      <c r="AE4" s="154" t="str">
        <f t="shared" si="22"/>
        <v>May 2025 Water Billed Volume (CCF)</v>
      </c>
      <c r="AF4" s="154" t="str">
        <f t="shared" si="22"/>
        <v>June 2025 Water Billed Volume (CCF)</v>
      </c>
      <c r="AG4" s="154" t="str">
        <f t="shared" si="22"/>
        <v>July 2025 Water Billed Volume (CCF)</v>
      </c>
      <c r="AH4" s="154" t="str">
        <f t="shared" si="22"/>
        <v>August 2025 Water Billed Volume (CCF)</v>
      </c>
      <c r="AI4" s="154" t="str">
        <f t="shared" si="22"/>
        <v>September 2025 Water Billed Volume (CCF)</v>
      </c>
      <c r="AJ4" s="154" t="str">
        <f t="shared" si="22"/>
        <v>October 2025 Water Billed Volume (CCF)</v>
      </c>
      <c r="AK4" s="154" t="str">
        <f t="shared" si="22"/>
        <v>November 2025 Water Billed Volume (CCF)</v>
      </c>
      <c r="AL4" s="154" t="str">
        <f t="shared" si="22"/>
        <v>December 2025 Water Billed Volume (CCF)</v>
      </c>
      <c r="AM4" s="180" t="str">
        <f>TEXT(AM3*29, "Mmmm")&amp;" "&amp;AM2&amp;" Water Billed Volume (CCF)"</f>
        <v>January 2026 Water Billed Volume (CCF)</v>
      </c>
      <c r="AN4" s="180" t="str">
        <f>TEXT(AN3*29, "Mmmm")&amp;" "&amp;AN2&amp;" Water Billed Volume (CCF)"</f>
        <v>February 2026 Water Billed Volume (CCF)</v>
      </c>
      <c r="AO4" s="180" t="str">
        <f>TEXT(AO3*29, "Mmmm")&amp;" "&amp;AO2&amp;" Water Billed Volume (CCF)"</f>
        <v>March 2026 Water Billed Volume (CCF)</v>
      </c>
    </row>
    <row r="5" spans="1:41" ht="15">
      <c r="A5" s="155" t="s">
        <v>69</v>
      </c>
      <c r="B5" s="156" t="s">
        <v>74</v>
      </c>
      <c r="C5" s="157">
        <f>SUMIFS('Combined Data'!$E:$E,'Combined Data'!$A:$A,DR_1!C$2,'Combined Data'!$B:$B,DR_1!C$3,'Combined Data'!$C:$C,DR_1!$A5)</f>
        <v>119863</v>
      </c>
      <c r="D5" s="157">
        <f>SUMIFS('Combined Data'!$E:$E,'Combined Data'!$A:$A,DR_1!D$2,'Combined Data'!$B:$B,DR_1!D$3,'Combined Data'!$C:$C,DR_1!$A5)</f>
        <v>95406</v>
      </c>
      <c r="E5" s="157">
        <f>SUMIFS('Combined Data'!$E:$E,'Combined Data'!$A:$A,DR_1!E$2,'Combined Data'!$B:$B,DR_1!E$3,'Combined Data'!$C:$C,DR_1!$A5)</f>
        <v>118160</v>
      </c>
      <c r="F5" s="157">
        <f>SUMIFS('Combined Data'!$E:$E,'Combined Data'!$A:$A,DR_1!F$2,'Combined Data'!$B:$B,DR_1!F$3,'Combined Data'!$C:$C,DR_1!$A5)</f>
        <v>98901</v>
      </c>
      <c r="G5" s="157">
        <f>SUMIFS('Combined Data'!$E:$E,'Combined Data'!$A:$A,DR_1!G$2,'Combined Data'!$B:$B,DR_1!G$3,'Combined Data'!$C:$C,DR_1!$A5)</f>
        <v>104317</v>
      </c>
      <c r="H5" s="157">
        <f>SUMIFS('Combined Data'!$E:$E,'Combined Data'!$A:$A,DR_1!H$2,'Combined Data'!$B:$B,DR_1!H$3,'Combined Data'!$C:$C,DR_1!$A5)</f>
        <v>133262</v>
      </c>
      <c r="I5" s="157">
        <f>SUMIFS('Combined Data'!$E:$E,'Combined Data'!$A:$A,DR_1!I$2,'Combined Data'!$B:$B,DR_1!I$3,'Combined Data'!$C:$C,DR_1!$A5)</f>
        <v>144907</v>
      </c>
      <c r="J5" s="157">
        <f>SUMIFS('Combined Data'!$E:$E,'Combined Data'!$A:$A,DR_1!J$2,'Combined Data'!$B:$B,DR_1!J$3,'Combined Data'!$C:$C,DR_1!$A5)</f>
        <v>139198</v>
      </c>
      <c r="K5" s="157">
        <f>SUMIFS('Combined Data'!$E:$E,'Combined Data'!$A:$A,DR_1!K$2,'Combined Data'!$B:$B,DR_1!K$3,'Combined Data'!$C:$C,DR_1!$A5)</f>
        <v>156850</v>
      </c>
      <c r="L5" s="157">
        <f>SUMIFS('Combined Data'!$E:$E,'Combined Data'!$A:$A,DR_1!L$2,'Combined Data'!$B:$B,DR_1!L$3,'Combined Data'!$C:$C,DR_1!$A5)</f>
        <v>143368</v>
      </c>
      <c r="M5" s="157">
        <f>SUMIFS('Combined Data'!$E:$E,'Combined Data'!$A:$A,DR_1!M$2,'Combined Data'!$B:$B,DR_1!M$3,'Combined Data'!$C:$C,DR_1!$A5)</f>
        <v>151823</v>
      </c>
      <c r="N5" s="157">
        <f>SUMIFS('Combined Data'!$E:$E,'Combined Data'!$A:$A,DR_1!N$2,'Combined Data'!$B:$B,DR_1!N$3,'Combined Data'!$C:$C,DR_1!$A5)</f>
        <v>153405</v>
      </c>
      <c r="O5" s="157">
        <f>SUMIFS('Combined Data'!$E:$E,'Combined Data'!$A:$A,DR_1!O$2,'Combined Data'!$B:$B,DR_1!O$3,'Combined Data'!$C:$C,DR_1!$A5)</f>
        <v>158733</v>
      </c>
      <c r="P5" s="157">
        <f>SUMIFS('Combined Data'!$E:$E,'Combined Data'!$A:$A,DR_1!P$2,'Combined Data'!$B:$B,DR_1!P$3,'Combined Data'!$C:$C,DR_1!$A5)</f>
        <v>190670</v>
      </c>
      <c r="Q5" s="157">
        <f>SUMIFS('Combined Data'!$E:$E,'Combined Data'!$A:$A,DR_1!Q$2,'Combined Data'!$B:$B,DR_1!Q$3,'Combined Data'!$C:$C,DR_1!$A5)</f>
        <v>295199</v>
      </c>
      <c r="R5" s="157">
        <f>SUMIFS('Combined Data'!$E:$E,'Combined Data'!$A:$A,DR_1!R$2,'Combined Data'!$B:$B,DR_1!R$3,'Combined Data'!$C:$C,DR_1!$A5)</f>
        <v>325552</v>
      </c>
      <c r="S5" s="157">
        <f>SUMIFS('Combined Data'!$E:$E,'Combined Data'!$A:$A,DR_1!S$2,'Combined Data'!$B:$B,DR_1!S$3,'Combined Data'!$C:$C,DR_1!$A5)</f>
        <v>363582</v>
      </c>
      <c r="T5" s="157">
        <f>SUMIFS('Combined Data'!$E:$E,'Combined Data'!$A:$A,DR_1!T$2,'Combined Data'!$B:$B,DR_1!T$3,'Combined Data'!$C:$C,DR_1!$A5)</f>
        <v>351514</v>
      </c>
      <c r="U5" s="157">
        <f>SUMIFS('Combined Data'!$E:$E,'Combined Data'!$A:$A,DR_1!U$2,'Combined Data'!$B:$B,DR_1!U$3,'Combined Data'!$C:$C,DR_1!$A5)</f>
        <v>377977</v>
      </c>
      <c r="V5" s="157">
        <f>SUMIFS('Combined Data'!$E:$E,'Combined Data'!$A:$A,DR_1!V$2,'Combined Data'!$B:$B,DR_1!V$3,'Combined Data'!$C:$C,DR_1!$A5)</f>
        <v>400254</v>
      </c>
      <c r="W5" s="157">
        <f>SUMIFS('Combined Data'!$E:$E,'Combined Data'!$A:$A,DR_1!W$2,'Combined Data'!$B:$B,DR_1!W$3,'Combined Data'!$C:$C,DR_1!$A5)</f>
        <v>419861</v>
      </c>
      <c r="X5" s="157">
        <f>SUMIFS('Combined Data'!$E:$E,'Combined Data'!$A:$A,DR_1!X$2,'Combined Data'!$B:$B,DR_1!X$3,'Combined Data'!$C:$C,DR_1!$A5)</f>
        <v>407993</v>
      </c>
      <c r="Y5" s="157">
        <f>SUMIFS('Combined Data'!$E:$E,'Combined Data'!$A:$A,DR_1!Y$2,'Combined Data'!$B:$B,DR_1!Y$3,'Combined Data'!$C:$C,DR_1!$A5)</f>
        <v>356885</v>
      </c>
      <c r="Z5" s="157">
        <f>SUMIFS('Combined Data'!$E:$E,'Combined Data'!$A:$A,DR_1!Z$2,'Combined Data'!$B:$B,DR_1!Z$3,'Combined Data'!$C:$C,DR_1!$A5)</f>
        <v>381139</v>
      </c>
      <c r="AA5" s="157">
        <f>SUMIFS('Combined Data'!$E:$E,'Combined Data'!$A:$A,DR_1!AA$2,'Combined Data'!$B:$B,DR_1!AA$3,'Combined Data'!$C:$C,DR_1!$A5)</f>
        <v>431332</v>
      </c>
      <c r="AB5" s="157">
        <f>SUMIFS('Combined Data'!$E:$E,'Combined Data'!$A:$A,DR_1!AB$2,'Combined Data'!$B:$B,DR_1!AB$3,'Combined Data'!$C:$C,DR_1!$A5)</f>
        <v>362543</v>
      </c>
      <c r="AC5" s="157">
        <f>SUMIFS('Combined Data'!$E:$E,'Combined Data'!$A:$A,DR_1!AC$2,'Combined Data'!$B:$B,DR_1!AC$3,'Combined Data'!$C:$C,DR_1!$A5)</f>
        <v>375751</v>
      </c>
      <c r="AD5" s="157">
        <f>SUMIFS('Combined Data'!$E:$E,'Combined Data'!$A:$A,DR_1!AD$2,'Combined Data'!$B:$B,DR_1!AD$3,'Combined Data'!$C:$C,DR_1!$A5)</f>
        <v>382353</v>
      </c>
      <c r="AE5" s="157">
        <f>SUMIFS('Combined Data'!$E:$E,'Combined Data'!$A:$A,DR_1!AE$2,'Combined Data'!$B:$B,DR_1!AE$3,'Combined Data'!$C:$C,DR_1!$A5)</f>
        <v>395758</v>
      </c>
      <c r="AF5" s="157">
        <f>SUMIFS('Combined Data'!$E:$E,'Combined Data'!$A:$A,DR_1!AF$2,'Combined Data'!$B:$B,DR_1!AF$3,'Combined Data'!$C:$C,DR_1!$A5)</f>
        <v>419696</v>
      </c>
      <c r="AG5" s="157">
        <f>SUMIFS('Combined Data'!$E:$E,'Combined Data'!$A:$A,DR_1!AG$2,'Combined Data'!$B:$B,DR_1!AG$3,'Combined Data'!$C:$C,DR_1!$A5)</f>
        <v>423997</v>
      </c>
      <c r="AH5" s="157">
        <f>SUMIFS('Combined Data'!$E:$E,'Combined Data'!$A:$A,DR_1!AH$2,'Combined Data'!$B:$B,DR_1!AH$3,'Combined Data'!$C:$C,DR_1!$A5)</f>
        <v>450076</v>
      </c>
      <c r="AI5" s="157">
        <f>SUMIFS('Combined Data'!$E:$E,'Combined Data'!$A:$A,DR_1!AI$2,'Combined Data'!$B:$B,DR_1!AI$3,'Combined Data'!$C:$C,DR_1!$A5)</f>
        <v>444157</v>
      </c>
      <c r="AJ5" s="157">
        <f>SUMIFS('Combined Data'!$E:$E,'Combined Data'!$A:$A,DR_1!AJ$2,'Combined Data'!$B:$B,DR_1!AJ$3,'Combined Data'!$C:$C,DR_1!$A5)</f>
        <v>466827</v>
      </c>
      <c r="AK5" s="157">
        <f>SUMIFS('Combined Data'!$E:$E,'Combined Data'!$A:$A,DR_1!AK$2,'Combined Data'!$B:$B,DR_1!AK$3,'Combined Data'!$C:$C,DR_1!$A5)</f>
        <v>340206</v>
      </c>
      <c r="AL5" s="157">
        <f>SUMIFS('Combined Data'!$E:$E,'Combined Data'!$A:$A,DR_1!AL$2,'Combined Data'!$B:$B,DR_1!AL$3,'Combined Data'!$C:$C,DR_1!$A5)</f>
        <v>453729</v>
      </c>
      <c r="AM5" s="157">
        <f>SUMIFS('Combined Data'!$E:$E,'Combined Data'!$A:$A,DR_1!AM$2,'Combined Data'!$B:$B,DR_1!AM$3,'Combined Data'!$C:$C,DR_1!$A5)</f>
        <v>474801</v>
      </c>
      <c r="AN5" s="157">
        <f>SUMIFS('Combined Data'!$E:$E,'Combined Data'!$A:$A,DR_1!AN$2,'Combined Data'!$B:$B,DR_1!AN$3,'Combined Data'!$C:$C,DR_1!$A5)</f>
        <v>423513</v>
      </c>
      <c r="AO5" s="157">
        <f>SUMIFS('Combined Data'!$E:$E,'Combined Data'!$A:$A,DR_1!AO$2,'Combined Data'!$B:$B,DR_1!AO$3,'Combined Data'!$C:$C,DR_1!$A5)</f>
        <v>464349</v>
      </c>
    </row>
    <row r="6" spans="1:41" ht="15">
      <c r="A6" s="155" t="s">
        <v>63</v>
      </c>
      <c r="B6" s="155" t="s">
        <v>75</v>
      </c>
      <c r="C6" s="157">
        <f>SUMIFS('Combined Data'!$E:$E,'Combined Data'!$A:$A,DR_1!C$2,'Combined Data'!$B:$B,DR_1!C$3,'Combined Data'!$C:$C,DR_1!$A6,'Combined Data'!$D:$D,DR_1!$B6)</f>
        <v>85245</v>
      </c>
      <c r="D6" s="157">
        <f>SUMIFS('Combined Data'!$E:$E,'Combined Data'!$A:$A,DR_1!D$2,'Combined Data'!$B:$B,DR_1!D$3,'Combined Data'!$C:$C,DR_1!$A6,'Combined Data'!$D:$D,DR_1!$B6)</f>
        <v>66830</v>
      </c>
      <c r="E6" s="157">
        <f>SUMIFS('Combined Data'!$E:$E,'Combined Data'!$A:$A,DR_1!E$2,'Combined Data'!$B:$B,DR_1!E$3,'Combined Data'!$C:$C,DR_1!$A6,'Combined Data'!$D:$D,DR_1!$B6)</f>
        <v>81790</v>
      </c>
      <c r="F6" s="157">
        <f>SUMIFS('Combined Data'!$E:$E,'Combined Data'!$A:$A,DR_1!F$2,'Combined Data'!$B:$B,DR_1!F$3,'Combined Data'!$C:$C,DR_1!$A6,'Combined Data'!$D:$D,DR_1!$B6)</f>
        <v>64140</v>
      </c>
      <c r="G6" s="157">
        <f>SUMIFS('Combined Data'!$E:$E,'Combined Data'!$A:$A,DR_1!G$2,'Combined Data'!$B:$B,DR_1!G$3,'Combined Data'!$C:$C,DR_1!$A6,'Combined Data'!$D:$D,DR_1!$B6)</f>
        <v>64900</v>
      </c>
      <c r="H6" s="157">
        <f>SUMIFS('Combined Data'!$E:$E,'Combined Data'!$A:$A,DR_1!H$2,'Combined Data'!$B:$B,DR_1!H$3,'Combined Data'!$C:$C,DR_1!$A6,'Combined Data'!$D:$D,DR_1!$B6)</f>
        <v>83563</v>
      </c>
      <c r="I6" s="157">
        <f>SUMIFS('Combined Data'!$E:$E,'Combined Data'!$A:$A,DR_1!I$2,'Combined Data'!$B:$B,DR_1!I$3,'Combined Data'!$C:$C,DR_1!$A6,'Combined Data'!$D:$D,DR_1!$B6)</f>
        <v>78127</v>
      </c>
      <c r="J6" s="157">
        <f>SUMIFS('Combined Data'!$E:$E,'Combined Data'!$A:$A,DR_1!J$2,'Combined Data'!$B:$B,DR_1!J$3,'Combined Data'!$C:$C,DR_1!$A6,'Combined Data'!$D:$D,DR_1!$B6)</f>
        <v>70974</v>
      </c>
      <c r="K6" s="157">
        <f>SUMIFS('Combined Data'!$E:$E,'Combined Data'!$A:$A,DR_1!K$2,'Combined Data'!$B:$B,DR_1!K$3,'Combined Data'!$C:$C,DR_1!$A6,'Combined Data'!$D:$D,DR_1!$B6)</f>
        <v>77719</v>
      </c>
      <c r="L6" s="157">
        <f>SUMIFS('Combined Data'!$E:$E,'Combined Data'!$A:$A,DR_1!L$2,'Combined Data'!$B:$B,DR_1!L$3,'Combined Data'!$C:$C,DR_1!$A6,'Combined Data'!$D:$D,DR_1!$B6)</f>
        <v>68046</v>
      </c>
      <c r="M6" s="157">
        <f>SUMIFS('Combined Data'!$E:$E,'Combined Data'!$A:$A,DR_1!M$2,'Combined Data'!$B:$B,DR_1!M$3,'Combined Data'!$C:$C,DR_1!$A6,'Combined Data'!$D:$D,DR_1!$B6)</f>
        <v>71872</v>
      </c>
      <c r="N6" s="157">
        <f>SUMIFS('Combined Data'!$E:$E,'Combined Data'!$A:$A,DR_1!N$2,'Combined Data'!$B:$B,DR_1!N$3,'Combined Data'!$C:$C,DR_1!$A6,'Combined Data'!$D:$D,DR_1!$B6)</f>
        <v>69363</v>
      </c>
      <c r="O6" s="157">
        <f>SUMIFS('Combined Data'!$E:$E,'Combined Data'!$A:$A,DR_1!O$2,'Combined Data'!$B:$B,DR_1!O$3,'Combined Data'!$C:$C,DR_1!$A6,'Combined Data'!$D:$D,DR_1!$B6)</f>
        <v>70855</v>
      </c>
      <c r="P6" s="157">
        <f>SUMIFS('Combined Data'!$E:$E,'Combined Data'!$A:$A,DR_1!P$2,'Combined Data'!$B:$B,DR_1!P$3,'Combined Data'!$C:$C,DR_1!$A6,'Combined Data'!$D:$D,DR_1!$B6)</f>
        <v>64322</v>
      </c>
      <c r="Q6" s="157">
        <f>SUMIFS('Combined Data'!$E:$E,'Combined Data'!$A:$A,DR_1!Q$2,'Combined Data'!$B:$B,DR_1!Q$3,'Combined Data'!$C:$C,DR_1!$A6,'Combined Data'!$D:$D,DR_1!$B6)</f>
        <v>51815</v>
      </c>
      <c r="R6" s="157">
        <f>SUMIFS('Combined Data'!$E:$E,'Combined Data'!$A:$A,DR_1!R$2,'Combined Data'!$B:$B,DR_1!R$3,'Combined Data'!$C:$C,DR_1!$A6,'Combined Data'!$D:$D,DR_1!$B6)</f>
        <v>48886</v>
      </c>
      <c r="S6" s="157">
        <f>SUMIFS('Combined Data'!$E:$E,'Combined Data'!$A:$A,DR_1!S$2,'Combined Data'!$B:$B,DR_1!S$3,'Combined Data'!$C:$C,DR_1!$A6,'Combined Data'!$D:$D,DR_1!$B6)</f>
        <v>52489</v>
      </c>
      <c r="T6" s="157">
        <f>SUMIFS('Combined Data'!$E:$E,'Combined Data'!$A:$A,DR_1!T$2,'Combined Data'!$B:$B,DR_1!T$3,'Combined Data'!$C:$C,DR_1!$A6,'Combined Data'!$D:$D,DR_1!$B6)</f>
        <v>52042</v>
      </c>
      <c r="U6" s="157">
        <f>SUMIFS('Combined Data'!$E:$E,'Combined Data'!$A:$A,DR_1!U$2,'Combined Data'!$B:$B,DR_1!U$3,'Combined Data'!$C:$C,DR_1!$A6,'Combined Data'!$D:$D,DR_1!$B6)</f>
        <v>56216</v>
      </c>
      <c r="V6" s="157">
        <f>SUMIFS('Combined Data'!$E:$E,'Combined Data'!$A:$A,DR_1!V$2,'Combined Data'!$B:$B,DR_1!V$3,'Combined Data'!$C:$C,DR_1!$A6,'Combined Data'!$D:$D,DR_1!$B6)</f>
        <v>56845</v>
      </c>
      <c r="W6" s="157">
        <f>SUMIFS('Combined Data'!$E:$E,'Combined Data'!$A:$A,DR_1!W$2,'Combined Data'!$B:$B,DR_1!W$3,'Combined Data'!$C:$C,DR_1!$A6,'Combined Data'!$D:$D,DR_1!$B6)</f>
        <v>57174</v>
      </c>
      <c r="X6" s="157">
        <f>SUMIFS('Combined Data'!$E:$E,'Combined Data'!$A:$A,DR_1!X$2,'Combined Data'!$B:$B,DR_1!X$3,'Combined Data'!$C:$C,DR_1!$A6,'Combined Data'!$D:$D,DR_1!$B6)</f>
        <v>53664</v>
      </c>
      <c r="Y6" s="157">
        <f>SUMIFS('Combined Data'!$E:$E,'Combined Data'!$A:$A,DR_1!Y$2,'Combined Data'!$B:$B,DR_1!Y$3,'Combined Data'!$C:$C,DR_1!$A6,'Combined Data'!$D:$D,DR_1!$B6)</f>
        <v>48317</v>
      </c>
      <c r="Z6" s="157">
        <f>SUMIFS('Combined Data'!$E:$E,'Combined Data'!$A:$A,DR_1!Z$2,'Combined Data'!$B:$B,DR_1!Z$3,'Combined Data'!$C:$C,DR_1!$A6,'Combined Data'!$D:$D,DR_1!$B6)</f>
        <v>50034</v>
      </c>
      <c r="AA6" s="157">
        <f>SUMIFS('Combined Data'!$E:$E,'Combined Data'!$A:$A,DR_1!AA$2,'Combined Data'!$B:$B,DR_1!AA$3,'Combined Data'!$C:$C,DR_1!$A6,'Combined Data'!$D:$D,DR_1!$B6)</f>
        <v>59816</v>
      </c>
      <c r="AB6" s="157">
        <f>SUMIFS('Combined Data'!$E:$E,'Combined Data'!$A:$A,DR_1!AB$2,'Combined Data'!$B:$B,DR_1!AB$3,'Combined Data'!$C:$C,DR_1!$A6,'Combined Data'!$D:$D,DR_1!$B6)</f>
        <v>49128</v>
      </c>
      <c r="AC6" s="157">
        <f>SUMIFS('Combined Data'!$E:$E,'Combined Data'!$A:$A,DR_1!AC$2,'Combined Data'!$B:$B,DR_1!AC$3,'Combined Data'!$C:$C,DR_1!$A6,'Combined Data'!$D:$D,DR_1!$B6)</f>
        <v>50086</v>
      </c>
      <c r="AD6" s="157">
        <f>SUMIFS('Combined Data'!$E:$E,'Combined Data'!$A:$A,DR_1!AD$2,'Combined Data'!$B:$B,DR_1!AD$3,'Combined Data'!$C:$C,DR_1!$A6,'Combined Data'!$D:$D,DR_1!$B6)</f>
        <v>47494</v>
      </c>
      <c r="AE6" s="157">
        <f>SUMIFS('Combined Data'!$E:$E,'Combined Data'!$A:$A,DR_1!AE$2,'Combined Data'!$B:$B,DR_1!AE$3,'Combined Data'!$C:$C,DR_1!$A6,'Combined Data'!$D:$D,DR_1!$B6)</f>
        <v>47241</v>
      </c>
      <c r="AF6" s="157">
        <f>SUMIFS('Combined Data'!$E:$E,'Combined Data'!$A:$A,DR_1!AF$2,'Combined Data'!$B:$B,DR_1!AF$3,'Combined Data'!$C:$C,DR_1!$A6,'Combined Data'!$D:$D,DR_1!$B6)</f>
        <v>47522</v>
      </c>
      <c r="AG6" s="157">
        <f>SUMIFS('Combined Data'!$E:$E,'Combined Data'!$A:$A,DR_1!AG$2,'Combined Data'!$B:$B,DR_1!AG$3,'Combined Data'!$C:$C,DR_1!$A6,'Combined Data'!$D:$D,DR_1!$B6)</f>
        <v>47557</v>
      </c>
      <c r="AH6" s="157">
        <f>SUMIFS('Combined Data'!$E:$E,'Combined Data'!$A:$A,DR_1!AH$2,'Combined Data'!$B:$B,DR_1!AH$3,'Combined Data'!$C:$C,DR_1!$A6,'Combined Data'!$D:$D,DR_1!$B6)</f>
        <v>49689</v>
      </c>
      <c r="AI6" s="157">
        <f>SUMIFS('Combined Data'!$E:$E,'Combined Data'!$A:$A,DR_1!AI$2,'Combined Data'!$B:$B,DR_1!AI$3,'Combined Data'!$C:$C,DR_1!$A6,'Combined Data'!$D:$D,DR_1!$B6)</f>
        <v>47307</v>
      </c>
      <c r="AJ6" s="157">
        <f>SUMIFS('Combined Data'!$E:$E,'Combined Data'!$A:$A,DR_1!AJ$2,'Combined Data'!$B:$B,DR_1!AJ$3,'Combined Data'!$C:$C,DR_1!$A6,'Combined Data'!$D:$D,DR_1!$B6)</f>
        <v>49343</v>
      </c>
      <c r="AK6" s="157">
        <f>SUMIFS('Combined Data'!$E:$E,'Combined Data'!$A:$A,DR_1!AK$2,'Combined Data'!$B:$B,DR_1!AK$3,'Combined Data'!$C:$C,DR_1!$A6,'Combined Data'!$D:$D,DR_1!$B6)</f>
        <v>34367</v>
      </c>
      <c r="AL6" s="157">
        <f>SUMIFS('Combined Data'!$E:$E,'Combined Data'!$A:$A,DR_1!AL$2,'Combined Data'!$B:$B,DR_1!AL$3,'Combined Data'!$C:$C,DR_1!$A6,'Combined Data'!$D:$D,DR_1!$B6)</f>
        <v>47086</v>
      </c>
      <c r="AM6" s="157">
        <f>SUMIFS('Combined Data'!$E:$E,'Combined Data'!$A:$A,DR_1!AM$2,'Combined Data'!$B:$B,DR_1!AM$3,'Combined Data'!$C:$C,DR_1!$A6,'Combined Data'!$D:$D,DR_1!$B6)</f>
        <v>50118</v>
      </c>
      <c r="AN6" s="157">
        <f>SUMIFS('Combined Data'!$E:$E,'Combined Data'!$A:$A,DR_1!AN$2,'Combined Data'!$B:$B,DR_1!AN$3,'Combined Data'!$C:$C,DR_1!$A6,'Combined Data'!$D:$D,DR_1!$B6)</f>
        <v>46428</v>
      </c>
      <c r="AO6" s="157">
        <f>SUMIFS('Combined Data'!$E:$E,'Combined Data'!$A:$A,DR_1!AO$2,'Combined Data'!$B:$B,DR_1!AO$3,'Combined Data'!$C:$C,DR_1!$A6,'Combined Data'!$D:$D,DR_1!$B6)</f>
        <v>52854</v>
      </c>
    </row>
    <row r="7" spans="1:41" ht="15">
      <c r="A7" s="155" t="s">
        <v>63</v>
      </c>
      <c r="B7" s="155" t="s">
        <v>76</v>
      </c>
      <c r="C7" s="157">
        <f>SUMIFS('Combined Data'!$E:$E,'Combined Data'!$A:$A,DR_1!C$2,'Combined Data'!$B:$B,DR_1!C$3,'Combined Data'!$C:$C,DR_1!$A7,'Combined Data'!$D:$D,"PHA")</f>
        <v>147568</v>
      </c>
      <c r="D7" s="157">
        <f>SUMIFS('Combined Data'!$E:$E,'Combined Data'!$A:$A,DR_1!D$2,'Combined Data'!$B:$B,DR_1!D$3,'Combined Data'!$C:$C,DR_1!$A7,'Combined Data'!$D:$D,"PHA")</f>
        <v>123529</v>
      </c>
      <c r="E7" s="157">
        <f>SUMIFS('Combined Data'!$E:$E,'Combined Data'!$A:$A,DR_1!E$2,'Combined Data'!$B:$B,DR_1!E$3,'Combined Data'!$C:$C,DR_1!$A7,'Combined Data'!$D:$D,"PHA")</f>
        <v>124845</v>
      </c>
      <c r="F7" s="157">
        <f>SUMIFS('Combined Data'!$E:$E,'Combined Data'!$A:$A,DR_1!F$2,'Combined Data'!$B:$B,DR_1!F$3,'Combined Data'!$C:$C,DR_1!$A7,'Combined Data'!$D:$D,"PHA")</f>
        <v>119024</v>
      </c>
      <c r="G7" s="157">
        <f>SUMIFS('Combined Data'!$E:$E,'Combined Data'!$A:$A,DR_1!G$2,'Combined Data'!$B:$B,DR_1!G$3,'Combined Data'!$C:$C,DR_1!$A7,'Combined Data'!$D:$D,"PHA")</f>
        <v>106352</v>
      </c>
      <c r="H7" s="157">
        <f>SUMIFS('Combined Data'!$E:$E,'Combined Data'!$A:$A,DR_1!H$2,'Combined Data'!$B:$B,DR_1!H$3,'Combined Data'!$C:$C,DR_1!$A7,'Combined Data'!$D:$D,"PHA")</f>
        <v>124383</v>
      </c>
      <c r="I7" s="157">
        <f>SUMIFS('Combined Data'!$E:$E,'Combined Data'!$A:$A,DR_1!I$2,'Combined Data'!$B:$B,DR_1!I$3,'Combined Data'!$C:$C,DR_1!$A7,'Combined Data'!$D:$D,"PHA")</f>
        <v>127739</v>
      </c>
      <c r="J7" s="157">
        <f>SUMIFS('Combined Data'!$E:$E,'Combined Data'!$A:$A,DR_1!J$2,'Combined Data'!$B:$B,DR_1!J$3,'Combined Data'!$C:$C,DR_1!$A7,'Combined Data'!$D:$D,"PHA")</f>
        <v>121040</v>
      </c>
      <c r="K7" s="157">
        <f>SUMIFS('Combined Data'!$E:$E,'Combined Data'!$A:$A,DR_1!K$2,'Combined Data'!$B:$B,DR_1!K$3,'Combined Data'!$C:$C,DR_1!$A7,'Combined Data'!$D:$D,"PHA")</f>
        <v>129058</v>
      </c>
      <c r="L7" s="157">
        <f>SUMIFS('Combined Data'!$E:$E,'Combined Data'!$A:$A,DR_1!L$2,'Combined Data'!$B:$B,DR_1!L$3,'Combined Data'!$C:$C,DR_1!$A7,'Combined Data'!$D:$D,"PHA")</f>
        <v>115019</v>
      </c>
      <c r="M7" s="157">
        <f>SUMIFS('Combined Data'!$E:$E,'Combined Data'!$A:$A,DR_1!M$2,'Combined Data'!$B:$B,DR_1!M$3,'Combined Data'!$C:$C,DR_1!$A7,'Combined Data'!$D:$D,"PHA")</f>
        <v>116462</v>
      </c>
      <c r="N7" s="157">
        <f>SUMIFS('Combined Data'!$E:$E,'Combined Data'!$A:$A,DR_1!N$2,'Combined Data'!$B:$B,DR_1!N$3,'Combined Data'!$C:$C,DR_1!$A7,'Combined Data'!$D:$D,"PHA")</f>
        <v>116870</v>
      </c>
      <c r="O7" s="157">
        <f>SUMIFS('Combined Data'!$E:$E,'Combined Data'!$A:$A,DR_1!O$2,'Combined Data'!$B:$B,DR_1!O$3,'Combined Data'!$C:$C,DR_1!$A7,'Combined Data'!$D:$D,"PHA")</f>
        <v>116966</v>
      </c>
      <c r="P7" s="157">
        <f>SUMIFS('Combined Data'!$E:$E,'Combined Data'!$A:$A,DR_1!P$2,'Combined Data'!$B:$B,DR_1!P$3,'Combined Data'!$C:$C,DR_1!$A7,'Combined Data'!$D:$D,"PHA")</f>
        <v>114865</v>
      </c>
      <c r="Q7" s="157">
        <f>SUMIFS('Combined Data'!$E:$E,'Combined Data'!$A:$A,DR_1!Q$2,'Combined Data'!$B:$B,DR_1!Q$3,'Combined Data'!$C:$C,DR_1!$A7,'Combined Data'!$D:$D,"PHA")</f>
        <v>104168</v>
      </c>
      <c r="R7" s="157">
        <f>SUMIFS('Combined Data'!$E:$E,'Combined Data'!$A:$A,DR_1!R$2,'Combined Data'!$B:$B,DR_1!R$3,'Combined Data'!$C:$C,DR_1!$A7,'Combined Data'!$D:$D,"PHA")</f>
        <v>104905</v>
      </c>
      <c r="S7" s="157">
        <f>SUMIFS('Combined Data'!$E:$E,'Combined Data'!$A:$A,DR_1!S$2,'Combined Data'!$B:$B,DR_1!S$3,'Combined Data'!$C:$C,DR_1!$A7,'Combined Data'!$D:$D,"PHA")</f>
        <v>105765</v>
      </c>
      <c r="T7" s="157">
        <f>SUMIFS('Combined Data'!$E:$E,'Combined Data'!$A:$A,DR_1!T$2,'Combined Data'!$B:$B,DR_1!T$3,'Combined Data'!$C:$C,DR_1!$A7,'Combined Data'!$D:$D,"PHA")</f>
        <v>111189</v>
      </c>
      <c r="U7" s="157">
        <f>SUMIFS('Combined Data'!$E:$E,'Combined Data'!$A:$A,DR_1!U$2,'Combined Data'!$B:$B,DR_1!U$3,'Combined Data'!$C:$C,DR_1!$A7,'Combined Data'!$D:$D,"PHA")</f>
        <v>121920</v>
      </c>
      <c r="V7" s="157">
        <f>SUMIFS('Combined Data'!$E:$E,'Combined Data'!$A:$A,DR_1!V$2,'Combined Data'!$B:$B,DR_1!V$3,'Combined Data'!$C:$C,DR_1!$A7,'Combined Data'!$D:$D,"PHA")</f>
        <v>123892</v>
      </c>
      <c r="W7" s="157">
        <f>SUMIFS('Combined Data'!$E:$E,'Combined Data'!$A:$A,DR_1!W$2,'Combined Data'!$B:$B,DR_1!W$3,'Combined Data'!$C:$C,DR_1!$A7,'Combined Data'!$D:$D,"PHA")</f>
        <v>124112</v>
      </c>
      <c r="X7" s="157">
        <f>SUMIFS('Combined Data'!$E:$E,'Combined Data'!$A:$A,DR_1!X$2,'Combined Data'!$B:$B,DR_1!X$3,'Combined Data'!$C:$C,DR_1!$A7,'Combined Data'!$D:$D,"PHA")</f>
        <v>118168</v>
      </c>
      <c r="Y7" s="157">
        <f>SUMIFS('Combined Data'!$E:$E,'Combined Data'!$A:$A,DR_1!Y$2,'Combined Data'!$B:$B,DR_1!Y$3,'Combined Data'!$C:$C,DR_1!$A7,'Combined Data'!$D:$D,"PHA")</f>
        <v>113911</v>
      </c>
      <c r="Z7" s="157">
        <f>SUMIFS('Combined Data'!$E:$E,'Combined Data'!$A:$A,DR_1!Z$2,'Combined Data'!$B:$B,DR_1!Z$3,'Combined Data'!$C:$C,DR_1!$A7,'Combined Data'!$D:$D,"PHA")</f>
        <v>114471</v>
      </c>
      <c r="AA7" s="157">
        <f>SUMIFS('Combined Data'!$E:$E,'Combined Data'!$A:$A,DR_1!AA$2,'Combined Data'!$B:$B,DR_1!AA$3,'Combined Data'!$C:$C,DR_1!$A7,'Combined Data'!$D:$D,"PHA")</f>
        <v>120462</v>
      </c>
      <c r="AB7" s="157">
        <f>SUMIFS('Combined Data'!$E:$E,'Combined Data'!$A:$A,DR_1!AB$2,'Combined Data'!$B:$B,DR_1!AB$3,'Combined Data'!$C:$C,DR_1!$A7,'Combined Data'!$D:$D,"PHA")</f>
        <v>109199</v>
      </c>
      <c r="AC7" s="157">
        <f>SUMIFS('Combined Data'!$E:$E,'Combined Data'!$A:$A,DR_1!AC$2,'Combined Data'!$B:$B,DR_1!AC$3,'Combined Data'!$C:$C,DR_1!$A7,'Combined Data'!$D:$D,"PHA")</f>
        <v>104711</v>
      </c>
      <c r="AD7" s="157">
        <f>SUMIFS('Combined Data'!$E:$E,'Combined Data'!$A:$A,DR_1!AD$2,'Combined Data'!$B:$B,DR_1!AD$3,'Combined Data'!$C:$C,DR_1!$A7,'Combined Data'!$D:$D,"PHA")</f>
        <v>103127</v>
      </c>
      <c r="AE7" s="157">
        <f>SUMIFS('Combined Data'!$E:$E,'Combined Data'!$A:$A,DR_1!AE$2,'Combined Data'!$B:$B,DR_1!AE$3,'Combined Data'!$C:$C,DR_1!$A7,'Combined Data'!$D:$D,"PHA")</f>
        <v>120137</v>
      </c>
      <c r="AF7" s="157">
        <f>SUMIFS('Combined Data'!$E:$E,'Combined Data'!$A:$A,DR_1!AF$2,'Combined Data'!$B:$B,DR_1!AF$3,'Combined Data'!$C:$C,DR_1!$A7,'Combined Data'!$D:$D,"PHA")</f>
        <v>106380</v>
      </c>
      <c r="AG7" s="157">
        <f>SUMIFS('Combined Data'!$E:$E,'Combined Data'!$A:$A,DR_1!AG$2,'Combined Data'!$B:$B,DR_1!AG$3,'Combined Data'!$C:$C,DR_1!$A7,'Combined Data'!$D:$D,"PHA")</f>
        <v>112691</v>
      </c>
      <c r="AH7" s="157">
        <f>SUMIFS('Combined Data'!$E:$E,'Combined Data'!$A:$A,DR_1!AH$2,'Combined Data'!$B:$B,DR_1!AH$3,'Combined Data'!$C:$C,DR_1!$A7,'Combined Data'!$D:$D,"PHA")</f>
        <v>113145</v>
      </c>
      <c r="AI7" s="157">
        <f>SUMIFS('Combined Data'!$E:$E,'Combined Data'!$A:$A,DR_1!AI$2,'Combined Data'!$B:$B,DR_1!AI$3,'Combined Data'!$C:$C,DR_1!$A7,'Combined Data'!$D:$D,"PHA")</f>
        <v>111990</v>
      </c>
      <c r="AJ7" s="157">
        <f>SUMIFS('Combined Data'!$E:$E,'Combined Data'!$A:$A,DR_1!AJ$2,'Combined Data'!$B:$B,DR_1!AJ$3,'Combined Data'!$C:$C,DR_1!$A7,'Combined Data'!$D:$D,"PHA")</f>
        <v>107777</v>
      </c>
      <c r="AK7" s="157">
        <f>SUMIFS('Combined Data'!$E:$E,'Combined Data'!$A:$A,DR_1!AK$2,'Combined Data'!$B:$B,DR_1!AK$3,'Combined Data'!$C:$C,DR_1!$A7,'Combined Data'!$D:$D,"PHA")</f>
        <v>98283</v>
      </c>
      <c r="AL7" s="157">
        <f>SUMIFS('Combined Data'!$E:$E,'Combined Data'!$A:$A,DR_1!AL$2,'Combined Data'!$B:$B,DR_1!AL$3,'Combined Data'!$C:$C,DR_1!$A7,'Combined Data'!$D:$D,"PHA")</f>
        <v>106611</v>
      </c>
      <c r="AM7" s="157">
        <f>SUMIFS('Combined Data'!$E:$E,'Combined Data'!$A:$A,DR_1!AM$2,'Combined Data'!$B:$B,DR_1!AM$3,'Combined Data'!$C:$C,DR_1!$A7,'Combined Data'!$D:$D,"PHA")</f>
        <v>116739</v>
      </c>
      <c r="AN7" s="157">
        <f>SUMIFS('Combined Data'!$E:$E,'Combined Data'!$A:$A,DR_1!AN$2,'Combined Data'!$B:$B,DR_1!AN$3,'Combined Data'!$C:$C,DR_1!$A7,'Combined Data'!$D:$D,"PHA")</f>
        <v>101717</v>
      </c>
      <c r="AO7" s="157">
        <f>SUMIFS('Combined Data'!$E:$E,'Combined Data'!$A:$A,DR_1!AO$2,'Combined Data'!$B:$B,DR_1!AO$3,'Combined Data'!$C:$C,DR_1!$A7,'Combined Data'!$D:$D,"PHA")</f>
        <v>103297</v>
      </c>
    </row>
    <row r="8" spans="1:41" ht="15">
      <c r="A8" s="155" t="s">
        <v>63</v>
      </c>
      <c r="B8" s="155" t="s">
        <v>77</v>
      </c>
      <c r="C8" s="157">
        <f>SUMIFS('Combined Data'!$E:$E,'Combined Data'!$A:$A,DR_1!C$2,'Combined Data'!$B:$B,DR_1!C$3,'Combined Data'!$C:$C,DR_1!$A8,'Combined Data'!$D:$D,"Non-PHA")</f>
        <v>143791</v>
      </c>
      <c r="D8" s="157">
        <f>SUMIFS('Combined Data'!$E:$E,'Combined Data'!$A:$A,DR_1!D$2,'Combined Data'!$B:$B,DR_1!D$3,'Combined Data'!$C:$C,DR_1!$A8,'Combined Data'!$D:$D,"Non-PHA")</f>
        <v>126418</v>
      </c>
      <c r="E8" s="157">
        <f>SUMIFS('Combined Data'!$E:$E,'Combined Data'!$A:$A,DR_1!E$2,'Combined Data'!$B:$B,DR_1!E$3,'Combined Data'!$C:$C,DR_1!$A8,'Combined Data'!$D:$D,"Non-PHA")</f>
        <v>150824</v>
      </c>
      <c r="F8" s="157">
        <f>SUMIFS('Combined Data'!$E:$E,'Combined Data'!$A:$A,DR_1!F$2,'Combined Data'!$B:$B,DR_1!F$3,'Combined Data'!$C:$C,DR_1!$A8,'Combined Data'!$D:$D,"Non-PHA")</f>
        <v>139933</v>
      </c>
      <c r="G8" s="157">
        <f>SUMIFS('Combined Data'!$E:$E,'Combined Data'!$A:$A,DR_1!G$2,'Combined Data'!$B:$B,DR_1!G$3,'Combined Data'!$C:$C,DR_1!$A8,'Combined Data'!$D:$D,"Non-PHA")</f>
        <v>139030</v>
      </c>
      <c r="H8" s="157">
        <f>SUMIFS('Combined Data'!$E:$E,'Combined Data'!$A:$A,DR_1!H$2,'Combined Data'!$B:$B,DR_1!H$3,'Combined Data'!$C:$C,DR_1!$A8,'Combined Data'!$D:$D,"Non-PHA")</f>
        <v>167037</v>
      </c>
      <c r="I8" s="157">
        <f>SUMIFS('Combined Data'!$E:$E,'Combined Data'!$A:$A,DR_1!I$2,'Combined Data'!$B:$B,DR_1!I$3,'Combined Data'!$C:$C,DR_1!$A8,'Combined Data'!$D:$D,"Non-PHA")</f>
        <v>172863</v>
      </c>
      <c r="J8" s="157">
        <f>SUMIFS('Combined Data'!$E:$E,'Combined Data'!$A:$A,DR_1!J$2,'Combined Data'!$B:$B,DR_1!J$3,'Combined Data'!$C:$C,DR_1!$A8,'Combined Data'!$D:$D,"Non-PHA")</f>
        <v>163244</v>
      </c>
      <c r="K8" s="157">
        <f>SUMIFS('Combined Data'!$E:$E,'Combined Data'!$A:$A,DR_1!K$2,'Combined Data'!$B:$B,DR_1!K$3,'Combined Data'!$C:$C,DR_1!$A8,'Combined Data'!$D:$D,"Non-PHA")</f>
        <v>209947</v>
      </c>
      <c r="L8" s="157">
        <f>SUMIFS('Combined Data'!$E:$E,'Combined Data'!$A:$A,DR_1!L$2,'Combined Data'!$B:$B,DR_1!L$3,'Combined Data'!$C:$C,DR_1!$A8,'Combined Data'!$D:$D,"Non-PHA")</f>
        <v>160075</v>
      </c>
      <c r="M8" s="157">
        <f>SUMIFS('Combined Data'!$E:$E,'Combined Data'!$A:$A,DR_1!M$2,'Combined Data'!$B:$B,DR_1!M$3,'Combined Data'!$C:$C,DR_1!$A8,'Combined Data'!$D:$D,"Non-PHA")</f>
        <v>162669</v>
      </c>
      <c r="N8" s="157">
        <f>SUMIFS('Combined Data'!$E:$E,'Combined Data'!$A:$A,DR_1!N$2,'Combined Data'!$B:$B,DR_1!N$3,'Combined Data'!$C:$C,DR_1!$A8,'Combined Data'!$D:$D,"Non-PHA")</f>
        <v>131674</v>
      </c>
      <c r="O8" s="157">
        <f>SUMIFS('Combined Data'!$E:$E,'Combined Data'!$A:$A,DR_1!O$2,'Combined Data'!$B:$B,DR_1!O$3,'Combined Data'!$C:$C,DR_1!$A8,'Combined Data'!$D:$D,"Non-PHA")</f>
        <v>124715</v>
      </c>
      <c r="P8" s="157">
        <f>SUMIFS('Combined Data'!$E:$E,'Combined Data'!$A:$A,DR_1!P$2,'Combined Data'!$B:$B,DR_1!P$3,'Combined Data'!$C:$C,DR_1!$A8,'Combined Data'!$D:$D,"Non-PHA")</f>
        <v>137584</v>
      </c>
      <c r="Q8" s="157">
        <f>SUMIFS('Combined Data'!$E:$E,'Combined Data'!$A:$A,DR_1!Q$2,'Combined Data'!$B:$B,DR_1!Q$3,'Combined Data'!$C:$C,DR_1!$A8,'Combined Data'!$D:$D,"Non-PHA")</f>
        <v>126328</v>
      </c>
      <c r="R8" s="157">
        <f>SUMIFS('Combined Data'!$E:$E,'Combined Data'!$A:$A,DR_1!R$2,'Combined Data'!$B:$B,DR_1!R$3,'Combined Data'!$C:$C,DR_1!$A8,'Combined Data'!$D:$D,"Non-PHA")</f>
        <v>123706</v>
      </c>
      <c r="S8" s="157">
        <f>SUMIFS('Combined Data'!$E:$E,'Combined Data'!$A:$A,DR_1!S$2,'Combined Data'!$B:$B,DR_1!S$3,'Combined Data'!$C:$C,DR_1!$A8,'Combined Data'!$D:$D,"Non-PHA")</f>
        <v>148922</v>
      </c>
      <c r="T8" s="157">
        <f>SUMIFS('Combined Data'!$E:$E,'Combined Data'!$A:$A,DR_1!T$2,'Combined Data'!$B:$B,DR_1!T$3,'Combined Data'!$C:$C,DR_1!$A8,'Combined Data'!$D:$D,"Non-PHA")</f>
        <v>151051</v>
      </c>
      <c r="U8" s="157">
        <f>SUMIFS('Combined Data'!$E:$E,'Combined Data'!$A:$A,DR_1!U$2,'Combined Data'!$B:$B,DR_1!U$3,'Combined Data'!$C:$C,DR_1!$A8,'Combined Data'!$D:$D,"Non-PHA")</f>
        <v>180607</v>
      </c>
      <c r="V8" s="157">
        <f>SUMIFS('Combined Data'!$E:$E,'Combined Data'!$A:$A,DR_1!V$2,'Combined Data'!$B:$B,DR_1!V$3,'Combined Data'!$C:$C,DR_1!$A8,'Combined Data'!$D:$D,"Non-PHA")</f>
        <v>182297</v>
      </c>
      <c r="W8" s="157">
        <f>SUMIFS('Combined Data'!$E:$E,'Combined Data'!$A:$A,DR_1!W$2,'Combined Data'!$B:$B,DR_1!W$3,'Combined Data'!$C:$C,DR_1!$A8,'Combined Data'!$D:$D,"Non-PHA")</f>
        <v>180260</v>
      </c>
      <c r="X8" s="157">
        <f>SUMIFS('Combined Data'!$E:$E,'Combined Data'!$A:$A,DR_1!X$2,'Combined Data'!$B:$B,DR_1!X$3,'Combined Data'!$C:$C,DR_1!$A8,'Combined Data'!$D:$D,"Non-PHA")</f>
        <v>162740</v>
      </c>
      <c r="Y8" s="157">
        <f>SUMIFS('Combined Data'!$E:$E,'Combined Data'!$A:$A,DR_1!Y$2,'Combined Data'!$B:$B,DR_1!Y$3,'Combined Data'!$C:$C,DR_1!$A8,'Combined Data'!$D:$D,"Non-PHA")</f>
        <v>153508</v>
      </c>
      <c r="Z8" s="157">
        <f>SUMIFS('Combined Data'!$E:$E,'Combined Data'!$A:$A,DR_1!Z$2,'Combined Data'!$B:$B,DR_1!Z$3,'Combined Data'!$C:$C,DR_1!$A8,'Combined Data'!$D:$D,"Non-PHA")</f>
        <v>151729</v>
      </c>
      <c r="AA8" s="157">
        <f>SUMIFS('Combined Data'!$E:$E,'Combined Data'!$A:$A,DR_1!AA$2,'Combined Data'!$B:$B,DR_1!AA$3,'Combined Data'!$C:$C,DR_1!$A8,'Combined Data'!$D:$D,"Non-PHA")</f>
        <v>133826</v>
      </c>
      <c r="AB8" s="157">
        <f>SUMIFS('Combined Data'!$E:$E,'Combined Data'!$A:$A,DR_1!AB$2,'Combined Data'!$B:$B,DR_1!AB$3,'Combined Data'!$C:$C,DR_1!$A8,'Combined Data'!$D:$D,"Non-PHA")</f>
        <v>125206</v>
      </c>
      <c r="AC8" s="157">
        <f>SUMIFS('Combined Data'!$E:$E,'Combined Data'!$A:$A,DR_1!AC$2,'Combined Data'!$B:$B,DR_1!AC$3,'Combined Data'!$C:$C,DR_1!$A8,'Combined Data'!$D:$D,"Non-PHA")</f>
        <v>132291</v>
      </c>
      <c r="AD8" s="157">
        <f>SUMIFS('Combined Data'!$E:$E,'Combined Data'!$A:$A,DR_1!AD$2,'Combined Data'!$B:$B,DR_1!AD$3,'Combined Data'!$C:$C,DR_1!$A8,'Combined Data'!$D:$D,"Non-PHA")</f>
        <v>128264</v>
      </c>
      <c r="AE8" s="157">
        <f>SUMIFS('Combined Data'!$E:$E,'Combined Data'!$A:$A,DR_1!AE$2,'Combined Data'!$B:$B,DR_1!AE$3,'Combined Data'!$C:$C,DR_1!$A8,'Combined Data'!$D:$D,"Non-PHA")</f>
        <v>141544</v>
      </c>
      <c r="AF8" s="157">
        <f>SUMIFS('Combined Data'!$E:$E,'Combined Data'!$A:$A,DR_1!AF$2,'Combined Data'!$B:$B,DR_1!AF$3,'Combined Data'!$C:$C,DR_1!$A8,'Combined Data'!$D:$D,"Non-PHA")</f>
        <v>151644</v>
      </c>
      <c r="AG8" s="157">
        <f>SUMIFS('Combined Data'!$E:$E,'Combined Data'!$A:$A,DR_1!AG$2,'Combined Data'!$B:$B,DR_1!AG$3,'Combined Data'!$C:$C,DR_1!$A8,'Combined Data'!$D:$D,"Non-PHA")</f>
        <v>157139</v>
      </c>
      <c r="AH8" s="157">
        <f>SUMIFS('Combined Data'!$E:$E,'Combined Data'!$A:$A,DR_1!AH$2,'Combined Data'!$B:$B,DR_1!AH$3,'Combined Data'!$C:$C,DR_1!$A8,'Combined Data'!$D:$D,"Non-PHA")</f>
        <v>167773</v>
      </c>
      <c r="AI8" s="157">
        <f>SUMIFS('Combined Data'!$E:$E,'Combined Data'!$A:$A,DR_1!AI$2,'Combined Data'!$B:$B,DR_1!AI$3,'Combined Data'!$C:$C,DR_1!$A8,'Combined Data'!$D:$D,"Non-PHA")</f>
        <v>162033</v>
      </c>
      <c r="AJ8" s="157">
        <f>SUMIFS('Combined Data'!$E:$E,'Combined Data'!$A:$A,DR_1!AJ$2,'Combined Data'!$B:$B,DR_1!AJ$3,'Combined Data'!$C:$C,DR_1!$A8,'Combined Data'!$D:$D,"Non-PHA")</f>
        <v>181080</v>
      </c>
      <c r="AK8" s="157">
        <f>SUMIFS('Combined Data'!$E:$E,'Combined Data'!$A:$A,DR_1!AK$2,'Combined Data'!$B:$B,DR_1!AK$3,'Combined Data'!$C:$C,DR_1!$A8,'Combined Data'!$D:$D,"Non-PHA")</f>
        <v>131467</v>
      </c>
      <c r="AL8" s="157">
        <f>SUMIFS('Combined Data'!$E:$E,'Combined Data'!$A:$A,DR_1!AL$2,'Combined Data'!$B:$B,DR_1!AL$3,'Combined Data'!$C:$C,DR_1!$A8,'Combined Data'!$D:$D,"Non-PHA")</f>
        <v>139021</v>
      </c>
      <c r="AM8" s="157">
        <f>SUMIFS('Combined Data'!$E:$E,'Combined Data'!$A:$A,DR_1!AM$2,'Combined Data'!$B:$B,DR_1!AM$3,'Combined Data'!$C:$C,DR_1!$A8,'Combined Data'!$D:$D,"Non-PHA")</f>
        <v>145123</v>
      </c>
      <c r="AN8" s="157">
        <f>SUMIFS('Combined Data'!$E:$E,'Combined Data'!$A:$A,DR_1!AN$2,'Combined Data'!$B:$B,DR_1!AN$3,'Combined Data'!$C:$C,DR_1!$A8,'Combined Data'!$D:$D,"Non-PHA")</f>
        <v>132277</v>
      </c>
      <c r="AO8" s="157">
        <f>SUMIFS('Combined Data'!$E:$E,'Combined Data'!$A:$A,DR_1!AO$2,'Combined Data'!$B:$B,DR_1!AO$3,'Combined Data'!$C:$C,DR_1!$A8,'Combined Data'!$D:$D,"Non-PHA")</f>
        <v>129595</v>
      </c>
    </row>
    <row r="9" spans="1:41" ht="15">
      <c r="A9" s="155" t="s">
        <v>63</v>
      </c>
      <c r="B9" s="159" t="s">
        <v>78</v>
      </c>
      <c r="C9" s="157">
        <f>SUMIFS('Combined Data'!$E:$E,'Combined Data'!$A:$A,DR_1!C$2,'Combined Data'!$B:$B,DR_1!C$3,'Combined Data'!$C:$C,DR_1!$A9,'Combined Data'!$D:$D,"No Discount")</f>
        <v>4376747</v>
      </c>
      <c r="D9" s="157">
        <f>SUMIFS('Combined Data'!$E:$E,'Combined Data'!$A:$A,DR_1!D$2,'Combined Data'!$B:$B,DR_1!D$3,'Combined Data'!$C:$C,DR_1!$A9,'Combined Data'!$D:$D,"No Discount")</f>
        <v>3698547</v>
      </c>
      <c r="E9" s="157">
        <f>SUMIFS('Combined Data'!$E:$E,'Combined Data'!$A:$A,DR_1!E$2,'Combined Data'!$B:$B,DR_1!E$3,'Combined Data'!$C:$C,DR_1!$A9,'Combined Data'!$D:$D,"No Discount")</f>
        <v>4356078</v>
      </c>
      <c r="F9" s="157">
        <f>SUMIFS('Combined Data'!$E:$E,'Combined Data'!$A:$A,DR_1!F$2,'Combined Data'!$B:$B,DR_1!F$3,'Combined Data'!$C:$C,DR_1!$A9,'Combined Data'!$D:$D,"No Discount")</f>
        <v>3880098</v>
      </c>
      <c r="G9" s="157">
        <f>SUMIFS('Combined Data'!$E:$E,'Combined Data'!$A:$A,DR_1!G$2,'Combined Data'!$B:$B,DR_1!G$3,'Combined Data'!$C:$C,DR_1!$A9,'Combined Data'!$D:$D,"No Discount")</f>
        <v>3903540</v>
      </c>
      <c r="H9" s="157">
        <f>SUMIFS('Combined Data'!$E:$E,'Combined Data'!$A:$A,DR_1!H$2,'Combined Data'!$B:$B,DR_1!H$3,'Combined Data'!$C:$C,DR_1!$A9,'Combined Data'!$D:$D,"No Discount")</f>
        <v>4447620</v>
      </c>
      <c r="I9" s="157">
        <f>SUMIFS('Combined Data'!$E:$E,'Combined Data'!$A:$A,DR_1!I$2,'Combined Data'!$B:$B,DR_1!I$3,'Combined Data'!$C:$C,DR_1!$A9,'Combined Data'!$D:$D,"No Discount")</f>
        <v>4723355</v>
      </c>
      <c r="J9" s="157">
        <f>SUMIFS('Combined Data'!$E:$E,'Combined Data'!$A:$A,DR_1!J$2,'Combined Data'!$B:$B,DR_1!J$3,'Combined Data'!$C:$C,DR_1!$A9,'Combined Data'!$D:$D,"No Discount")</f>
        <v>4410824</v>
      </c>
      <c r="K9" s="157">
        <f>SUMIFS('Combined Data'!$E:$E,'Combined Data'!$A:$A,DR_1!K$2,'Combined Data'!$B:$B,DR_1!K$3,'Combined Data'!$C:$C,DR_1!$A9,'Combined Data'!$D:$D,"No Discount")</f>
        <v>4806825</v>
      </c>
      <c r="L9" s="157">
        <f>SUMIFS('Combined Data'!$E:$E,'Combined Data'!$A:$A,DR_1!L$2,'Combined Data'!$B:$B,DR_1!L$3,'Combined Data'!$C:$C,DR_1!$A9,'Combined Data'!$D:$D,"No Discount")</f>
        <v>4054275</v>
      </c>
      <c r="M9" s="157">
        <f>SUMIFS('Combined Data'!$E:$E,'Combined Data'!$A:$A,DR_1!M$2,'Combined Data'!$B:$B,DR_1!M$3,'Combined Data'!$C:$C,DR_1!$A9,'Combined Data'!$D:$D,"No Discount")</f>
        <v>4069990</v>
      </c>
      <c r="N9" s="157">
        <f>SUMIFS('Combined Data'!$E:$E,'Combined Data'!$A:$A,DR_1!N$2,'Combined Data'!$B:$B,DR_1!N$3,'Combined Data'!$C:$C,DR_1!$A9,'Combined Data'!$D:$D,"No Discount")</f>
        <v>4094124</v>
      </c>
      <c r="O9" s="157">
        <f>SUMIFS('Combined Data'!$E:$E,'Combined Data'!$A:$A,DR_1!O$2,'Combined Data'!$B:$B,DR_1!O$3,'Combined Data'!$C:$C,DR_1!$A9,'Combined Data'!$D:$D,"No Discount")</f>
        <v>4209244</v>
      </c>
      <c r="P9" s="157">
        <f>SUMIFS('Combined Data'!$E:$E,'Combined Data'!$A:$A,DR_1!P$2,'Combined Data'!$B:$B,DR_1!P$3,'Combined Data'!$C:$C,DR_1!$A9,'Combined Data'!$D:$D,"No Discount")</f>
        <v>4028928</v>
      </c>
      <c r="Q9" s="157">
        <f>SUMIFS('Combined Data'!$E:$E,'Combined Data'!$A:$A,DR_1!Q$2,'Combined Data'!$B:$B,DR_1!Q$3,'Combined Data'!$C:$C,DR_1!$A9,'Combined Data'!$D:$D,"No Discount")</f>
        <v>3721481</v>
      </c>
      <c r="R9" s="157">
        <f>SUMIFS('Combined Data'!$E:$E,'Combined Data'!$A:$A,DR_1!R$2,'Combined Data'!$B:$B,DR_1!R$3,'Combined Data'!$C:$C,DR_1!$A9,'Combined Data'!$D:$D,"No Discount")</f>
        <v>3666224</v>
      </c>
      <c r="S9" s="157">
        <f>SUMIFS('Combined Data'!$E:$E,'Combined Data'!$A:$A,DR_1!S$2,'Combined Data'!$B:$B,DR_1!S$3,'Combined Data'!$C:$C,DR_1!$A9,'Combined Data'!$D:$D,"No Discount")</f>
        <v>4074941</v>
      </c>
      <c r="T9" s="157">
        <f>SUMIFS('Combined Data'!$E:$E,'Combined Data'!$A:$A,DR_1!T$2,'Combined Data'!$B:$B,DR_1!T$3,'Combined Data'!$C:$C,DR_1!$A9,'Combined Data'!$D:$D,"No Discount")</f>
        <v>4044861</v>
      </c>
      <c r="U9" s="157">
        <f>SUMIFS('Combined Data'!$E:$E,'Combined Data'!$A:$A,DR_1!U$2,'Combined Data'!$B:$B,DR_1!U$3,'Combined Data'!$C:$C,DR_1!$A9,'Combined Data'!$D:$D,"No Discount")</f>
        <v>4584362</v>
      </c>
      <c r="V9" s="157">
        <f>SUMIFS('Combined Data'!$E:$E,'Combined Data'!$A:$A,DR_1!V$2,'Combined Data'!$B:$B,DR_1!V$3,'Combined Data'!$C:$C,DR_1!$A9,'Combined Data'!$D:$D,"No Discount")</f>
        <v>4698491</v>
      </c>
      <c r="W9" s="157">
        <f>SUMIFS('Combined Data'!$E:$E,'Combined Data'!$A:$A,DR_1!W$2,'Combined Data'!$B:$B,DR_1!W$3,'Combined Data'!$C:$C,DR_1!$A9,'Combined Data'!$D:$D,"No Discount")</f>
        <v>4607939</v>
      </c>
      <c r="X9" s="157">
        <f>SUMIFS('Combined Data'!$E:$E,'Combined Data'!$A:$A,DR_1!X$2,'Combined Data'!$B:$B,DR_1!X$3,'Combined Data'!$C:$C,DR_1!$A9,'Combined Data'!$D:$D,"No Discount")</f>
        <v>4298653</v>
      </c>
      <c r="Y9" s="157">
        <f>SUMIFS('Combined Data'!$E:$E,'Combined Data'!$A:$A,DR_1!Y$2,'Combined Data'!$B:$B,DR_1!Y$3,'Combined Data'!$C:$C,DR_1!$A9,'Combined Data'!$D:$D,"No Discount")</f>
        <v>3980592</v>
      </c>
      <c r="Z9" s="157">
        <f>SUMIFS('Combined Data'!$E:$E,'Combined Data'!$A:$A,DR_1!Z$2,'Combined Data'!$B:$B,DR_1!Z$3,'Combined Data'!$C:$C,DR_1!$A9,'Combined Data'!$D:$D,"No Discount")</f>
        <v>4005215</v>
      </c>
      <c r="AA9" s="157">
        <f>SUMIFS('Combined Data'!$E:$E,'Combined Data'!$A:$A,DR_1!AA$2,'Combined Data'!$B:$B,DR_1!AA$3,'Combined Data'!$C:$C,DR_1!$A9,'Combined Data'!$D:$D,"No Discount")</f>
        <v>4188616</v>
      </c>
      <c r="AB9" s="157">
        <f>SUMIFS('Combined Data'!$E:$E,'Combined Data'!$A:$A,DR_1!AB$2,'Combined Data'!$B:$B,DR_1!AB$3,'Combined Data'!$C:$C,DR_1!$A9,'Combined Data'!$D:$D,"No Discount")</f>
        <v>3637811</v>
      </c>
      <c r="AC9" s="157">
        <f>SUMIFS('Combined Data'!$E:$E,'Combined Data'!$A:$A,DR_1!AC$2,'Combined Data'!$B:$B,DR_1!AC$3,'Combined Data'!$C:$C,DR_1!$A9,'Combined Data'!$D:$D,"No Discount")</f>
        <v>3666202</v>
      </c>
      <c r="AD9" s="157">
        <f>SUMIFS('Combined Data'!$E:$E,'Combined Data'!$A:$A,DR_1!AD$2,'Combined Data'!$B:$B,DR_1!AD$3,'Combined Data'!$C:$C,DR_1!$A9,'Combined Data'!$D:$D,"No Discount")</f>
        <v>3768623</v>
      </c>
      <c r="AE9" s="157">
        <f>SUMIFS('Combined Data'!$E:$E,'Combined Data'!$A:$A,DR_1!AE$2,'Combined Data'!$B:$B,DR_1!AE$3,'Combined Data'!$C:$C,DR_1!$A9,'Combined Data'!$D:$D,"No Discount")</f>
        <v>3942518</v>
      </c>
      <c r="AF9" s="157">
        <f>SUMIFS('Combined Data'!$E:$E,'Combined Data'!$A:$A,DR_1!AF$2,'Combined Data'!$B:$B,DR_1!AF$3,'Combined Data'!$C:$C,DR_1!$A9,'Combined Data'!$D:$D,"No Discount")</f>
        <v>4123420</v>
      </c>
      <c r="AG9" s="157">
        <f>SUMIFS('Combined Data'!$E:$E,'Combined Data'!$A:$A,DR_1!AG$2,'Combined Data'!$B:$B,DR_1!AG$3,'Combined Data'!$C:$C,DR_1!$A9,'Combined Data'!$D:$D,"No Discount")</f>
        <v>4307512</v>
      </c>
      <c r="AH9" s="157">
        <f>SUMIFS('Combined Data'!$E:$E,'Combined Data'!$A:$A,DR_1!AH$2,'Combined Data'!$B:$B,DR_1!AH$3,'Combined Data'!$C:$C,DR_1!$A9,'Combined Data'!$D:$D,"No Discount")</f>
        <v>4456512</v>
      </c>
      <c r="AI9" s="157">
        <f>SUMIFS('Combined Data'!$E:$E,'Combined Data'!$A:$A,DR_1!AI$2,'Combined Data'!$B:$B,DR_1!AI$3,'Combined Data'!$C:$C,DR_1!$A9,'Combined Data'!$D:$D,"No Discount")</f>
        <v>4324158</v>
      </c>
      <c r="AJ9" s="157">
        <f>SUMIFS('Combined Data'!$E:$E,'Combined Data'!$A:$A,DR_1!AJ$2,'Combined Data'!$B:$B,DR_1!AJ$3,'Combined Data'!$C:$C,DR_1!$A9,'Combined Data'!$D:$D,"No Discount")</f>
        <v>4440404</v>
      </c>
      <c r="AK9" s="157">
        <f>SUMIFS('Combined Data'!$E:$E,'Combined Data'!$A:$A,DR_1!AK$2,'Combined Data'!$B:$B,DR_1!AK$3,'Combined Data'!$C:$C,DR_1!$A9,'Combined Data'!$D:$D,"No Discount")</f>
        <v>3355146</v>
      </c>
      <c r="AL9" s="157">
        <f>SUMIFS('Combined Data'!$E:$E,'Combined Data'!$A:$A,DR_1!AL$2,'Combined Data'!$B:$B,DR_1!AL$3,'Combined Data'!$C:$C,DR_1!$A9,'Combined Data'!$D:$D,"No Discount")</f>
        <v>4051393</v>
      </c>
      <c r="AM9" s="157">
        <f>SUMIFS('Combined Data'!$E:$E,'Combined Data'!$A:$A,DR_1!AM$2,'Combined Data'!$B:$B,DR_1!AM$3,'Combined Data'!$C:$C,DR_1!$A9,'Combined Data'!$D:$D,"No Discount")</f>
        <v>4167268</v>
      </c>
      <c r="AN9" s="157">
        <f>SUMIFS('Combined Data'!$E:$E,'Combined Data'!$A:$A,DR_1!AN$2,'Combined Data'!$B:$B,DR_1!AN$3,'Combined Data'!$C:$C,DR_1!$A9,'Combined Data'!$D:$D,"No Discount")</f>
        <v>3744303</v>
      </c>
      <c r="AO9" s="157">
        <f>SUMIFS('Combined Data'!$E:$E,'Combined Data'!$A:$A,DR_1!AO$2,'Combined Data'!$B:$B,DR_1!AO$3,'Combined Data'!$C:$C,DR_1!$A9,'Combined Data'!$D:$D,"No Discount")</f>
        <v>3987806</v>
      </c>
    </row>
    <row r="10" spans="1:41" ht="15">
      <c r="A10" s="155" t="s">
        <v>79</v>
      </c>
      <c r="B10" s="155" t="s">
        <v>67</v>
      </c>
      <c r="C10" s="157">
        <f>SUMIFS('Combined Data'!$E:$E,'Combined Data'!$A:$A,DR_1!C$2,'Combined Data'!$B:$B,DR_1!C$3,'Combined Data'!$C:$C,$A9,'Combined Data'!$D:$D,DR_1!$B10)</f>
        <v>212455</v>
      </c>
      <c r="D10" s="157">
        <f>SUMIFS('Combined Data'!$E:$E,'Combined Data'!$A:$A,DR_1!D$2,'Combined Data'!$B:$B,DR_1!D$3,'Combined Data'!$C:$C,$A9,'Combined Data'!$D:$D,DR_1!$B10)</f>
        <v>230409</v>
      </c>
      <c r="E10" s="157">
        <f>SUMIFS('Combined Data'!$E:$E,'Combined Data'!$A:$A,DR_1!E$2,'Combined Data'!$B:$B,DR_1!E$3,'Combined Data'!$C:$C,$A9,'Combined Data'!$D:$D,DR_1!$B10)</f>
        <v>264318</v>
      </c>
      <c r="F10" s="157">
        <f>SUMIFS('Combined Data'!$E:$E,'Combined Data'!$A:$A,DR_1!F$2,'Combined Data'!$B:$B,DR_1!F$3,'Combined Data'!$C:$C,$A9,'Combined Data'!$D:$D,DR_1!$B10)</f>
        <v>145287</v>
      </c>
      <c r="G10" s="157">
        <f>SUMIFS('Combined Data'!$E:$E,'Combined Data'!$A:$A,DR_1!G$2,'Combined Data'!$B:$B,DR_1!G$3,'Combined Data'!$C:$C,$A9,'Combined Data'!$D:$D,DR_1!$B10)</f>
        <v>251389</v>
      </c>
      <c r="H10" s="157">
        <f>SUMIFS('Combined Data'!$E:$E,'Combined Data'!$A:$A,DR_1!H$2,'Combined Data'!$B:$B,DR_1!H$3,'Combined Data'!$C:$C,$A9,'Combined Data'!$D:$D,DR_1!$B10)</f>
        <v>262730</v>
      </c>
      <c r="I10" s="157">
        <f>SUMIFS('Combined Data'!$E:$E,'Combined Data'!$A:$A,DR_1!I$2,'Combined Data'!$B:$B,DR_1!I$3,'Combined Data'!$C:$C,$A9,'Combined Data'!$D:$D,DR_1!$B10)</f>
        <v>278436</v>
      </c>
      <c r="J10" s="157">
        <f>SUMIFS('Combined Data'!$E:$E,'Combined Data'!$A:$A,DR_1!J$2,'Combined Data'!$B:$B,DR_1!J$3,'Combined Data'!$C:$C,$A9,'Combined Data'!$D:$D,DR_1!$B10)</f>
        <v>230151</v>
      </c>
      <c r="K10" s="157">
        <f>SUMIFS('Combined Data'!$E:$E,'Combined Data'!$A:$A,DR_1!K$2,'Combined Data'!$B:$B,DR_1!K$3,'Combined Data'!$C:$C,$A9,'Combined Data'!$D:$D,DR_1!$B10)</f>
        <v>300167</v>
      </c>
      <c r="L10" s="157">
        <f>SUMIFS('Combined Data'!$E:$E,'Combined Data'!$A:$A,DR_1!L$2,'Combined Data'!$B:$B,DR_1!L$3,'Combined Data'!$C:$C,$A9,'Combined Data'!$D:$D,DR_1!$B10)</f>
        <v>222050</v>
      </c>
      <c r="M10" s="157">
        <f>SUMIFS('Combined Data'!$E:$E,'Combined Data'!$A:$A,DR_1!M$2,'Combined Data'!$B:$B,DR_1!M$3,'Combined Data'!$C:$C,$A9,'Combined Data'!$D:$D,DR_1!$B10)</f>
        <v>227503</v>
      </c>
      <c r="N10" s="157">
        <f>SUMIFS('Combined Data'!$E:$E,'Combined Data'!$A:$A,DR_1!N$2,'Combined Data'!$B:$B,DR_1!N$3,'Combined Data'!$C:$C,$A9,'Combined Data'!$D:$D,DR_1!$B10)</f>
        <v>267834</v>
      </c>
      <c r="O10" s="157">
        <f>SUMIFS('Combined Data'!$E:$E,'Combined Data'!$A:$A,DR_1!O$2,'Combined Data'!$B:$B,DR_1!O$3,'Combined Data'!$C:$C,$A9,'Combined Data'!$D:$D,DR_1!$B10)</f>
        <v>249868</v>
      </c>
      <c r="P10" s="157">
        <f>SUMIFS('Combined Data'!$E:$E,'Combined Data'!$A:$A,DR_1!P$2,'Combined Data'!$B:$B,DR_1!P$3,'Combined Data'!$C:$C,$A9,'Combined Data'!$D:$D,DR_1!$B10)</f>
        <v>209281</v>
      </c>
      <c r="Q10" s="157">
        <f>SUMIFS('Combined Data'!$E:$E,'Combined Data'!$A:$A,DR_1!Q$2,'Combined Data'!$B:$B,DR_1!Q$3,'Combined Data'!$C:$C,$A9,'Combined Data'!$D:$D,DR_1!$B10)</f>
        <v>195178</v>
      </c>
      <c r="R10" s="157">
        <f>SUMIFS('Combined Data'!$E:$E,'Combined Data'!$A:$A,DR_1!R$2,'Combined Data'!$B:$B,DR_1!R$3,'Combined Data'!$C:$C,$A9,'Combined Data'!$D:$D,DR_1!$B10)</f>
        <v>187379</v>
      </c>
      <c r="S10" s="157">
        <f>SUMIFS('Combined Data'!$E:$E,'Combined Data'!$A:$A,DR_1!S$2,'Combined Data'!$B:$B,DR_1!S$3,'Combined Data'!$C:$C,$A9,'Combined Data'!$D:$D,DR_1!$B10)</f>
        <v>338702</v>
      </c>
      <c r="T10" s="157">
        <f>SUMIFS('Combined Data'!$E:$E,'Combined Data'!$A:$A,DR_1!T$2,'Combined Data'!$B:$B,DR_1!T$3,'Combined Data'!$C:$C,$A9,'Combined Data'!$D:$D,DR_1!$B10)</f>
        <v>105040</v>
      </c>
      <c r="U10" s="157">
        <f>SUMIFS('Combined Data'!$E:$E,'Combined Data'!$A:$A,DR_1!U$2,'Combined Data'!$B:$B,DR_1!U$3,'Combined Data'!$C:$C,$A9,'Combined Data'!$D:$D,DR_1!$B10)</f>
        <v>211508</v>
      </c>
      <c r="V10" s="157">
        <f>SUMIFS('Combined Data'!$E:$E,'Combined Data'!$A:$A,DR_1!V$2,'Combined Data'!$B:$B,DR_1!V$3,'Combined Data'!$C:$C,$A9,'Combined Data'!$D:$D,DR_1!$B10)</f>
        <v>220240</v>
      </c>
      <c r="W10" s="157">
        <f>SUMIFS('Combined Data'!$E:$E,'Combined Data'!$A:$A,DR_1!W$2,'Combined Data'!$B:$B,DR_1!W$3,'Combined Data'!$C:$C,$A9,'Combined Data'!$D:$D,DR_1!$B10)</f>
        <v>261753</v>
      </c>
      <c r="X10" s="157">
        <f>SUMIFS('Combined Data'!$E:$E,'Combined Data'!$A:$A,DR_1!X$2,'Combined Data'!$B:$B,DR_1!X$3,'Combined Data'!$C:$C,$A9,'Combined Data'!$D:$D,DR_1!$B10)</f>
        <v>342304</v>
      </c>
      <c r="Y10" s="157">
        <f>SUMIFS('Combined Data'!$E:$E,'Combined Data'!$A:$A,DR_1!Y$2,'Combined Data'!$B:$B,DR_1!Y$3,'Combined Data'!$C:$C,$A9,'Combined Data'!$D:$D,DR_1!$B10)</f>
        <v>151605</v>
      </c>
      <c r="Z10" s="157">
        <f>SUMIFS('Combined Data'!$E:$E,'Combined Data'!$A:$A,DR_1!Z$2,'Combined Data'!$B:$B,DR_1!Z$3,'Combined Data'!$C:$C,$A9,'Combined Data'!$D:$D,DR_1!$B10)</f>
        <v>224817</v>
      </c>
      <c r="AA10" s="157">
        <f>SUMIFS('Combined Data'!$E:$E,'Combined Data'!$A:$A,DR_1!AA$2,'Combined Data'!$B:$B,DR_1!AA$3,'Combined Data'!$C:$C,$A9,'Combined Data'!$D:$D,DR_1!$B10)</f>
        <v>337279</v>
      </c>
      <c r="AB10" s="157">
        <f>SUMIFS('Combined Data'!$E:$E,'Combined Data'!$A:$A,DR_1!AB$2,'Combined Data'!$B:$B,DR_1!AB$3,'Combined Data'!$C:$C,$A9,'Combined Data'!$D:$D,DR_1!$B10)</f>
        <v>80795</v>
      </c>
      <c r="AC10" s="157">
        <f>SUMIFS('Combined Data'!$E:$E,'Combined Data'!$A:$A,DR_1!AC$2,'Combined Data'!$B:$B,DR_1!AC$3,'Combined Data'!$C:$C,$A9,'Combined Data'!$D:$D,DR_1!$B10)</f>
        <v>194055</v>
      </c>
      <c r="AD10" s="157">
        <f>SUMIFS('Combined Data'!$E:$E,'Combined Data'!$A:$A,DR_1!AD$2,'Combined Data'!$B:$B,DR_1!AD$3,'Combined Data'!$C:$C,$A9,'Combined Data'!$D:$D,DR_1!$B10)</f>
        <v>199603</v>
      </c>
      <c r="AE10" s="157">
        <f>SUMIFS('Combined Data'!$E:$E,'Combined Data'!$A:$A,DR_1!AE$2,'Combined Data'!$B:$B,DR_1!AE$3,'Combined Data'!$C:$C,$A9,'Combined Data'!$D:$D,DR_1!$B10)</f>
        <v>200095</v>
      </c>
      <c r="AF10" s="157">
        <f>SUMIFS('Combined Data'!$E:$E,'Combined Data'!$A:$A,DR_1!AF$2,'Combined Data'!$B:$B,DR_1!AF$3,'Combined Data'!$C:$C,$A9,'Combined Data'!$D:$D,DR_1!$B10)</f>
        <v>190575</v>
      </c>
      <c r="AG10" s="157">
        <f>SUMIFS('Combined Data'!$E:$E,'Combined Data'!$A:$A,DR_1!AG$2,'Combined Data'!$B:$B,DR_1!AG$3,'Combined Data'!$C:$C,$A9,'Combined Data'!$D:$D,DR_1!$B10)</f>
        <v>207729</v>
      </c>
      <c r="AH10" s="157">
        <f>SUMIFS('Combined Data'!$E:$E,'Combined Data'!$A:$A,DR_1!AH$2,'Combined Data'!$B:$B,DR_1!AH$3,'Combined Data'!$C:$C,$A9,'Combined Data'!$D:$D,DR_1!$B10)</f>
        <v>231646</v>
      </c>
      <c r="AI10" s="157">
        <f>SUMIFS('Combined Data'!$E:$E,'Combined Data'!$A:$A,DR_1!AI$2,'Combined Data'!$B:$B,DR_1!AI$3,'Combined Data'!$C:$C,$A9,'Combined Data'!$D:$D,DR_1!$B10)</f>
        <v>244653</v>
      </c>
      <c r="AJ10" s="157">
        <f>SUMIFS('Combined Data'!$E:$E,'Combined Data'!$A:$A,DR_1!AJ$2,'Combined Data'!$B:$B,DR_1!AJ$3,'Combined Data'!$C:$C,$A9,'Combined Data'!$D:$D,DR_1!$B10)</f>
        <v>352472</v>
      </c>
      <c r="AK10" s="157">
        <f>SUMIFS('Combined Data'!$E:$E,'Combined Data'!$A:$A,DR_1!AK$2,'Combined Data'!$B:$B,DR_1!AK$3,'Combined Data'!$C:$C,$A9,'Combined Data'!$D:$D,DR_1!$B10)</f>
        <v>68383</v>
      </c>
      <c r="AL10" s="157">
        <f>SUMIFS('Combined Data'!$E:$E,'Combined Data'!$A:$A,DR_1!AL$2,'Combined Data'!$B:$B,DR_1!AL$3,'Combined Data'!$C:$C,$A9,'Combined Data'!$D:$D,DR_1!$B10)</f>
        <v>241737</v>
      </c>
      <c r="AM10" s="157">
        <f>SUMIFS('Combined Data'!$E:$E,'Combined Data'!$A:$A,DR_1!AM$2,'Combined Data'!$B:$B,DR_1!AM$3,'Combined Data'!$C:$C,$A9,'Combined Data'!$D:$D,DR_1!$B10)</f>
        <v>291038</v>
      </c>
      <c r="AN10" s="157">
        <f>SUMIFS('Combined Data'!$E:$E,'Combined Data'!$A:$A,DR_1!AN$2,'Combined Data'!$B:$B,DR_1!AN$3,'Combined Data'!$C:$C,$A9,'Combined Data'!$D:$D,DR_1!$B10)</f>
        <v>244141</v>
      </c>
      <c r="AO10" s="157">
        <f>SUMIFS('Combined Data'!$E:$E,'Combined Data'!$A:$A,DR_1!AO$2,'Combined Data'!$B:$B,DR_1!AO$3,'Combined Data'!$C:$C,$A9,'Combined Data'!$D:$D,DR_1!$B10)</f>
        <v>199980</v>
      </c>
    </row>
    <row r="12" spans="1:41">
      <c r="A12" s="170" t="s">
        <v>80</v>
      </c>
      <c r="B12" s="171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</row>
    <row r="13" spans="1:41" ht="91.5">
      <c r="A13" s="160" t="s">
        <v>72</v>
      </c>
      <c r="C13" s="154" t="str">
        <f t="shared" ref="C13:AC13" si="23">C4</f>
        <v>January 2023 Water Billed Volume (CCF)</v>
      </c>
      <c r="D13" s="154" t="str">
        <f t="shared" si="23"/>
        <v>February 2023 Water Billed Volume (CCF)</v>
      </c>
      <c r="E13" s="154" t="str">
        <f t="shared" si="23"/>
        <v>March 2023 Water Billed Volume (CCF)</v>
      </c>
      <c r="F13" s="154" t="str">
        <f t="shared" si="23"/>
        <v>April 2023 Water Billed Volume (CCF)</v>
      </c>
      <c r="G13" s="154" t="str">
        <f t="shared" si="23"/>
        <v>May 2023 Water Billed Volume (CCF)</v>
      </c>
      <c r="H13" s="154" t="str">
        <f t="shared" si="23"/>
        <v>June 2023 Water Billed Volume (CCF)</v>
      </c>
      <c r="I13" s="154" t="str">
        <f t="shared" si="23"/>
        <v>July 2023 Water Billed Volume (CCF)</v>
      </c>
      <c r="J13" s="154" t="str">
        <f t="shared" si="23"/>
        <v>August 2023 Water Billed Volume (CCF)</v>
      </c>
      <c r="K13" s="154" t="str">
        <f t="shared" si="23"/>
        <v>September 2023 Water Billed Volume (CCF)</v>
      </c>
      <c r="L13" s="154" t="str">
        <f t="shared" si="23"/>
        <v>October 2023 Water Billed Volume (CCF)</v>
      </c>
      <c r="M13" s="154" t="str">
        <f t="shared" si="23"/>
        <v>November 2023 Water Billed Volume (CCF)</v>
      </c>
      <c r="N13" s="154" t="str">
        <f t="shared" si="23"/>
        <v>December 2023 Water Billed Volume (CCF)</v>
      </c>
      <c r="O13" s="154" t="str">
        <f t="shared" si="23"/>
        <v>January 2024 Water Billed Volume (CCF)</v>
      </c>
      <c r="P13" s="154" t="str">
        <f t="shared" si="23"/>
        <v>February 2024 Water Billed Volume (CCF)</v>
      </c>
      <c r="Q13" s="154" t="str">
        <f t="shared" si="23"/>
        <v>March 2024 Water Billed Volume (CCF)</v>
      </c>
      <c r="R13" s="154" t="str">
        <f t="shared" si="23"/>
        <v>April 2024 Water Billed Volume (CCF)</v>
      </c>
      <c r="S13" s="154" t="str">
        <f t="shared" si="23"/>
        <v>May 2024 Water Billed Volume (CCF)</v>
      </c>
      <c r="T13" s="154" t="str">
        <f t="shared" si="23"/>
        <v>June 2024 Water Billed Volume (CCF)</v>
      </c>
      <c r="U13" s="154" t="str">
        <f t="shared" si="23"/>
        <v>July 2024 Water Billed Volume (CCF)</v>
      </c>
      <c r="V13" s="154" t="str">
        <f t="shared" si="23"/>
        <v>August 2024 Water Billed Volume (CCF)</v>
      </c>
      <c r="W13" s="154" t="str">
        <f t="shared" si="23"/>
        <v>September 2024 Water Billed Volume (CCF)</v>
      </c>
      <c r="X13" s="154" t="str">
        <f t="shared" si="23"/>
        <v>October 2024 Water Billed Volume (CCF)</v>
      </c>
      <c r="Y13" s="154" t="str">
        <f t="shared" si="23"/>
        <v>November 2024 Water Billed Volume (CCF)</v>
      </c>
      <c r="Z13" s="154" t="str">
        <f t="shared" si="23"/>
        <v>December 2024 Water Billed Volume (CCF)</v>
      </c>
      <c r="AA13" s="154" t="str">
        <f t="shared" si="23"/>
        <v>January 2025 Water Billed Volume (CCF)</v>
      </c>
      <c r="AB13" s="154" t="str">
        <f t="shared" si="23"/>
        <v>February 2025 Water Billed Volume (CCF)</v>
      </c>
      <c r="AC13" s="154" t="str">
        <f t="shared" si="23"/>
        <v>March 2025 Water Billed Volume (CCF)</v>
      </c>
      <c r="AD13" s="154" t="str">
        <f t="shared" ref="AD13:AL13" si="24">AD4</f>
        <v>April 2025 Water Billed Volume (CCF)</v>
      </c>
      <c r="AE13" s="154" t="str">
        <f t="shared" si="24"/>
        <v>May 2025 Water Billed Volume (CCF)</v>
      </c>
      <c r="AF13" s="154" t="str">
        <f t="shared" si="24"/>
        <v>June 2025 Water Billed Volume (CCF)</v>
      </c>
      <c r="AG13" s="154" t="str">
        <f t="shared" si="24"/>
        <v>July 2025 Water Billed Volume (CCF)</v>
      </c>
      <c r="AH13" s="154" t="str">
        <f t="shared" si="24"/>
        <v>August 2025 Water Billed Volume (CCF)</v>
      </c>
      <c r="AI13" s="154" t="str">
        <f t="shared" si="24"/>
        <v>September 2025 Water Billed Volume (CCF)</v>
      </c>
      <c r="AJ13" s="154" t="str">
        <f t="shared" si="24"/>
        <v>October 2025 Water Billed Volume (CCF)</v>
      </c>
      <c r="AK13" s="154" t="str">
        <f t="shared" si="24"/>
        <v>November 2025 Water Billed Volume (CCF)</v>
      </c>
      <c r="AL13" s="154" t="str">
        <f t="shared" si="24"/>
        <v>December 2025 Water Billed Volume (CCF)</v>
      </c>
      <c r="AM13" s="180" t="str">
        <f>AM4</f>
        <v>January 2026 Water Billed Volume (CCF)</v>
      </c>
      <c r="AN13" s="180" t="str">
        <f>AN4</f>
        <v>February 2026 Water Billed Volume (CCF)</v>
      </c>
      <c r="AO13" s="180" t="str">
        <f>AO4</f>
        <v>March 2026 Water Billed Volume (CCF)</v>
      </c>
    </row>
    <row r="14" spans="1:41">
      <c r="A14" s="155" t="s">
        <v>69</v>
      </c>
      <c r="C14" s="158">
        <f t="shared" ref="C14:J16" si="25">SUMIF($A$5:$A$10,$A14,C$5:C$10)</f>
        <v>119863</v>
      </c>
      <c r="D14" s="158">
        <f t="shared" si="25"/>
        <v>95406</v>
      </c>
      <c r="E14" s="158">
        <f t="shared" si="25"/>
        <v>118160</v>
      </c>
      <c r="F14" s="158">
        <f t="shared" si="25"/>
        <v>98901</v>
      </c>
      <c r="G14" s="158">
        <f t="shared" si="25"/>
        <v>104317</v>
      </c>
      <c r="H14" s="158">
        <f t="shared" si="25"/>
        <v>133262</v>
      </c>
      <c r="I14" s="158">
        <f t="shared" si="25"/>
        <v>144907</v>
      </c>
      <c r="J14" s="158">
        <f t="shared" si="25"/>
        <v>139198</v>
      </c>
      <c r="K14" s="158">
        <f t="shared" ref="K14:Z16" si="26">SUMIF($A$5:$A$10,$A14,K$5:K$10)</f>
        <v>156850</v>
      </c>
      <c r="L14" s="158">
        <f t="shared" si="26"/>
        <v>143368</v>
      </c>
      <c r="M14" s="158">
        <f t="shared" si="26"/>
        <v>151823</v>
      </c>
      <c r="N14" s="158">
        <f t="shared" si="26"/>
        <v>153405</v>
      </c>
      <c r="O14" s="158">
        <f t="shared" si="26"/>
        <v>158733</v>
      </c>
      <c r="P14" s="158">
        <f t="shared" si="26"/>
        <v>190670</v>
      </c>
      <c r="Q14" s="158">
        <f t="shared" si="26"/>
        <v>295199</v>
      </c>
      <c r="R14" s="158">
        <f t="shared" si="26"/>
        <v>325552</v>
      </c>
      <c r="S14" s="158">
        <f t="shared" si="26"/>
        <v>363582</v>
      </c>
      <c r="T14" s="158">
        <f t="shared" si="26"/>
        <v>351514</v>
      </c>
      <c r="U14" s="158">
        <f t="shared" si="26"/>
        <v>377977</v>
      </c>
      <c r="V14" s="158">
        <f t="shared" si="26"/>
        <v>400254</v>
      </c>
      <c r="W14" s="158">
        <f t="shared" si="26"/>
        <v>419861</v>
      </c>
      <c r="X14" s="158">
        <f t="shared" si="26"/>
        <v>407993</v>
      </c>
      <c r="Y14" s="158">
        <f t="shared" si="26"/>
        <v>356885</v>
      </c>
      <c r="Z14" s="158">
        <f t="shared" si="26"/>
        <v>381139</v>
      </c>
      <c r="AA14" s="158">
        <f t="shared" ref="AA14:AL16" si="27">SUMIF($A$5:$A$10,$A14,AA$5:AA$10)</f>
        <v>431332</v>
      </c>
      <c r="AB14" s="158">
        <f t="shared" si="27"/>
        <v>362543</v>
      </c>
      <c r="AC14" s="158">
        <f t="shared" si="27"/>
        <v>375751</v>
      </c>
      <c r="AD14" s="158">
        <f t="shared" si="27"/>
        <v>382353</v>
      </c>
      <c r="AE14" s="158">
        <f t="shared" si="27"/>
        <v>395758</v>
      </c>
      <c r="AF14" s="158">
        <f t="shared" si="27"/>
        <v>419696</v>
      </c>
      <c r="AG14" s="158">
        <f t="shared" si="27"/>
        <v>423997</v>
      </c>
      <c r="AH14" s="158">
        <f t="shared" si="27"/>
        <v>450076</v>
      </c>
      <c r="AI14" s="158">
        <f t="shared" si="27"/>
        <v>444157</v>
      </c>
      <c r="AJ14" s="158">
        <f t="shared" si="27"/>
        <v>466827</v>
      </c>
      <c r="AK14" s="158">
        <f t="shared" si="27"/>
        <v>340206</v>
      </c>
      <c r="AL14" s="158">
        <f t="shared" si="27"/>
        <v>453729</v>
      </c>
      <c r="AM14" s="158">
        <f>SUMIF($A$5:$A$10,$A14,AM$5:AM$10)</f>
        <v>474801</v>
      </c>
      <c r="AN14" s="158">
        <f>SUMIF($A$5:$A$10,$A14,AN$5:AN$10)</f>
        <v>423513</v>
      </c>
      <c r="AO14" s="158">
        <f>SUMIF($A$5:$A$10,$A14,AO$5:AO$10)</f>
        <v>464349</v>
      </c>
    </row>
    <row r="15" spans="1:41">
      <c r="A15" s="155" t="s">
        <v>63</v>
      </c>
      <c r="C15" s="158">
        <f t="shared" si="25"/>
        <v>4753351</v>
      </c>
      <c r="D15" s="158">
        <f t="shared" si="25"/>
        <v>4015324</v>
      </c>
      <c r="E15" s="158">
        <f t="shared" si="25"/>
        <v>4713537</v>
      </c>
      <c r="F15" s="158">
        <f t="shared" si="25"/>
        <v>4203195</v>
      </c>
      <c r="G15" s="158">
        <f t="shared" si="25"/>
        <v>4213822</v>
      </c>
      <c r="H15" s="158">
        <f t="shared" si="25"/>
        <v>4822603</v>
      </c>
      <c r="I15" s="158">
        <f t="shared" si="25"/>
        <v>5102084</v>
      </c>
      <c r="J15" s="158">
        <f t="shared" si="25"/>
        <v>4766082</v>
      </c>
      <c r="K15" s="158">
        <f t="shared" si="26"/>
        <v>5223549</v>
      </c>
      <c r="L15" s="158">
        <f t="shared" si="26"/>
        <v>4397415</v>
      </c>
      <c r="M15" s="158">
        <f t="shared" si="26"/>
        <v>4420993</v>
      </c>
      <c r="N15" s="158">
        <f t="shared" si="26"/>
        <v>4412031</v>
      </c>
      <c r="O15" s="158">
        <f t="shared" si="26"/>
        <v>4521780</v>
      </c>
      <c r="P15" s="158">
        <f t="shared" si="26"/>
        <v>4345699</v>
      </c>
      <c r="Q15" s="158">
        <f t="shared" si="26"/>
        <v>4003792</v>
      </c>
      <c r="R15" s="158">
        <f t="shared" si="26"/>
        <v>3943721</v>
      </c>
      <c r="S15" s="158">
        <f t="shared" si="26"/>
        <v>4382117</v>
      </c>
      <c r="T15" s="158">
        <f t="shared" si="26"/>
        <v>4359143</v>
      </c>
      <c r="U15" s="158">
        <f t="shared" si="26"/>
        <v>4943105</v>
      </c>
      <c r="V15" s="158">
        <f t="shared" si="26"/>
        <v>5061525</v>
      </c>
      <c r="W15" s="158">
        <f t="shared" si="26"/>
        <v>4969485</v>
      </c>
      <c r="X15" s="158">
        <f t="shared" si="26"/>
        <v>4633225</v>
      </c>
      <c r="Y15" s="158">
        <f t="shared" si="26"/>
        <v>4296328</v>
      </c>
      <c r="Z15" s="158">
        <f t="shared" si="26"/>
        <v>4321449</v>
      </c>
      <c r="AA15" s="158">
        <f t="shared" si="27"/>
        <v>4502720</v>
      </c>
      <c r="AB15" s="158">
        <f t="shared" si="27"/>
        <v>3921344</v>
      </c>
      <c r="AC15" s="158">
        <f t="shared" si="27"/>
        <v>3953290</v>
      </c>
      <c r="AD15" s="158">
        <f t="shared" ref="AD15:AL16" si="28">SUMIF($A$5:$A$10,$A15,AD$5:AD$10)</f>
        <v>4047508</v>
      </c>
      <c r="AE15" s="158">
        <f t="shared" si="28"/>
        <v>4251440</v>
      </c>
      <c r="AF15" s="158">
        <f t="shared" si="28"/>
        <v>4428966</v>
      </c>
      <c r="AG15" s="158">
        <f t="shared" si="28"/>
        <v>4624899</v>
      </c>
      <c r="AH15" s="158">
        <f t="shared" si="28"/>
        <v>4787119</v>
      </c>
      <c r="AI15" s="158">
        <f t="shared" si="28"/>
        <v>4645488</v>
      </c>
      <c r="AJ15" s="158">
        <f t="shared" si="28"/>
        <v>4778604</v>
      </c>
      <c r="AK15" s="158">
        <f t="shared" si="28"/>
        <v>3619263</v>
      </c>
      <c r="AL15" s="158">
        <f t="shared" si="28"/>
        <v>4344111</v>
      </c>
      <c r="AM15" s="158">
        <f>SUMIF($A$5:$A$10,$A15,AM$5:AM$10)</f>
        <v>4479248</v>
      </c>
      <c r="AN15" s="158">
        <f>SUMIF($A$5:$A$10,$A15,AN$5:AN$10)</f>
        <v>4024725</v>
      </c>
      <c r="AO15" s="158">
        <f>SUMIF($A$5:$A$10,$A15,AO$5:AO$10)</f>
        <v>4273552</v>
      </c>
    </row>
    <row r="16" spans="1:41">
      <c r="A16" s="155" t="s">
        <v>79</v>
      </c>
      <c r="C16" s="158">
        <f t="shared" si="25"/>
        <v>212455</v>
      </c>
      <c r="D16" s="158">
        <f t="shared" si="25"/>
        <v>230409</v>
      </c>
      <c r="E16" s="158">
        <f t="shared" si="25"/>
        <v>264318</v>
      </c>
      <c r="F16" s="158">
        <f t="shared" si="25"/>
        <v>145287</v>
      </c>
      <c r="G16" s="158">
        <f t="shared" si="25"/>
        <v>251389</v>
      </c>
      <c r="H16" s="158">
        <f t="shared" si="25"/>
        <v>262730</v>
      </c>
      <c r="I16" s="158">
        <f t="shared" si="25"/>
        <v>278436</v>
      </c>
      <c r="J16" s="158">
        <f t="shared" si="25"/>
        <v>230151</v>
      </c>
      <c r="K16" s="158">
        <f t="shared" si="26"/>
        <v>300167</v>
      </c>
      <c r="L16" s="158">
        <f t="shared" si="26"/>
        <v>222050</v>
      </c>
      <c r="M16" s="158">
        <f t="shared" si="26"/>
        <v>227503</v>
      </c>
      <c r="N16" s="158">
        <f t="shared" si="26"/>
        <v>267834</v>
      </c>
      <c r="O16" s="158">
        <f t="shared" si="26"/>
        <v>249868</v>
      </c>
      <c r="P16" s="158">
        <f t="shared" si="26"/>
        <v>209281</v>
      </c>
      <c r="Q16" s="158">
        <f t="shared" si="26"/>
        <v>195178</v>
      </c>
      <c r="R16" s="158">
        <f t="shared" si="26"/>
        <v>187379</v>
      </c>
      <c r="S16" s="158">
        <f t="shared" si="26"/>
        <v>338702</v>
      </c>
      <c r="T16" s="158">
        <f t="shared" si="26"/>
        <v>105040</v>
      </c>
      <c r="U16" s="158">
        <f t="shared" si="26"/>
        <v>211508</v>
      </c>
      <c r="V16" s="158">
        <f t="shared" si="26"/>
        <v>220240</v>
      </c>
      <c r="W16" s="158">
        <f t="shared" si="26"/>
        <v>261753</v>
      </c>
      <c r="X16" s="158">
        <f t="shared" si="26"/>
        <v>342304</v>
      </c>
      <c r="Y16" s="158">
        <f t="shared" si="26"/>
        <v>151605</v>
      </c>
      <c r="Z16" s="158">
        <f t="shared" si="26"/>
        <v>224817</v>
      </c>
      <c r="AA16" s="158">
        <f t="shared" si="27"/>
        <v>337279</v>
      </c>
      <c r="AB16" s="158">
        <f t="shared" si="27"/>
        <v>80795</v>
      </c>
      <c r="AC16" s="158">
        <f t="shared" si="27"/>
        <v>194055</v>
      </c>
      <c r="AD16" s="158">
        <f t="shared" si="28"/>
        <v>199603</v>
      </c>
      <c r="AE16" s="158">
        <f t="shared" si="28"/>
        <v>200095</v>
      </c>
      <c r="AF16" s="158">
        <f t="shared" si="28"/>
        <v>190575</v>
      </c>
      <c r="AG16" s="158">
        <f t="shared" si="28"/>
        <v>207729</v>
      </c>
      <c r="AH16" s="158">
        <f t="shared" si="28"/>
        <v>231646</v>
      </c>
      <c r="AI16" s="158">
        <f t="shared" si="28"/>
        <v>244653</v>
      </c>
      <c r="AJ16" s="158">
        <f t="shared" si="28"/>
        <v>352472</v>
      </c>
      <c r="AK16" s="158">
        <f t="shared" si="28"/>
        <v>68383</v>
      </c>
      <c r="AL16" s="158">
        <f t="shared" si="28"/>
        <v>241737</v>
      </c>
      <c r="AM16" s="158">
        <f>SUMIF($A$5:$A$10,$A16,AM$5:AM$10)</f>
        <v>291038</v>
      </c>
      <c r="AN16" s="158">
        <f>SUMIF($A$5:$A$10,$A16,AN$5:AN$10)</f>
        <v>244141</v>
      </c>
      <c r="AO16" s="158">
        <f>SUMIF($A$5:$A$10,$A16,AO$5:AO$10)</f>
        <v>199980</v>
      </c>
    </row>
    <row r="18" spans="1:39">
      <c r="A18" s="4"/>
    </row>
    <row r="19" spans="1:39" ht="31.35" customHeight="1">
      <c r="A19" s="172" t="s">
        <v>81</v>
      </c>
      <c r="B19" s="172"/>
      <c r="AM19" s="9" t="s">
        <v>4</v>
      </c>
    </row>
    <row r="20" spans="1:39" ht="28.35" customHeight="1">
      <c r="A20" s="172" t="s">
        <v>82</v>
      </c>
      <c r="B20" s="172"/>
    </row>
  </sheetData>
  <mergeCells count="4">
    <mergeCell ref="A1:B1"/>
    <mergeCell ref="A12:B12"/>
    <mergeCell ref="A19:B19"/>
    <mergeCell ref="A20:B20"/>
  </mergeCells>
  <pageMargins left="0.7" right="0.7" top="0.75" bottom="0.75" header="0.3" footer="0.3"/>
  <pageSetup orientation="landscape" r:id="rId1"/>
  <headerFooter>
    <oddHeader>&amp;L2026 TAP Reconcilable Rider Reports and Projection Model: &amp;A
January 2023 - December 2025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1B21F-D78A-42F0-AADC-C7F6356DD16D}">
  <sheetPr>
    <tabColor theme="4"/>
  </sheetPr>
  <dimension ref="A1:AO20"/>
  <sheetViews>
    <sheetView topLeftCell="X1" zoomScale="90" zoomScaleNormal="90" workbookViewId="0">
      <selection activeCell="AM19" sqref="AM19"/>
    </sheetView>
  </sheetViews>
  <sheetFormatPr defaultColWidth="8.85546875" defaultRowHeight="14.25"/>
  <cols>
    <col min="1" max="1" width="31.140625" customWidth="1"/>
    <col min="2" max="2" width="30" customWidth="1"/>
    <col min="3" max="14" width="12.5703125" customWidth="1"/>
    <col min="15" max="15" width="12.42578125" bestFit="1" customWidth="1"/>
    <col min="16" max="16" width="12.85546875" bestFit="1" customWidth="1"/>
    <col min="17" max="17" width="12.42578125" bestFit="1" customWidth="1"/>
    <col min="18" max="18" width="10.5703125" customWidth="1"/>
    <col min="19" max="22" width="11.140625" customWidth="1"/>
    <col min="23" max="23" width="11.42578125" customWidth="1"/>
    <col min="24" max="24" width="10.140625" customWidth="1"/>
    <col min="25" max="25" width="10.28515625" customWidth="1"/>
    <col min="26" max="26" width="13.85546875" customWidth="1"/>
    <col min="27" max="27" width="11.85546875" customWidth="1"/>
    <col min="28" max="38" width="11.7109375" customWidth="1"/>
    <col min="39" max="41" width="11.42578125" customWidth="1"/>
  </cols>
  <sheetData>
    <row r="1" spans="1:41">
      <c r="A1" s="168" t="str">
        <f>"DR-2: Sewer Billed Volume"</f>
        <v>DR-2: Sewer Billed Volume</v>
      </c>
      <c r="B1" s="16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</row>
    <row r="2" spans="1:41" ht="15">
      <c r="A2" s="150"/>
      <c r="B2" s="151"/>
      <c r="C2" s="151">
        <v>2023</v>
      </c>
      <c r="D2" s="151">
        <f t="shared" ref="D2:AC2" si="0">IF(D3=1,C2+1,C2)</f>
        <v>2023</v>
      </c>
      <c r="E2" s="151">
        <f t="shared" si="0"/>
        <v>2023</v>
      </c>
      <c r="F2" s="151">
        <f t="shared" si="0"/>
        <v>2023</v>
      </c>
      <c r="G2" s="151">
        <f t="shared" si="0"/>
        <v>2023</v>
      </c>
      <c r="H2" s="151">
        <f t="shared" si="0"/>
        <v>2023</v>
      </c>
      <c r="I2" s="151">
        <f t="shared" si="0"/>
        <v>2023</v>
      </c>
      <c r="J2" s="151">
        <f t="shared" si="0"/>
        <v>2023</v>
      </c>
      <c r="K2" s="151">
        <f t="shared" si="0"/>
        <v>2023</v>
      </c>
      <c r="L2" s="151">
        <f t="shared" si="0"/>
        <v>2023</v>
      </c>
      <c r="M2" s="151">
        <f t="shared" si="0"/>
        <v>2023</v>
      </c>
      <c r="N2" s="151">
        <f t="shared" si="0"/>
        <v>2023</v>
      </c>
      <c r="O2" s="151">
        <f t="shared" si="0"/>
        <v>2024</v>
      </c>
      <c r="P2" s="151">
        <f t="shared" si="0"/>
        <v>2024</v>
      </c>
      <c r="Q2" s="151">
        <f t="shared" si="0"/>
        <v>2024</v>
      </c>
      <c r="R2" s="151">
        <f t="shared" si="0"/>
        <v>2024</v>
      </c>
      <c r="S2" s="151">
        <f t="shared" si="0"/>
        <v>2024</v>
      </c>
      <c r="T2" s="151">
        <f t="shared" si="0"/>
        <v>2024</v>
      </c>
      <c r="U2" s="151">
        <f t="shared" si="0"/>
        <v>2024</v>
      </c>
      <c r="V2" s="151">
        <f t="shared" si="0"/>
        <v>2024</v>
      </c>
      <c r="W2" s="151">
        <f t="shared" si="0"/>
        <v>2024</v>
      </c>
      <c r="X2" s="151">
        <f t="shared" si="0"/>
        <v>2024</v>
      </c>
      <c r="Y2" s="151">
        <f t="shared" si="0"/>
        <v>2024</v>
      </c>
      <c r="Z2" s="151">
        <f t="shared" si="0"/>
        <v>2024</v>
      </c>
      <c r="AA2" s="151">
        <f t="shared" si="0"/>
        <v>2025</v>
      </c>
      <c r="AB2" s="151">
        <f t="shared" si="0"/>
        <v>2025</v>
      </c>
      <c r="AC2" s="151">
        <f t="shared" si="0"/>
        <v>2025</v>
      </c>
      <c r="AD2" s="151">
        <f t="shared" ref="AD2" si="1">IF(AD3=1,AC2+1,AC2)</f>
        <v>2025</v>
      </c>
      <c r="AE2" s="151">
        <f t="shared" ref="AE2" si="2">IF(AE3=1,AD2+1,AD2)</f>
        <v>2025</v>
      </c>
      <c r="AF2" s="151">
        <f t="shared" ref="AF2" si="3">IF(AF3=1,AE2+1,AE2)</f>
        <v>2025</v>
      </c>
      <c r="AG2" s="151">
        <f t="shared" ref="AG2" si="4">IF(AG3=1,AF2+1,AF2)</f>
        <v>2025</v>
      </c>
      <c r="AH2" s="151">
        <f t="shared" ref="AH2" si="5">IF(AH3=1,AG2+1,AG2)</f>
        <v>2025</v>
      </c>
      <c r="AI2" s="151">
        <f t="shared" ref="AI2" si="6">IF(AI3=1,AH2+1,AH2)</f>
        <v>2025</v>
      </c>
      <c r="AJ2" s="151">
        <f t="shared" ref="AJ2" si="7">IF(AJ3=1,AI2+1,AI2)</f>
        <v>2025</v>
      </c>
      <c r="AK2" s="151">
        <f t="shared" ref="AK2" si="8">IF(AK3=1,AJ2+1,AJ2)</f>
        <v>2025</v>
      </c>
      <c r="AL2" s="151">
        <f t="shared" ref="AL2" si="9">IF(AL3=1,AK2+1,AK2)</f>
        <v>2025</v>
      </c>
      <c r="AM2" s="179">
        <f>IF(AM3=1,AL2+1,AL2)</f>
        <v>2026</v>
      </c>
      <c r="AN2" s="179">
        <f>IF(AN3=1,AM2+1,AM2)</f>
        <v>2026</v>
      </c>
      <c r="AO2" s="179">
        <f>IF(AO3=1,AN2+1,AN2)</f>
        <v>2026</v>
      </c>
    </row>
    <row r="3" spans="1:41" ht="15">
      <c r="A3" s="150"/>
      <c r="B3" s="151"/>
      <c r="C3" s="151">
        <v>1</v>
      </c>
      <c r="D3" s="151">
        <f t="shared" ref="D3:AC3" si="10">IF(C3&lt;12,C3+1,1)</f>
        <v>2</v>
      </c>
      <c r="E3" s="151">
        <f t="shared" si="10"/>
        <v>3</v>
      </c>
      <c r="F3" s="151">
        <f t="shared" si="10"/>
        <v>4</v>
      </c>
      <c r="G3" s="151">
        <f t="shared" si="10"/>
        <v>5</v>
      </c>
      <c r="H3" s="151">
        <f t="shared" si="10"/>
        <v>6</v>
      </c>
      <c r="I3" s="151">
        <f t="shared" si="10"/>
        <v>7</v>
      </c>
      <c r="J3" s="151">
        <f t="shared" si="10"/>
        <v>8</v>
      </c>
      <c r="K3" s="151">
        <f t="shared" si="10"/>
        <v>9</v>
      </c>
      <c r="L3" s="151">
        <f t="shared" si="10"/>
        <v>10</v>
      </c>
      <c r="M3" s="151">
        <f t="shared" si="10"/>
        <v>11</v>
      </c>
      <c r="N3" s="151">
        <f t="shared" si="10"/>
        <v>12</v>
      </c>
      <c r="O3" s="151">
        <f t="shared" si="10"/>
        <v>1</v>
      </c>
      <c r="P3" s="151">
        <f t="shared" si="10"/>
        <v>2</v>
      </c>
      <c r="Q3" s="151">
        <f t="shared" si="10"/>
        <v>3</v>
      </c>
      <c r="R3" s="151">
        <f t="shared" si="10"/>
        <v>4</v>
      </c>
      <c r="S3" s="151">
        <f t="shared" si="10"/>
        <v>5</v>
      </c>
      <c r="T3" s="151">
        <f t="shared" si="10"/>
        <v>6</v>
      </c>
      <c r="U3" s="151">
        <f t="shared" si="10"/>
        <v>7</v>
      </c>
      <c r="V3" s="151">
        <f t="shared" si="10"/>
        <v>8</v>
      </c>
      <c r="W3" s="151">
        <f t="shared" si="10"/>
        <v>9</v>
      </c>
      <c r="X3" s="151">
        <f t="shared" si="10"/>
        <v>10</v>
      </c>
      <c r="Y3" s="151">
        <f t="shared" si="10"/>
        <v>11</v>
      </c>
      <c r="Z3" s="151">
        <f t="shared" si="10"/>
        <v>12</v>
      </c>
      <c r="AA3" s="151">
        <f t="shared" si="10"/>
        <v>1</v>
      </c>
      <c r="AB3" s="151">
        <f t="shared" si="10"/>
        <v>2</v>
      </c>
      <c r="AC3" s="151">
        <f t="shared" si="10"/>
        <v>3</v>
      </c>
      <c r="AD3" s="151">
        <f t="shared" ref="AD3" si="11">IF(AC3&lt;12,AC3+1,1)</f>
        <v>4</v>
      </c>
      <c r="AE3" s="151">
        <f t="shared" ref="AE3" si="12">IF(AD3&lt;12,AD3+1,1)</f>
        <v>5</v>
      </c>
      <c r="AF3" s="151">
        <f t="shared" ref="AF3" si="13">IF(AE3&lt;12,AE3+1,1)</f>
        <v>6</v>
      </c>
      <c r="AG3" s="151">
        <f t="shared" ref="AG3" si="14">IF(AF3&lt;12,AF3+1,1)</f>
        <v>7</v>
      </c>
      <c r="AH3" s="151">
        <f t="shared" ref="AH3" si="15">IF(AG3&lt;12,AG3+1,1)</f>
        <v>8</v>
      </c>
      <c r="AI3" s="151">
        <f t="shared" ref="AI3" si="16">IF(AH3&lt;12,AH3+1,1)</f>
        <v>9</v>
      </c>
      <c r="AJ3" s="151">
        <f t="shared" ref="AJ3" si="17">IF(AI3&lt;12,AI3+1,1)</f>
        <v>10</v>
      </c>
      <c r="AK3" s="151">
        <f t="shared" ref="AK3" si="18">IF(AJ3&lt;12,AJ3+1,1)</f>
        <v>11</v>
      </c>
      <c r="AL3" s="151">
        <f t="shared" ref="AL3" si="19">IF(AK3&lt;12,AK3+1,1)</f>
        <v>12</v>
      </c>
      <c r="AM3" s="179">
        <f>IF(AL3&lt;12,AL3+1,1)</f>
        <v>1</v>
      </c>
      <c r="AN3" s="179">
        <f>IF(AM3&lt;12,AM3+1,1)</f>
        <v>2</v>
      </c>
      <c r="AO3" s="179">
        <f>IF(AN3&lt;12,AN3+1,1)</f>
        <v>3</v>
      </c>
    </row>
    <row r="4" spans="1:41" ht="57.6" customHeight="1">
      <c r="A4" s="152" t="s">
        <v>72</v>
      </c>
      <c r="B4" s="153" t="s">
        <v>73</v>
      </c>
      <c r="C4" s="154" t="str">
        <f t="shared" ref="C4:AC4" si="20">TEXT(C3*29, "Mmmm")&amp;" "&amp;C2&amp;" Sewer Billed Volume (CCF)"</f>
        <v>January 2023 Sewer Billed Volume (CCF)</v>
      </c>
      <c r="D4" s="154" t="str">
        <f t="shared" si="20"/>
        <v>February 2023 Sewer Billed Volume (CCF)</v>
      </c>
      <c r="E4" s="154" t="str">
        <f t="shared" si="20"/>
        <v>March 2023 Sewer Billed Volume (CCF)</v>
      </c>
      <c r="F4" s="154" t="str">
        <f t="shared" si="20"/>
        <v>April 2023 Sewer Billed Volume (CCF)</v>
      </c>
      <c r="G4" s="154" t="str">
        <f t="shared" si="20"/>
        <v>May 2023 Sewer Billed Volume (CCF)</v>
      </c>
      <c r="H4" s="154" t="str">
        <f t="shared" si="20"/>
        <v>June 2023 Sewer Billed Volume (CCF)</v>
      </c>
      <c r="I4" s="154" t="str">
        <f t="shared" si="20"/>
        <v>July 2023 Sewer Billed Volume (CCF)</v>
      </c>
      <c r="J4" s="154" t="str">
        <f t="shared" si="20"/>
        <v>August 2023 Sewer Billed Volume (CCF)</v>
      </c>
      <c r="K4" s="154" t="str">
        <f t="shared" si="20"/>
        <v>September 2023 Sewer Billed Volume (CCF)</v>
      </c>
      <c r="L4" s="154" t="str">
        <f t="shared" si="20"/>
        <v>October 2023 Sewer Billed Volume (CCF)</v>
      </c>
      <c r="M4" s="154" t="str">
        <f t="shared" si="20"/>
        <v>November 2023 Sewer Billed Volume (CCF)</v>
      </c>
      <c r="N4" s="154" t="str">
        <f t="shared" si="20"/>
        <v>December 2023 Sewer Billed Volume (CCF)</v>
      </c>
      <c r="O4" s="154" t="str">
        <f t="shared" si="20"/>
        <v>January 2024 Sewer Billed Volume (CCF)</v>
      </c>
      <c r="P4" s="154" t="str">
        <f t="shared" si="20"/>
        <v>February 2024 Sewer Billed Volume (CCF)</v>
      </c>
      <c r="Q4" s="154" t="str">
        <f t="shared" si="20"/>
        <v>March 2024 Sewer Billed Volume (CCF)</v>
      </c>
      <c r="R4" s="154" t="str">
        <f t="shared" si="20"/>
        <v>April 2024 Sewer Billed Volume (CCF)</v>
      </c>
      <c r="S4" s="154" t="str">
        <f t="shared" si="20"/>
        <v>May 2024 Sewer Billed Volume (CCF)</v>
      </c>
      <c r="T4" s="154" t="str">
        <f t="shared" si="20"/>
        <v>June 2024 Sewer Billed Volume (CCF)</v>
      </c>
      <c r="U4" s="154" t="str">
        <f t="shared" si="20"/>
        <v>July 2024 Sewer Billed Volume (CCF)</v>
      </c>
      <c r="V4" s="154" t="str">
        <f t="shared" si="20"/>
        <v>August 2024 Sewer Billed Volume (CCF)</v>
      </c>
      <c r="W4" s="154" t="str">
        <f t="shared" si="20"/>
        <v>September 2024 Sewer Billed Volume (CCF)</v>
      </c>
      <c r="X4" s="154" t="str">
        <f t="shared" si="20"/>
        <v>October 2024 Sewer Billed Volume (CCF)</v>
      </c>
      <c r="Y4" s="154" t="str">
        <f t="shared" si="20"/>
        <v>November 2024 Sewer Billed Volume (CCF)</v>
      </c>
      <c r="Z4" s="154" t="str">
        <f t="shared" si="20"/>
        <v>December 2024 Sewer Billed Volume (CCF)</v>
      </c>
      <c r="AA4" s="154" t="str">
        <f t="shared" si="20"/>
        <v>January 2025 Sewer Billed Volume (CCF)</v>
      </c>
      <c r="AB4" s="154" t="str">
        <f t="shared" si="20"/>
        <v>February 2025 Sewer Billed Volume (CCF)</v>
      </c>
      <c r="AC4" s="154" t="str">
        <f t="shared" si="20"/>
        <v>March 2025 Sewer Billed Volume (CCF)</v>
      </c>
      <c r="AD4" s="154" t="str">
        <f t="shared" ref="AD4:AL4" si="21">TEXT(AD3*29, "Mmmm")&amp;" "&amp;AD2&amp;" Sewer Billed Volume (CCF)"</f>
        <v>April 2025 Sewer Billed Volume (CCF)</v>
      </c>
      <c r="AE4" s="154" t="str">
        <f t="shared" si="21"/>
        <v>May 2025 Sewer Billed Volume (CCF)</v>
      </c>
      <c r="AF4" s="154" t="str">
        <f t="shared" si="21"/>
        <v>June 2025 Sewer Billed Volume (CCF)</v>
      </c>
      <c r="AG4" s="154" t="str">
        <f t="shared" si="21"/>
        <v>July 2025 Sewer Billed Volume (CCF)</v>
      </c>
      <c r="AH4" s="154" t="str">
        <f t="shared" si="21"/>
        <v>August 2025 Sewer Billed Volume (CCF)</v>
      </c>
      <c r="AI4" s="154" t="str">
        <f t="shared" si="21"/>
        <v>September 2025 Sewer Billed Volume (CCF)</v>
      </c>
      <c r="AJ4" s="154" t="str">
        <f t="shared" si="21"/>
        <v>October 2025 Sewer Billed Volume (CCF)</v>
      </c>
      <c r="AK4" s="154" t="str">
        <f t="shared" si="21"/>
        <v>November 2025 Sewer Billed Volume (CCF)</v>
      </c>
      <c r="AL4" s="154" t="str">
        <f t="shared" si="21"/>
        <v>December 2025 Sewer Billed Volume (CCF)</v>
      </c>
      <c r="AM4" s="180" t="str">
        <f>TEXT(AM3*29, "Mmmm")&amp;" "&amp;AM2&amp;" Sewer Billed Volume (CCF)"</f>
        <v>January 2026 Sewer Billed Volume (CCF)</v>
      </c>
      <c r="AN4" s="180" t="str">
        <f>TEXT(AN3*29, "Mmmm")&amp;" "&amp;AN2&amp;" Sewer Billed Volume (CCF)"</f>
        <v>February 2026 Sewer Billed Volume (CCF)</v>
      </c>
      <c r="AO4" s="180" t="str">
        <f>TEXT(AO3*29, "Mmmm")&amp;" "&amp;AO2&amp;" Sewer Billed Volume (CCF)"</f>
        <v>March 2026 Sewer Billed Volume (CCF)</v>
      </c>
    </row>
    <row r="5" spans="1:41" ht="15">
      <c r="A5" s="155" t="s">
        <v>69</v>
      </c>
      <c r="B5" s="156" t="s">
        <v>74</v>
      </c>
      <c r="C5" s="157">
        <f>SUMIFS('Combined Data'!$G:$G,'Combined Data'!$A:$A,DR_1!C$2,'Combined Data'!$B:$B,DR_1!C$3,'Combined Data'!$C:$C,DR_1!$A5)</f>
        <v>119847</v>
      </c>
      <c r="D5" s="157">
        <f>SUMIFS('Combined Data'!$G:$G,'Combined Data'!$A:$A,DR_1!D$2,'Combined Data'!$B:$B,DR_1!D$3,'Combined Data'!$C:$C,DR_1!$A5)</f>
        <v>95396</v>
      </c>
      <c r="E5" s="157">
        <f>SUMIFS('Combined Data'!$G:$G,'Combined Data'!$A:$A,DR_1!E$2,'Combined Data'!$B:$B,DR_1!E$3,'Combined Data'!$C:$C,DR_1!$A5)</f>
        <v>118146</v>
      </c>
      <c r="F5" s="157">
        <f>SUMIFS('Combined Data'!$G:$G,'Combined Data'!$A:$A,DR_1!F$2,'Combined Data'!$B:$B,DR_1!F$3,'Combined Data'!$C:$C,DR_1!$A5)</f>
        <v>98887</v>
      </c>
      <c r="G5" s="157">
        <f>SUMIFS('Combined Data'!$G:$G,'Combined Data'!$A:$A,DR_1!G$2,'Combined Data'!$B:$B,DR_1!G$3,'Combined Data'!$C:$C,DR_1!$A5)</f>
        <v>104306</v>
      </c>
      <c r="H5" s="157">
        <f>SUMIFS('Combined Data'!$G:$G,'Combined Data'!$A:$A,DR_1!H$2,'Combined Data'!$B:$B,DR_1!H$3,'Combined Data'!$C:$C,DR_1!$A5)</f>
        <v>133240</v>
      </c>
      <c r="I5" s="157">
        <f>SUMIFS('Combined Data'!$G:$G,'Combined Data'!$A:$A,DR_1!I$2,'Combined Data'!$B:$B,DR_1!I$3,'Combined Data'!$C:$C,DR_1!$A5)</f>
        <v>144890</v>
      </c>
      <c r="J5" s="157">
        <f>SUMIFS('Combined Data'!$G:$G,'Combined Data'!$A:$A,DR_1!J$2,'Combined Data'!$B:$B,DR_1!J$3,'Combined Data'!$C:$C,DR_1!$A5)</f>
        <v>139159</v>
      </c>
      <c r="K5" s="157">
        <f>SUMIFS('Combined Data'!$G:$G,'Combined Data'!$A:$A,DR_1!K$2,'Combined Data'!$B:$B,DR_1!K$3,'Combined Data'!$C:$C,DR_1!$A5)</f>
        <v>156807</v>
      </c>
      <c r="L5" s="157">
        <f>SUMIFS('Combined Data'!$G:$G,'Combined Data'!$A:$A,DR_1!L$2,'Combined Data'!$B:$B,DR_1!L$3,'Combined Data'!$C:$C,DR_1!$A5)</f>
        <v>143306</v>
      </c>
      <c r="M5" s="157">
        <f>SUMIFS('Combined Data'!$G:$G,'Combined Data'!$A:$A,DR_1!M$2,'Combined Data'!$B:$B,DR_1!M$3,'Combined Data'!$C:$C,DR_1!$A5)</f>
        <v>151778</v>
      </c>
      <c r="N5" s="157">
        <f>SUMIFS('Combined Data'!$G:$G,'Combined Data'!$A:$A,DR_1!N$2,'Combined Data'!$B:$B,DR_1!N$3,'Combined Data'!$C:$C,DR_1!$A5)</f>
        <v>153355</v>
      </c>
      <c r="O5" s="157">
        <f>SUMIFS('Combined Data'!$G:$G,'Combined Data'!$A:$A,DR_1!O$2,'Combined Data'!$B:$B,DR_1!O$3,'Combined Data'!$C:$C,DR_1!$A5)</f>
        <v>158685</v>
      </c>
      <c r="P5" s="157">
        <f>SUMIFS('Combined Data'!$G:$G,'Combined Data'!$A:$A,DR_1!P$2,'Combined Data'!$B:$B,DR_1!P$3,'Combined Data'!$C:$C,DR_1!$A5)</f>
        <v>190596</v>
      </c>
      <c r="Q5" s="157">
        <f>SUMIFS('Combined Data'!$G:$G,'Combined Data'!$A:$A,DR_1!Q$2,'Combined Data'!$B:$B,DR_1!Q$3,'Combined Data'!$C:$C,DR_1!$A5)</f>
        <v>295003</v>
      </c>
      <c r="R5" s="157">
        <f>SUMIFS('Combined Data'!$G:$G,'Combined Data'!$A:$A,DR_1!R$2,'Combined Data'!$B:$B,DR_1!R$3,'Combined Data'!$C:$C,DR_1!$A5)</f>
        <v>325268</v>
      </c>
      <c r="S5" s="157">
        <f>SUMIFS('Combined Data'!$G:$G,'Combined Data'!$A:$A,DR_1!S$2,'Combined Data'!$B:$B,DR_1!S$3,'Combined Data'!$C:$C,DR_1!$A5)</f>
        <v>363280</v>
      </c>
      <c r="T5" s="157">
        <f>SUMIFS('Combined Data'!$G:$G,'Combined Data'!$A:$A,DR_1!T$2,'Combined Data'!$B:$B,DR_1!T$3,'Combined Data'!$C:$C,DR_1!$A5)</f>
        <v>351186</v>
      </c>
      <c r="U5" s="157">
        <f>SUMIFS('Combined Data'!$G:$G,'Combined Data'!$A:$A,DR_1!U$2,'Combined Data'!$B:$B,DR_1!U$3,'Combined Data'!$C:$C,DR_1!$A5)</f>
        <v>377552</v>
      </c>
      <c r="V5" s="157">
        <f>SUMIFS('Combined Data'!$G:$G,'Combined Data'!$A:$A,DR_1!V$2,'Combined Data'!$B:$B,DR_1!V$3,'Combined Data'!$C:$C,DR_1!$A5)</f>
        <v>399834</v>
      </c>
      <c r="W5" s="157">
        <f>SUMIFS('Combined Data'!$G:$G,'Combined Data'!$A:$A,DR_1!W$2,'Combined Data'!$B:$B,DR_1!W$3,'Combined Data'!$C:$C,DR_1!$A5)</f>
        <v>419515</v>
      </c>
      <c r="X5" s="157">
        <f>SUMIFS('Combined Data'!$G:$G,'Combined Data'!$A:$A,DR_1!X$2,'Combined Data'!$B:$B,DR_1!X$3,'Combined Data'!$C:$C,DR_1!$A5)</f>
        <v>407617</v>
      </c>
      <c r="Y5" s="157">
        <f>SUMIFS('Combined Data'!$G:$G,'Combined Data'!$A:$A,DR_1!Y$2,'Combined Data'!$B:$B,DR_1!Y$3,'Combined Data'!$C:$C,DR_1!$A5)</f>
        <v>356544</v>
      </c>
      <c r="Z5" s="157">
        <f>SUMIFS('Combined Data'!$G:$G,'Combined Data'!$A:$A,DR_1!Z$2,'Combined Data'!$B:$B,DR_1!Z$3,'Combined Data'!$C:$C,DR_1!$A5)</f>
        <v>380804</v>
      </c>
      <c r="AA5" s="157">
        <f>SUMIFS('Combined Data'!$G:$G,'Combined Data'!$A:$A,DR_1!AA$2,'Combined Data'!$B:$B,DR_1!AA$3,'Combined Data'!$C:$C,DR_1!$A5)</f>
        <v>431025</v>
      </c>
      <c r="AB5" s="157">
        <f>SUMIFS('Combined Data'!$G:$G,'Combined Data'!$A:$A,DR_1!AB$2,'Combined Data'!$B:$B,DR_1!AB$3,'Combined Data'!$C:$C,DR_1!$A5)</f>
        <v>362258</v>
      </c>
      <c r="AC5" s="157">
        <f>SUMIFS('Combined Data'!$G:$G,'Combined Data'!$A:$A,DR_1!AC$2,'Combined Data'!$B:$B,DR_1!AC$3,'Combined Data'!$C:$C,DR_1!$A5)</f>
        <v>375462</v>
      </c>
      <c r="AD5" s="157">
        <f>SUMIFS('Combined Data'!$G:$G,'Combined Data'!$A:$A,DR_1!AD$2,'Combined Data'!$B:$B,DR_1!AD$3,'Combined Data'!$C:$C,DR_1!$A5)</f>
        <v>382075</v>
      </c>
      <c r="AE5" s="157">
        <f>SUMIFS('Combined Data'!$G:$G,'Combined Data'!$A:$A,DR_1!AE$2,'Combined Data'!$B:$B,DR_1!AE$3,'Combined Data'!$C:$C,DR_1!$A5)</f>
        <v>395427</v>
      </c>
      <c r="AF5" s="157">
        <f>SUMIFS('Combined Data'!$G:$G,'Combined Data'!$A:$A,DR_1!AF$2,'Combined Data'!$B:$B,DR_1!AF$3,'Combined Data'!$C:$C,DR_1!$A5)</f>
        <v>419359</v>
      </c>
      <c r="AG5" s="157">
        <f>SUMIFS('Combined Data'!$G:$G,'Combined Data'!$A:$A,DR_1!AG$2,'Combined Data'!$B:$B,DR_1!AG$3,'Combined Data'!$C:$C,DR_1!$A5)</f>
        <v>423626</v>
      </c>
      <c r="AH5" s="157">
        <f>SUMIFS('Combined Data'!$G:$G,'Combined Data'!$A:$A,DR_1!AH$2,'Combined Data'!$B:$B,DR_1!AH$3,'Combined Data'!$C:$C,DR_1!$A5)</f>
        <v>449771</v>
      </c>
      <c r="AI5" s="157">
        <f>SUMIFS('Combined Data'!$G:$G,'Combined Data'!$A:$A,DR_1!AI$2,'Combined Data'!$B:$B,DR_1!AI$3,'Combined Data'!$C:$C,DR_1!$A5)</f>
        <v>443876</v>
      </c>
      <c r="AJ5" s="157">
        <f>SUMIFS('Combined Data'!$G:$G,'Combined Data'!$A:$A,DR_1!AJ$2,'Combined Data'!$B:$B,DR_1!AJ$3,'Combined Data'!$C:$C,DR_1!$A5)</f>
        <v>466528</v>
      </c>
      <c r="AK5" s="157">
        <f>SUMIFS('Combined Data'!$G:$G,'Combined Data'!$A:$A,DR_1!AK$2,'Combined Data'!$B:$B,DR_1!AK$3,'Combined Data'!$C:$C,DR_1!$A5)</f>
        <v>339938</v>
      </c>
      <c r="AL5" s="157">
        <f>SUMIFS('Combined Data'!$G:$G,'Combined Data'!$A:$A,DR_1!AL$2,'Combined Data'!$B:$B,DR_1!AL$3,'Combined Data'!$C:$C,DR_1!$A5)</f>
        <v>453388</v>
      </c>
      <c r="AM5" s="157">
        <f>SUMIFS('Combined Data'!$G:$G,'Combined Data'!$A:$A,DR_1!AM$2,'Combined Data'!$B:$B,DR_1!AM$3,'Combined Data'!$C:$C,DR_1!$A5)</f>
        <v>474423</v>
      </c>
      <c r="AN5" s="157">
        <f>SUMIFS('Combined Data'!$G:$G,'Combined Data'!$A:$A,DR_1!AN$2,'Combined Data'!$B:$B,DR_1!AN$3,'Combined Data'!$C:$C,DR_1!$A5)</f>
        <v>423187</v>
      </c>
      <c r="AO5" s="157">
        <f>SUMIFS('Combined Data'!$G:$G,'Combined Data'!$A:$A,DR_1!AO$2,'Combined Data'!$B:$B,DR_1!AO$3,'Combined Data'!$C:$C,DR_1!$A5)</f>
        <v>463972</v>
      </c>
    </row>
    <row r="6" spans="1:41" ht="15">
      <c r="A6" s="155" t="s">
        <v>63</v>
      </c>
      <c r="B6" s="155" t="s">
        <v>75</v>
      </c>
      <c r="C6" s="157">
        <f>SUMIFS('Combined Data'!$G:$G,'Combined Data'!$A:$A,DR_1!C$2,'Combined Data'!$B:$B,DR_1!C$3,'Combined Data'!$C:$C,DR_1!$A6,'Combined Data'!$D:$D,DR_1!$B6)</f>
        <v>85147</v>
      </c>
      <c r="D6" s="157">
        <f>SUMIFS('Combined Data'!$G:$G,'Combined Data'!$A:$A,DR_1!D$2,'Combined Data'!$B:$B,DR_1!D$3,'Combined Data'!$C:$C,DR_1!$A6,'Combined Data'!$D:$D,DR_1!$B6)</f>
        <v>66743</v>
      </c>
      <c r="E6" s="157">
        <f>SUMIFS('Combined Data'!$G:$G,'Combined Data'!$A:$A,DR_1!E$2,'Combined Data'!$B:$B,DR_1!E$3,'Combined Data'!$C:$C,DR_1!$A6,'Combined Data'!$D:$D,DR_1!$B6)</f>
        <v>81706</v>
      </c>
      <c r="F6" s="157">
        <f>SUMIFS('Combined Data'!$G:$G,'Combined Data'!$A:$A,DR_1!F$2,'Combined Data'!$B:$B,DR_1!F$3,'Combined Data'!$C:$C,DR_1!$A6,'Combined Data'!$D:$D,DR_1!$B6)</f>
        <v>64064</v>
      </c>
      <c r="G6" s="157">
        <f>SUMIFS('Combined Data'!$G:$G,'Combined Data'!$A:$A,DR_1!G$2,'Combined Data'!$B:$B,DR_1!G$3,'Combined Data'!$C:$C,DR_1!$A6,'Combined Data'!$D:$D,DR_1!$B6)</f>
        <v>64802</v>
      </c>
      <c r="H6" s="157">
        <f>SUMIFS('Combined Data'!$G:$G,'Combined Data'!$A:$A,DR_1!H$2,'Combined Data'!$B:$B,DR_1!H$3,'Combined Data'!$C:$C,DR_1!$A6,'Combined Data'!$D:$D,DR_1!$B6)</f>
        <v>83450</v>
      </c>
      <c r="I6" s="157">
        <f>SUMIFS('Combined Data'!$G:$G,'Combined Data'!$A:$A,DR_1!I$2,'Combined Data'!$B:$B,DR_1!I$3,'Combined Data'!$C:$C,DR_1!$A6,'Combined Data'!$D:$D,DR_1!$B6)</f>
        <v>78036</v>
      </c>
      <c r="J6" s="157">
        <f>SUMIFS('Combined Data'!$G:$G,'Combined Data'!$A:$A,DR_1!J$2,'Combined Data'!$B:$B,DR_1!J$3,'Combined Data'!$C:$C,DR_1!$A6,'Combined Data'!$D:$D,DR_1!$B6)</f>
        <v>70882</v>
      </c>
      <c r="K6" s="157">
        <f>SUMIFS('Combined Data'!$G:$G,'Combined Data'!$A:$A,DR_1!K$2,'Combined Data'!$B:$B,DR_1!K$3,'Combined Data'!$C:$C,DR_1!$A6,'Combined Data'!$D:$D,DR_1!$B6)</f>
        <v>77635</v>
      </c>
      <c r="L6" s="157">
        <f>SUMIFS('Combined Data'!$G:$G,'Combined Data'!$A:$A,DR_1!L$2,'Combined Data'!$B:$B,DR_1!L$3,'Combined Data'!$C:$C,DR_1!$A6,'Combined Data'!$D:$D,DR_1!$B6)</f>
        <v>67957</v>
      </c>
      <c r="M6" s="157">
        <f>SUMIFS('Combined Data'!$G:$G,'Combined Data'!$A:$A,DR_1!M$2,'Combined Data'!$B:$B,DR_1!M$3,'Combined Data'!$C:$C,DR_1!$A6,'Combined Data'!$D:$D,DR_1!$B6)</f>
        <v>71804</v>
      </c>
      <c r="N6" s="157">
        <f>SUMIFS('Combined Data'!$G:$G,'Combined Data'!$A:$A,DR_1!N$2,'Combined Data'!$B:$B,DR_1!N$3,'Combined Data'!$C:$C,DR_1!$A6,'Combined Data'!$D:$D,DR_1!$B6)</f>
        <v>69314</v>
      </c>
      <c r="O6" s="157">
        <f>SUMIFS('Combined Data'!$G:$G,'Combined Data'!$A:$A,DR_1!O$2,'Combined Data'!$B:$B,DR_1!O$3,'Combined Data'!$C:$C,DR_1!$A6,'Combined Data'!$D:$D,DR_1!$B6)</f>
        <v>70796</v>
      </c>
      <c r="P6" s="157">
        <f>SUMIFS('Combined Data'!$G:$G,'Combined Data'!$A:$A,DR_1!P$2,'Combined Data'!$B:$B,DR_1!P$3,'Combined Data'!$C:$C,DR_1!$A6,'Combined Data'!$D:$D,DR_1!$B6)</f>
        <v>64266</v>
      </c>
      <c r="Q6" s="157">
        <f>SUMIFS('Combined Data'!$G:$G,'Combined Data'!$A:$A,DR_1!Q$2,'Combined Data'!$B:$B,DR_1!Q$3,'Combined Data'!$C:$C,DR_1!$A6,'Combined Data'!$D:$D,DR_1!$B6)</f>
        <v>51782</v>
      </c>
      <c r="R6" s="157">
        <f>SUMIFS('Combined Data'!$G:$G,'Combined Data'!$A:$A,DR_1!R$2,'Combined Data'!$B:$B,DR_1!R$3,'Combined Data'!$C:$C,DR_1!$A6,'Combined Data'!$D:$D,DR_1!$B6)</f>
        <v>48853</v>
      </c>
      <c r="S6" s="157">
        <f>SUMIFS('Combined Data'!$G:$G,'Combined Data'!$A:$A,DR_1!S$2,'Combined Data'!$B:$B,DR_1!S$3,'Combined Data'!$C:$C,DR_1!$A6,'Combined Data'!$D:$D,DR_1!$B6)</f>
        <v>52452</v>
      </c>
      <c r="T6" s="157">
        <f>SUMIFS('Combined Data'!$G:$G,'Combined Data'!$A:$A,DR_1!T$2,'Combined Data'!$B:$B,DR_1!T$3,'Combined Data'!$C:$C,DR_1!$A6,'Combined Data'!$D:$D,DR_1!$B6)</f>
        <v>51999</v>
      </c>
      <c r="U6" s="157">
        <f>SUMIFS('Combined Data'!$G:$G,'Combined Data'!$A:$A,DR_1!U$2,'Combined Data'!$B:$B,DR_1!U$3,'Combined Data'!$C:$C,DR_1!$A6,'Combined Data'!$D:$D,DR_1!$B6)</f>
        <v>56172</v>
      </c>
      <c r="V6" s="157">
        <f>SUMIFS('Combined Data'!$G:$G,'Combined Data'!$A:$A,DR_1!V$2,'Combined Data'!$B:$B,DR_1!V$3,'Combined Data'!$C:$C,DR_1!$A6,'Combined Data'!$D:$D,DR_1!$B6)</f>
        <v>56805</v>
      </c>
      <c r="W6" s="157">
        <f>SUMIFS('Combined Data'!$G:$G,'Combined Data'!$A:$A,DR_1!W$2,'Combined Data'!$B:$B,DR_1!W$3,'Combined Data'!$C:$C,DR_1!$A6,'Combined Data'!$D:$D,DR_1!$B6)</f>
        <v>57132</v>
      </c>
      <c r="X6" s="157">
        <f>SUMIFS('Combined Data'!$G:$G,'Combined Data'!$A:$A,DR_1!X$2,'Combined Data'!$B:$B,DR_1!X$3,'Combined Data'!$C:$C,DR_1!$A6,'Combined Data'!$D:$D,DR_1!$B6)</f>
        <v>53633</v>
      </c>
      <c r="Y6" s="157">
        <f>SUMIFS('Combined Data'!$G:$G,'Combined Data'!$A:$A,DR_1!Y$2,'Combined Data'!$B:$B,DR_1!Y$3,'Combined Data'!$C:$C,DR_1!$A6,'Combined Data'!$D:$D,DR_1!$B6)</f>
        <v>48276</v>
      </c>
      <c r="Z6" s="157">
        <f>SUMIFS('Combined Data'!$G:$G,'Combined Data'!$A:$A,DR_1!Z$2,'Combined Data'!$B:$B,DR_1!Z$3,'Combined Data'!$C:$C,DR_1!$A6,'Combined Data'!$D:$D,DR_1!$B6)</f>
        <v>49776</v>
      </c>
      <c r="AA6" s="157">
        <f>SUMIFS('Combined Data'!$G:$G,'Combined Data'!$A:$A,DR_1!AA$2,'Combined Data'!$B:$B,DR_1!AA$3,'Combined Data'!$C:$C,DR_1!$A6,'Combined Data'!$D:$D,DR_1!$B6)</f>
        <v>59785</v>
      </c>
      <c r="AB6" s="157">
        <f>SUMIFS('Combined Data'!$G:$G,'Combined Data'!$A:$A,DR_1!AB$2,'Combined Data'!$B:$B,DR_1!AB$3,'Combined Data'!$C:$C,DR_1!$A6,'Combined Data'!$D:$D,DR_1!$B6)</f>
        <v>49096</v>
      </c>
      <c r="AC6" s="157">
        <f>SUMIFS('Combined Data'!$G:$G,'Combined Data'!$A:$A,DR_1!AC$2,'Combined Data'!$B:$B,DR_1!AC$3,'Combined Data'!$C:$C,DR_1!$A6,'Combined Data'!$D:$D,DR_1!$B6)</f>
        <v>50037</v>
      </c>
      <c r="AD6" s="157">
        <f>SUMIFS('Combined Data'!$G:$G,'Combined Data'!$A:$A,DR_1!AD$2,'Combined Data'!$B:$B,DR_1!AD$3,'Combined Data'!$C:$C,DR_1!$A6,'Combined Data'!$D:$D,DR_1!$B6)</f>
        <v>47466</v>
      </c>
      <c r="AE6" s="157">
        <f>SUMIFS('Combined Data'!$G:$G,'Combined Data'!$A:$A,DR_1!AE$2,'Combined Data'!$B:$B,DR_1!AE$3,'Combined Data'!$C:$C,DR_1!$A6,'Combined Data'!$D:$D,DR_1!$B6)</f>
        <v>47208</v>
      </c>
      <c r="AF6" s="157">
        <f>SUMIFS('Combined Data'!$G:$G,'Combined Data'!$A:$A,DR_1!AF$2,'Combined Data'!$B:$B,DR_1!AF$3,'Combined Data'!$C:$C,DR_1!$A6,'Combined Data'!$D:$D,DR_1!$B6)</f>
        <v>47485</v>
      </c>
      <c r="AG6" s="157">
        <f>SUMIFS('Combined Data'!$G:$G,'Combined Data'!$A:$A,DR_1!AG$2,'Combined Data'!$B:$B,DR_1!AG$3,'Combined Data'!$C:$C,DR_1!$A6,'Combined Data'!$D:$D,DR_1!$B6)</f>
        <v>47519</v>
      </c>
      <c r="AH6" s="157">
        <f>SUMIFS('Combined Data'!$G:$G,'Combined Data'!$A:$A,DR_1!AH$2,'Combined Data'!$B:$B,DR_1!AH$3,'Combined Data'!$C:$C,DR_1!$A6,'Combined Data'!$D:$D,DR_1!$B6)</f>
        <v>49640</v>
      </c>
      <c r="AI6" s="157">
        <f>SUMIFS('Combined Data'!$G:$G,'Combined Data'!$A:$A,DR_1!AI$2,'Combined Data'!$B:$B,DR_1!AI$3,'Combined Data'!$C:$C,DR_1!$A6,'Combined Data'!$D:$D,DR_1!$B6)</f>
        <v>47240</v>
      </c>
      <c r="AJ6" s="157">
        <f>SUMIFS('Combined Data'!$G:$G,'Combined Data'!$A:$A,DR_1!AJ$2,'Combined Data'!$B:$B,DR_1!AJ$3,'Combined Data'!$C:$C,DR_1!$A6,'Combined Data'!$D:$D,DR_1!$B6)</f>
        <v>49276</v>
      </c>
      <c r="AK6" s="157">
        <f>SUMIFS('Combined Data'!$G:$G,'Combined Data'!$A:$A,DR_1!AK$2,'Combined Data'!$B:$B,DR_1!AK$3,'Combined Data'!$C:$C,DR_1!$A6,'Combined Data'!$D:$D,DR_1!$B6)</f>
        <v>34334</v>
      </c>
      <c r="AL6" s="157">
        <f>SUMIFS('Combined Data'!$G:$G,'Combined Data'!$A:$A,DR_1!AL$2,'Combined Data'!$B:$B,DR_1!AL$3,'Combined Data'!$C:$C,DR_1!$A6,'Combined Data'!$D:$D,DR_1!$B6)</f>
        <v>47051</v>
      </c>
      <c r="AM6" s="157">
        <f>SUMIFS('Combined Data'!$G:$G,'Combined Data'!$A:$A,DR_1!AM$2,'Combined Data'!$B:$B,DR_1!AM$3,'Combined Data'!$C:$C,DR_1!$A6,'Combined Data'!$D:$D,DR_1!$B6)</f>
        <v>50086</v>
      </c>
      <c r="AN6" s="157">
        <f>SUMIFS('Combined Data'!$G:$G,'Combined Data'!$A:$A,DR_1!AN$2,'Combined Data'!$B:$B,DR_1!AN$3,'Combined Data'!$C:$C,DR_1!$A6,'Combined Data'!$D:$D,DR_1!$B6)</f>
        <v>46398</v>
      </c>
      <c r="AO6" s="157">
        <f>SUMIFS('Combined Data'!$G:$G,'Combined Data'!$A:$A,DR_1!AO$2,'Combined Data'!$B:$B,DR_1!AO$3,'Combined Data'!$C:$C,DR_1!$A6,'Combined Data'!$D:$D,DR_1!$B6)</f>
        <v>52810</v>
      </c>
    </row>
    <row r="7" spans="1:41" ht="15">
      <c r="A7" s="155" t="s">
        <v>63</v>
      </c>
      <c r="B7" s="155" t="s">
        <v>76</v>
      </c>
      <c r="C7" s="157">
        <f>SUMIFS('Combined Data'!$G:$G,'Combined Data'!$A:$A,DR_1!C$2,'Combined Data'!$B:$B,DR_1!C$3,'Combined Data'!$C:$C,DR_1!$A7,'Combined Data'!$D:$D,"PHA")</f>
        <v>147568</v>
      </c>
      <c r="D7" s="157">
        <f>SUMIFS('Combined Data'!$G:$G,'Combined Data'!$A:$A,DR_1!D$2,'Combined Data'!$B:$B,DR_1!D$3,'Combined Data'!$C:$C,DR_1!$A7,'Combined Data'!$D:$D,"PHA")</f>
        <v>123529</v>
      </c>
      <c r="E7" s="157">
        <f>SUMIFS('Combined Data'!$G:$G,'Combined Data'!$A:$A,DR_1!E$2,'Combined Data'!$B:$B,DR_1!E$3,'Combined Data'!$C:$C,DR_1!$A7,'Combined Data'!$D:$D,"PHA")</f>
        <v>124845</v>
      </c>
      <c r="F7" s="157">
        <f>SUMIFS('Combined Data'!$G:$G,'Combined Data'!$A:$A,DR_1!F$2,'Combined Data'!$B:$B,DR_1!F$3,'Combined Data'!$C:$C,DR_1!$A7,'Combined Data'!$D:$D,"PHA")</f>
        <v>119023</v>
      </c>
      <c r="G7" s="157">
        <f>SUMIFS('Combined Data'!$G:$G,'Combined Data'!$A:$A,DR_1!G$2,'Combined Data'!$B:$B,DR_1!G$3,'Combined Data'!$C:$C,DR_1!$A7,'Combined Data'!$D:$D,"PHA")</f>
        <v>106352</v>
      </c>
      <c r="H7" s="157">
        <f>SUMIFS('Combined Data'!$G:$G,'Combined Data'!$A:$A,DR_1!H$2,'Combined Data'!$B:$B,DR_1!H$3,'Combined Data'!$C:$C,DR_1!$A7,'Combined Data'!$D:$D,"PHA")</f>
        <v>124350</v>
      </c>
      <c r="I7" s="157">
        <f>SUMIFS('Combined Data'!$G:$G,'Combined Data'!$A:$A,DR_1!I$2,'Combined Data'!$B:$B,DR_1!I$3,'Combined Data'!$C:$C,DR_1!$A7,'Combined Data'!$D:$D,"PHA")</f>
        <v>127670</v>
      </c>
      <c r="J7" s="157">
        <f>SUMIFS('Combined Data'!$G:$G,'Combined Data'!$A:$A,DR_1!J$2,'Combined Data'!$B:$B,DR_1!J$3,'Combined Data'!$C:$C,DR_1!$A7,'Combined Data'!$D:$D,"PHA")</f>
        <v>120978</v>
      </c>
      <c r="K7" s="157">
        <f>SUMIFS('Combined Data'!$G:$G,'Combined Data'!$A:$A,DR_1!K$2,'Combined Data'!$B:$B,DR_1!K$3,'Combined Data'!$C:$C,DR_1!$A7,'Combined Data'!$D:$D,"PHA")</f>
        <v>128986</v>
      </c>
      <c r="L7" s="157">
        <f>SUMIFS('Combined Data'!$G:$G,'Combined Data'!$A:$A,DR_1!L$2,'Combined Data'!$B:$B,DR_1!L$3,'Combined Data'!$C:$C,DR_1!$A7,'Combined Data'!$D:$D,"PHA")</f>
        <v>114958</v>
      </c>
      <c r="M7" s="157">
        <f>SUMIFS('Combined Data'!$G:$G,'Combined Data'!$A:$A,DR_1!M$2,'Combined Data'!$B:$B,DR_1!M$3,'Combined Data'!$C:$C,DR_1!$A7,'Combined Data'!$D:$D,"PHA")</f>
        <v>116399</v>
      </c>
      <c r="N7" s="157">
        <f>SUMIFS('Combined Data'!$G:$G,'Combined Data'!$A:$A,DR_1!N$2,'Combined Data'!$B:$B,DR_1!N$3,'Combined Data'!$C:$C,DR_1!$A7,'Combined Data'!$D:$D,"PHA")</f>
        <v>116857</v>
      </c>
      <c r="O7" s="157">
        <f>SUMIFS('Combined Data'!$G:$G,'Combined Data'!$A:$A,DR_1!O$2,'Combined Data'!$B:$B,DR_1!O$3,'Combined Data'!$C:$C,DR_1!$A7,'Combined Data'!$D:$D,"PHA")</f>
        <v>116966</v>
      </c>
      <c r="P7" s="157">
        <f>SUMIFS('Combined Data'!$G:$G,'Combined Data'!$A:$A,DR_1!P$2,'Combined Data'!$B:$B,DR_1!P$3,'Combined Data'!$C:$C,DR_1!$A7,'Combined Data'!$D:$D,"PHA")</f>
        <v>114865</v>
      </c>
      <c r="Q7" s="157">
        <f>SUMIFS('Combined Data'!$G:$G,'Combined Data'!$A:$A,DR_1!Q$2,'Combined Data'!$B:$B,DR_1!Q$3,'Combined Data'!$C:$C,DR_1!$A7,'Combined Data'!$D:$D,"PHA")</f>
        <v>104168</v>
      </c>
      <c r="R7" s="157">
        <f>SUMIFS('Combined Data'!$G:$G,'Combined Data'!$A:$A,DR_1!R$2,'Combined Data'!$B:$B,DR_1!R$3,'Combined Data'!$C:$C,DR_1!$A7,'Combined Data'!$D:$D,"PHA")</f>
        <v>104904</v>
      </c>
      <c r="S7" s="157">
        <f>SUMIFS('Combined Data'!$G:$G,'Combined Data'!$A:$A,DR_1!S$2,'Combined Data'!$B:$B,DR_1!S$3,'Combined Data'!$C:$C,DR_1!$A7,'Combined Data'!$D:$D,"PHA")</f>
        <v>105757</v>
      </c>
      <c r="T7" s="157">
        <f>SUMIFS('Combined Data'!$G:$G,'Combined Data'!$A:$A,DR_1!T$2,'Combined Data'!$B:$B,DR_1!T$3,'Combined Data'!$C:$C,DR_1!$A7,'Combined Data'!$D:$D,"PHA")</f>
        <v>111109</v>
      </c>
      <c r="U7" s="157">
        <f>SUMIFS('Combined Data'!$G:$G,'Combined Data'!$A:$A,DR_1!U$2,'Combined Data'!$B:$B,DR_1!U$3,'Combined Data'!$C:$C,DR_1!$A7,'Combined Data'!$D:$D,"PHA")</f>
        <v>121844</v>
      </c>
      <c r="V7" s="157">
        <f>SUMIFS('Combined Data'!$G:$G,'Combined Data'!$A:$A,DR_1!V$2,'Combined Data'!$B:$B,DR_1!V$3,'Combined Data'!$C:$C,DR_1!$A7,'Combined Data'!$D:$D,"PHA")</f>
        <v>123811</v>
      </c>
      <c r="W7" s="157">
        <f>SUMIFS('Combined Data'!$G:$G,'Combined Data'!$A:$A,DR_1!W$2,'Combined Data'!$B:$B,DR_1!W$3,'Combined Data'!$C:$C,DR_1!$A7,'Combined Data'!$D:$D,"PHA")</f>
        <v>124033</v>
      </c>
      <c r="X7" s="157">
        <f>SUMIFS('Combined Data'!$G:$G,'Combined Data'!$A:$A,DR_1!X$2,'Combined Data'!$B:$B,DR_1!X$3,'Combined Data'!$C:$C,DR_1!$A7,'Combined Data'!$D:$D,"PHA")</f>
        <v>118129</v>
      </c>
      <c r="Y7" s="157">
        <f>SUMIFS('Combined Data'!$G:$G,'Combined Data'!$A:$A,DR_1!Y$2,'Combined Data'!$B:$B,DR_1!Y$3,'Combined Data'!$C:$C,DR_1!$A7,'Combined Data'!$D:$D,"PHA")</f>
        <v>113873</v>
      </c>
      <c r="Z7" s="157">
        <f>SUMIFS('Combined Data'!$G:$G,'Combined Data'!$A:$A,DR_1!Z$2,'Combined Data'!$B:$B,DR_1!Z$3,'Combined Data'!$C:$C,DR_1!$A7,'Combined Data'!$D:$D,"PHA")</f>
        <v>114439</v>
      </c>
      <c r="AA7" s="157">
        <f>SUMIFS('Combined Data'!$G:$G,'Combined Data'!$A:$A,DR_1!AA$2,'Combined Data'!$B:$B,DR_1!AA$3,'Combined Data'!$C:$C,DR_1!$A7,'Combined Data'!$D:$D,"PHA")</f>
        <v>120426</v>
      </c>
      <c r="AB7" s="157">
        <f>SUMIFS('Combined Data'!$G:$G,'Combined Data'!$A:$A,DR_1!AB$2,'Combined Data'!$B:$B,DR_1!AB$3,'Combined Data'!$C:$C,DR_1!$A7,'Combined Data'!$D:$D,"PHA")</f>
        <v>109157</v>
      </c>
      <c r="AC7" s="157">
        <f>SUMIFS('Combined Data'!$G:$G,'Combined Data'!$A:$A,DR_1!AC$2,'Combined Data'!$B:$B,DR_1!AC$3,'Combined Data'!$C:$C,DR_1!$A7,'Combined Data'!$D:$D,"PHA")</f>
        <v>104668</v>
      </c>
      <c r="AD7" s="157">
        <f>SUMIFS('Combined Data'!$G:$G,'Combined Data'!$A:$A,DR_1!AD$2,'Combined Data'!$B:$B,DR_1!AD$3,'Combined Data'!$C:$C,DR_1!$A7,'Combined Data'!$D:$D,"PHA")</f>
        <v>103076</v>
      </c>
      <c r="AE7" s="157">
        <f>SUMIFS('Combined Data'!$G:$G,'Combined Data'!$A:$A,DR_1!AE$2,'Combined Data'!$B:$B,DR_1!AE$3,'Combined Data'!$C:$C,DR_1!$A7,'Combined Data'!$D:$D,"PHA")</f>
        <v>120074</v>
      </c>
      <c r="AF7" s="157">
        <f>SUMIFS('Combined Data'!$G:$G,'Combined Data'!$A:$A,DR_1!AF$2,'Combined Data'!$B:$B,DR_1!AF$3,'Combined Data'!$C:$C,DR_1!$A7,'Combined Data'!$D:$D,"PHA")</f>
        <v>106299</v>
      </c>
      <c r="AG7" s="157">
        <f>SUMIFS('Combined Data'!$G:$G,'Combined Data'!$A:$A,DR_1!AG$2,'Combined Data'!$B:$B,DR_1!AG$3,'Combined Data'!$C:$C,DR_1!$A7,'Combined Data'!$D:$D,"PHA")</f>
        <v>112615</v>
      </c>
      <c r="AH7" s="157">
        <f>SUMIFS('Combined Data'!$G:$G,'Combined Data'!$A:$A,DR_1!AH$2,'Combined Data'!$B:$B,DR_1!AH$3,'Combined Data'!$C:$C,DR_1!$A7,'Combined Data'!$D:$D,"PHA")</f>
        <v>113065</v>
      </c>
      <c r="AI7" s="157">
        <f>SUMIFS('Combined Data'!$G:$G,'Combined Data'!$A:$A,DR_1!AI$2,'Combined Data'!$B:$B,DR_1!AI$3,'Combined Data'!$C:$C,DR_1!$A7,'Combined Data'!$D:$D,"PHA")</f>
        <v>111914</v>
      </c>
      <c r="AJ7" s="157">
        <f>SUMIFS('Combined Data'!$G:$G,'Combined Data'!$A:$A,DR_1!AJ$2,'Combined Data'!$B:$B,DR_1!AJ$3,'Combined Data'!$C:$C,DR_1!$A7,'Combined Data'!$D:$D,"PHA")</f>
        <v>107701</v>
      </c>
      <c r="AK7" s="157">
        <f>SUMIFS('Combined Data'!$G:$G,'Combined Data'!$A:$A,DR_1!AK$2,'Combined Data'!$B:$B,DR_1!AK$3,'Combined Data'!$C:$C,DR_1!$A7,'Combined Data'!$D:$D,"PHA")</f>
        <v>98204</v>
      </c>
      <c r="AL7" s="157">
        <f>SUMIFS('Combined Data'!$G:$G,'Combined Data'!$A:$A,DR_1!AL$2,'Combined Data'!$B:$B,DR_1!AL$3,'Combined Data'!$C:$C,DR_1!$A7,'Combined Data'!$D:$D,"PHA")</f>
        <v>106537</v>
      </c>
      <c r="AM7" s="157">
        <f>SUMIFS('Combined Data'!$G:$G,'Combined Data'!$A:$A,DR_1!AM$2,'Combined Data'!$B:$B,DR_1!AM$3,'Combined Data'!$C:$C,DR_1!$A7,'Combined Data'!$D:$D,"PHA")</f>
        <v>116650</v>
      </c>
      <c r="AN7" s="157">
        <f>SUMIFS('Combined Data'!$G:$G,'Combined Data'!$A:$A,DR_1!AN$2,'Combined Data'!$B:$B,DR_1!AN$3,'Combined Data'!$C:$C,DR_1!$A7,'Combined Data'!$D:$D,"PHA")</f>
        <v>101643</v>
      </c>
      <c r="AO7" s="157">
        <f>SUMIFS('Combined Data'!$G:$G,'Combined Data'!$A:$A,DR_1!AO$2,'Combined Data'!$B:$B,DR_1!AO$3,'Combined Data'!$C:$C,DR_1!$A7,'Combined Data'!$D:$D,"PHA")</f>
        <v>103226</v>
      </c>
    </row>
    <row r="8" spans="1:41" ht="15">
      <c r="A8" s="155" t="s">
        <v>63</v>
      </c>
      <c r="B8" s="155" t="s">
        <v>77</v>
      </c>
      <c r="C8" s="157">
        <f>SUMIFS('Combined Data'!$G:$G,'Combined Data'!$A:$A,DR_1!C$2,'Combined Data'!$B:$B,DR_1!C$3,'Combined Data'!$C:$C,DR_1!$A8,'Combined Data'!$D:$D,"Non-PHA")</f>
        <v>141844</v>
      </c>
      <c r="D8" s="157">
        <f>SUMIFS('Combined Data'!$G:$G,'Combined Data'!$A:$A,DR_1!D$2,'Combined Data'!$B:$B,DR_1!D$3,'Combined Data'!$C:$C,DR_1!$A8,'Combined Data'!$D:$D,"Non-PHA")</f>
        <v>126314</v>
      </c>
      <c r="E8" s="157">
        <f>SUMIFS('Combined Data'!$G:$G,'Combined Data'!$A:$A,DR_1!E$2,'Combined Data'!$B:$B,DR_1!E$3,'Combined Data'!$C:$C,DR_1!$A8,'Combined Data'!$D:$D,"Non-PHA")</f>
        <v>150178</v>
      </c>
      <c r="F8" s="157">
        <f>SUMIFS('Combined Data'!$G:$G,'Combined Data'!$A:$A,DR_1!F$2,'Combined Data'!$B:$B,DR_1!F$3,'Combined Data'!$C:$C,DR_1!$A8,'Combined Data'!$D:$D,"Non-PHA")</f>
        <v>139078</v>
      </c>
      <c r="G8" s="157">
        <f>SUMIFS('Combined Data'!$G:$G,'Combined Data'!$A:$A,DR_1!G$2,'Combined Data'!$B:$B,DR_1!G$3,'Combined Data'!$C:$C,DR_1!$A8,'Combined Data'!$D:$D,"Non-PHA")</f>
        <v>138233</v>
      </c>
      <c r="H8" s="157">
        <f>SUMIFS('Combined Data'!$G:$G,'Combined Data'!$A:$A,DR_1!H$2,'Combined Data'!$B:$B,DR_1!H$3,'Combined Data'!$C:$C,DR_1!$A8,'Combined Data'!$D:$D,"Non-PHA")</f>
        <v>166102</v>
      </c>
      <c r="I8" s="157">
        <f>SUMIFS('Combined Data'!$G:$G,'Combined Data'!$A:$A,DR_1!I$2,'Combined Data'!$B:$B,DR_1!I$3,'Combined Data'!$C:$C,DR_1!$A8,'Combined Data'!$D:$D,"Non-PHA")</f>
        <v>171830</v>
      </c>
      <c r="J8" s="157">
        <f>SUMIFS('Combined Data'!$G:$G,'Combined Data'!$A:$A,DR_1!J$2,'Combined Data'!$B:$B,DR_1!J$3,'Combined Data'!$C:$C,DR_1!$A8,'Combined Data'!$D:$D,"Non-PHA")</f>
        <v>162427</v>
      </c>
      <c r="K8" s="157">
        <f>SUMIFS('Combined Data'!$G:$G,'Combined Data'!$A:$A,DR_1!K$2,'Combined Data'!$B:$B,DR_1!K$3,'Combined Data'!$C:$C,DR_1!$A8,'Combined Data'!$D:$D,"Non-PHA")</f>
        <v>208739</v>
      </c>
      <c r="L8" s="157">
        <f>SUMIFS('Combined Data'!$G:$G,'Combined Data'!$A:$A,DR_1!L$2,'Combined Data'!$B:$B,DR_1!L$3,'Combined Data'!$C:$C,DR_1!$A8,'Combined Data'!$D:$D,"Non-PHA")</f>
        <v>159390</v>
      </c>
      <c r="M8" s="157">
        <f>SUMIFS('Combined Data'!$G:$G,'Combined Data'!$A:$A,DR_1!M$2,'Combined Data'!$B:$B,DR_1!M$3,'Combined Data'!$C:$C,DR_1!$A8,'Combined Data'!$D:$D,"Non-PHA")</f>
        <v>161857</v>
      </c>
      <c r="N8" s="157">
        <f>SUMIFS('Combined Data'!$G:$G,'Combined Data'!$A:$A,DR_1!N$2,'Combined Data'!$B:$B,DR_1!N$3,'Combined Data'!$C:$C,DR_1!$A8,'Combined Data'!$D:$D,"Non-PHA")</f>
        <v>129850</v>
      </c>
      <c r="O8" s="157">
        <f>SUMIFS('Combined Data'!$G:$G,'Combined Data'!$A:$A,DR_1!O$2,'Combined Data'!$B:$B,DR_1!O$3,'Combined Data'!$C:$C,DR_1!$A8,'Combined Data'!$D:$D,"Non-PHA")</f>
        <v>124199</v>
      </c>
      <c r="P8" s="157">
        <f>SUMIFS('Combined Data'!$G:$G,'Combined Data'!$A:$A,DR_1!P$2,'Combined Data'!$B:$B,DR_1!P$3,'Combined Data'!$C:$C,DR_1!$A8,'Combined Data'!$D:$D,"Non-PHA")</f>
        <v>137058</v>
      </c>
      <c r="Q8" s="157">
        <f>SUMIFS('Combined Data'!$G:$G,'Combined Data'!$A:$A,DR_1!Q$2,'Combined Data'!$B:$B,DR_1!Q$3,'Combined Data'!$C:$C,DR_1!$A8,'Combined Data'!$D:$D,"Non-PHA")</f>
        <v>125770</v>
      </c>
      <c r="R8" s="157">
        <f>SUMIFS('Combined Data'!$G:$G,'Combined Data'!$A:$A,DR_1!R$2,'Combined Data'!$B:$B,DR_1!R$3,'Combined Data'!$C:$C,DR_1!$A8,'Combined Data'!$D:$D,"Non-PHA")</f>
        <v>123052</v>
      </c>
      <c r="S8" s="157">
        <f>SUMIFS('Combined Data'!$G:$G,'Combined Data'!$A:$A,DR_1!S$2,'Combined Data'!$B:$B,DR_1!S$3,'Combined Data'!$C:$C,DR_1!$A8,'Combined Data'!$D:$D,"Non-PHA")</f>
        <v>148256</v>
      </c>
      <c r="T8" s="157">
        <f>SUMIFS('Combined Data'!$G:$G,'Combined Data'!$A:$A,DR_1!T$2,'Combined Data'!$B:$B,DR_1!T$3,'Combined Data'!$C:$C,DR_1!$A8,'Combined Data'!$D:$D,"Non-PHA")</f>
        <v>150311</v>
      </c>
      <c r="U8" s="157">
        <f>SUMIFS('Combined Data'!$G:$G,'Combined Data'!$A:$A,DR_1!U$2,'Combined Data'!$B:$B,DR_1!U$3,'Combined Data'!$C:$C,DR_1!$A8,'Combined Data'!$D:$D,"Non-PHA")</f>
        <v>179594</v>
      </c>
      <c r="V8" s="157">
        <f>SUMIFS('Combined Data'!$G:$G,'Combined Data'!$A:$A,DR_1!V$2,'Combined Data'!$B:$B,DR_1!V$3,'Combined Data'!$C:$C,DR_1!$A8,'Combined Data'!$D:$D,"Non-PHA")</f>
        <v>180977</v>
      </c>
      <c r="W8" s="157">
        <f>SUMIFS('Combined Data'!$G:$G,'Combined Data'!$A:$A,DR_1!W$2,'Combined Data'!$B:$B,DR_1!W$3,'Combined Data'!$C:$C,DR_1!$A8,'Combined Data'!$D:$D,"Non-PHA")</f>
        <v>179110</v>
      </c>
      <c r="X8" s="157">
        <f>SUMIFS('Combined Data'!$G:$G,'Combined Data'!$A:$A,DR_1!X$2,'Combined Data'!$B:$B,DR_1!X$3,'Combined Data'!$C:$C,DR_1!$A8,'Combined Data'!$D:$D,"Non-PHA")</f>
        <v>158928</v>
      </c>
      <c r="Y8" s="157">
        <f>SUMIFS('Combined Data'!$G:$G,'Combined Data'!$A:$A,DR_1!Y$2,'Combined Data'!$B:$B,DR_1!Y$3,'Combined Data'!$C:$C,DR_1!$A8,'Combined Data'!$D:$D,"Non-PHA")</f>
        <v>152843</v>
      </c>
      <c r="Z8" s="157">
        <f>SUMIFS('Combined Data'!$G:$G,'Combined Data'!$A:$A,DR_1!Z$2,'Combined Data'!$B:$B,DR_1!Z$3,'Combined Data'!$C:$C,DR_1!$A8,'Combined Data'!$D:$D,"Non-PHA")</f>
        <v>151305</v>
      </c>
      <c r="AA8" s="157">
        <f>SUMIFS('Combined Data'!$G:$G,'Combined Data'!$A:$A,DR_1!AA$2,'Combined Data'!$B:$B,DR_1!AA$3,'Combined Data'!$C:$C,DR_1!$A8,'Combined Data'!$D:$D,"Non-PHA")</f>
        <v>133315</v>
      </c>
      <c r="AB8" s="157">
        <f>SUMIFS('Combined Data'!$G:$G,'Combined Data'!$A:$A,DR_1!AB$2,'Combined Data'!$B:$B,DR_1!AB$3,'Combined Data'!$C:$C,DR_1!$A8,'Combined Data'!$D:$D,"Non-PHA")</f>
        <v>124636</v>
      </c>
      <c r="AC8" s="157">
        <f>SUMIFS('Combined Data'!$G:$G,'Combined Data'!$A:$A,DR_1!AC$2,'Combined Data'!$B:$B,DR_1!AC$3,'Combined Data'!$C:$C,DR_1!$A8,'Combined Data'!$D:$D,"Non-PHA")</f>
        <v>131702</v>
      </c>
      <c r="AD8" s="157">
        <f>SUMIFS('Combined Data'!$G:$G,'Combined Data'!$A:$A,DR_1!AD$2,'Combined Data'!$B:$B,DR_1!AD$3,'Combined Data'!$C:$C,DR_1!$A8,'Combined Data'!$D:$D,"Non-PHA")</f>
        <v>127647</v>
      </c>
      <c r="AE8" s="157">
        <f>SUMIFS('Combined Data'!$G:$G,'Combined Data'!$A:$A,DR_1!AE$2,'Combined Data'!$B:$B,DR_1!AE$3,'Combined Data'!$C:$C,DR_1!$A8,'Combined Data'!$D:$D,"Non-PHA")</f>
        <v>140608</v>
      </c>
      <c r="AF8" s="157">
        <f>SUMIFS('Combined Data'!$G:$G,'Combined Data'!$A:$A,DR_1!AF$2,'Combined Data'!$B:$B,DR_1!AF$3,'Combined Data'!$C:$C,DR_1!$A8,'Combined Data'!$D:$D,"Non-PHA")</f>
        <v>150750</v>
      </c>
      <c r="AG8" s="157">
        <f>SUMIFS('Combined Data'!$G:$G,'Combined Data'!$A:$A,DR_1!AG$2,'Combined Data'!$B:$B,DR_1!AG$3,'Combined Data'!$C:$C,DR_1!$A8,'Combined Data'!$D:$D,"Non-PHA")</f>
        <v>155946</v>
      </c>
      <c r="AH8" s="157">
        <f>SUMIFS('Combined Data'!$G:$G,'Combined Data'!$A:$A,DR_1!AH$2,'Combined Data'!$B:$B,DR_1!AH$3,'Combined Data'!$C:$C,DR_1!$A8,'Combined Data'!$D:$D,"Non-PHA")</f>
        <v>166612</v>
      </c>
      <c r="AI8" s="157">
        <f>SUMIFS('Combined Data'!$G:$G,'Combined Data'!$A:$A,DR_1!AI$2,'Combined Data'!$B:$B,DR_1!AI$3,'Combined Data'!$C:$C,DR_1!$A8,'Combined Data'!$D:$D,"Non-PHA")</f>
        <v>161087</v>
      </c>
      <c r="AJ8" s="157">
        <f>SUMIFS('Combined Data'!$G:$G,'Combined Data'!$A:$A,DR_1!AJ$2,'Combined Data'!$B:$B,DR_1!AJ$3,'Combined Data'!$C:$C,DR_1!$A8,'Combined Data'!$D:$D,"Non-PHA")</f>
        <v>177711</v>
      </c>
      <c r="AK8" s="157">
        <f>SUMIFS('Combined Data'!$G:$G,'Combined Data'!$A:$A,DR_1!AK$2,'Combined Data'!$B:$B,DR_1!AK$3,'Combined Data'!$C:$C,DR_1!$A8,'Combined Data'!$D:$D,"Non-PHA")</f>
        <v>130613</v>
      </c>
      <c r="AL8" s="157">
        <f>SUMIFS('Combined Data'!$G:$G,'Combined Data'!$A:$A,DR_1!AL$2,'Combined Data'!$B:$B,DR_1!AL$3,'Combined Data'!$C:$C,DR_1!$A8,'Combined Data'!$D:$D,"Non-PHA")</f>
        <v>138255</v>
      </c>
      <c r="AM8" s="157">
        <f>SUMIFS('Combined Data'!$G:$G,'Combined Data'!$A:$A,DR_1!AM$2,'Combined Data'!$B:$B,DR_1!AM$3,'Combined Data'!$C:$C,DR_1!$A8,'Combined Data'!$D:$D,"Non-PHA")</f>
        <v>144181</v>
      </c>
      <c r="AN8" s="157">
        <f>SUMIFS('Combined Data'!$G:$G,'Combined Data'!$A:$A,DR_1!AN$2,'Combined Data'!$B:$B,DR_1!AN$3,'Combined Data'!$C:$C,DR_1!$A8,'Combined Data'!$D:$D,"Non-PHA")</f>
        <v>131822</v>
      </c>
      <c r="AO8" s="157">
        <f>SUMIFS('Combined Data'!$G:$G,'Combined Data'!$A:$A,DR_1!AO$2,'Combined Data'!$B:$B,DR_1!AO$3,'Combined Data'!$C:$C,DR_1!$A8,'Combined Data'!$D:$D,"Non-PHA")</f>
        <v>129066</v>
      </c>
    </row>
    <row r="9" spans="1:41" ht="15">
      <c r="A9" s="155" t="s">
        <v>63</v>
      </c>
      <c r="B9" s="159" t="s">
        <v>78</v>
      </c>
      <c r="C9" s="157">
        <f>SUMIFS('Combined Data'!$G:$G,'Combined Data'!$A:$A,DR_1!C$2,'Combined Data'!$B:$B,DR_1!C$3,'Combined Data'!$C:$C,DR_1!$A9,'Combined Data'!$D:$D,"No Discount")</f>
        <v>4150181</v>
      </c>
      <c r="D9" s="157">
        <f>SUMIFS('Combined Data'!$G:$G,'Combined Data'!$A:$A,DR_1!D$2,'Combined Data'!$B:$B,DR_1!D$3,'Combined Data'!$C:$C,DR_1!$A9,'Combined Data'!$D:$D,"No Discount")</f>
        <v>3495098</v>
      </c>
      <c r="E9" s="157">
        <f>SUMIFS('Combined Data'!$G:$G,'Combined Data'!$A:$A,DR_1!E$2,'Combined Data'!$B:$B,DR_1!E$3,'Combined Data'!$C:$C,DR_1!$A9,'Combined Data'!$D:$D,"No Discount")</f>
        <v>4092693</v>
      </c>
      <c r="F9" s="157">
        <f>SUMIFS('Combined Data'!$G:$G,'Combined Data'!$A:$A,DR_1!F$2,'Combined Data'!$B:$B,DR_1!F$3,'Combined Data'!$C:$C,DR_1!$A9,'Combined Data'!$D:$D,"No Discount")</f>
        <v>3686406</v>
      </c>
      <c r="G9" s="157">
        <f>SUMIFS('Combined Data'!$G:$G,'Combined Data'!$A:$A,DR_1!G$2,'Combined Data'!$B:$B,DR_1!G$3,'Combined Data'!$C:$C,DR_1!$A9,'Combined Data'!$D:$D,"No Discount")</f>
        <v>3698131</v>
      </c>
      <c r="H9" s="157">
        <f>SUMIFS('Combined Data'!$G:$G,'Combined Data'!$A:$A,DR_1!H$2,'Combined Data'!$B:$B,DR_1!H$3,'Combined Data'!$C:$C,DR_1!$A9,'Combined Data'!$D:$D,"No Discount")</f>
        <v>4188592</v>
      </c>
      <c r="I9" s="157">
        <f>SUMIFS('Combined Data'!$G:$G,'Combined Data'!$A:$A,DR_1!I$2,'Combined Data'!$B:$B,DR_1!I$3,'Combined Data'!$C:$C,DR_1!$A9,'Combined Data'!$D:$D,"No Discount")</f>
        <v>4442111</v>
      </c>
      <c r="J9" s="157">
        <f>SUMIFS('Combined Data'!$G:$G,'Combined Data'!$A:$A,DR_1!J$2,'Combined Data'!$B:$B,DR_1!J$3,'Combined Data'!$C:$C,DR_1!$A9,'Combined Data'!$D:$D,"No Discount")</f>
        <v>4154215</v>
      </c>
      <c r="K9" s="157">
        <f>SUMIFS('Combined Data'!$G:$G,'Combined Data'!$A:$A,DR_1!K$2,'Combined Data'!$B:$B,DR_1!K$3,'Combined Data'!$C:$C,DR_1!$A9,'Combined Data'!$D:$D,"No Discount")</f>
        <v>4500127</v>
      </c>
      <c r="L9" s="157">
        <f>SUMIFS('Combined Data'!$G:$G,'Combined Data'!$A:$A,DR_1!L$2,'Combined Data'!$B:$B,DR_1!L$3,'Combined Data'!$C:$C,DR_1!$A9,'Combined Data'!$D:$D,"No Discount")</f>
        <v>3849732</v>
      </c>
      <c r="M9" s="157">
        <f>SUMIFS('Combined Data'!$G:$G,'Combined Data'!$A:$A,DR_1!M$2,'Combined Data'!$B:$B,DR_1!M$3,'Combined Data'!$C:$C,DR_1!$A9,'Combined Data'!$D:$D,"No Discount")</f>
        <v>3859317</v>
      </c>
      <c r="N9" s="157">
        <f>SUMIFS('Combined Data'!$G:$G,'Combined Data'!$A:$A,DR_1!N$2,'Combined Data'!$B:$B,DR_1!N$3,'Combined Data'!$C:$C,DR_1!$A9,'Combined Data'!$D:$D,"No Discount")</f>
        <v>3901500</v>
      </c>
      <c r="O9" s="157">
        <f>SUMIFS('Combined Data'!$G:$G,'Combined Data'!$A:$A,DR_1!O$2,'Combined Data'!$B:$B,DR_1!O$3,'Combined Data'!$C:$C,DR_1!$A9,'Combined Data'!$D:$D,"No Discount")</f>
        <v>3890711</v>
      </c>
      <c r="P9" s="157">
        <f>SUMIFS('Combined Data'!$G:$G,'Combined Data'!$A:$A,DR_1!P$2,'Combined Data'!$B:$B,DR_1!P$3,'Combined Data'!$C:$C,DR_1!$A9,'Combined Data'!$D:$D,"No Discount")</f>
        <v>3846877</v>
      </c>
      <c r="Q9" s="157">
        <f>SUMIFS('Combined Data'!$G:$G,'Combined Data'!$A:$A,DR_1!Q$2,'Combined Data'!$B:$B,DR_1!Q$3,'Combined Data'!$C:$C,DR_1!$A9,'Combined Data'!$D:$D,"No Discount")</f>
        <v>3526823</v>
      </c>
      <c r="R9" s="157">
        <f>SUMIFS('Combined Data'!$G:$G,'Combined Data'!$A:$A,DR_1!R$2,'Combined Data'!$B:$B,DR_1!R$3,'Combined Data'!$C:$C,DR_1!$A9,'Combined Data'!$D:$D,"No Discount")</f>
        <v>3463460</v>
      </c>
      <c r="S9" s="157">
        <f>SUMIFS('Combined Data'!$G:$G,'Combined Data'!$A:$A,DR_1!S$2,'Combined Data'!$B:$B,DR_1!S$3,'Combined Data'!$C:$C,DR_1!$A9,'Combined Data'!$D:$D,"No Discount")</f>
        <v>3822618</v>
      </c>
      <c r="T9" s="157">
        <f>SUMIFS('Combined Data'!$G:$G,'Combined Data'!$A:$A,DR_1!T$2,'Combined Data'!$B:$B,DR_1!T$3,'Combined Data'!$C:$C,DR_1!$A9,'Combined Data'!$D:$D,"No Discount")</f>
        <v>3786264</v>
      </c>
      <c r="U9" s="157">
        <f>SUMIFS('Combined Data'!$G:$G,'Combined Data'!$A:$A,DR_1!U$2,'Combined Data'!$B:$B,DR_1!U$3,'Combined Data'!$C:$C,DR_1!$A9,'Combined Data'!$D:$D,"No Discount")</f>
        <v>4278865</v>
      </c>
      <c r="V9" s="157">
        <f>SUMIFS('Combined Data'!$G:$G,'Combined Data'!$A:$A,DR_1!V$2,'Combined Data'!$B:$B,DR_1!V$3,'Combined Data'!$C:$C,DR_1!$A9,'Combined Data'!$D:$D,"No Discount")</f>
        <v>4368119</v>
      </c>
      <c r="W9" s="157">
        <f>SUMIFS('Combined Data'!$G:$G,'Combined Data'!$A:$A,DR_1!W$2,'Combined Data'!$B:$B,DR_1!W$3,'Combined Data'!$C:$C,DR_1!$A9,'Combined Data'!$D:$D,"No Discount")</f>
        <v>4310061</v>
      </c>
      <c r="X9" s="157">
        <f>SUMIFS('Combined Data'!$G:$G,'Combined Data'!$A:$A,DR_1!X$2,'Combined Data'!$B:$B,DR_1!X$3,'Combined Data'!$C:$C,DR_1!$A9,'Combined Data'!$D:$D,"No Discount")</f>
        <v>4027098</v>
      </c>
      <c r="Y9" s="157">
        <f>SUMIFS('Combined Data'!$G:$G,'Combined Data'!$A:$A,DR_1!Y$2,'Combined Data'!$B:$B,DR_1!Y$3,'Combined Data'!$C:$C,DR_1!$A9,'Combined Data'!$D:$D,"No Discount")</f>
        <v>3746949</v>
      </c>
      <c r="Z9" s="157">
        <f>SUMIFS('Combined Data'!$G:$G,'Combined Data'!$A:$A,DR_1!Z$2,'Combined Data'!$B:$B,DR_1!Z$3,'Combined Data'!$C:$C,DR_1!$A9,'Combined Data'!$D:$D,"No Discount")</f>
        <v>3792663</v>
      </c>
      <c r="AA9" s="157">
        <f>SUMIFS('Combined Data'!$G:$G,'Combined Data'!$A:$A,DR_1!AA$2,'Combined Data'!$B:$B,DR_1!AA$3,'Combined Data'!$C:$C,DR_1!$A9,'Combined Data'!$D:$D,"No Discount")</f>
        <v>3966556</v>
      </c>
      <c r="AB9" s="157">
        <f>SUMIFS('Combined Data'!$G:$G,'Combined Data'!$A:$A,DR_1!AB$2,'Combined Data'!$B:$B,DR_1!AB$3,'Combined Data'!$C:$C,DR_1!$A9,'Combined Data'!$D:$D,"No Discount")</f>
        <v>3481368</v>
      </c>
      <c r="AC9" s="157">
        <f>SUMIFS('Combined Data'!$G:$G,'Combined Data'!$A:$A,DR_1!AC$2,'Combined Data'!$B:$B,DR_1!AC$3,'Combined Data'!$C:$C,DR_1!$A9,'Combined Data'!$D:$D,"No Discount")</f>
        <v>3448951</v>
      </c>
      <c r="AD9" s="157">
        <f>SUMIFS('Combined Data'!$G:$G,'Combined Data'!$A:$A,DR_1!AD$2,'Combined Data'!$B:$B,DR_1!AD$3,'Combined Data'!$C:$C,DR_1!$A9,'Combined Data'!$D:$D,"No Discount")</f>
        <v>3580867</v>
      </c>
      <c r="AE9" s="157">
        <f>SUMIFS('Combined Data'!$G:$G,'Combined Data'!$A:$A,DR_1!AE$2,'Combined Data'!$B:$B,DR_1!AE$3,'Combined Data'!$C:$C,DR_1!$A9,'Combined Data'!$D:$D,"No Discount")</f>
        <v>3702734</v>
      </c>
      <c r="AF9" s="157">
        <f>SUMIFS('Combined Data'!$G:$G,'Combined Data'!$A:$A,DR_1!AF$2,'Combined Data'!$B:$B,DR_1!AF$3,'Combined Data'!$C:$C,DR_1!$A9,'Combined Data'!$D:$D,"No Discount")</f>
        <v>3879586</v>
      </c>
      <c r="AG9" s="157">
        <f>SUMIFS('Combined Data'!$G:$G,'Combined Data'!$A:$A,DR_1!AG$2,'Combined Data'!$B:$B,DR_1!AG$3,'Combined Data'!$C:$C,DR_1!$A9,'Combined Data'!$D:$D,"No Discount")</f>
        <v>4015717</v>
      </c>
      <c r="AH9" s="157">
        <f>SUMIFS('Combined Data'!$G:$G,'Combined Data'!$A:$A,DR_1!AH$2,'Combined Data'!$B:$B,DR_1!AH$3,'Combined Data'!$C:$C,DR_1!$A9,'Combined Data'!$D:$D,"No Discount")</f>
        <v>4163784</v>
      </c>
      <c r="AI9" s="157">
        <f>SUMIFS('Combined Data'!$G:$G,'Combined Data'!$A:$A,DR_1!AI$2,'Combined Data'!$B:$B,DR_1!AI$3,'Combined Data'!$C:$C,DR_1!$A9,'Combined Data'!$D:$D,"No Discount")</f>
        <v>4045984</v>
      </c>
      <c r="AJ9" s="157">
        <f>SUMIFS('Combined Data'!$G:$G,'Combined Data'!$A:$A,DR_1!AJ$2,'Combined Data'!$B:$B,DR_1!AJ$3,'Combined Data'!$C:$C,DR_1!$A9,'Combined Data'!$D:$D,"No Discount")</f>
        <v>4168231</v>
      </c>
      <c r="AK9" s="157">
        <f>SUMIFS('Combined Data'!$G:$G,'Combined Data'!$A:$A,DR_1!AK$2,'Combined Data'!$B:$B,DR_1!AK$3,'Combined Data'!$C:$C,DR_1!$A9,'Combined Data'!$D:$D,"No Discount")</f>
        <v>3149891</v>
      </c>
      <c r="AL9" s="157">
        <f>SUMIFS('Combined Data'!$G:$G,'Combined Data'!$A:$A,DR_1!AL$2,'Combined Data'!$B:$B,DR_1!AL$3,'Combined Data'!$C:$C,DR_1!$A9,'Combined Data'!$D:$D,"No Discount")</f>
        <v>3868382</v>
      </c>
      <c r="AM9" s="157">
        <f>SUMIFS('Combined Data'!$G:$G,'Combined Data'!$A:$A,DR_1!AM$2,'Combined Data'!$B:$B,DR_1!AM$3,'Combined Data'!$C:$C,DR_1!$A9,'Combined Data'!$D:$D,"No Discount")</f>
        <v>3957069</v>
      </c>
      <c r="AN9" s="157">
        <f>SUMIFS('Combined Data'!$G:$G,'Combined Data'!$A:$A,DR_1!AN$2,'Combined Data'!$B:$B,DR_1!AN$3,'Combined Data'!$C:$C,DR_1!$A9,'Combined Data'!$D:$D,"No Discount")</f>
        <v>3558701</v>
      </c>
      <c r="AO9" s="157">
        <f>SUMIFS('Combined Data'!$G:$G,'Combined Data'!$A:$A,DR_1!AO$2,'Combined Data'!$B:$B,DR_1!AO$3,'Combined Data'!$C:$C,DR_1!$A9,'Combined Data'!$D:$D,"No Discount")</f>
        <v>3789629</v>
      </c>
    </row>
    <row r="10" spans="1:41" ht="15">
      <c r="A10" s="155" t="s">
        <v>79</v>
      </c>
      <c r="B10" s="155" t="s">
        <v>67</v>
      </c>
      <c r="C10" s="157">
        <f>SUMIFS('Combined Data'!$G:$G,'Combined Data'!$A:$A,DR_1!C$2,'Combined Data'!$B:$B,DR_1!C$3,'Combined Data'!$C:$C,$A9,'Combined Data'!$D:$D,DR_1!$B10)</f>
        <v>212455</v>
      </c>
      <c r="D10" s="157">
        <f>SUMIFS('Combined Data'!$G:$G,'Combined Data'!$A:$A,DR_1!D$2,'Combined Data'!$B:$B,DR_1!D$3,'Combined Data'!$C:$C,$A9,'Combined Data'!$D:$D,DR_1!$B10)</f>
        <v>230409</v>
      </c>
      <c r="E10" s="157">
        <f>SUMIFS('Combined Data'!$G:$G,'Combined Data'!$A:$A,DR_1!E$2,'Combined Data'!$B:$B,DR_1!E$3,'Combined Data'!$C:$C,$A9,'Combined Data'!$D:$D,DR_1!$B10)</f>
        <v>264318</v>
      </c>
      <c r="F10" s="157">
        <f>SUMIFS('Combined Data'!$G:$G,'Combined Data'!$A:$A,DR_1!F$2,'Combined Data'!$B:$B,DR_1!F$3,'Combined Data'!$C:$C,$A9,'Combined Data'!$D:$D,DR_1!$B10)</f>
        <v>145287</v>
      </c>
      <c r="G10" s="157">
        <f>SUMIFS('Combined Data'!$G:$G,'Combined Data'!$A:$A,DR_1!G$2,'Combined Data'!$B:$B,DR_1!G$3,'Combined Data'!$C:$C,$A9,'Combined Data'!$D:$D,DR_1!$B10)</f>
        <v>251389</v>
      </c>
      <c r="H10" s="157">
        <f>SUMIFS('Combined Data'!$G:$G,'Combined Data'!$A:$A,DR_1!H$2,'Combined Data'!$B:$B,DR_1!H$3,'Combined Data'!$C:$C,$A9,'Combined Data'!$D:$D,DR_1!$B10)</f>
        <v>262730</v>
      </c>
      <c r="I10" s="157">
        <f>SUMIFS('Combined Data'!$G:$G,'Combined Data'!$A:$A,DR_1!I$2,'Combined Data'!$B:$B,DR_1!I$3,'Combined Data'!$C:$C,$A9,'Combined Data'!$D:$D,DR_1!$B10)</f>
        <v>278436</v>
      </c>
      <c r="J10" s="157">
        <f>SUMIFS('Combined Data'!$G:$G,'Combined Data'!$A:$A,DR_1!J$2,'Combined Data'!$B:$B,DR_1!J$3,'Combined Data'!$C:$C,$A9,'Combined Data'!$D:$D,DR_1!$B10)</f>
        <v>230151</v>
      </c>
      <c r="K10" s="157">
        <f>SUMIFS('Combined Data'!$G:$G,'Combined Data'!$A:$A,DR_1!K$2,'Combined Data'!$B:$B,DR_1!K$3,'Combined Data'!$C:$C,$A9,'Combined Data'!$D:$D,DR_1!$B10)</f>
        <v>300167</v>
      </c>
      <c r="L10" s="157">
        <f>SUMIFS('Combined Data'!$G:$G,'Combined Data'!$A:$A,DR_1!L$2,'Combined Data'!$B:$B,DR_1!L$3,'Combined Data'!$C:$C,$A9,'Combined Data'!$D:$D,DR_1!$B10)</f>
        <v>222050</v>
      </c>
      <c r="M10" s="157">
        <f>SUMIFS('Combined Data'!$G:$G,'Combined Data'!$A:$A,DR_1!M$2,'Combined Data'!$B:$B,DR_1!M$3,'Combined Data'!$C:$C,$A9,'Combined Data'!$D:$D,DR_1!$B10)</f>
        <v>227503</v>
      </c>
      <c r="N10" s="157">
        <f>SUMIFS('Combined Data'!$G:$G,'Combined Data'!$A:$A,DR_1!N$2,'Combined Data'!$B:$B,DR_1!N$3,'Combined Data'!$C:$C,$A9,'Combined Data'!$D:$D,DR_1!$B10)</f>
        <v>267834</v>
      </c>
      <c r="O10" s="157">
        <f>SUMIFS('Combined Data'!$G:$G,'Combined Data'!$A:$A,DR_1!O$2,'Combined Data'!$B:$B,DR_1!O$3,'Combined Data'!$C:$C,$A9,'Combined Data'!$D:$D,DR_1!$B10)</f>
        <v>249868</v>
      </c>
      <c r="P10" s="157">
        <f>SUMIFS('Combined Data'!$G:$G,'Combined Data'!$A:$A,DR_1!P$2,'Combined Data'!$B:$B,DR_1!P$3,'Combined Data'!$C:$C,$A9,'Combined Data'!$D:$D,DR_1!$B10)</f>
        <v>209281</v>
      </c>
      <c r="Q10" s="157">
        <f>SUMIFS('Combined Data'!$G:$G,'Combined Data'!$A:$A,DR_1!Q$2,'Combined Data'!$B:$B,DR_1!Q$3,'Combined Data'!$C:$C,$A9,'Combined Data'!$D:$D,DR_1!$B10)</f>
        <v>195178</v>
      </c>
      <c r="R10" s="157">
        <f>SUMIFS('Combined Data'!$G:$G,'Combined Data'!$A:$A,DR_1!R$2,'Combined Data'!$B:$B,DR_1!R$3,'Combined Data'!$C:$C,$A9,'Combined Data'!$D:$D,DR_1!$B10)</f>
        <v>187379</v>
      </c>
      <c r="S10" s="157">
        <f>SUMIFS('Combined Data'!$G:$G,'Combined Data'!$A:$A,DR_1!S$2,'Combined Data'!$B:$B,DR_1!S$3,'Combined Data'!$C:$C,$A9,'Combined Data'!$D:$D,DR_1!$B10)</f>
        <v>338702</v>
      </c>
      <c r="T10" s="157">
        <f>SUMIFS('Combined Data'!$G:$G,'Combined Data'!$A:$A,DR_1!T$2,'Combined Data'!$B:$B,DR_1!T$3,'Combined Data'!$C:$C,$A9,'Combined Data'!$D:$D,DR_1!$B10)</f>
        <v>105040</v>
      </c>
      <c r="U10" s="157">
        <f>SUMIFS('Combined Data'!$G:$G,'Combined Data'!$A:$A,DR_1!U$2,'Combined Data'!$B:$B,DR_1!U$3,'Combined Data'!$C:$C,$A9,'Combined Data'!$D:$D,DR_1!$B10)</f>
        <v>211508</v>
      </c>
      <c r="V10" s="157">
        <f>SUMIFS('Combined Data'!$G:$G,'Combined Data'!$A:$A,DR_1!V$2,'Combined Data'!$B:$B,DR_1!V$3,'Combined Data'!$C:$C,$A9,'Combined Data'!$D:$D,DR_1!$B10)</f>
        <v>220240</v>
      </c>
      <c r="W10" s="157">
        <f>SUMIFS('Combined Data'!$G:$G,'Combined Data'!$A:$A,DR_1!W$2,'Combined Data'!$B:$B,DR_1!W$3,'Combined Data'!$C:$C,$A9,'Combined Data'!$D:$D,DR_1!$B10)</f>
        <v>261753</v>
      </c>
      <c r="X10" s="157">
        <f>SUMIFS('Combined Data'!$G:$G,'Combined Data'!$A:$A,DR_1!X$2,'Combined Data'!$B:$B,DR_1!X$3,'Combined Data'!$C:$C,$A9,'Combined Data'!$D:$D,DR_1!$B10)</f>
        <v>342304</v>
      </c>
      <c r="Y10" s="157">
        <f>SUMIFS('Combined Data'!$G:$G,'Combined Data'!$A:$A,DR_1!Y$2,'Combined Data'!$B:$B,DR_1!Y$3,'Combined Data'!$C:$C,$A9,'Combined Data'!$D:$D,DR_1!$B10)</f>
        <v>151605</v>
      </c>
      <c r="Z10" s="157">
        <f>SUMIFS('Combined Data'!$G:$G,'Combined Data'!$A:$A,DR_1!Z$2,'Combined Data'!$B:$B,DR_1!Z$3,'Combined Data'!$C:$C,$A9,'Combined Data'!$D:$D,DR_1!$B10)</f>
        <v>224817</v>
      </c>
      <c r="AA10" s="157">
        <f>SUMIFS('Combined Data'!$G:$G,'Combined Data'!$A:$A,DR_1!AA$2,'Combined Data'!$B:$B,DR_1!AA$3,'Combined Data'!$C:$C,$A9,'Combined Data'!$D:$D,DR_1!$B10)</f>
        <v>337279</v>
      </c>
      <c r="AB10" s="157">
        <f>SUMIFS('Combined Data'!$G:$G,'Combined Data'!$A:$A,DR_1!AB$2,'Combined Data'!$B:$B,DR_1!AB$3,'Combined Data'!$C:$C,$A9,'Combined Data'!$D:$D,DR_1!$B10)</f>
        <v>80795</v>
      </c>
      <c r="AC10" s="157">
        <f>SUMIFS('Combined Data'!$G:$G,'Combined Data'!$A:$A,DR_1!AC$2,'Combined Data'!$B:$B,DR_1!AC$3,'Combined Data'!$C:$C,$A9,'Combined Data'!$D:$D,DR_1!$B10)</f>
        <v>194055</v>
      </c>
      <c r="AD10" s="157">
        <f>SUMIFS('Combined Data'!$G:$G,'Combined Data'!$A:$A,DR_1!AD$2,'Combined Data'!$B:$B,DR_1!AD$3,'Combined Data'!$C:$C,$A9,'Combined Data'!$D:$D,DR_1!$B10)</f>
        <v>199603</v>
      </c>
      <c r="AE10" s="157">
        <f>SUMIFS('Combined Data'!$G:$G,'Combined Data'!$A:$A,DR_1!AE$2,'Combined Data'!$B:$B,DR_1!AE$3,'Combined Data'!$C:$C,$A9,'Combined Data'!$D:$D,DR_1!$B10)</f>
        <v>200095</v>
      </c>
      <c r="AF10" s="157">
        <f>SUMIFS('Combined Data'!$G:$G,'Combined Data'!$A:$A,DR_1!AF$2,'Combined Data'!$B:$B,DR_1!AF$3,'Combined Data'!$C:$C,$A9,'Combined Data'!$D:$D,DR_1!$B10)</f>
        <v>190575</v>
      </c>
      <c r="AG10" s="157">
        <f>SUMIFS('Combined Data'!$G:$G,'Combined Data'!$A:$A,DR_1!AG$2,'Combined Data'!$B:$B,DR_1!AG$3,'Combined Data'!$C:$C,$A9,'Combined Data'!$D:$D,DR_1!$B10)</f>
        <v>207729</v>
      </c>
      <c r="AH10" s="157">
        <f>SUMIFS('Combined Data'!$G:$G,'Combined Data'!$A:$A,DR_1!AH$2,'Combined Data'!$B:$B,DR_1!AH$3,'Combined Data'!$C:$C,$A9,'Combined Data'!$D:$D,DR_1!$B10)</f>
        <v>231646</v>
      </c>
      <c r="AI10" s="157">
        <f>SUMIFS('Combined Data'!$G:$G,'Combined Data'!$A:$A,DR_1!AI$2,'Combined Data'!$B:$B,DR_1!AI$3,'Combined Data'!$C:$C,$A9,'Combined Data'!$D:$D,DR_1!$B10)</f>
        <v>244653</v>
      </c>
      <c r="AJ10" s="157">
        <f>SUMIFS('Combined Data'!$G:$G,'Combined Data'!$A:$A,DR_1!AJ$2,'Combined Data'!$B:$B,DR_1!AJ$3,'Combined Data'!$C:$C,$A9,'Combined Data'!$D:$D,DR_1!$B10)</f>
        <v>352472</v>
      </c>
      <c r="AK10" s="157">
        <f>SUMIFS('Combined Data'!$G:$G,'Combined Data'!$A:$A,DR_1!AK$2,'Combined Data'!$B:$B,DR_1!AK$3,'Combined Data'!$C:$C,$A9,'Combined Data'!$D:$D,DR_1!$B10)</f>
        <v>68383</v>
      </c>
      <c r="AL10" s="157">
        <f>SUMIFS('Combined Data'!$G:$G,'Combined Data'!$A:$A,DR_1!AL$2,'Combined Data'!$B:$B,DR_1!AL$3,'Combined Data'!$C:$C,$A9,'Combined Data'!$D:$D,DR_1!$B10)</f>
        <v>241737</v>
      </c>
      <c r="AM10" s="157">
        <f>SUMIFS('Combined Data'!$G:$G,'Combined Data'!$A:$A,DR_1!AM$2,'Combined Data'!$B:$B,DR_1!AM$3,'Combined Data'!$C:$C,$A9,'Combined Data'!$D:$D,DR_1!$B10)</f>
        <v>291038</v>
      </c>
      <c r="AN10" s="157">
        <f>SUMIFS('Combined Data'!$G:$G,'Combined Data'!$A:$A,DR_1!AN$2,'Combined Data'!$B:$B,DR_1!AN$3,'Combined Data'!$C:$C,$A9,'Combined Data'!$D:$D,DR_1!$B10)</f>
        <v>244141</v>
      </c>
      <c r="AO10" s="157">
        <f>SUMIFS('Combined Data'!$G:$G,'Combined Data'!$A:$A,DR_1!AO$2,'Combined Data'!$B:$B,DR_1!AO$3,'Combined Data'!$C:$C,$A9,'Combined Data'!$D:$D,DR_1!$B10)</f>
        <v>199980</v>
      </c>
    </row>
    <row r="12" spans="1:41">
      <c r="A12" s="170" t="s">
        <v>83</v>
      </c>
      <c r="B12" s="171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</row>
    <row r="13" spans="1:41" ht="91.5">
      <c r="A13" s="160" t="s">
        <v>72</v>
      </c>
      <c r="C13" s="154" t="str">
        <f t="shared" ref="C13:AC13" si="22">C4</f>
        <v>January 2023 Sewer Billed Volume (CCF)</v>
      </c>
      <c r="D13" s="154" t="str">
        <f t="shared" si="22"/>
        <v>February 2023 Sewer Billed Volume (CCF)</v>
      </c>
      <c r="E13" s="154" t="str">
        <f t="shared" si="22"/>
        <v>March 2023 Sewer Billed Volume (CCF)</v>
      </c>
      <c r="F13" s="154" t="str">
        <f t="shared" si="22"/>
        <v>April 2023 Sewer Billed Volume (CCF)</v>
      </c>
      <c r="G13" s="154" t="str">
        <f t="shared" si="22"/>
        <v>May 2023 Sewer Billed Volume (CCF)</v>
      </c>
      <c r="H13" s="154" t="str">
        <f t="shared" si="22"/>
        <v>June 2023 Sewer Billed Volume (CCF)</v>
      </c>
      <c r="I13" s="154" t="str">
        <f t="shared" si="22"/>
        <v>July 2023 Sewer Billed Volume (CCF)</v>
      </c>
      <c r="J13" s="154" t="str">
        <f t="shared" si="22"/>
        <v>August 2023 Sewer Billed Volume (CCF)</v>
      </c>
      <c r="K13" s="154" t="str">
        <f t="shared" si="22"/>
        <v>September 2023 Sewer Billed Volume (CCF)</v>
      </c>
      <c r="L13" s="154" t="str">
        <f t="shared" si="22"/>
        <v>October 2023 Sewer Billed Volume (CCF)</v>
      </c>
      <c r="M13" s="154" t="str">
        <f t="shared" si="22"/>
        <v>November 2023 Sewer Billed Volume (CCF)</v>
      </c>
      <c r="N13" s="154" t="str">
        <f t="shared" si="22"/>
        <v>December 2023 Sewer Billed Volume (CCF)</v>
      </c>
      <c r="O13" s="154" t="str">
        <f t="shared" si="22"/>
        <v>January 2024 Sewer Billed Volume (CCF)</v>
      </c>
      <c r="P13" s="154" t="str">
        <f t="shared" si="22"/>
        <v>February 2024 Sewer Billed Volume (CCF)</v>
      </c>
      <c r="Q13" s="154" t="str">
        <f t="shared" si="22"/>
        <v>March 2024 Sewer Billed Volume (CCF)</v>
      </c>
      <c r="R13" s="154" t="str">
        <f t="shared" si="22"/>
        <v>April 2024 Sewer Billed Volume (CCF)</v>
      </c>
      <c r="S13" s="154" t="str">
        <f t="shared" si="22"/>
        <v>May 2024 Sewer Billed Volume (CCF)</v>
      </c>
      <c r="T13" s="154" t="str">
        <f t="shared" si="22"/>
        <v>June 2024 Sewer Billed Volume (CCF)</v>
      </c>
      <c r="U13" s="154" t="str">
        <f t="shared" si="22"/>
        <v>July 2024 Sewer Billed Volume (CCF)</v>
      </c>
      <c r="V13" s="154" t="str">
        <f t="shared" si="22"/>
        <v>August 2024 Sewer Billed Volume (CCF)</v>
      </c>
      <c r="W13" s="154" t="str">
        <f t="shared" si="22"/>
        <v>September 2024 Sewer Billed Volume (CCF)</v>
      </c>
      <c r="X13" s="154" t="str">
        <f t="shared" si="22"/>
        <v>October 2024 Sewer Billed Volume (CCF)</v>
      </c>
      <c r="Y13" s="154" t="str">
        <f t="shared" si="22"/>
        <v>November 2024 Sewer Billed Volume (CCF)</v>
      </c>
      <c r="Z13" s="154" t="str">
        <f t="shared" si="22"/>
        <v>December 2024 Sewer Billed Volume (CCF)</v>
      </c>
      <c r="AA13" s="154" t="str">
        <f t="shared" si="22"/>
        <v>January 2025 Sewer Billed Volume (CCF)</v>
      </c>
      <c r="AB13" s="154" t="str">
        <f t="shared" si="22"/>
        <v>February 2025 Sewer Billed Volume (CCF)</v>
      </c>
      <c r="AC13" s="154" t="str">
        <f t="shared" si="22"/>
        <v>March 2025 Sewer Billed Volume (CCF)</v>
      </c>
      <c r="AD13" s="154" t="str">
        <f t="shared" ref="AD13:AL13" si="23">AD4</f>
        <v>April 2025 Sewer Billed Volume (CCF)</v>
      </c>
      <c r="AE13" s="154" t="str">
        <f t="shared" si="23"/>
        <v>May 2025 Sewer Billed Volume (CCF)</v>
      </c>
      <c r="AF13" s="154" t="str">
        <f t="shared" si="23"/>
        <v>June 2025 Sewer Billed Volume (CCF)</v>
      </c>
      <c r="AG13" s="154" t="str">
        <f t="shared" si="23"/>
        <v>July 2025 Sewer Billed Volume (CCF)</v>
      </c>
      <c r="AH13" s="154" t="str">
        <f t="shared" si="23"/>
        <v>August 2025 Sewer Billed Volume (CCF)</v>
      </c>
      <c r="AI13" s="154" t="str">
        <f t="shared" si="23"/>
        <v>September 2025 Sewer Billed Volume (CCF)</v>
      </c>
      <c r="AJ13" s="154" t="str">
        <f t="shared" si="23"/>
        <v>October 2025 Sewer Billed Volume (CCF)</v>
      </c>
      <c r="AK13" s="154" t="str">
        <f t="shared" si="23"/>
        <v>November 2025 Sewer Billed Volume (CCF)</v>
      </c>
      <c r="AL13" s="154" t="str">
        <f t="shared" si="23"/>
        <v>December 2025 Sewer Billed Volume (CCF)</v>
      </c>
      <c r="AM13" s="180" t="str">
        <f>AM4</f>
        <v>January 2026 Sewer Billed Volume (CCF)</v>
      </c>
      <c r="AN13" s="180" t="str">
        <f>AN4</f>
        <v>February 2026 Sewer Billed Volume (CCF)</v>
      </c>
      <c r="AO13" s="180" t="str">
        <f>AO4</f>
        <v>March 2026 Sewer Billed Volume (CCF)</v>
      </c>
    </row>
    <row r="14" spans="1:41">
      <c r="A14" s="155" t="s">
        <v>69</v>
      </c>
      <c r="C14" s="158">
        <f t="shared" ref="C14:AD16" si="24">SUMIF($A$5:$A$10,$A14,C$5:C$10)</f>
        <v>119847</v>
      </c>
      <c r="D14" s="158">
        <f t="shared" si="24"/>
        <v>95396</v>
      </c>
      <c r="E14" s="158">
        <f t="shared" si="24"/>
        <v>118146</v>
      </c>
      <c r="F14" s="158">
        <f t="shared" si="24"/>
        <v>98887</v>
      </c>
      <c r="G14" s="158">
        <f t="shared" si="24"/>
        <v>104306</v>
      </c>
      <c r="H14" s="158">
        <f t="shared" si="24"/>
        <v>133240</v>
      </c>
      <c r="I14" s="158">
        <f t="shared" si="24"/>
        <v>144890</v>
      </c>
      <c r="J14" s="158">
        <f t="shared" si="24"/>
        <v>139159</v>
      </c>
      <c r="K14" s="158">
        <f t="shared" si="24"/>
        <v>156807</v>
      </c>
      <c r="L14" s="158">
        <f t="shared" si="24"/>
        <v>143306</v>
      </c>
      <c r="M14" s="158">
        <f t="shared" si="24"/>
        <v>151778</v>
      </c>
      <c r="N14" s="158">
        <f t="shared" si="24"/>
        <v>153355</v>
      </c>
      <c r="O14" s="158">
        <f t="shared" si="24"/>
        <v>158685</v>
      </c>
      <c r="P14" s="158">
        <f t="shared" si="24"/>
        <v>190596</v>
      </c>
      <c r="Q14" s="158">
        <f t="shared" si="24"/>
        <v>295003</v>
      </c>
      <c r="R14" s="158">
        <f t="shared" si="24"/>
        <v>325268</v>
      </c>
      <c r="S14" s="158">
        <f t="shared" si="24"/>
        <v>363280</v>
      </c>
      <c r="T14" s="158">
        <f t="shared" si="24"/>
        <v>351186</v>
      </c>
      <c r="U14" s="158">
        <f t="shared" si="24"/>
        <v>377552</v>
      </c>
      <c r="V14" s="158">
        <f t="shared" si="24"/>
        <v>399834</v>
      </c>
      <c r="W14" s="158">
        <f t="shared" si="24"/>
        <v>419515</v>
      </c>
      <c r="X14" s="158">
        <f t="shared" si="24"/>
        <v>407617</v>
      </c>
      <c r="Y14" s="158">
        <f t="shared" si="24"/>
        <v>356544</v>
      </c>
      <c r="Z14" s="158">
        <f t="shared" si="24"/>
        <v>380804</v>
      </c>
      <c r="AA14" s="158">
        <f t="shared" si="24"/>
        <v>431025</v>
      </c>
      <c r="AB14" s="158">
        <f t="shared" si="24"/>
        <v>362258</v>
      </c>
      <c r="AC14" s="158">
        <f t="shared" si="24"/>
        <v>375462</v>
      </c>
      <c r="AD14" s="158">
        <f t="shared" si="24"/>
        <v>382075</v>
      </c>
      <c r="AE14" s="158">
        <f t="shared" ref="AD14:AL16" si="25">SUMIF($A$5:$A$10,$A14,AE$5:AE$10)</f>
        <v>395427</v>
      </c>
      <c r="AF14" s="158">
        <f t="shared" si="25"/>
        <v>419359</v>
      </c>
      <c r="AG14" s="158">
        <f t="shared" si="25"/>
        <v>423626</v>
      </c>
      <c r="AH14" s="158">
        <f t="shared" si="25"/>
        <v>449771</v>
      </c>
      <c r="AI14" s="158">
        <f t="shared" si="25"/>
        <v>443876</v>
      </c>
      <c r="AJ14" s="158">
        <f t="shared" si="25"/>
        <v>466528</v>
      </c>
      <c r="AK14" s="158">
        <f t="shared" si="25"/>
        <v>339938</v>
      </c>
      <c r="AL14" s="158">
        <f t="shared" si="25"/>
        <v>453388</v>
      </c>
      <c r="AM14" s="158">
        <f>SUMIF($A$5:$A$10,$A14,AM$5:AM$10)</f>
        <v>474423</v>
      </c>
      <c r="AN14" s="158">
        <f>SUMIF($A$5:$A$10,$A14,AN$5:AN$10)</f>
        <v>423187</v>
      </c>
      <c r="AO14" s="158">
        <f>SUMIF($A$5:$A$10,$A14,AO$5:AO$10)</f>
        <v>463972</v>
      </c>
    </row>
    <row r="15" spans="1:41">
      <c r="A15" s="155" t="s">
        <v>63</v>
      </c>
      <c r="C15" s="158">
        <f t="shared" si="24"/>
        <v>4524740</v>
      </c>
      <c r="D15" s="158">
        <f t="shared" si="24"/>
        <v>3811684</v>
      </c>
      <c r="E15" s="158">
        <f t="shared" si="24"/>
        <v>4449422</v>
      </c>
      <c r="F15" s="158">
        <f t="shared" si="24"/>
        <v>4008571</v>
      </c>
      <c r="G15" s="158">
        <f t="shared" si="24"/>
        <v>4007518</v>
      </c>
      <c r="H15" s="158">
        <f t="shared" si="24"/>
        <v>4562494</v>
      </c>
      <c r="I15" s="158">
        <f t="shared" si="24"/>
        <v>4819647</v>
      </c>
      <c r="J15" s="158">
        <f t="shared" si="24"/>
        <v>4508502</v>
      </c>
      <c r="K15" s="158">
        <f t="shared" si="24"/>
        <v>4915487</v>
      </c>
      <c r="L15" s="158">
        <f t="shared" si="24"/>
        <v>4192037</v>
      </c>
      <c r="M15" s="158">
        <f t="shared" si="24"/>
        <v>4209377</v>
      </c>
      <c r="N15" s="158">
        <f t="shared" si="24"/>
        <v>4217521</v>
      </c>
      <c r="O15" s="158">
        <f t="shared" si="24"/>
        <v>4202672</v>
      </c>
      <c r="P15" s="158">
        <f t="shared" si="24"/>
        <v>4163066</v>
      </c>
      <c r="Q15" s="158">
        <f t="shared" si="24"/>
        <v>3808543</v>
      </c>
      <c r="R15" s="158">
        <f t="shared" si="24"/>
        <v>3740269</v>
      </c>
      <c r="S15" s="158">
        <f t="shared" si="24"/>
        <v>4129083</v>
      </c>
      <c r="T15" s="158">
        <f t="shared" si="24"/>
        <v>4099683</v>
      </c>
      <c r="U15" s="158">
        <f t="shared" si="24"/>
        <v>4636475</v>
      </c>
      <c r="V15" s="158">
        <f t="shared" si="24"/>
        <v>4729712</v>
      </c>
      <c r="W15" s="158">
        <f t="shared" si="24"/>
        <v>4670336</v>
      </c>
      <c r="X15" s="158">
        <f t="shared" si="24"/>
        <v>4357788</v>
      </c>
      <c r="Y15" s="158">
        <f t="shared" si="24"/>
        <v>4061941</v>
      </c>
      <c r="Z15" s="158">
        <f t="shared" si="24"/>
        <v>4108183</v>
      </c>
      <c r="AA15" s="158">
        <f t="shared" si="24"/>
        <v>4280082</v>
      </c>
      <c r="AB15" s="158">
        <f t="shared" si="24"/>
        <v>3764257</v>
      </c>
      <c r="AC15" s="158">
        <f t="shared" si="24"/>
        <v>3735358</v>
      </c>
      <c r="AD15" s="158">
        <f t="shared" si="25"/>
        <v>3859056</v>
      </c>
      <c r="AE15" s="158">
        <f t="shared" si="25"/>
        <v>4010624</v>
      </c>
      <c r="AF15" s="158">
        <f t="shared" si="25"/>
        <v>4184120</v>
      </c>
      <c r="AG15" s="158">
        <f t="shared" si="25"/>
        <v>4331797</v>
      </c>
      <c r="AH15" s="158">
        <f t="shared" si="25"/>
        <v>4493101</v>
      </c>
      <c r="AI15" s="158">
        <f t="shared" si="25"/>
        <v>4366225</v>
      </c>
      <c r="AJ15" s="158">
        <f t="shared" si="25"/>
        <v>4502919</v>
      </c>
      <c r="AK15" s="158">
        <f t="shared" si="25"/>
        <v>3413042</v>
      </c>
      <c r="AL15" s="158">
        <f t="shared" si="25"/>
        <v>4160225</v>
      </c>
      <c r="AM15" s="158">
        <f>SUMIF($A$5:$A$10,$A15,AM$5:AM$10)</f>
        <v>4267986</v>
      </c>
      <c r="AN15" s="158">
        <f>SUMIF($A$5:$A$10,$A15,AN$5:AN$10)</f>
        <v>3838564</v>
      </c>
      <c r="AO15" s="158">
        <f>SUMIF($A$5:$A$10,$A15,AO$5:AO$10)</f>
        <v>4074731</v>
      </c>
    </row>
    <row r="16" spans="1:41">
      <c r="A16" s="155" t="s">
        <v>79</v>
      </c>
      <c r="C16" s="158">
        <f t="shared" si="24"/>
        <v>212455</v>
      </c>
      <c r="D16" s="158">
        <f t="shared" si="24"/>
        <v>230409</v>
      </c>
      <c r="E16" s="158">
        <f t="shared" si="24"/>
        <v>264318</v>
      </c>
      <c r="F16" s="158">
        <f t="shared" si="24"/>
        <v>145287</v>
      </c>
      <c r="G16" s="158">
        <f t="shared" si="24"/>
        <v>251389</v>
      </c>
      <c r="H16" s="158">
        <f t="shared" si="24"/>
        <v>262730</v>
      </c>
      <c r="I16" s="158">
        <f t="shared" si="24"/>
        <v>278436</v>
      </c>
      <c r="J16" s="158">
        <f t="shared" si="24"/>
        <v>230151</v>
      </c>
      <c r="K16" s="158">
        <f t="shared" si="24"/>
        <v>300167</v>
      </c>
      <c r="L16" s="158">
        <f t="shared" si="24"/>
        <v>222050</v>
      </c>
      <c r="M16" s="158">
        <f t="shared" si="24"/>
        <v>227503</v>
      </c>
      <c r="N16" s="158">
        <f t="shared" si="24"/>
        <v>267834</v>
      </c>
      <c r="O16" s="158">
        <f t="shared" si="24"/>
        <v>249868</v>
      </c>
      <c r="P16" s="158">
        <f t="shared" si="24"/>
        <v>209281</v>
      </c>
      <c r="Q16" s="158">
        <f t="shared" si="24"/>
        <v>195178</v>
      </c>
      <c r="R16" s="158">
        <f t="shared" si="24"/>
        <v>187379</v>
      </c>
      <c r="S16" s="158">
        <f t="shared" si="24"/>
        <v>338702</v>
      </c>
      <c r="T16" s="158">
        <f t="shared" si="24"/>
        <v>105040</v>
      </c>
      <c r="U16" s="158">
        <f t="shared" si="24"/>
        <v>211508</v>
      </c>
      <c r="V16" s="158">
        <f t="shared" si="24"/>
        <v>220240</v>
      </c>
      <c r="W16" s="158">
        <f t="shared" si="24"/>
        <v>261753</v>
      </c>
      <c r="X16" s="158">
        <f t="shared" si="24"/>
        <v>342304</v>
      </c>
      <c r="Y16" s="158">
        <f t="shared" si="24"/>
        <v>151605</v>
      </c>
      <c r="Z16" s="158">
        <f t="shared" si="24"/>
        <v>224817</v>
      </c>
      <c r="AA16" s="158">
        <f t="shared" si="24"/>
        <v>337279</v>
      </c>
      <c r="AB16" s="158">
        <f t="shared" si="24"/>
        <v>80795</v>
      </c>
      <c r="AC16" s="158">
        <f t="shared" si="24"/>
        <v>194055</v>
      </c>
      <c r="AD16" s="158">
        <f t="shared" si="25"/>
        <v>199603</v>
      </c>
      <c r="AE16" s="158">
        <f t="shared" si="25"/>
        <v>200095</v>
      </c>
      <c r="AF16" s="158">
        <f t="shared" si="25"/>
        <v>190575</v>
      </c>
      <c r="AG16" s="158">
        <f t="shared" si="25"/>
        <v>207729</v>
      </c>
      <c r="AH16" s="158">
        <f t="shared" si="25"/>
        <v>231646</v>
      </c>
      <c r="AI16" s="158">
        <f t="shared" si="25"/>
        <v>244653</v>
      </c>
      <c r="AJ16" s="158">
        <f t="shared" si="25"/>
        <v>352472</v>
      </c>
      <c r="AK16" s="158">
        <f t="shared" si="25"/>
        <v>68383</v>
      </c>
      <c r="AL16" s="158">
        <f t="shared" si="25"/>
        <v>241737</v>
      </c>
      <c r="AM16" s="158">
        <f>SUMIF($A$5:$A$10,$A16,AM$5:AM$10)</f>
        <v>291038</v>
      </c>
      <c r="AN16" s="158">
        <f>SUMIF($A$5:$A$10,$A16,AN$5:AN$10)</f>
        <v>244141</v>
      </c>
      <c r="AO16" s="158">
        <f>SUMIF($A$5:$A$10,$A16,AO$5:AO$10)</f>
        <v>199980</v>
      </c>
    </row>
    <row r="18" spans="1:39">
      <c r="A18" s="4"/>
    </row>
    <row r="19" spans="1:39" ht="28.9" customHeight="1">
      <c r="A19" s="172" t="s">
        <v>81</v>
      </c>
      <c r="B19" s="172"/>
      <c r="AM19" s="9" t="s">
        <v>4</v>
      </c>
    </row>
    <row r="20" spans="1:39" ht="28.35" customHeight="1">
      <c r="A20" s="172" t="s">
        <v>82</v>
      </c>
      <c r="B20" s="172"/>
    </row>
  </sheetData>
  <mergeCells count="4">
    <mergeCell ref="A1:B1"/>
    <mergeCell ref="A12:B12"/>
    <mergeCell ref="A19:B19"/>
    <mergeCell ref="A20:B20"/>
  </mergeCells>
  <pageMargins left="0.7" right="0.7" top="0.75" bottom="0.75" header="0.3" footer="0.3"/>
  <pageSetup fitToHeight="0" orientation="landscape" r:id="rId1"/>
  <headerFooter>
    <oddHeader>&amp;L2026 TAP Reconcilable Rider Reports and Projection Model: &amp;A
January 2023 - December 2025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4"/>
  </sheetPr>
  <dimension ref="A2:M7"/>
  <sheetViews>
    <sheetView tabSelected="1" zoomScaleNormal="100" workbookViewId="0">
      <selection activeCell="A4" sqref="A4"/>
    </sheetView>
  </sheetViews>
  <sheetFormatPr defaultColWidth="8.85546875" defaultRowHeight="14.25"/>
  <cols>
    <col min="2" max="2" width="12.140625" customWidth="1"/>
    <col min="3" max="3" width="11.5703125" customWidth="1"/>
    <col min="4" max="4" width="7.85546875" customWidth="1"/>
    <col min="10" max="10" width="4.140625" customWidth="1"/>
    <col min="11" max="11" width="10.5703125" bestFit="1" customWidth="1"/>
    <col min="13" max="13" width="9.140625" bestFit="1" customWidth="1"/>
  </cols>
  <sheetData>
    <row r="2" spans="1:13">
      <c r="A2" s="11" t="s">
        <v>84</v>
      </c>
      <c r="K2" s="133"/>
      <c r="M2" s="144"/>
    </row>
    <row r="3" spans="1:13">
      <c r="A3" s="11" t="s">
        <v>85</v>
      </c>
    </row>
    <row r="4" spans="1:13" ht="15">
      <c r="A4" s="9" t="s">
        <v>4</v>
      </c>
    </row>
    <row r="6" spans="1:13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5"/>
    </row>
    <row r="7" spans="1:13">
      <c r="A7" s="134"/>
      <c r="B7" s="134"/>
      <c r="C7" s="136"/>
      <c r="D7" s="134"/>
      <c r="E7" s="137"/>
      <c r="F7" s="134"/>
      <c r="G7" s="134"/>
      <c r="H7" s="134"/>
      <c r="I7" s="134"/>
      <c r="J7" s="134"/>
      <c r="K7" s="134"/>
    </row>
  </sheetData>
  <phoneticPr fontId="48" type="noConversion"/>
  <pageMargins left="0.7" right="0.7" top="0.75" bottom="0.75" header="0.3" footer="0.3"/>
  <pageSetup orientation="landscape" r:id="rId1"/>
  <headerFooter>
    <oddHeader>&amp;L2026 TAP Reconcilable Rider Reports and Projection Model: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B41"/>
  <sheetViews>
    <sheetView workbookViewId="0">
      <selection sqref="A1:B1"/>
    </sheetView>
  </sheetViews>
  <sheetFormatPr defaultColWidth="9.140625" defaultRowHeight="14.25"/>
  <cols>
    <col min="1" max="1" width="42.42578125" style="12" customWidth="1"/>
    <col min="2" max="2" width="14" style="13" customWidth="1"/>
    <col min="3" max="16384" width="9.140625" style="12"/>
  </cols>
  <sheetData>
    <row r="1" spans="1:2" ht="30" customHeight="1">
      <c r="A1" s="173" t="s">
        <v>86</v>
      </c>
      <c r="B1" s="174"/>
    </row>
    <row r="2" spans="1:2">
      <c r="A2" s="12" t="s">
        <v>87</v>
      </c>
      <c r="B2" s="13">
        <v>279</v>
      </c>
    </row>
    <row r="3" spans="1:2">
      <c r="A3" s="14" t="s">
        <v>88</v>
      </c>
      <c r="B3" s="15">
        <v>253</v>
      </c>
    </row>
    <row r="4" spans="1:2">
      <c r="A4" s="14" t="s">
        <v>89</v>
      </c>
      <c r="B4" s="15">
        <v>26</v>
      </c>
    </row>
    <row r="6" spans="1:2">
      <c r="A6" s="185" t="s">
        <v>90</v>
      </c>
      <c r="B6" s="186"/>
    </row>
    <row r="7" spans="1:2">
      <c r="A7" s="12" t="s">
        <v>91</v>
      </c>
      <c r="B7" s="13">
        <v>279</v>
      </c>
    </row>
    <row r="9" spans="1:2" ht="30" customHeight="1">
      <c r="A9" s="173" t="s">
        <v>92</v>
      </c>
      <c r="B9" s="174"/>
    </row>
    <row r="10" spans="1:2">
      <c r="A10" s="12" t="s">
        <v>91</v>
      </c>
      <c r="B10" s="13">
        <v>84</v>
      </c>
    </row>
    <row r="11" spans="1:2">
      <c r="A11" s="14" t="s">
        <v>93</v>
      </c>
      <c r="B11" s="15">
        <v>73</v>
      </c>
    </row>
    <row r="12" spans="1:2">
      <c r="A12" s="14" t="s">
        <v>94</v>
      </c>
      <c r="B12" s="15">
        <v>11</v>
      </c>
    </row>
    <row r="13" spans="1:2">
      <c r="A13" s="12" t="s">
        <v>95</v>
      </c>
      <c r="B13" s="13">
        <v>237</v>
      </c>
    </row>
    <row r="14" spans="1:2">
      <c r="A14" s="14" t="s">
        <v>96</v>
      </c>
      <c r="B14" s="15">
        <v>237</v>
      </c>
    </row>
    <row r="15" spans="1:2">
      <c r="A15" s="12" t="s">
        <v>97</v>
      </c>
      <c r="B15" s="13">
        <v>95</v>
      </c>
    </row>
    <row r="16" spans="1:2">
      <c r="A16" s="14" t="s">
        <v>98</v>
      </c>
      <c r="B16" s="15">
        <v>58</v>
      </c>
    </row>
    <row r="17" spans="1:2">
      <c r="A17" s="14" t="s">
        <v>99</v>
      </c>
      <c r="B17" s="15">
        <v>37</v>
      </c>
    </row>
    <row r="18" spans="1:2">
      <c r="A18" s="12" t="s">
        <v>100</v>
      </c>
      <c r="B18" s="13">
        <v>21</v>
      </c>
    </row>
    <row r="19" spans="1:2">
      <c r="A19" s="14" t="s">
        <v>101</v>
      </c>
      <c r="B19" s="15">
        <v>21</v>
      </c>
    </row>
    <row r="20" spans="1:2">
      <c r="A20" s="12" t="s">
        <v>102</v>
      </c>
      <c r="B20" s="13">
        <v>222</v>
      </c>
    </row>
    <row r="21" spans="1:2">
      <c r="A21" s="14" t="s">
        <v>103</v>
      </c>
      <c r="B21" s="15">
        <v>222</v>
      </c>
    </row>
    <row r="22" spans="1:2">
      <c r="A22" s="12" t="s">
        <v>104</v>
      </c>
      <c r="B22" s="13">
        <v>123</v>
      </c>
    </row>
    <row r="23" spans="1:2">
      <c r="A23" s="14" t="s">
        <v>105</v>
      </c>
      <c r="B23" s="15">
        <v>48</v>
      </c>
    </row>
    <row r="24" spans="1:2">
      <c r="A24" s="14" t="s">
        <v>106</v>
      </c>
      <c r="B24" s="15">
        <v>1</v>
      </c>
    </row>
    <row r="25" spans="1:2">
      <c r="A25" s="14" t="s">
        <v>107</v>
      </c>
      <c r="B25" s="15">
        <v>74</v>
      </c>
    </row>
    <row r="26" spans="1:2">
      <c r="A26" s="12" t="s">
        <v>108</v>
      </c>
      <c r="B26" s="13">
        <v>2</v>
      </c>
    </row>
    <row r="27" spans="1:2">
      <c r="A27" s="14" t="s">
        <v>109</v>
      </c>
      <c r="B27" s="15">
        <v>2</v>
      </c>
    </row>
    <row r="30" spans="1:2" ht="30.75" customHeight="1">
      <c r="A30" s="173" t="s">
        <v>110</v>
      </c>
      <c r="B30" s="174"/>
    </row>
    <row r="31" spans="1:2">
      <c r="A31" s="12" t="s">
        <v>87</v>
      </c>
      <c r="B31" s="13">
        <v>10621</v>
      </c>
    </row>
    <row r="33" spans="1:2">
      <c r="A33" s="185" t="s">
        <v>111</v>
      </c>
      <c r="B33" s="186"/>
    </row>
    <row r="34" spans="1:2">
      <c r="A34" s="12" t="s">
        <v>91</v>
      </c>
      <c r="B34" s="13">
        <v>6004</v>
      </c>
    </row>
    <row r="35" spans="1:2">
      <c r="A35" s="12" t="s">
        <v>95</v>
      </c>
      <c r="B35" s="13">
        <v>1501</v>
      </c>
    </row>
    <row r="36" spans="1:2">
      <c r="A36" s="12" t="s">
        <v>112</v>
      </c>
      <c r="B36" s="13">
        <v>9</v>
      </c>
    </row>
    <row r="37" spans="1:2">
      <c r="A37" s="12" t="s">
        <v>97</v>
      </c>
      <c r="B37" s="13">
        <v>313</v>
      </c>
    </row>
    <row r="38" spans="1:2">
      <c r="A38" s="12" t="s">
        <v>100</v>
      </c>
      <c r="B38" s="13">
        <v>155</v>
      </c>
    </row>
    <row r="39" spans="1:2">
      <c r="A39" s="12" t="s">
        <v>102</v>
      </c>
      <c r="B39" s="13">
        <v>362</v>
      </c>
    </row>
    <row r="40" spans="1:2">
      <c r="A40" s="12" t="s">
        <v>104</v>
      </c>
      <c r="B40" s="13">
        <v>2272</v>
      </c>
    </row>
    <row r="41" spans="1:2">
      <c r="A41" s="12" t="s">
        <v>108</v>
      </c>
      <c r="B41" s="13">
        <v>5</v>
      </c>
    </row>
  </sheetData>
  <mergeCells count="5">
    <mergeCell ref="A1:B1"/>
    <mergeCell ref="A6:B6"/>
    <mergeCell ref="A9:B9"/>
    <mergeCell ref="A30:B30"/>
    <mergeCell ref="A33:B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a816c8-2012-4a06-9eee-7fac2e12fc01">
      <Terms xmlns="http://schemas.microsoft.com/office/infopath/2007/PartnerControls"/>
    </lcf76f155ced4ddcb4097134ff3c332f>
    <TaxCatchAll xmlns="1ecad1bf-37b2-4fe5-8d43-af4e731dea56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05CA3EC97C240B6A6DE541C216FC3" ma:contentTypeVersion="15" ma:contentTypeDescription="Create a new document." ma:contentTypeScope="" ma:versionID="ae74eecf6782a2ba1db15ffd73bcf512">
  <xsd:schema xmlns:xsd="http://www.w3.org/2001/XMLSchema" xmlns:xs="http://www.w3.org/2001/XMLSchema" xmlns:p="http://schemas.microsoft.com/office/2006/metadata/properties" xmlns:ns2="c1eecfb3-5e1e-4c14-a199-821554a453d0" xmlns:ns3="74a816c8-2012-4a06-9eee-7fac2e12fc01" xmlns:ns4="1ecad1bf-37b2-4fe5-8d43-af4e731dea56" targetNamespace="http://schemas.microsoft.com/office/2006/metadata/properties" ma:root="true" ma:fieldsID="17144045bbf61456430f9b5b75f538f5" ns2:_="" ns3:_="" ns4:_="">
    <xsd:import namespace="c1eecfb3-5e1e-4c14-a199-821554a453d0"/>
    <xsd:import namespace="74a816c8-2012-4a06-9eee-7fac2e12fc01"/>
    <xsd:import namespace="1ecad1bf-37b2-4fe5-8d43-af4e731dea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ecfb3-5e1e-4c14-a199-821554a453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816c8-2012-4a06-9eee-7fac2e12f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d5ee6cf-0e63-41ed-9d74-2beef34e85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ad1bf-37b2-4fe5-8d43-af4e731dea5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84a3c7f-f0c9-4c06-880c-e92bf7e68a2c}" ma:internalName="TaxCatchAll" ma:showField="CatchAllData" ma:web="c1eecfb3-5e1e-4c14-a199-821554a45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A571AD-4037-45B3-BA9D-B365970EBFA6}"/>
</file>

<file path=customXml/itemProps2.xml><?xml version="1.0" encoding="utf-8"?>
<ds:datastoreItem xmlns:ds="http://schemas.openxmlformats.org/officeDocument/2006/customXml" ds:itemID="{A1EEF797-8025-45C6-A194-C683E6FBEAE6}"/>
</file>

<file path=customXml/itemProps3.xml><?xml version="1.0" encoding="utf-8"?>
<ds:datastoreItem xmlns:ds="http://schemas.openxmlformats.org/officeDocument/2006/customXml" ds:itemID="{482E7EF8-6663-4F87-93C0-A052CF6BBCB9}"/>
</file>

<file path=customXml/itemProps4.xml><?xml version="1.0" encoding="utf-8"?>
<ds:datastoreItem xmlns:ds="http://schemas.openxmlformats.org/officeDocument/2006/customXml" ds:itemID="{C02E2F02-F632-4D35-8DAC-E2ED3511323A}"/>
</file>

<file path=docMetadata/LabelInfo.xml><?xml version="1.0" encoding="utf-8"?>
<clbl:labelList xmlns:clbl="http://schemas.microsoft.com/office/2020/mipLabelMetadata">
  <clbl:label id="{6156022b-67ad-4709-a228-10a02d5a9ab9}" enabled="0" method="" siteId="{6156022b-67ad-4709-a228-10a02d5a9ab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marcellawigg</dc:creator>
  <cp:keywords/>
  <dc:description/>
  <cp:lastModifiedBy>Jennifer Tavantzis</cp:lastModifiedBy>
  <cp:revision/>
  <dcterms:created xsi:type="dcterms:W3CDTF">2017-11-15T18:58:43Z</dcterms:created>
  <dcterms:modified xsi:type="dcterms:W3CDTF">2026-04-13T20:01:48Z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0x01010058005CA3EC97C240B6A6DE541C216FC3</vt:lpwstr>
  </property>
  <property fmtid="{D5CDD505-2E9C-101B-9397-08002B2CF9AE}" pid="3" name="_dlc_DocIdItemGuid">
    <vt:lpwstr>a4bfcaee-4141-4543-931c-290d7556a0e0</vt:lpwstr>
  </property>
  <property fmtid="{D5CDD505-2E9C-101B-9397-08002B2CF9AE}" pid="4" name="MediaServiceImageTags">
    <vt:lpwstr/>
  </property>
</Properties>
</file>