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13_ncr:1_{2AE6DC58-3375-4D92-94DF-CAF04EEEC4B7}" xr6:coauthVersionLast="47" xr6:coauthVersionMax="47" xr10:uidLastSave="{00000000-0000-0000-0000-000000000000}"/>
  <bookViews>
    <workbookView xWindow="12877" yWindow="0" windowWidth="13125" windowHeight="15563" xr2:uid="{048FF7AF-5DF2-46CD-93FF-8D9BEC5401FD}"/>
  </bookViews>
  <sheets>
    <sheet name="Cover" sheetId="27" r:id="rId1"/>
    <sheet name="Table of Contents" sheetId="26" r:id="rId2"/>
    <sheet name="TRR_Summary" sheetId="16" r:id="rId3"/>
    <sheet name="TRR_Projections" sheetId="23" r:id="rId4"/>
    <sheet name="Combined Data" sheetId="32" r:id="rId5"/>
    <sheet name="DR_1" sheetId="35" r:id="rId6"/>
    <sheet name="DR_2" sheetId="36" r:id="rId7"/>
    <sheet name="Data Source" sheetId="17" r:id="rId8"/>
    <sheet name="051018 Model_Applications" sheetId="28" state="hidden" r:id="rId9"/>
    <sheet name="051018 Model_Assumptions" sheetId="29" state="hidden" r:id="rId10"/>
    <sheet name="051018 Model_Model" sheetId="30" state="hidden" r:id="rId11"/>
    <sheet name="051018 Model_Cost Estimates" sheetId="31" state="hidden" r:id="rId12"/>
  </sheets>
  <definedNames>
    <definedName name="_xlnm.Print_Area" localSheetId="0">Cover!$A$1:$I$11</definedName>
    <definedName name="_xlnm.Print_Area" localSheetId="7">'Data Source'!$A$1:$K$5</definedName>
    <definedName name="_xlnm.Print_Area" localSheetId="5">DR_1!#REF!</definedName>
    <definedName name="_xlnm.Print_Area" localSheetId="6">DR_2!#REF!</definedName>
    <definedName name="_xlnm.Print_Area" localSheetId="1">'Table of Contents'!$A$1:$B$8</definedName>
    <definedName name="_xlnm.Print_Area" localSheetId="3">TRR_Projections!$B$1:$AD$15</definedName>
    <definedName name="_xlnm.Print_Titles" localSheetId="5">DR_1!$A:$B</definedName>
    <definedName name="_xlnm.Print_Titles" localSheetId="6">DR_2!$A:$B</definedName>
    <definedName name="_xlnm.Print_Titles" localSheetId="3">TRR_Projections!$A:$A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6" l="1"/>
  <c r="A1" i="35"/>
  <c r="B7" i="23"/>
  <c r="B5" i="23"/>
  <c r="C7" i="23"/>
  <c r="C5" i="23"/>
  <c r="D7" i="23"/>
  <c r="D5" i="23"/>
  <c r="E7" i="23"/>
  <c r="E5" i="23"/>
  <c r="F7" i="23"/>
  <c r="F5" i="23"/>
  <c r="G7" i="23"/>
  <c r="G5" i="23"/>
  <c r="H7" i="23"/>
  <c r="H5" i="23"/>
  <c r="I7" i="23"/>
  <c r="I5" i="23"/>
  <c r="J7" i="23"/>
  <c r="J5" i="23"/>
  <c r="H1" i="23"/>
  <c r="I1" i="23"/>
  <c r="J1" i="23"/>
  <c r="K1" i="23"/>
  <c r="L1" i="23"/>
  <c r="M1" i="23"/>
  <c r="N1" i="23"/>
  <c r="O1" i="23"/>
  <c r="P1" i="23"/>
  <c r="Q1" i="23"/>
  <c r="R1" i="23"/>
  <c r="S1" i="23"/>
  <c r="C1" i="23"/>
  <c r="D1" i="23"/>
  <c r="E1" i="23"/>
  <c r="F1" i="23"/>
  <c r="G1" i="23"/>
  <c r="B1" i="23"/>
  <c r="B6" i="23"/>
  <c r="B8" i="23" s="1"/>
  <c r="B10" i="23" s="1"/>
  <c r="C6" i="23"/>
  <c r="C8" i="23"/>
  <c r="C10" i="23" s="1"/>
  <c r="D6" i="23"/>
  <c r="D8" i="23" s="1"/>
  <c r="D10" i="23" s="1"/>
  <c r="E6" i="23"/>
  <c r="E8" i="23" s="1"/>
  <c r="E10" i="23" s="1"/>
  <c r="F6" i="23"/>
  <c r="F8" i="23" s="1"/>
  <c r="F10" i="23" s="1"/>
  <c r="G6" i="23"/>
  <c r="G8" i="23" s="1"/>
  <c r="G10" i="23" s="1"/>
  <c r="H6" i="23"/>
  <c r="H8" i="23" s="1"/>
  <c r="H10" i="23" s="1"/>
  <c r="I6" i="23"/>
  <c r="I8" i="23" s="1"/>
  <c r="I10" i="23" s="1"/>
  <c r="J6" i="23"/>
  <c r="J8" i="23" s="1"/>
  <c r="J10" i="23" s="1"/>
  <c r="K6" i="23"/>
  <c r="K8" i="23" s="1"/>
  <c r="K10" i="23" s="1"/>
  <c r="L6" i="23"/>
  <c r="L8" i="23"/>
  <c r="M6" i="23"/>
  <c r="M8" i="23"/>
  <c r="M10" i="23" s="1"/>
  <c r="N6" i="23"/>
  <c r="N8" i="23"/>
  <c r="N10" i="23" s="1"/>
  <c r="O6" i="23"/>
  <c r="O8" i="23" s="1"/>
  <c r="O10" i="23"/>
  <c r="P6" i="23"/>
  <c r="P8" i="23"/>
  <c r="P10" i="23" s="1"/>
  <c r="Q6" i="23"/>
  <c r="Q8" i="23" s="1"/>
  <c r="Q10" i="23"/>
  <c r="R6" i="23"/>
  <c r="R8" i="23"/>
  <c r="R10" i="23" s="1"/>
  <c r="S6" i="23"/>
  <c r="S8" i="23" s="1"/>
  <c r="S10" i="23"/>
  <c r="T6" i="23"/>
  <c r="T8" i="23"/>
  <c r="T10" i="23" s="1"/>
  <c r="U6" i="23"/>
  <c r="U8" i="23" s="1"/>
  <c r="U10" i="23"/>
  <c r="V6" i="23"/>
  <c r="V8" i="23"/>
  <c r="V10" i="23" s="1"/>
  <c r="W6" i="23"/>
  <c r="W8" i="23" s="1"/>
  <c r="W10" i="23"/>
  <c r="X6" i="23"/>
  <c r="X8" i="23"/>
  <c r="X10" i="23" s="1"/>
  <c r="Y6" i="23"/>
  <c r="Y8" i="23" s="1"/>
  <c r="Y10" i="23"/>
  <c r="Z6" i="23"/>
  <c r="Z8" i="23"/>
  <c r="Z10" i="23" s="1"/>
  <c r="AA6" i="23"/>
  <c r="AA8" i="23" s="1"/>
  <c r="AA10" i="23"/>
  <c r="AB6" i="23"/>
  <c r="AB8" i="23"/>
  <c r="AB10" i="23" s="1"/>
  <c r="AC6" i="23"/>
  <c r="AC8" i="23" s="1"/>
  <c r="AC10" i="23"/>
  <c r="AD6" i="23"/>
  <c r="AD8" i="23"/>
  <c r="AD10" i="23" s="1"/>
  <c r="B9" i="23"/>
  <c r="C9" i="23"/>
  <c r="D9" i="23"/>
  <c r="E9" i="23"/>
  <c r="F9" i="23"/>
  <c r="G9" i="23"/>
  <c r="H9" i="23"/>
  <c r="I9" i="23"/>
  <c r="J9" i="23"/>
  <c r="B11" i="23"/>
  <c r="C11" i="23"/>
  <c r="D11" i="23"/>
  <c r="E11" i="23"/>
  <c r="F11" i="23"/>
  <c r="G11" i="23"/>
  <c r="H11" i="23"/>
  <c r="I11" i="23"/>
  <c r="J11" i="23"/>
  <c r="B11" i="16"/>
  <c r="L10" i="23"/>
  <c r="B10" i="16"/>
  <c r="AB1" i="23"/>
  <c r="AA1" i="23"/>
  <c r="AC1" i="23"/>
  <c r="V1" i="23"/>
  <c r="B12" i="16"/>
  <c r="D12" i="16"/>
  <c r="B13" i="16"/>
  <c r="W1" i="23"/>
  <c r="Y1" i="23"/>
  <c r="Z1" i="23"/>
  <c r="T1" i="23"/>
  <c r="X1" i="23"/>
  <c r="AD1" i="23"/>
  <c r="U1" i="23"/>
  <c r="D13" i="16"/>
  <c r="A1" i="31"/>
  <c r="C13" i="30"/>
  <c r="C14" i="30"/>
  <c r="D3" i="31"/>
  <c r="E13" i="30"/>
  <c r="C7" i="29"/>
  <c r="G12" i="30"/>
  <c r="E12" i="30"/>
  <c r="D12" i="30"/>
  <c r="E11" i="30"/>
  <c r="D11" i="30"/>
  <c r="E10" i="30"/>
  <c r="D10" i="30"/>
  <c r="E9" i="30"/>
  <c r="D9" i="30"/>
  <c r="E8" i="30"/>
  <c r="D8" i="30"/>
  <c r="E7" i="30"/>
  <c r="D7" i="30"/>
  <c r="D6" i="30"/>
  <c r="D5" i="30"/>
  <c r="I7" i="29"/>
  <c r="I5" i="29"/>
  <c r="G8" i="30"/>
  <c r="I9" i="29"/>
  <c r="C15" i="30"/>
  <c r="E14" i="30"/>
  <c r="C16" i="30"/>
  <c r="E15" i="30"/>
  <c r="F14" i="30"/>
  <c r="B3" i="31"/>
  <c r="E16" i="30"/>
  <c r="C17" i="30"/>
  <c r="E17" i="30"/>
  <c r="C18" i="30"/>
  <c r="E18" i="30"/>
  <c r="C19" i="30"/>
  <c r="E19" i="30"/>
  <c r="C20" i="30"/>
  <c r="E20" i="30"/>
  <c r="C21" i="30"/>
  <c r="E21" i="30"/>
  <c r="C22" i="30"/>
  <c r="E22" i="30"/>
  <c r="C23" i="30"/>
  <c r="E23" i="30"/>
  <c r="C24" i="30"/>
  <c r="E24" i="30"/>
  <c r="C25" i="30"/>
  <c r="E25" i="30"/>
  <c r="C26" i="30"/>
  <c r="C27" i="30"/>
  <c r="D4" i="31"/>
  <c r="C4" i="31"/>
  <c r="E26" i="30"/>
  <c r="F26" i="30"/>
  <c r="B4" i="31"/>
  <c r="C28" i="30"/>
  <c r="E27" i="30"/>
  <c r="C29" i="30"/>
  <c r="E28" i="30"/>
  <c r="C30" i="30"/>
  <c r="E29" i="30"/>
  <c r="C31" i="30"/>
  <c r="E30" i="30"/>
  <c r="C32" i="30"/>
  <c r="E31" i="30"/>
  <c r="C33" i="30"/>
  <c r="E32" i="30"/>
  <c r="C34" i="30"/>
  <c r="E33" i="30"/>
  <c r="C35" i="30"/>
  <c r="E34" i="30"/>
  <c r="C36" i="30"/>
  <c r="E35" i="30"/>
  <c r="C37" i="30"/>
  <c r="E36" i="30"/>
  <c r="C38" i="30"/>
  <c r="E37" i="30"/>
  <c r="D5" i="31"/>
  <c r="C5" i="31"/>
  <c r="C39" i="30"/>
  <c r="E38" i="30"/>
  <c r="E39" i="30"/>
  <c r="C40" i="30"/>
  <c r="B5" i="31"/>
  <c r="F38" i="30"/>
  <c r="E40" i="30"/>
  <c r="C41" i="30"/>
  <c r="E41" i="30"/>
  <c r="C42" i="30"/>
  <c r="E42" i="30"/>
  <c r="C43" i="30"/>
  <c r="E43" i="30"/>
  <c r="C44" i="30"/>
  <c r="E44" i="30"/>
  <c r="C45" i="30"/>
  <c r="E45" i="30"/>
  <c r="C46" i="30"/>
  <c r="E46" i="30"/>
  <c r="C47" i="30"/>
  <c r="E47" i="30"/>
  <c r="C48" i="30"/>
  <c r="E48" i="30"/>
  <c r="C49" i="30"/>
  <c r="E49" i="30"/>
  <c r="C50" i="30"/>
  <c r="C51" i="30"/>
  <c r="D6" i="31"/>
  <c r="C6" i="31"/>
  <c r="E50" i="30"/>
  <c r="F50" i="30"/>
  <c r="B6" i="31"/>
  <c r="C52" i="30"/>
  <c r="E51" i="30"/>
  <c r="C53" i="30"/>
  <c r="E52" i="30"/>
  <c r="C54" i="30"/>
  <c r="E53" i="30"/>
  <c r="C55" i="30"/>
  <c r="E54" i="30"/>
  <c r="C56" i="30"/>
  <c r="E55" i="30"/>
  <c r="C57" i="30"/>
  <c r="E56" i="30"/>
  <c r="C58" i="30"/>
  <c r="E57" i="30"/>
  <c r="C59" i="30"/>
  <c r="E58" i="30"/>
  <c r="C60" i="30"/>
  <c r="E59" i="30"/>
  <c r="C61" i="30"/>
  <c r="E60" i="30"/>
  <c r="C62" i="30"/>
  <c r="E61" i="30"/>
  <c r="D7" i="31"/>
  <c r="C7" i="31"/>
  <c r="E62" i="30"/>
  <c r="B7" i="31"/>
  <c r="F9" i="16" l="1"/>
  <c r="E9" i="16"/>
  <c r="F10" i="16"/>
  <c r="I10" i="16"/>
  <c r="I9" i="16"/>
  <c r="H10" i="16"/>
  <c r="G10" i="16"/>
  <c r="B4" i="16" s="1"/>
  <c r="H9" i="16"/>
  <c r="G9" i="16"/>
  <c r="K5" i="23"/>
  <c r="E10" i="16"/>
  <c r="B5" i="16" l="1"/>
  <c r="K9" i="23" s="1"/>
  <c r="L5" i="23"/>
  <c r="K7" i="23"/>
  <c r="K11" i="23" l="1"/>
  <c r="M5" i="23"/>
  <c r="L9" i="23"/>
  <c r="L11" i="23"/>
  <c r="L7" i="23"/>
  <c r="N5" i="23" l="1"/>
  <c r="M9" i="23"/>
  <c r="M11" i="23"/>
  <c r="M7" i="23"/>
  <c r="O5" i="23" l="1"/>
  <c r="N11" i="23"/>
  <c r="N9" i="23"/>
  <c r="N7" i="23"/>
  <c r="P5" i="23" l="1"/>
  <c r="O11" i="23"/>
  <c r="O9" i="23"/>
  <c r="O7" i="23"/>
  <c r="Q5" i="23" l="1"/>
  <c r="P9" i="23"/>
  <c r="P11" i="23"/>
  <c r="P7" i="23"/>
  <c r="R5" i="23" l="1"/>
  <c r="F11" i="16" s="1"/>
  <c r="Q9" i="23"/>
  <c r="Q11" i="23"/>
  <c r="Q7" i="23"/>
  <c r="E11" i="16"/>
  <c r="S5" i="23" l="1"/>
  <c r="R11" i="23"/>
  <c r="R9" i="23"/>
  <c r="R7" i="23"/>
  <c r="E12" i="16"/>
  <c r="F12" i="16"/>
  <c r="T5" i="23" l="1"/>
  <c r="S11" i="23"/>
  <c r="S9" i="23"/>
  <c r="S7" i="23"/>
  <c r="U5" i="23" l="1"/>
  <c r="T9" i="23"/>
  <c r="T11" i="23"/>
  <c r="T7" i="23"/>
  <c r="V5" i="23" l="1"/>
  <c r="U9" i="23"/>
  <c r="U11" i="23"/>
  <c r="U7" i="23"/>
  <c r="W5" i="23" l="1"/>
  <c r="V11" i="23"/>
  <c r="V9" i="23"/>
  <c r="V7" i="23"/>
  <c r="X5" i="23" l="1"/>
  <c r="W11" i="23"/>
  <c r="W9" i="23"/>
  <c r="W7" i="23"/>
  <c r="Y5" i="23" l="1"/>
  <c r="X9" i="23"/>
  <c r="X11" i="23"/>
  <c r="X7" i="23"/>
  <c r="Z5" i="23" l="1"/>
  <c r="Y11" i="23"/>
  <c r="Y9" i="23"/>
  <c r="Y7" i="23"/>
  <c r="AA5" i="23" l="1"/>
  <c r="Z11" i="23"/>
  <c r="Z9" i="23"/>
  <c r="Z7" i="23"/>
  <c r="AB5" i="23" l="1"/>
  <c r="AA11" i="23"/>
  <c r="AA9" i="23"/>
  <c r="AA7" i="23"/>
  <c r="AC5" i="23" l="1"/>
  <c r="AB9" i="23"/>
  <c r="AB11" i="23"/>
  <c r="AB7" i="23"/>
  <c r="AD5" i="23" l="1"/>
  <c r="AC9" i="23"/>
  <c r="AC11" i="23"/>
  <c r="AC7" i="23"/>
  <c r="AD11" i="23" l="1"/>
  <c r="AD9" i="23"/>
  <c r="AD7" i="23"/>
  <c r="F13" i="16"/>
  <c r="E13" i="16"/>
  <c r="G11" i="16" l="1"/>
  <c r="G12" i="16"/>
  <c r="G13" i="16"/>
  <c r="H11" i="16"/>
  <c r="H12" i="16"/>
  <c r="H13" i="16"/>
  <c r="I12" i="16"/>
  <c r="I11" i="16"/>
  <c r="I13" i="16"/>
  <c r="C4" i="36" l="1"/>
  <c r="C13" i="36" s="1"/>
  <c r="D3" i="36"/>
  <c r="D3" i="35"/>
  <c r="D2" i="36" l="1"/>
  <c r="D4" i="36" s="1"/>
  <c r="D13" i="36" s="1"/>
  <c r="E3" i="36"/>
  <c r="D2" i="35"/>
  <c r="E3" i="35"/>
  <c r="D4" i="35" l="1"/>
  <c r="D13" i="35" s="1"/>
  <c r="D8" i="36"/>
  <c r="D5" i="36"/>
  <c r="D14" i="36" s="1"/>
  <c r="D9" i="36"/>
  <c r="D6" i="36"/>
  <c r="D10" i="36"/>
  <c r="D16" i="36" s="1"/>
  <c r="D7" i="36"/>
  <c r="C5" i="36"/>
  <c r="C14" i="36" s="1"/>
  <c r="C9" i="36"/>
  <c r="C7" i="36"/>
  <c r="C6" i="36"/>
  <c r="C10" i="36"/>
  <c r="C16" i="36" s="1"/>
  <c r="C8" i="36"/>
  <c r="F3" i="36"/>
  <c r="E2" i="36"/>
  <c r="E4" i="36" s="1"/>
  <c r="E13" i="36" s="1"/>
  <c r="C8" i="35"/>
  <c r="C7" i="35"/>
  <c r="C5" i="35"/>
  <c r="C14" i="35" s="1"/>
  <c r="C9" i="35"/>
  <c r="C6" i="35"/>
  <c r="C10" i="35"/>
  <c r="C16" i="35" s="1"/>
  <c r="C4" i="35"/>
  <c r="C13" i="35" s="1"/>
  <c r="F3" i="35"/>
  <c r="E2" i="35"/>
  <c r="E4" i="35" s="1"/>
  <c r="E13" i="35" s="1"/>
  <c r="D5" i="35"/>
  <c r="D14" i="35" s="1"/>
  <c r="D9" i="35"/>
  <c r="D8" i="35"/>
  <c r="D6" i="35"/>
  <c r="D10" i="35"/>
  <c r="D16" i="35" s="1"/>
  <c r="D7" i="35"/>
  <c r="C15" i="36" l="1"/>
  <c r="E7" i="36"/>
  <c r="E8" i="36"/>
  <c r="E5" i="36"/>
  <c r="E14" i="36" s="1"/>
  <c r="E9" i="36"/>
  <c r="E6" i="36"/>
  <c r="E10" i="36"/>
  <c r="E16" i="36" s="1"/>
  <c r="D15" i="36"/>
  <c r="F2" i="36"/>
  <c r="F4" i="36" s="1"/>
  <c r="F13" i="36" s="1"/>
  <c r="G3" i="36"/>
  <c r="D15" i="35"/>
  <c r="E5" i="35"/>
  <c r="E14" i="35" s="1"/>
  <c r="E9" i="35"/>
  <c r="E6" i="35"/>
  <c r="E10" i="35"/>
  <c r="E16" i="35" s="1"/>
  <c r="E7" i="35"/>
  <c r="E8" i="35"/>
  <c r="G3" i="35"/>
  <c r="F2" i="35"/>
  <c r="C15" i="35"/>
  <c r="E15" i="36" l="1"/>
  <c r="F6" i="36"/>
  <c r="F10" i="36"/>
  <c r="F16" i="36" s="1"/>
  <c r="F7" i="36"/>
  <c r="F8" i="36"/>
  <c r="F5" i="36"/>
  <c r="F14" i="36" s="1"/>
  <c r="F9" i="36"/>
  <c r="G2" i="36"/>
  <c r="G4" i="36" s="1"/>
  <c r="G13" i="36" s="1"/>
  <c r="H3" i="36"/>
  <c r="F7" i="35"/>
  <c r="F6" i="35"/>
  <c r="F10" i="35"/>
  <c r="F16" i="35" s="1"/>
  <c r="F8" i="35"/>
  <c r="F5" i="35"/>
  <c r="F14" i="35" s="1"/>
  <c r="F9" i="35"/>
  <c r="H3" i="35"/>
  <c r="G2" i="35"/>
  <c r="G4" i="35" s="1"/>
  <c r="G13" i="35" s="1"/>
  <c r="F4" i="35"/>
  <c r="F13" i="35" s="1"/>
  <c r="E15" i="35"/>
  <c r="F15" i="36" l="1"/>
  <c r="G5" i="36"/>
  <c r="G14" i="36" s="1"/>
  <c r="G9" i="36"/>
  <c r="G6" i="36"/>
  <c r="G10" i="36"/>
  <c r="G16" i="36" s="1"/>
  <c r="G7" i="36"/>
  <c r="G8" i="36"/>
  <c r="H2" i="36"/>
  <c r="H4" i="36" s="1"/>
  <c r="H13" i="36" s="1"/>
  <c r="I3" i="36"/>
  <c r="G6" i="35"/>
  <c r="G10" i="35"/>
  <c r="G16" i="35" s="1"/>
  <c r="G9" i="35"/>
  <c r="G7" i="35"/>
  <c r="G8" i="35"/>
  <c r="G5" i="35"/>
  <c r="G14" i="35" s="1"/>
  <c r="H2" i="35"/>
  <c r="H4" i="35" s="1"/>
  <c r="H13" i="35" s="1"/>
  <c r="I3" i="35"/>
  <c r="F15" i="35"/>
  <c r="H8" i="36" l="1"/>
  <c r="H10" i="36"/>
  <c r="H16" i="36" s="1"/>
  <c r="H5" i="36"/>
  <c r="H14" i="36" s="1"/>
  <c r="H9" i="36"/>
  <c r="H6" i="36"/>
  <c r="H7" i="36"/>
  <c r="G15" i="36"/>
  <c r="J3" i="36"/>
  <c r="I2" i="36"/>
  <c r="I4" i="36" s="1"/>
  <c r="I13" i="36" s="1"/>
  <c r="I2" i="35"/>
  <c r="I4" i="35" s="1"/>
  <c r="I13" i="35" s="1"/>
  <c r="J3" i="35"/>
  <c r="H5" i="35"/>
  <c r="H14" i="35" s="1"/>
  <c r="H9" i="35"/>
  <c r="H7" i="35"/>
  <c r="H8" i="35"/>
  <c r="H6" i="35"/>
  <c r="H10" i="35"/>
  <c r="H16" i="35" s="1"/>
  <c r="G15" i="35"/>
  <c r="I7" i="36" l="1"/>
  <c r="I5" i="36"/>
  <c r="I14" i="36" s="1"/>
  <c r="I9" i="36"/>
  <c r="I8" i="36"/>
  <c r="I10" i="36"/>
  <c r="I16" i="36" s="1"/>
  <c r="I6" i="36"/>
  <c r="H15" i="36"/>
  <c r="J2" i="36"/>
  <c r="J4" i="36" s="1"/>
  <c r="J13" i="36" s="1"/>
  <c r="K3" i="36"/>
  <c r="H15" i="35"/>
  <c r="K3" i="35"/>
  <c r="J2" i="35"/>
  <c r="J4" i="35" s="1"/>
  <c r="J13" i="35" s="1"/>
  <c r="I6" i="35"/>
  <c r="I10" i="35"/>
  <c r="I16" i="35" s="1"/>
  <c r="I7" i="35"/>
  <c r="I8" i="35"/>
  <c r="I5" i="35"/>
  <c r="I14" i="35" s="1"/>
  <c r="I9" i="35"/>
  <c r="I15" i="36" l="1"/>
  <c r="J6" i="36"/>
  <c r="J10" i="36"/>
  <c r="J16" i="36" s="1"/>
  <c r="J8" i="36"/>
  <c r="J7" i="36"/>
  <c r="J5" i="36"/>
  <c r="J14" i="36" s="1"/>
  <c r="J9" i="36"/>
  <c r="K2" i="36"/>
  <c r="K4" i="36" s="1"/>
  <c r="K13" i="36" s="1"/>
  <c r="J8" i="35"/>
  <c r="J5" i="35"/>
  <c r="J14" i="35" s="1"/>
  <c r="J6" i="35"/>
  <c r="J9" i="35"/>
  <c r="J7" i="35"/>
  <c r="J10" i="35"/>
  <c r="J16" i="35" s="1"/>
  <c r="K2" i="35"/>
  <c r="I15" i="35"/>
  <c r="K5" i="36" l="1"/>
  <c r="K14" i="36" s="1"/>
  <c r="K9" i="36"/>
  <c r="K7" i="36"/>
  <c r="K6" i="36"/>
  <c r="K10" i="36"/>
  <c r="K16" i="36" s="1"/>
  <c r="K8" i="36"/>
  <c r="J15" i="36"/>
  <c r="K5" i="35"/>
  <c r="K14" i="35" s="1"/>
  <c r="K9" i="35"/>
  <c r="K8" i="35"/>
  <c r="K6" i="35"/>
  <c r="K10" i="35"/>
  <c r="K16" i="35" s="1"/>
  <c r="K7" i="35"/>
  <c r="K4" i="35"/>
  <c r="K13" i="35" s="1"/>
  <c r="J15" i="35"/>
  <c r="K15" i="36" l="1"/>
  <c r="K15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C1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9157 of 10865 at time of analysis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 Davis</author>
  </authors>
  <commentList>
    <comment ref="F4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Jon Davis:</t>
        </r>
        <r>
          <rPr>
            <sz val="9"/>
            <color indexed="81"/>
            <rFont val="Tahoma"/>
            <family val="2"/>
          </rPr>
          <t xml:space="preserve">
Actual average discount as of time of analysis</t>
        </r>
      </text>
    </comment>
  </commentList>
</comments>
</file>

<file path=xl/sharedStrings.xml><?xml version="1.0" encoding="utf-8"?>
<sst xmlns="http://schemas.openxmlformats.org/spreadsheetml/2006/main" count="330" uniqueCount="138">
  <si>
    <t>For:</t>
  </si>
  <si>
    <t>Philadelphia Water Department</t>
  </si>
  <si>
    <t>By:</t>
  </si>
  <si>
    <t>Sheet Name</t>
  </si>
  <si>
    <t>Description</t>
  </si>
  <si>
    <t>Table of Contents</t>
  </si>
  <si>
    <t>List of each sheet in the workbook</t>
  </si>
  <si>
    <t>TRR_Summary</t>
  </si>
  <si>
    <t>Summary of assumptions and results by period of major variables requested of Raftelis</t>
  </si>
  <si>
    <t>TRR_Projections</t>
  </si>
  <si>
    <t>Results by month of major variables requested of Raftelis</t>
  </si>
  <si>
    <t>Data Source</t>
  </si>
  <si>
    <t>Combined Data</t>
  </si>
  <si>
    <t>Combined reporting on Water Monthly Retail Billed Volume; Sewer Monthly Retail Billed Volume; Monthly TAP Participants; and Monthly Total TAP Discount Amounts</t>
  </si>
  <si>
    <t>Assumptions used to develop the Results below</t>
  </si>
  <si>
    <t>Assumption or scenario type</t>
  </si>
  <si>
    <t>Scenario</t>
  </si>
  <si>
    <t>TAP Subscription Projection</t>
  </si>
  <si>
    <t>Increasing</t>
  </si>
  <si>
    <t>due to continued prequalification</t>
  </si>
  <si>
    <t>Monthly Cost per TAP Participant*</t>
  </si>
  <si>
    <t>and projected to be stable over time</t>
  </si>
  <si>
    <t>Monthly Consumption per TAP Participant*</t>
  </si>
  <si>
    <t>CF and projected to be stable over time</t>
  </si>
  <si>
    <t>*Per Participant Data (Most Recent Period - Actual Data)</t>
  </si>
  <si>
    <t>Average Monthly Number of TAP Participants</t>
  </si>
  <si>
    <t>Total Number of TAP Participants</t>
  </si>
  <si>
    <t>Total TAP Discount</t>
  </si>
  <si>
    <t>Total TAP Water Consumption (CCF)</t>
  </si>
  <si>
    <t>Total TAP Sewer Consumption (CCF)</t>
  </si>
  <si>
    <t>Reconciled Period - Actual</t>
  </si>
  <si>
    <t>to</t>
  </si>
  <si>
    <t>Most Recent Period - Actual</t>
  </si>
  <si>
    <t>Most Recent Period - Projected</t>
  </si>
  <si>
    <t>Most Recent Period - Entire</t>
  </si>
  <si>
    <t>Next Rate Period</t>
  </si>
  <si>
    <t>Data Type</t>
  </si>
  <si>
    <t>Actual</t>
  </si>
  <si>
    <t>Projected</t>
  </si>
  <si>
    <t>Projected Increase in Participants</t>
  </si>
  <si>
    <t>Total Participants</t>
  </si>
  <si>
    <t>Discount</t>
  </si>
  <si>
    <t>Total Discounts</t>
  </si>
  <si>
    <t>Water Consumption</t>
  </si>
  <si>
    <t>Sewer Consumption</t>
  </si>
  <si>
    <t>Year</t>
  </si>
  <si>
    <t>Month</t>
  </si>
  <si>
    <t>Is TAP</t>
  </si>
  <si>
    <t>Customer Type</t>
  </si>
  <si>
    <t>Water Usage CCF</t>
  </si>
  <si>
    <t>Water Bill Amt</t>
  </si>
  <si>
    <t>Sewer Usage CCF</t>
  </si>
  <si>
    <t>Sewer Bill Amt</t>
  </si>
  <si>
    <t>TAP Participants</t>
  </si>
  <si>
    <t>TAP Bills</t>
  </si>
  <si>
    <t>TAP Credits</t>
  </si>
  <si>
    <t>Non-TAP</t>
  </si>
  <si>
    <t>No Discount</t>
  </si>
  <si>
    <t>Non-PHA</t>
  </si>
  <si>
    <t>PHA</t>
  </si>
  <si>
    <t>PWD</t>
  </si>
  <si>
    <t>Senior Discount</t>
  </si>
  <si>
    <t>TAP</t>
  </si>
  <si>
    <t>Customer Group</t>
  </si>
  <si>
    <t>Discount Group</t>
  </si>
  <si>
    <t>All Groups</t>
  </si>
  <si>
    <t>Senior Discount*</t>
  </si>
  <si>
    <t>PHA Discount</t>
  </si>
  <si>
    <t>Non-PHA Discount (Other discount)</t>
  </si>
  <si>
    <t>No Additional Discount</t>
  </si>
  <si>
    <t>PWD (not subject to reconciliation)</t>
  </si>
  <si>
    <t>Water Billed Volume Subtotals, by Customer Group</t>
  </si>
  <si>
    <t xml:space="preserve">*Senior Citizen Discount figures represent only those Senior Citizen Discount customers not enrolled in TAP. </t>
  </si>
  <si>
    <t>Senior Citizen Discount customers enrolled in TAP are included in the TAP Customer Group.</t>
  </si>
  <si>
    <t>Sewer Billed Volume Subtotals, by Customer Group</t>
  </si>
  <si>
    <t>Section 1) Activity on Applications Submitted between 11/5/2017 and 11/11/2017</t>
  </si>
  <si>
    <t>Total Submitted:</t>
  </si>
  <si>
    <t>Pending -&gt; In Progress</t>
  </si>
  <si>
    <t>In Progress</t>
  </si>
  <si>
    <t>Of Applications Submitted between 11/5/2017 and 11/11/2017, Status as of 11/11/2017 is:</t>
  </si>
  <si>
    <t>In Progress:</t>
  </si>
  <si>
    <t>Section 2) Status Changes between 11/5/2017 and 11/11/2017 on Applications Submitted before 11/5/2017</t>
  </si>
  <si>
    <t>Incomplete -&gt; In Progress</t>
  </si>
  <si>
    <t>Exception -&gt; In Progress</t>
  </si>
  <si>
    <t>Incomplete:</t>
  </si>
  <si>
    <t>In Progress -&gt; Incomplete</t>
  </si>
  <si>
    <t>Denied:</t>
  </si>
  <si>
    <t>In Progress -&gt; Denied</t>
  </si>
  <si>
    <t>Incomplete -&gt; Denied</t>
  </si>
  <si>
    <t>Exception:</t>
  </si>
  <si>
    <t>In Progress -&gt; Exception</t>
  </si>
  <si>
    <t>Approved:</t>
  </si>
  <si>
    <t>In Progress -&gt; Approved</t>
  </si>
  <si>
    <t>Active:</t>
  </si>
  <si>
    <t>In Progress -&gt; Active</t>
  </si>
  <si>
    <t>Incomplete -&gt; Active</t>
  </si>
  <si>
    <t>Approved -&gt; Active</t>
  </si>
  <si>
    <t>Closed:</t>
  </si>
  <si>
    <t>Active -&gt; Closed</t>
  </si>
  <si>
    <t>Section 3) Applications Submitted Since 7/1/2017 in Each Status as of 11/11/2017</t>
  </si>
  <si>
    <t>Of All Applications, Status as of 11/11/2017 is:</t>
  </si>
  <si>
    <t>Expired:</t>
  </si>
  <si>
    <t>WRBCC Recertification</t>
  </si>
  <si>
    <t>In Progress Applications</t>
  </si>
  <si>
    <t>Mass Mailing Data Date</t>
  </si>
  <si>
    <t>Count</t>
  </si>
  <si>
    <t>% of Decided Applications Approved</t>
  </si>
  <si>
    <t>Number of Outstanding Applications</t>
  </si>
  <si>
    <t>Assumptions</t>
  </si>
  <si>
    <t>Expected to be Approved</t>
  </si>
  <si>
    <t>WRBCC &lt;=150%</t>
  </si>
  <si>
    <t>Recert upon Plan Expiration (est)</t>
  </si>
  <si>
    <t>To be decided by</t>
  </si>
  <si>
    <t>Back on WRBCC AND &lt;=150% (est)</t>
  </si>
  <si>
    <t>Recert after Moratorium (est)</t>
  </si>
  <si>
    <t>(no longer eligible for WRBCC)</t>
  </si>
  <si>
    <t>PROJECTED SUBSCRIPTION 1 (4-YR RAMP)</t>
  </si>
  <si>
    <t>No. of TAP Bills</t>
  </si>
  <si>
    <t>Projected Increase</t>
  </si>
  <si>
    <t>Cost</t>
  </si>
  <si>
    <t>Discount per Bill</t>
  </si>
  <si>
    <t>WRBCC Additions</t>
  </si>
  <si>
    <t>Est. Cost</t>
  </si>
  <si>
    <t>Annual Growth Rate</t>
  </si>
  <si>
    <t>Enrollment at end</t>
  </si>
  <si>
    <t>FY2018</t>
  </si>
  <si>
    <t>FY2019</t>
  </si>
  <si>
    <t>FY2020</t>
  </si>
  <si>
    <t>FY2021</t>
  </si>
  <si>
    <t>FY2022</t>
  </si>
  <si>
    <t>Data in reporting are from reports run on static copy of basis2 dated 12/31/2025</t>
  </si>
  <si>
    <t>2026 TAP Reconcilable Rider Reports and Projection Model - FINAL STATIC Dec 2025</t>
  </si>
  <si>
    <t>Description of data source for Combined Data and reports DR-1, DR-2</t>
  </si>
  <si>
    <t>DR_1</t>
  </si>
  <si>
    <t>DR_2</t>
  </si>
  <si>
    <t>Water Monthly Retail Billed Volume</t>
  </si>
  <si>
    <t>Sewer Monthly Retail Billed Volume</t>
  </si>
  <si>
    <t xml:space="preserve">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</si>
</sst>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\$* #,##0.00_);_(\$* \(#,##0.00\);_(\$* &quot;-&quot;??_);_(@_)"/>
    <numFmt numFmtId="167" formatCode="[$-409]mmm\ yyyy"/>
    <numFmt numFmtId="168" formatCode="&quot;$&quot;#,##0"/>
    <numFmt numFmtId="169" formatCode="[$-409]mmmm\ yy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A9A9A9"/>
      <name val="Calibri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FFFF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176D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176D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176D2"/>
      </left>
      <right/>
      <top style="thin">
        <color rgb="FF2176D2"/>
      </top>
      <bottom/>
      <diagonal/>
    </border>
    <border>
      <left/>
      <right/>
      <top style="thin">
        <color rgb="FF2176D2"/>
      </top>
      <bottom/>
      <diagonal/>
    </border>
    <border>
      <left style="thin">
        <color rgb="FF2176D2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2176D2"/>
      </left>
      <right/>
      <top/>
      <bottom/>
      <diagonal/>
    </border>
    <border>
      <left style="thin">
        <color rgb="FF2176D2"/>
      </left>
      <right/>
      <top/>
      <bottom style="thin">
        <color rgb="FF2176D2"/>
      </bottom>
      <diagonal/>
    </border>
    <border>
      <left/>
      <right/>
      <top/>
      <bottom style="thin">
        <color rgb="FF2176D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4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</cellStyleXfs>
  <cellXfs count="180">
    <xf numFmtId="0" fontId="0" fillId="0" borderId="0" xfId="0"/>
    <xf numFmtId="164" fontId="0" fillId="0" borderId="0" xfId="42" applyNumberFormat="1" applyFont="1"/>
    <xf numFmtId="0" fontId="18" fillId="0" borderId="0" xfId="0" applyFont="1"/>
    <xf numFmtId="10" fontId="19" fillId="33" borderId="10" xfId="44" applyNumberFormat="1" applyFont="1" applyFill="1" applyBorder="1"/>
    <xf numFmtId="0" fontId="14" fillId="0" borderId="0" xfId="0" applyFont="1"/>
    <xf numFmtId="0" fontId="24" fillId="0" borderId="0" xfId="0" applyFont="1" applyAlignment="1">
      <alignment horizontal="justify" vertical="center"/>
    </xf>
    <xf numFmtId="0" fontId="0" fillId="35" borderId="0" xfId="0" applyFill="1"/>
    <xf numFmtId="0" fontId="25" fillId="35" borderId="0" xfId="0" applyFont="1" applyFill="1"/>
    <xf numFmtId="0" fontId="0" fillId="35" borderId="0" xfId="0" applyFill="1" applyAlignment="1">
      <alignment horizontal="right"/>
    </xf>
    <xf numFmtId="0" fontId="14" fillId="35" borderId="0" xfId="0" applyFont="1" applyFill="1"/>
    <xf numFmtId="14" fontId="14" fillId="35" borderId="0" xfId="0" applyNumberFormat="1" applyFont="1" applyFill="1"/>
    <xf numFmtId="0" fontId="26" fillId="0" borderId="0" xfId="0" applyFont="1"/>
    <xf numFmtId="0" fontId="20" fillId="0" borderId="0" xfId="45"/>
    <xf numFmtId="164" fontId="20" fillId="0" borderId="0" xfId="42" applyNumberFormat="1" applyFont="1"/>
    <xf numFmtId="0" fontId="27" fillId="0" borderId="0" xfId="45" applyFont="1" applyAlignment="1">
      <alignment indent="1"/>
    </xf>
    <xf numFmtId="164" fontId="27" fillId="0" borderId="0" xfId="42" applyNumberFormat="1" applyFont="1"/>
    <xf numFmtId="0" fontId="28" fillId="0" borderId="11" xfId="0" applyFont="1" applyBorder="1" applyAlignment="1">
      <alignment horizontal="center"/>
    </xf>
    <xf numFmtId="0" fontId="29" fillId="36" borderId="11" xfId="0" applyFont="1" applyFill="1" applyBorder="1"/>
    <xf numFmtId="164" fontId="29" fillId="36" borderId="11" xfId="42" applyNumberFormat="1" applyFont="1" applyFill="1" applyBorder="1"/>
    <xf numFmtId="0" fontId="0" fillId="0" borderId="0" xfId="0" applyAlignment="1">
      <alignment horizontal="right"/>
    </xf>
    <xf numFmtId="9" fontId="30" fillId="0" borderId="12" xfId="44" applyFont="1" applyFill="1" applyBorder="1"/>
    <xf numFmtId="0" fontId="29" fillId="0" borderId="13" xfId="0" applyFont="1" applyBorder="1"/>
    <xf numFmtId="164" fontId="29" fillId="0" borderId="13" xfId="42" applyNumberFormat="1" applyFont="1" applyBorder="1"/>
    <xf numFmtId="164" fontId="31" fillId="0" borderId="0" xfId="42" applyNumberFormat="1" applyFont="1"/>
    <xf numFmtId="164" fontId="30" fillId="0" borderId="12" xfId="42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9" fontId="29" fillId="33" borderId="10" xfId="0" applyNumberFormat="1" applyFont="1" applyFill="1" applyBorder="1"/>
    <xf numFmtId="0" fontId="29" fillId="33" borderId="10" xfId="42" applyNumberFormat="1" applyFont="1" applyFill="1" applyBorder="1"/>
    <xf numFmtId="9" fontId="0" fillId="0" borderId="0" xfId="0" applyNumberFormat="1"/>
    <xf numFmtId="164" fontId="32" fillId="0" borderId="0" xfId="42" applyNumberFormat="1" applyFont="1"/>
    <xf numFmtId="164" fontId="0" fillId="0" borderId="0" xfId="42" applyNumberFormat="1" applyFont="1" applyAlignment="1">
      <alignment horizontal="center" wrapText="1"/>
    </xf>
    <xf numFmtId="10" fontId="0" fillId="0" borderId="0" xfId="44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64" fontId="16" fillId="0" borderId="0" xfId="42" applyNumberFormat="1" applyFont="1"/>
    <xf numFmtId="10" fontId="0" fillId="0" borderId="0" xfId="44" applyNumberFormat="1" applyFont="1"/>
    <xf numFmtId="44" fontId="16" fillId="0" borderId="0" xfId="43" applyFont="1"/>
    <xf numFmtId="44" fontId="30" fillId="0" borderId="12" xfId="43" applyFont="1" applyFill="1" applyBorder="1"/>
    <xf numFmtId="43" fontId="0" fillId="0" borderId="0" xfId="42" applyFont="1"/>
    <xf numFmtId="10" fontId="30" fillId="0" borderId="12" xfId="44" applyNumberFormat="1" applyFont="1" applyFill="1" applyBorder="1"/>
    <xf numFmtId="44" fontId="35" fillId="0" borderId="0" xfId="43" applyFont="1"/>
    <xf numFmtId="43" fontId="36" fillId="0" borderId="0" xfId="42" applyFont="1"/>
    <xf numFmtId="43" fontId="0" fillId="0" borderId="0" xfId="42" applyFont="1" applyFill="1"/>
    <xf numFmtId="10" fontId="30" fillId="0" borderId="17" xfId="44" applyNumberFormat="1" applyFont="1" applyFill="1" applyBorder="1"/>
    <xf numFmtId="164" fontId="35" fillId="0" borderId="0" xfId="42" applyNumberFormat="1" applyFont="1" applyBorder="1"/>
    <xf numFmtId="0" fontId="0" fillId="0" borderId="16" xfId="0" applyBorder="1"/>
    <xf numFmtId="164" fontId="35" fillId="0" borderId="16" xfId="42" applyNumberFormat="1" applyFont="1" applyBorder="1"/>
    <xf numFmtId="10" fontId="19" fillId="33" borderId="18" xfId="44" applyNumberFormat="1" applyFont="1" applyFill="1" applyBorder="1"/>
    <xf numFmtId="44" fontId="35" fillId="0" borderId="16" xfId="43" applyFont="1" applyBorder="1"/>
    <xf numFmtId="168" fontId="36" fillId="0" borderId="0" xfId="42" applyNumberFormat="1" applyFont="1"/>
    <xf numFmtId="164" fontId="35" fillId="0" borderId="0" xfId="42" applyNumberFormat="1" applyFont="1"/>
    <xf numFmtId="10" fontId="19" fillId="33" borderId="15" xfId="44" applyNumberFormat="1" applyFont="1" applyFill="1" applyBorder="1"/>
    <xf numFmtId="0" fontId="0" fillId="37" borderId="0" xfId="0" applyFill="1"/>
    <xf numFmtId="164" fontId="35" fillId="37" borderId="0" xfId="42" applyNumberFormat="1" applyFont="1" applyFill="1"/>
    <xf numFmtId="164" fontId="28" fillId="0" borderId="11" xfId="42" applyNumberFormat="1" applyFont="1" applyBorder="1" applyAlignment="1">
      <alignment horizontal="center"/>
    </xf>
    <xf numFmtId="164" fontId="28" fillId="0" borderId="11" xfId="42" applyNumberFormat="1" applyFont="1" applyBorder="1" applyAlignment="1">
      <alignment horizontal="center" wrapText="1"/>
    </xf>
    <xf numFmtId="165" fontId="29" fillId="36" borderId="11" xfId="43" applyNumberFormat="1" applyFont="1" applyFill="1" applyBorder="1"/>
    <xf numFmtId="0" fontId="29" fillId="0" borderId="0" xfId="0" applyFont="1"/>
    <xf numFmtId="165" fontId="29" fillId="0" borderId="0" xfId="43" applyNumberFormat="1" applyFont="1"/>
    <xf numFmtId="9" fontId="29" fillId="0" borderId="0" xfId="44" applyFont="1"/>
    <xf numFmtId="164" fontId="29" fillId="0" borderId="0" xfId="42" applyNumberFormat="1" applyFont="1"/>
    <xf numFmtId="0" fontId="29" fillId="36" borderId="0" xfId="0" applyFont="1" applyFill="1"/>
    <xf numFmtId="165" fontId="29" fillId="36" borderId="0" xfId="43" applyNumberFormat="1" applyFont="1" applyFill="1"/>
    <xf numFmtId="9" fontId="29" fillId="36" borderId="0" xfId="44" applyFont="1" applyFill="1"/>
    <xf numFmtId="164" fontId="29" fillId="36" borderId="0" xfId="42" applyNumberFormat="1" applyFont="1" applyFill="1"/>
    <xf numFmtId="165" fontId="14" fillId="0" borderId="0" xfId="43" applyNumberFormat="1" applyFont="1"/>
    <xf numFmtId="9" fontId="14" fillId="0" borderId="0" xfId="44" applyFont="1"/>
    <xf numFmtId="164" fontId="14" fillId="0" borderId="0" xfId="42" applyNumberFormat="1" applyFont="1"/>
    <xf numFmtId="164" fontId="0" fillId="0" borderId="0" xfId="0" applyNumberFormat="1"/>
    <xf numFmtId="3" fontId="0" fillId="0" borderId="0" xfId="0" applyNumberFormat="1"/>
    <xf numFmtId="0" fontId="18" fillId="0" borderId="19" xfId="0" applyFont="1" applyBorder="1"/>
    <xf numFmtId="164" fontId="16" fillId="0" borderId="0" xfId="42" applyNumberFormat="1" applyFont="1" applyBorder="1"/>
    <xf numFmtId="164" fontId="0" fillId="0" borderId="0" xfId="42" applyNumberFormat="1" applyFont="1" applyBorder="1"/>
    <xf numFmtId="164" fontId="16" fillId="0" borderId="25" xfId="42" applyNumberFormat="1" applyFont="1" applyBorder="1"/>
    <xf numFmtId="164" fontId="23" fillId="0" borderId="0" xfId="46" applyNumberFormat="1"/>
    <xf numFmtId="166" fontId="20" fillId="0" borderId="0" xfId="46" applyNumberFormat="1" applyFont="1"/>
    <xf numFmtId="0" fontId="37" fillId="0" borderId="24" xfId="0" applyFont="1" applyBorder="1"/>
    <xf numFmtId="0" fontId="38" fillId="0" borderId="22" xfId="0" applyFont="1" applyBorder="1"/>
    <xf numFmtId="0" fontId="39" fillId="0" borderId="22" xfId="0" applyFont="1" applyBorder="1"/>
    <xf numFmtId="0" fontId="40" fillId="0" borderId="22" xfId="0" applyFont="1" applyBorder="1"/>
    <xf numFmtId="0" fontId="0" fillId="0" borderId="0" xfId="0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/>
    <xf numFmtId="0" fontId="38" fillId="0" borderId="0" xfId="0" applyFont="1"/>
    <xf numFmtId="0" fontId="37" fillId="0" borderId="25" xfId="0" applyFont="1" applyBorder="1"/>
    <xf numFmtId="0" fontId="16" fillId="0" borderId="20" xfId="0" applyFont="1" applyBorder="1" applyAlignment="1">
      <alignment horizontal="center" wrapText="1"/>
    </xf>
    <xf numFmtId="164" fontId="0" fillId="0" borderId="0" xfId="42" applyNumberFormat="1" applyFont="1" applyFill="1" applyBorder="1"/>
    <xf numFmtId="0" fontId="0" fillId="0" borderId="27" xfId="0" applyBorder="1"/>
    <xf numFmtId="0" fontId="0" fillId="0" borderId="28" xfId="0" applyBorder="1"/>
    <xf numFmtId="10" fontId="19" fillId="33" borderId="29" xfId="44" applyNumberFormat="1" applyFont="1" applyFill="1" applyBorder="1"/>
    <xf numFmtId="0" fontId="21" fillId="34" borderId="30" xfId="46" applyFont="1" applyFill="1" applyBorder="1" applyAlignment="1">
      <alignment horizontal="left"/>
    </xf>
    <xf numFmtId="0" fontId="22" fillId="0" borderId="30" xfId="46" applyFont="1" applyBorder="1" applyAlignment="1">
      <alignment horizontal="right"/>
    </xf>
    <xf numFmtId="0" fontId="22" fillId="0" borderId="31" xfId="46" applyFont="1" applyBorder="1" applyAlignment="1">
      <alignment horizontal="right"/>
    </xf>
    <xf numFmtId="3" fontId="0" fillId="0" borderId="32" xfId="0" applyNumberFormat="1" applyBorder="1"/>
    <xf numFmtId="164" fontId="0" fillId="0" borderId="32" xfId="42" applyNumberFormat="1" applyFont="1" applyFill="1" applyBorder="1"/>
    <xf numFmtId="0" fontId="39" fillId="0" borderId="0" xfId="0" applyFont="1"/>
    <xf numFmtId="0" fontId="40" fillId="0" borderId="0" xfId="0" applyFont="1"/>
    <xf numFmtId="169" fontId="40" fillId="0" borderId="0" xfId="0" quotePrefix="1" applyNumberFormat="1" applyFont="1"/>
    <xf numFmtId="169" fontId="38" fillId="0" borderId="0" xfId="0" applyNumberFormat="1" applyFont="1"/>
    <xf numFmtId="169" fontId="37" fillId="0" borderId="25" xfId="0" quotePrefix="1" applyNumberFormat="1" applyFont="1" applyBorder="1"/>
    <xf numFmtId="165" fontId="16" fillId="0" borderId="0" xfId="43" applyNumberFormat="1" applyFont="1" applyBorder="1"/>
    <xf numFmtId="165" fontId="0" fillId="0" borderId="0" xfId="43" applyNumberFormat="1" applyFont="1" applyBorder="1"/>
    <xf numFmtId="165" fontId="16" fillId="0" borderId="25" xfId="43" applyNumberFormat="1" applyFont="1" applyBorder="1"/>
    <xf numFmtId="164" fontId="16" fillId="0" borderId="25" xfId="42" applyNumberFormat="1" applyFont="1" applyFill="1" applyBorder="1"/>
    <xf numFmtId="169" fontId="39" fillId="33" borderId="0" xfId="0" quotePrefix="1" applyNumberFormat="1" applyFont="1" applyFill="1"/>
    <xf numFmtId="169" fontId="40" fillId="33" borderId="0" xfId="0" quotePrefix="1" applyNumberFormat="1" applyFont="1" applyFill="1"/>
    <xf numFmtId="0" fontId="13" fillId="0" borderId="0" xfId="0" applyFont="1"/>
    <xf numFmtId="0" fontId="13" fillId="39" borderId="0" xfId="0" applyFont="1" applyFill="1"/>
    <xf numFmtId="0" fontId="13" fillId="38" borderId="0" xfId="0" applyFont="1" applyFill="1"/>
    <xf numFmtId="167" fontId="21" fillId="34" borderId="0" xfId="47" applyNumberFormat="1" applyFont="1" applyFill="1" applyAlignment="1">
      <alignment horizontal="center"/>
    </xf>
    <xf numFmtId="164" fontId="20" fillId="0" borderId="0" xfId="47" applyNumberFormat="1"/>
    <xf numFmtId="166" fontId="20" fillId="0" borderId="0" xfId="47" applyNumberFormat="1"/>
    <xf numFmtId="167" fontId="21" fillId="34" borderId="0" xfId="46" applyNumberFormat="1" applyFont="1" applyFill="1" applyAlignment="1">
      <alignment horizontal="center"/>
    </xf>
    <xf numFmtId="164" fontId="16" fillId="0" borderId="33" xfId="42" applyNumberFormat="1" applyFont="1" applyBorder="1"/>
    <xf numFmtId="164" fontId="16" fillId="0" borderId="23" xfId="42" applyNumberFormat="1" applyFont="1" applyBorder="1"/>
    <xf numFmtId="164" fontId="16" fillId="0" borderId="26" xfId="42" applyNumberFormat="1" applyFont="1" applyFill="1" applyBorder="1"/>
    <xf numFmtId="0" fontId="0" fillId="0" borderId="23" xfId="0" applyBorder="1"/>
    <xf numFmtId="0" fontId="0" fillId="0" borderId="0" xfId="43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/>
    <xf numFmtId="0" fontId="0" fillId="0" borderId="26" xfId="0" applyBorder="1"/>
    <xf numFmtId="0" fontId="0" fillId="0" borderId="34" xfId="0" applyBorder="1"/>
    <xf numFmtId="0" fontId="0" fillId="0" borderId="35" xfId="0" applyBorder="1"/>
    <xf numFmtId="0" fontId="16" fillId="0" borderId="22" xfId="0" applyFont="1" applyBorder="1"/>
    <xf numFmtId="0" fontId="0" fillId="0" borderId="22" xfId="0" applyBorder="1"/>
    <xf numFmtId="0" fontId="41" fillId="0" borderId="22" xfId="0" applyFont="1" applyBorder="1" applyAlignment="1">
      <alignment horizontal="left" indent="1"/>
    </xf>
    <xf numFmtId="0" fontId="0" fillId="0" borderId="24" xfId="0" applyBorder="1"/>
    <xf numFmtId="0" fontId="16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43" fontId="0" fillId="0" borderId="0" xfId="0" applyNumberFormat="1"/>
    <xf numFmtId="0" fontId="16" fillId="35" borderId="0" xfId="0" applyFont="1" applyFill="1"/>
    <xf numFmtId="14" fontId="0" fillId="0" borderId="0" xfId="0" applyNumberFormat="1" applyAlignment="1">
      <alignment horizontal="left"/>
    </xf>
    <xf numFmtId="0" fontId="44" fillId="0" borderId="0" xfId="0" applyFont="1"/>
    <xf numFmtId="14" fontId="44" fillId="0" borderId="0" xfId="0" applyNumberFormat="1" applyFont="1"/>
    <xf numFmtId="0" fontId="44" fillId="0" borderId="0" xfId="0" quotePrefix="1" applyFont="1"/>
    <xf numFmtId="17" fontId="44" fillId="0" borderId="0" xfId="0" quotePrefix="1" applyNumberFormat="1" applyFont="1"/>
    <xf numFmtId="44" fontId="0" fillId="0" borderId="0" xfId="43" applyFont="1" applyBorder="1" applyAlignment="1">
      <alignment horizontal="right" wrapText="1"/>
    </xf>
    <xf numFmtId="1" fontId="0" fillId="0" borderId="0" xfId="0" applyNumberFormat="1" applyAlignment="1">
      <alignment horizontal="right" wrapText="1"/>
    </xf>
    <xf numFmtId="0" fontId="46" fillId="0" borderId="0" xfId="0" applyFont="1"/>
    <xf numFmtId="44" fontId="45" fillId="0" borderId="0" xfId="43" applyFont="1" applyFill="1"/>
    <xf numFmtId="1" fontId="45" fillId="0" borderId="0" xfId="0" applyNumberFormat="1" applyFont="1"/>
    <xf numFmtId="0" fontId="45" fillId="0" borderId="0" xfId="0" applyFont="1"/>
    <xf numFmtId="14" fontId="0" fillId="0" borderId="0" xfId="0" applyNumberFormat="1"/>
    <xf numFmtId="166" fontId="20" fillId="0" borderId="0" xfId="45" applyNumberFormat="1"/>
    <xf numFmtId="164" fontId="20" fillId="0" borderId="0" xfId="45" applyNumberFormat="1"/>
    <xf numFmtId="0" fontId="31" fillId="40" borderId="0" xfId="0" applyFont="1" applyFill="1"/>
    <xf numFmtId="0" fontId="47" fillId="0" borderId="0" xfId="0" applyFont="1"/>
    <xf numFmtId="0" fontId="0" fillId="41" borderId="0" xfId="0" applyFill="1"/>
    <xf numFmtId="0" fontId="21" fillId="34" borderId="37" xfId="0" applyFont="1" applyFill="1" applyBorder="1" applyAlignment="1">
      <alignment horizontal="left"/>
    </xf>
    <xf numFmtId="0" fontId="21" fillId="34" borderId="16" xfId="0" applyFont="1" applyFill="1" applyBorder="1" applyAlignment="1">
      <alignment horizontal="left"/>
    </xf>
    <xf numFmtId="0" fontId="21" fillId="34" borderId="38" xfId="0" applyFont="1" applyFill="1" applyBorder="1"/>
    <xf numFmtId="164" fontId="21" fillId="34" borderId="38" xfId="0" applyNumberFormat="1" applyFont="1" applyFill="1" applyBorder="1"/>
    <xf numFmtId="3" fontId="21" fillId="34" borderId="38" xfId="0" applyNumberFormat="1" applyFont="1" applyFill="1" applyBorder="1" applyAlignment="1">
      <alignment wrapText="1"/>
    </xf>
    <xf numFmtId="0" fontId="0" fillId="0" borderId="38" xfId="0" applyBorder="1"/>
    <xf numFmtId="0" fontId="26" fillId="0" borderId="38" xfId="0" applyFont="1" applyBorder="1"/>
    <xf numFmtId="164" fontId="26" fillId="0" borderId="38" xfId="42" applyNumberFormat="1" applyFont="1" applyBorder="1"/>
    <xf numFmtId="3" fontId="0" fillId="0" borderId="38" xfId="0" applyNumberFormat="1" applyBorder="1"/>
    <xf numFmtId="0" fontId="14" fillId="0" borderId="38" xfId="0" applyFont="1" applyBorder="1"/>
    <xf numFmtId="0" fontId="21" fillId="34" borderId="38" xfId="0" applyFont="1" applyFill="1" applyBorder="1" applyAlignment="1">
      <alignment horizontal="center"/>
    </xf>
    <xf numFmtId="166" fontId="0" fillId="0" borderId="0" xfId="0" applyNumberFormat="1"/>
    <xf numFmtId="0" fontId="20" fillId="0" borderId="0" xfId="45" applyAlignment="1">
      <alignment wrapText="1"/>
    </xf>
    <xf numFmtId="3" fontId="20" fillId="0" borderId="0" xfId="45" applyNumberFormat="1"/>
    <xf numFmtId="0" fontId="48" fillId="34" borderId="0" xfId="0" applyFont="1" applyFill="1" applyAlignment="1">
      <alignment wrapText="1"/>
    </xf>
    <xf numFmtId="3" fontId="48" fillId="34" borderId="0" xfId="0" applyNumberFormat="1" applyFont="1" applyFill="1" applyAlignment="1">
      <alignment wrapText="1"/>
    </xf>
    <xf numFmtId="166" fontId="48" fillId="34" borderId="0" xfId="0" applyNumberFormat="1" applyFont="1" applyFill="1" applyAlignment="1">
      <alignment wrapText="1"/>
    </xf>
    <xf numFmtId="164" fontId="48" fillId="34" borderId="0" xfId="0" applyNumberFormat="1" applyFont="1" applyFill="1" applyAlignment="1">
      <alignment wrapText="1"/>
    </xf>
    <xf numFmtId="0" fontId="21" fillId="41" borderId="36" xfId="0" applyFont="1" applyFill="1" applyBorder="1" applyAlignment="1">
      <alignment horizontal="left"/>
    </xf>
    <xf numFmtId="0" fontId="21" fillId="41" borderId="0" xfId="0" applyFont="1" applyFill="1" applyAlignment="1">
      <alignment horizontal="left"/>
    </xf>
    <xf numFmtId="0" fontId="21" fillId="34" borderId="37" xfId="0" applyFont="1" applyFill="1" applyBorder="1" applyAlignment="1">
      <alignment horizontal="left"/>
    </xf>
    <xf numFmtId="0" fontId="21" fillId="34" borderId="16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21" fillId="34" borderId="0" xfId="45" applyFont="1" applyFill="1" applyAlignment="1">
      <alignment wrapText="1"/>
    </xf>
    <xf numFmtId="0" fontId="20" fillId="0" borderId="0" xfId="45" applyAlignment="1">
      <alignment wrapText="1"/>
    </xf>
    <xf numFmtId="0" fontId="22" fillId="0" borderId="0" xfId="45" applyFont="1"/>
    <xf numFmtId="0" fontId="20" fillId="0" borderId="0" xfId="45"/>
    <xf numFmtId="0" fontId="16" fillId="0" borderId="0" xfId="0" applyFont="1" applyAlignment="1">
      <alignment horizontal="center" vertical="center"/>
    </xf>
    <xf numFmtId="9" fontId="29" fillId="33" borderId="14" xfId="0" applyNumberFormat="1" applyFont="1" applyFill="1" applyBorder="1" applyAlignment="1">
      <alignment horizontal="right" vertical="center"/>
    </xf>
    <xf numFmtId="9" fontId="29" fillId="33" borderId="15" xfId="0" applyNumberFormat="1" applyFont="1" applyFill="1" applyBorder="1" applyAlignment="1">
      <alignment horizontal="right" vertical="center"/>
    </xf>
    <xf numFmtId="164" fontId="0" fillId="0" borderId="16" xfId="42" applyNumberFormat="1" applyFont="1" applyBorder="1" applyAlignment="1">
      <alignment horizont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9" xr:uid="{2335FF84-5FBA-4EBD-9BC9-92E447EAE98C}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00000000-0005-0000-0000-000027000000}"/>
    <cellStyle name="Normal 3" xfId="46" xr:uid="{00000000-0005-0000-0000-000028000000}"/>
    <cellStyle name="Normal 3 2" xfId="47" xr:uid="{F78064FE-9DE0-4D69-A761-6B9ACF6F9114}"/>
    <cellStyle name="Normal 4" xfId="48" xr:uid="{A03FED56-F493-4B0C-AF80-656EEB9227B0}"/>
    <cellStyle name="Normal 5" xfId="51" xr:uid="{21D17166-2F59-4DCA-9433-A28EEF4E3FC3}"/>
    <cellStyle name="Note" xfId="15" builtinId="10" customBuiltin="1"/>
    <cellStyle name="Output" xfId="10" builtinId="21" customBuiltin="1"/>
    <cellStyle name="Percent" xfId="44" builtinId="5"/>
    <cellStyle name="Percent 2" xfId="50" xr:uid="{35628409-E516-4CCF-B950-2E253DEDD82F}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21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37950</xdr:colOff>
      <xdr:row>3</xdr:row>
      <xdr:rowOff>143574</xdr:rowOff>
    </xdr:from>
    <xdr:to>
      <xdr:col>5</xdr:col>
      <xdr:colOff>510820</xdr:colOff>
      <xdr:row>6</xdr:row>
      <xdr:rowOff>68543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9719D-27CC-4367-A3F0-CD2D00AD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29" y="837752"/>
          <a:ext cx="3139471" cy="47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79998168889431442"/>
    <pageSetUpPr fitToPage="1"/>
  </sheetPr>
  <dimension ref="A2:B11"/>
  <sheetViews>
    <sheetView tabSelected="1" zoomScaleNormal="100" workbookViewId="0">
      <selection activeCell="B25" sqref="B25"/>
    </sheetView>
  </sheetViews>
  <sheetFormatPr defaultColWidth="9.1328125" defaultRowHeight="14.25" x14ac:dyDescent="0.45"/>
  <cols>
    <col min="1" max="1" width="9.1328125" style="6"/>
    <col min="2" max="2" width="9.59765625" style="6" bestFit="1" customWidth="1"/>
    <col min="3" max="16384" width="9.1328125" style="6"/>
  </cols>
  <sheetData>
    <row r="2" spans="1:2" x14ac:dyDescent="0.45">
      <c r="B2" s="131" t="s">
        <v>131</v>
      </c>
    </row>
    <row r="3" spans="1:2" ht="26.65" customHeight="1" x14ac:dyDescent="0.85">
      <c r="A3" s="8" t="s">
        <v>0</v>
      </c>
      <c r="B3" s="7" t="s">
        <v>1</v>
      </c>
    </row>
    <row r="4" spans="1:2" x14ac:dyDescent="0.45">
      <c r="A4" s="8"/>
    </row>
    <row r="5" spans="1:2" x14ac:dyDescent="0.45">
      <c r="A5" s="8" t="s">
        <v>2</v>
      </c>
    </row>
    <row r="9" spans="1:2" x14ac:dyDescent="0.45">
      <c r="B9" s="9"/>
    </row>
    <row r="10" spans="1:2" x14ac:dyDescent="0.45">
      <c r="B10" s="9"/>
    </row>
    <row r="11" spans="1:2" x14ac:dyDescent="0.45">
      <c r="B11" s="10"/>
    </row>
  </sheetData>
  <pageMargins left="0.7" right="0.7" top="0.75" bottom="0.75" header="0.3" footer="0.3"/>
  <pageSetup orientation="landscape" r:id="rId1"/>
  <headerFooter>
    <oddHeader>&amp;L2026 TAP Reconcilable Rider Reports and Projection Model: 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B2:I18"/>
  <sheetViews>
    <sheetView workbookViewId="0"/>
  </sheetViews>
  <sheetFormatPr defaultColWidth="8.86328125" defaultRowHeight="14.25" x14ac:dyDescent="0.45"/>
  <cols>
    <col min="1" max="1" width="2.86328125" customWidth="1"/>
    <col min="2" max="2" width="26.3984375" bestFit="1" customWidth="1"/>
    <col min="3" max="3" width="9.3984375" bestFit="1" customWidth="1"/>
    <col min="8" max="8" width="14.1328125" customWidth="1"/>
    <col min="9" max="9" width="11.3984375" bestFit="1" customWidth="1"/>
  </cols>
  <sheetData>
    <row r="2" spans="2:9" x14ac:dyDescent="0.45">
      <c r="B2" s="176" t="s">
        <v>102</v>
      </c>
      <c r="C2" s="176"/>
    </row>
    <row r="3" spans="2:9" x14ac:dyDescent="0.45">
      <c r="H3" s="176" t="s">
        <v>103</v>
      </c>
      <c r="I3" s="176"/>
    </row>
    <row r="4" spans="2:9" x14ac:dyDescent="0.45">
      <c r="B4" s="16" t="s">
        <v>104</v>
      </c>
      <c r="C4" s="16" t="s">
        <v>105</v>
      </c>
    </row>
    <row r="5" spans="2:9" x14ac:dyDescent="0.45">
      <c r="B5" s="17">
        <v>20171105</v>
      </c>
      <c r="C5" s="18">
        <v>1182</v>
      </c>
      <c r="H5" s="19" t="s">
        <v>106</v>
      </c>
      <c r="I5" s="20">
        <f>SUM('051018 Model_Applications'!B39:B40)/SUM('051018 Model_Applications'!B35,'051018 Model_Applications'!B37,'051018 Model_Applications'!B39,'051018 Model_Applications'!B40)</f>
        <v>0.59217625899280579</v>
      </c>
    </row>
    <row r="6" spans="2:9" x14ac:dyDescent="0.45">
      <c r="B6" s="21">
        <v>20171023</v>
      </c>
      <c r="C6" s="22">
        <v>1116</v>
      </c>
    </row>
    <row r="7" spans="2:9" x14ac:dyDescent="0.45">
      <c r="C7" s="23">
        <f>SUM(C5:C6)</f>
        <v>2298</v>
      </c>
      <c r="H7" s="19" t="s">
        <v>107</v>
      </c>
      <c r="I7" s="24">
        <f>'051018 Model_Applications'!B34+'051018 Model_Applications'!B38</f>
        <v>6159</v>
      </c>
    </row>
    <row r="9" spans="2:9" x14ac:dyDescent="0.45">
      <c r="C9" s="25" t="s">
        <v>108</v>
      </c>
      <c r="H9" s="19" t="s">
        <v>109</v>
      </c>
      <c r="I9" s="24">
        <f>ROUND(I7*I5,0)</f>
        <v>3647</v>
      </c>
    </row>
    <row r="10" spans="2:9" ht="4.9000000000000004" customHeight="1" x14ac:dyDescent="0.45">
      <c r="C10" s="2"/>
    </row>
    <row r="11" spans="2:9" x14ac:dyDescent="0.45">
      <c r="B11" s="26" t="s">
        <v>110</v>
      </c>
      <c r="C11" s="27">
        <v>0.84279797514956278</v>
      </c>
    </row>
    <row r="12" spans="2:9" ht="4.9000000000000004" customHeight="1" x14ac:dyDescent="0.45">
      <c r="B12" s="19"/>
    </row>
    <row r="13" spans="2:9" x14ac:dyDescent="0.45">
      <c r="B13" s="19" t="s">
        <v>111</v>
      </c>
      <c r="C13" s="27">
        <v>0.3</v>
      </c>
      <c r="H13" s="19" t="s">
        <v>112</v>
      </c>
      <c r="I13" s="28">
        <v>201801</v>
      </c>
    </row>
    <row r="14" spans="2:9" ht="4.9000000000000004" customHeight="1" x14ac:dyDescent="0.45">
      <c r="B14" s="19"/>
      <c r="C14" s="29"/>
    </row>
    <row r="15" spans="2:9" x14ac:dyDescent="0.45">
      <c r="B15" s="19" t="s">
        <v>113</v>
      </c>
      <c r="C15" s="27">
        <v>0.02</v>
      </c>
      <c r="H15" s="19"/>
      <c r="I15" s="30"/>
    </row>
    <row r="16" spans="2:9" ht="4.9000000000000004" customHeight="1" x14ac:dyDescent="0.45">
      <c r="B16" s="19"/>
    </row>
    <row r="17" spans="2:3" x14ac:dyDescent="0.45">
      <c r="B17" s="19" t="s">
        <v>114</v>
      </c>
      <c r="C17" s="177">
        <v>0.6</v>
      </c>
    </row>
    <row r="18" spans="2:3" x14ac:dyDescent="0.45">
      <c r="B18" s="19" t="s">
        <v>115</v>
      </c>
      <c r="C18" s="178"/>
    </row>
  </sheetData>
  <mergeCells count="3">
    <mergeCell ref="B2:C2"/>
    <mergeCell ref="H3:I3"/>
    <mergeCell ref="C17:C18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B1:G62"/>
  <sheetViews>
    <sheetView workbookViewId="0"/>
  </sheetViews>
  <sheetFormatPr defaultColWidth="8.86328125" defaultRowHeight="14.25" x14ac:dyDescent="0.45"/>
  <cols>
    <col min="1" max="1" width="2.86328125" customWidth="1"/>
    <col min="3" max="3" width="12.265625" style="1" customWidth="1"/>
    <col min="4" max="4" width="9.3984375" style="35" customWidth="1"/>
    <col min="5" max="5" width="14.265625" customWidth="1"/>
    <col min="6" max="6" width="15" customWidth="1"/>
    <col min="7" max="7" width="9.3984375" customWidth="1"/>
  </cols>
  <sheetData>
    <row r="1" spans="2:7" x14ac:dyDescent="0.45">
      <c r="C1" s="179" t="s">
        <v>116</v>
      </c>
      <c r="D1" s="179"/>
      <c r="E1" s="179"/>
      <c r="F1" s="179"/>
      <c r="G1" s="179"/>
    </row>
    <row r="2" spans="2:7" ht="28.5" x14ac:dyDescent="0.45">
      <c r="C2" s="31" t="s">
        <v>117</v>
      </c>
      <c r="D2" s="32" t="s">
        <v>118</v>
      </c>
      <c r="E2" s="33" t="s">
        <v>119</v>
      </c>
      <c r="F2" s="33" t="s">
        <v>120</v>
      </c>
      <c r="G2" s="33" t="s">
        <v>121</v>
      </c>
    </row>
    <row r="3" spans="2:7" x14ac:dyDescent="0.45">
      <c r="B3">
        <v>201707</v>
      </c>
      <c r="C3" s="34">
        <v>0</v>
      </c>
      <c r="E3" s="36">
        <v>0</v>
      </c>
      <c r="F3" s="1"/>
      <c r="G3" s="1"/>
    </row>
    <row r="4" spans="2:7" x14ac:dyDescent="0.45">
      <c r="B4">
        <v>201708</v>
      </c>
      <c r="C4" s="34">
        <v>765</v>
      </c>
      <c r="E4" s="36">
        <v>41654.159999999974</v>
      </c>
      <c r="F4" s="37">
        <v>54.61</v>
      </c>
      <c r="G4" s="38"/>
    </row>
    <row r="5" spans="2:7" x14ac:dyDescent="0.45">
      <c r="B5">
        <v>201709</v>
      </c>
      <c r="C5" s="34">
        <v>1434</v>
      </c>
      <c r="D5" s="39">
        <f>(C5-C4)/C4</f>
        <v>0.87450980392156863</v>
      </c>
      <c r="E5" s="36">
        <v>92609.250000000102</v>
      </c>
      <c r="G5" s="38"/>
    </row>
    <row r="6" spans="2:7" x14ac:dyDescent="0.45">
      <c r="B6">
        <v>201710</v>
      </c>
      <c r="C6" s="34">
        <v>1992</v>
      </c>
      <c r="D6" s="39">
        <f t="shared" ref="D6:D12" si="0">(C6-C5)/C5</f>
        <v>0.38912133891213391</v>
      </c>
      <c r="E6" s="36">
        <v>112973.10000000002</v>
      </c>
      <c r="G6" s="38"/>
    </row>
    <row r="7" spans="2:7" x14ac:dyDescent="0.45">
      <c r="B7">
        <v>201711</v>
      </c>
      <c r="C7" s="34">
        <v>2615</v>
      </c>
      <c r="D7" s="39">
        <f t="shared" si="0"/>
        <v>0.31275100401606426</v>
      </c>
      <c r="E7" s="40">
        <f t="shared" ref="E7:E62" si="1">C7*F$4</f>
        <v>142805.15</v>
      </c>
      <c r="F7" s="41"/>
      <c r="G7" s="42"/>
    </row>
    <row r="8" spans="2:7" x14ac:dyDescent="0.45">
      <c r="B8">
        <v>201712</v>
      </c>
      <c r="C8" s="34">
        <v>3900</v>
      </c>
      <c r="D8" s="39">
        <f t="shared" si="0"/>
        <v>0.491395793499044</v>
      </c>
      <c r="E8" s="40">
        <f t="shared" si="1"/>
        <v>212979</v>
      </c>
      <c r="F8" s="41"/>
      <c r="G8" s="24">
        <f>'051018 Model_Assumptions'!C13*'051018 Model_Assumptions'!C11*(1-'051018 Model_Assumptions'!C15)*'051018 Model_Assumptions'!C7</f>
        <v>569.40442558674636</v>
      </c>
    </row>
    <row r="9" spans="2:7" x14ac:dyDescent="0.45">
      <c r="B9">
        <v>201801</v>
      </c>
      <c r="C9" s="34">
        <v>5206</v>
      </c>
      <c r="D9" s="39">
        <f t="shared" si="0"/>
        <v>0.33487179487179486</v>
      </c>
      <c r="E9" s="40">
        <f t="shared" si="1"/>
        <v>284299.65999999997</v>
      </c>
      <c r="F9" s="41"/>
      <c r="G9" s="42"/>
    </row>
    <row r="10" spans="2:7" x14ac:dyDescent="0.45">
      <c r="B10">
        <v>201802</v>
      </c>
      <c r="C10" s="34">
        <v>6150</v>
      </c>
      <c r="D10" s="39">
        <f t="shared" si="0"/>
        <v>0.18132923549750288</v>
      </c>
      <c r="E10" s="40">
        <f t="shared" si="1"/>
        <v>335851.5</v>
      </c>
      <c r="F10" s="41"/>
      <c r="G10" s="42"/>
    </row>
    <row r="11" spans="2:7" x14ac:dyDescent="0.45">
      <c r="B11">
        <v>201803</v>
      </c>
      <c r="C11" s="34">
        <v>7197</v>
      </c>
      <c r="D11" s="39">
        <f t="shared" si="0"/>
        <v>0.1702439024390244</v>
      </c>
      <c r="E11" s="40">
        <f t="shared" si="1"/>
        <v>393028.17</v>
      </c>
      <c r="F11" s="41"/>
      <c r="G11" s="42"/>
    </row>
    <row r="12" spans="2:7" x14ac:dyDescent="0.45">
      <c r="B12">
        <v>201804</v>
      </c>
      <c r="C12" s="34">
        <v>8081</v>
      </c>
      <c r="D12" s="43">
        <f t="shared" si="0"/>
        <v>0.12282895650965681</v>
      </c>
      <c r="E12" s="40">
        <f t="shared" si="1"/>
        <v>441303.41</v>
      </c>
      <c r="F12" s="41"/>
      <c r="G12" s="24">
        <f>'051018 Model_Assumptions'!C17*'051018 Model_Assumptions'!C11*'051018 Model_Assumptions'!C7</f>
        <v>1162.049848136217</v>
      </c>
    </row>
    <row r="13" spans="2:7" x14ac:dyDescent="0.45">
      <c r="B13">
        <v>201805</v>
      </c>
      <c r="C13" s="44">
        <f>C12*(1+D13)</f>
        <v>9293.15</v>
      </c>
      <c r="D13" s="3">
        <v>0.15</v>
      </c>
      <c r="E13" s="40">
        <f t="shared" si="1"/>
        <v>507498.9215</v>
      </c>
      <c r="F13" s="41"/>
      <c r="G13" s="42"/>
    </row>
    <row r="14" spans="2:7" x14ac:dyDescent="0.45">
      <c r="B14" s="45">
        <v>201806</v>
      </c>
      <c r="C14" s="46">
        <f>C13*(1+D14)</f>
        <v>10687.122499999999</v>
      </c>
      <c r="D14" s="47">
        <v>0.15</v>
      </c>
      <c r="E14" s="48">
        <f t="shared" si="1"/>
        <v>583623.75972500001</v>
      </c>
      <c r="F14" s="49">
        <f>SUM(E3:E14)</f>
        <v>3148626.0812250003</v>
      </c>
      <c r="G14" s="42"/>
    </row>
    <row r="15" spans="2:7" x14ac:dyDescent="0.45">
      <c r="B15">
        <v>201807</v>
      </c>
      <c r="C15" s="50">
        <f t="shared" ref="C15:C62" si="2">C14*(1+D15)</f>
        <v>11221.478625</v>
      </c>
      <c r="D15" s="51">
        <v>0.05</v>
      </c>
      <c r="E15" s="40">
        <f t="shared" si="1"/>
        <v>612804.94771124993</v>
      </c>
      <c r="F15" s="49"/>
      <c r="G15" s="42"/>
    </row>
    <row r="16" spans="2:7" x14ac:dyDescent="0.45">
      <c r="B16">
        <v>201808</v>
      </c>
      <c r="C16" s="50">
        <f t="shared" si="2"/>
        <v>11782.552556250001</v>
      </c>
      <c r="D16" s="3">
        <v>0.05</v>
      </c>
      <c r="E16" s="40">
        <f t="shared" si="1"/>
        <v>643445.19509681256</v>
      </c>
      <c r="F16" s="49"/>
      <c r="G16" s="42"/>
    </row>
    <row r="17" spans="2:7" x14ac:dyDescent="0.45">
      <c r="B17">
        <v>201809</v>
      </c>
      <c r="C17" s="50">
        <f t="shared" si="2"/>
        <v>12371.680184062501</v>
      </c>
      <c r="D17" s="3">
        <v>0.05</v>
      </c>
      <c r="E17" s="40">
        <f t="shared" si="1"/>
        <v>675617.45485165319</v>
      </c>
      <c r="F17" s="49"/>
      <c r="G17" s="42"/>
    </row>
    <row r="18" spans="2:7" x14ac:dyDescent="0.45">
      <c r="B18">
        <v>201810</v>
      </c>
      <c r="C18" s="50">
        <f t="shared" si="2"/>
        <v>12990.264193265626</v>
      </c>
      <c r="D18" s="3">
        <v>0.05</v>
      </c>
      <c r="E18" s="40">
        <f t="shared" si="1"/>
        <v>709398.32759423589</v>
      </c>
      <c r="F18" s="49"/>
      <c r="G18" s="42"/>
    </row>
    <row r="19" spans="2:7" x14ac:dyDescent="0.45">
      <c r="B19">
        <v>201811</v>
      </c>
      <c r="C19" s="50">
        <f t="shared" si="2"/>
        <v>13250.069477130939</v>
      </c>
      <c r="D19" s="3">
        <v>0.02</v>
      </c>
      <c r="E19" s="40">
        <f t="shared" si="1"/>
        <v>723586.29414612055</v>
      </c>
      <c r="F19" s="49"/>
      <c r="G19" s="38"/>
    </row>
    <row r="20" spans="2:7" x14ac:dyDescent="0.45">
      <c r="B20">
        <v>201812</v>
      </c>
      <c r="C20" s="50">
        <f t="shared" si="2"/>
        <v>13515.070866673557</v>
      </c>
      <c r="D20" s="3">
        <v>0.02</v>
      </c>
      <c r="E20" s="40">
        <f t="shared" si="1"/>
        <v>738058.02002904296</v>
      </c>
      <c r="F20" s="49"/>
      <c r="G20" s="38"/>
    </row>
    <row r="21" spans="2:7" x14ac:dyDescent="0.45">
      <c r="B21">
        <v>201901</v>
      </c>
      <c r="C21" s="50">
        <f t="shared" si="2"/>
        <v>13785.37228400703</v>
      </c>
      <c r="D21" s="3">
        <v>0.02</v>
      </c>
      <c r="E21" s="40">
        <f t="shared" si="1"/>
        <v>752819.18042962393</v>
      </c>
      <c r="F21" s="49"/>
      <c r="G21" s="1"/>
    </row>
    <row r="22" spans="2:7" x14ac:dyDescent="0.45">
      <c r="B22">
        <v>201902</v>
      </c>
      <c r="C22" s="50">
        <f t="shared" si="2"/>
        <v>14061.07972968717</v>
      </c>
      <c r="D22" s="3">
        <v>0.02</v>
      </c>
      <c r="E22" s="40">
        <f t="shared" si="1"/>
        <v>767875.56403821637</v>
      </c>
      <c r="F22" s="49"/>
      <c r="G22" s="1"/>
    </row>
    <row r="23" spans="2:7" x14ac:dyDescent="0.45">
      <c r="B23">
        <v>201903</v>
      </c>
      <c r="C23" s="50">
        <f t="shared" si="2"/>
        <v>14342.301324280914</v>
      </c>
      <c r="D23" s="3">
        <v>0.02</v>
      </c>
      <c r="E23" s="40">
        <f t="shared" si="1"/>
        <v>783233.07531898073</v>
      </c>
      <c r="F23" s="49"/>
      <c r="G23" s="1"/>
    </row>
    <row r="24" spans="2:7" x14ac:dyDescent="0.45">
      <c r="B24">
        <v>201904</v>
      </c>
      <c r="C24" s="50">
        <f t="shared" si="2"/>
        <v>14915.993377252151</v>
      </c>
      <c r="D24" s="3">
        <v>0.04</v>
      </c>
      <c r="E24" s="40">
        <f t="shared" si="1"/>
        <v>814562.39833173994</v>
      </c>
      <c r="F24" s="49"/>
      <c r="G24" s="1"/>
    </row>
    <row r="25" spans="2:7" x14ac:dyDescent="0.45">
      <c r="B25">
        <v>201905</v>
      </c>
      <c r="C25" s="50">
        <f t="shared" si="2"/>
        <v>15512.633112342237</v>
      </c>
      <c r="D25" s="3">
        <v>0.04</v>
      </c>
      <c r="E25" s="40">
        <f t="shared" si="1"/>
        <v>847144.89426500956</v>
      </c>
      <c r="F25" s="49"/>
      <c r="G25" s="1"/>
    </row>
    <row r="26" spans="2:7" x14ac:dyDescent="0.45">
      <c r="B26">
        <v>201906</v>
      </c>
      <c r="C26" s="50">
        <f t="shared" si="2"/>
        <v>16133.138436835927</v>
      </c>
      <c r="D26" s="3">
        <v>0.04</v>
      </c>
      <c r="E26" s="40">
        <f t="shared" si="1"/>
        <v>881030.69003560999</v>
      </c>
      <c r="F26" s="49">
        <f>SUM(E15:E26)</f>
        <v>8949576.0418482944</v>
      </c>
      <c r="G26" s="1"/>
    </row>
    <row r="27" spans="2:7" x14ac:dyDescent="0.45">
      <c r="B27">
        <v>201907</v>
      </c>
      <c r="C27" s="50">
        <f t="shared" si="2"/>
        <v>16617.132589941004</v>
      </c>
      <c r="D27" s="3">
        <v>0.03</v>
      </c>
      <c r="E27" s="40">
        <f t="shared" si="1"/>
        <v>907461.61073667824</v>
      </c>
      <c r="F27" s="49"/>
    </row>
    <row r="28" spans="2:7" x14ac:dyDescent="0.45">
      <c r="B28">
        <v>201908</v>
      </c>
      <c r="C28" s="50">
        <f t="shared" si="2"/>
        <v>17115.646567639236</v>
      </c>
      <c r="D28" s="3">
        <v>0.03</v>
      </c>
      <c r="E28" s="40">
        <f t="shared" si="1"/>
        <v>934685.45905877871</v>
      </c>
      <c r="F28" s="49"/>
    </row>
    <row r="29" spans="2:7" x14ac:dyDescent="0.45">
      <c r="B29">
        <v>201909</v>
      </c>
      <c r="C29" s="50">
        <f t="shared" si="2"/>
        <v>17629.115964668414</v>
      </c>
      <c r="D29" s="3">
        <v>0.03</v>
      </c>
      <c r="E29" s="40">
        <f t="shared" si="1"/>
        <v>962726.02283054206</v>
      </c>
      <c r="F29" s="49"/>
    </row>
    <row r="30" spans="2:7" x14ac:dyDescent="0.45">
      <c r="B30">
        <v>201910</v>
      </c>
      <c r="C30" s="50">
        <f t="shared" si="2"/>
        <v>18157.989443608465</v>
      </c>
      <c r="D30" s="3">
        <v>0.03</v>
      </c>
      <c r="E30" s="40">
        <f t="shared" si="1"/>
        <v>991607.80351545825</v>
      </c>
      <c r="F30" s="49"/>
    </row>
    <row r="31" spans="2:7" x14ac:dyDescent="0.45">
      <c r="B31">
        <v>201911</v>
      </c>
      <c r="C31" s="50">
        <f t="shared" si="2"/>
        <v>18521.149232480635</v>
      </c>
      <c r="D31" s="3">
        <v>0.02</v>
      </c>
      <c r="E31" s="40">
        <f t="shared" si="1"/>
        <v>1011439.9595857675</v>
      </c>
      <c r="F31" s="49"/>
    </row>
    <row r="32" spans="2:7" x14ac:dyDescent="0.45">
      <c r="B32">
        <v>201912</v>
      </c>
      <c r="C32" s="50">
        <f t="shared" si="2"/>
        <v>18891.572217130248</v>
      </c>
      <c r="D32" s="3">
        <v>0.02</v>
      </c>
      <c r="E32" s="40">
        <f t="shared" si="1"/>
        <v>1031668.7587774828</v>
      </c>
      <c r="F32" s="49"/>
    </row>
    <row r="33" spans="2:6" x14ac:dyDescent="0.45">
      <c r="B33">
        <v>202001</v>
      </c>
      <c r="C33" s="50">
        <f t="shared" si="2"/>
        <v>19269.403661472854</v>
      </c>
      <c r="D33" s="3">
        <v>0.02</v>
      </c>
      <c r="E33" s="40">
        <f t="shared" si="1"/>
        <v>1052302.1339530325</v>
      </c>
      <c r="F33" s="49"/>
    </row>
    <row r="34" spans="2:6" x14ac:dyDescent="0.45">
      <c r="B34">
        <v>202002</v>
      </c>
      <c r="C34" s="50">
        <f t="shared" si="2"/>
        <v>19654.79173470231</v>
      </c>
      <c r="D34" s="3">
        <v>0.02</v>
      </c>
      <c r="E34" s="40">
        <f t="shared" si="1"/>
        <v>1073348.1766320933</v>
      </c>
      <c r="F34" s="49"/>
    </row>
    <row r="35" spans="2:6" x14ac:dyDescent="0.45">
      <c r="B35">
        <v>202003</v>
      </c>
      <c r="C35" s="50">
        <f t="shared" si="2"/>
        <v>20047.887569396356</v>
      </c>
      <c r="D35" s="3">
        <v>0.02</v>
      </c>
      <c r="E35" s="40">
        <f t="shared" si="1"/>
        <v>1094815.140164735</v>
      </c>
      <c r="F35" s="49"/>
    </row>
    <row r="36" spans="2:6" x14ac:dyDescent="0.45">
      <c r="B36">
        <v>202004</v>
      </c>
      <c r="C36" s="50">
        <f t="shared" si="2"/>
        <v>20649.324196478246</v>
      </c>
      <c r="D36" s="3">
        <v>0.03</v>
      </c>
      <c r="E36" s="40">
        <f t="shared" si="1"/>
        <v>1127659.5943696771</v>
      </c>
      <c r="F36" s="49"/>
    </row>
    <row r="37" spans="2:6" x14ac:dyDescent="0.45">
      <c r="B37">
        <v>202005</v>
      </c>
      <c r="C37" s="50">
        <f t="shared" si="2"/>
        <v>21268.803922372594</v>
      </c>
      <c r="D37" s="3">
        <v>0.03</v>
      </c>
      <c r="E37" s="40">
        <f t="shared" si="1"/>
        <v>1161489.3822007673</v>
      </c>
      <c r="F37" s="49"/>
    </row>
    <row r="38" spans="2:6" x14ac:dyDescent="0.45">
      <c r="B38">
        <v>202006</v>
      </c>
      <c r="C38" s="50">
        <f t="shared" si="2"/>
        <v>21906.868040043773</v>
      </c>
      <c r="D38" s="3">
        <v>0.03</v>
      </c>
      <c r="E38" s="40">
        <f t="shared" si="1"/>
        <v>1196334.0636667905</v>
      </c>
      <c r="F38" s="49">
        <f>SUM(E27:E38)</f>
        <v>12545538.105491802</v>
      </c>
    </row>
    <row r="39" spans="2:6" x14ac:dyDescent="0.45">
      <c r="B39">
        <v>202007</v>
      </c>
      <c r="C39" s="50">
        <f t="shared" si="2"/>
        <v>22345.00540084465</v>
      </c>
      <c r="D39" s="3">
        <v>0.02</v>
      </c>
      <c r="E39" s="40">
        <f t="shared" si="1"/>
        <v>1220260.7449401263</v>
      </c>
      <c r="F39" s="49"/>
    </row>
    <row r="40" spans="2:6" x14ac:dyDescent="0.45">
      <c r="B40">
        <v>202008</v>
      </c>
      <c r="C40" s="50">
        <f t="shared" si="2"/>
        <v>22791.905508861542</v>
      </c>
      <c r="D40" s="3">
        <v>0.02</v>
      </c>
      <c r="E40" s="40">
        <f t="shared" si="1"/>
        <v>1244665.9598389289</v>
      </c>
      <c r="F40" s="49"/>
    </row>
    <row r="41" spans="2:6" x14ac:dyDescent="0.45">
      <c r="B41">
        <v>202009</v>
      </c>
      <c r="C41" s="50">
        <f t="shared" si="2"/>
        <v>23247.743619038774</v>
      </c>
      <c r="D41" s="3">
        <v>0.02</v>
      </c>
      <c r="E41" s="40">
        <f t="shared" si="1"/>
        <v>1269559.2790357075</v>
      </c>
      <c r="F41" s="49"/>
    </row>
    <row r="42" spans="2:6" x14ac:dyDescent="0.45">
      <c r="B42">
        <v>202010</v>
      </c>
      <c r="C42" s="50">
        <f t="shared" si="2"/>
        <v>23712.698491419549</v>
      </c>
      <c r="D42" s="3">
        <v>0.02</v>
      </c>
      <c r="E42" s="40">
        <f t="shared" si="1"/>
        <v>1294950.4646164216</v>
      </c>
      <c r="F42" s="49"/>
    </row>
    <row r="43" spans="2:6" x14ac:dyDescent="0.45">
      <c r="B43">
        <v>202011</v>
      </c>
      <c r="C43" s="50">
        <f t="shared" si="2"/>
        <v>23712.698491419549</v>
      </c>
      <c r="D43" s="3">
        <v>0</v>
      </c>
      <c r="E43" s="40">
        <f t="shared" si="1"/>
        <v>1294950.4646164216</v>
      </c>
      <c r="F43" s="49"/>
    </row>
    <row r="44" spans="2:6" x14ac:dyDescent="0.45">
      <c r="B44">
        <v>202012</v>
      </c>
      <c r="C44" s="50">
        <f t="shared" si="2"/>
        <v>23712.698491419549</v>
      </c>
      <c r="D44" s="3">
        <v>0</v>
      </c>
      <c r="E44" s="40">
        <f t="shared" si="1"/>
        <v>1294950.4646164216</v>
      </c>
      <c r="F44" s="49"/>
    </row>
    <row r="45" spans="2:6" x14ac:dyDescent="0.45">
      <c r="B45">
        <v>202101</v>
      </c>
      <c r="C45" s="50">
        <f t="shared" si="2"/>
        <v>23712.698491419549</v>
      </c>
      <c r="D45" s="3">
        <v>0</v>
      </c>
      <c r="E45" s="40">
        <f t="shared" si="1"/>
        <v>1294950.4646164216</v>
      </c>
      <c r="F45" s="49"/>
    </row>
    <row r="46" spans="2:6" x14ac:dyDescent="0.45">
      <c r="B46">
        <v>202102</v>
      </c>
      <c r="C46" s="50">
        <f t="shared" si="2"/>
        <v>23712.698491419549</v>
      </c>
      <c r="D46" s="3">
        <v>0</v>
      </c>
      <c r="E46" s="40">
        <f t="shared" si="1"/>
        <v>1294950.4646164216</v>
      </c>
      <c r="F46" s="49"/>
    </row>
    <row r="47" spans="2:6" x14ac:dyDescent="0.45">
      <c r="B47">
        <v>202103</v>
      </c>
      <c r="C47" s="50">
        <f t="shared" si="2"/>
        <v>23712.698491419549</v>
      </c>
      <c r="D47" s="3">
        <v>0</v>
      </c>
      <c r="E47" s="40">
        <f t="shared" si="1"/>
        <v>1294950.4646164216</v>
      </c>
      <c r="F47" s="49"/>
    </row>
    <row r="48" spans="2:6" x14ac:dyDescent="0.45">
      <c r="B48">
        <v>202104</v>
      </c>
      <c r="C48" s="50">
        <f t="shared" si="2"/>
        <v>24186.95246124794</v>
      </c>
      <c r="D48" s="3">
        <v>0.02</v>
      </c>
      <c r="E48" s="40">
        <f t="shared" si="1"/>
        <v>1320849.4739087499</v>
      </c>
      <c r="F48" s="49"/>
    </row>
    <row r="49" spans="2:6" x14ac:dyDescent="0.45">
      <c r="B49">
        <v>202105</v>
      </c>
      <c r="C49" s="50">
        <f t="shared" si="2"/>
        <v>24670.691510472898</v>
      </c>
      <c r="D49" s="3">
        <v>0.02</v>
      </c>
      <c r="E49" s="40">
        <f t="shared" si="1"/>
        <v>1347266.4633869249</v>
      </c>
      <c r="F49" s="49"/>
    </row>
    <row r="50" spans="2:6" x14ac:dyDescent="0.45">
      <c r="B50" s="52">
        <v>202106</v>
      </c>
      <c r="C50" s="53">
        <f t="shared" si="2"/>
        <v>25164.105340682356</v>
      </c>
      <c r="D50" s="3">
        <v>0.02</v>
      </c>
      <c r="E50" s="40">
        <f t="shared" si="1"/>
        <v>1374211.7926546633</v>
      </c>
      <c r="F50" s="49">
        <f>SUM(E39:E50)</f>
        <v>15546516.501463631</v>
      </c>
    </row>
    <row r="51" spans="2:6" x14ac:dyDescent="0.45">
      <c r="B51">
        <v>202107</v>
      </c>
      <c r="C51" s="50">
        <f t="shared" si="2"/>
        <v>25164.105340682356</v>
      </c>
      <c r="D51" s="3">
        <v>0</v>
      </c>
      <c r="E51" s="40">
        <f t="shared" si="1"/>
        <v>1374211.7926546633</v>
      </c>
      <c r="F51" s="49"/>
    </row>
    <row r="52" spans="2:6" x14ac:dyDescent="0.45">
      <c r="B52">
        <v>202108</v>
      </c>
      <c r="C52" s="50">
        <f t="shared" si="2"/>
        <v>25164.105340682356</v>
      </c>
      <c r="D52" s="3">
        <v>0</v>
      </c>
      <c r="E52" s="40">
        <f t="shared" si="1"/>
        <v>1374211.7926546633</v>
      </c>
      <c r="F52" s="49"/>
    </row>
    <row r="53" spans="2:6" x14ac:dyDescent="0.45">
      <c r="B53">
        <v>202109</v>
      </c>
      <c r="C53" s="50">
        <f t="shared" si="2"/>
        <v>25164.105340682356</v>
      </c>
      <c r="D53" s="3">
        <v>0</v>
      </c>
      <c r="E53" s="40">
        <f t="shared" si="1"/>
        <v>1374211.7926546633</v>
      </c>
      <c r="F53" s="49"/>
    </row>
    <row r="54" spans="2:6" x14ac:dyDescent="0.45">
      <c r="B54">
        <v>202110</v>
      </c>
      <c r="C54" s="50">
        <f t="shared" si="2"/>
        <v>25164.105340682356</v>
      </c>
      <c r="D54" s="3">
        <v>0</v>
      </c>
      <c r="E54" s="40">
        <f t="shared" si="1"/>
        <v>1374211.7926546633</v>
      </c>
      <c r="F54" s="49"/>
    </row>
    <row r="55" spans="2:6" x14ac:dyDescent="0.45">
      <c r="B55">
        <v>202111</v>
      </c>
      <c r="C55" s="50">
        <f t="shared" si="2"/>
        <v>25164.105340682356</v>
      </c>
      <c r="D55" s="3">
        <v>0</v>
      </c>
      <c r="E55" s="40">
        <f t="shared" si="1"/>
        <v>1374211.7926546633</v>
      </c>
      <c r="F55" s="49"/>
    </row>
    <row r="56" spans="2:6" x14ac:dyDescent="0.45">
      <c r="B56">
        <v>202112</v>
      </c>
      <c r="C56" s="50">
        <f t="shared" si="2"/>
        <v>25164.105340682356</v>
      </c>
      <c r="D56" s="3">
        <v>0</v>
      </c>
      <c r="E56" s="40">
        <f t="shared" si="1"/>
        <v>1374211.7926546633</v>
      </c>
      <c r="F56" s="49"/>
    </row>
    <row r="57" spans="2:6" x14ac:dyDescent="0.45">
      <c r="B57">
        <v>202201</v>
      </c>
      <c r="C57" s="50">
        <f t="shared" si="2"/>
        <v>25164.105340682356</v>
      </c>
      <c r="D57" s="3">
        <v>0</v>
      </c>
      <c r="E57" s="40">
        <f t="shared" si="1"/>
        <v>1374211.7926546633</v>
      </c>
      <c r="F57" s="49"/>
    </row>
    <row r="58" spans="2:6" x14ac:dyDescent="0.45">
      <c r="B58">
        <v>202202</v>
      </c>
      <c r="C58" s="50">
        <f t="shared" si="2"/>
        <v>25164.105340682356</v>
      </c>
      <c r="D58" s="3">
        <v>0</v>
      </c>
      <c r="E58" s="40">
        <f t="shared" si="1"/>
        <v>1374211.7926546633</v>
      </c>
      <c r="F58" s="49"/>
    </row>
    <row r="59" spans="2:6" x14ac:dyDescent="0.45">
      <c r="B59">
        <v>202203</v>
      </c>
      <c r="C59" s="50">
        <f t="shared" si="2"/>
        <v>25164.105340682356</v>
      </c>
      <c r="D59" s="3">
        <v>0</v>
      </c>
      <c r="E59" s="40">
        <f t="shared" si="1"/>
        <v>1374211.7926546633</v>
      </c>
      <c r="F59" s="49"/>
    </row>
    <row r="60" spans="2:6" x14ac:dyDescent="0.45">
      <c r="B60">
        <v>202204</v>
      </c>
      <c r="C60" s="50">
        <f t="shared" si="2"/>
        <v>25164.105340682356</v>
      </c>
      <c r="D60" s="3">
        <v>0</v>
      </c>
      <c r="E60" s="40">
        <f t="shared" si="1"/>
        <v>1374211.7926546633</v>
      </c>
      <c r="F60" s="49"/>
    </row>
    <row r="61" spans="2:6" x14ac:dyDescent="0.45">
      <c r="B61">
        <v>202205</v>
      </c>
      <c r="C61" s="50">
        <f t="shared" si="2"/>
        <v>25164.105340682356</v>
      </c>
      <c r="D61" s="3">
        <v>0</v>
      </c>
      <c r="E61" s="40">
        <f t="shared" si="1"/>
        <v>1374211.7926546633</v>
      </c>
      <c r="F61" s="49"/>
    </row>
    <row r="62" spans="2:6" x14ac:dyDescent="0.45">
      <c r="B62">
        <v>202206</v>
      </c>
      <c r="C62" s="50">
        <f t="shared" si="2"/>
        <v>25164.105340682356</v>
      </c>
      <c r="D62" s="3">
        <v>0</v>
      </c>
      <c r="E62" s="40">
        <f t="shared" si="1"/>
        <v>1374211.7926546633</v>
      </c>
      <c r="F62" s="49"/>
    </row>
  </sheetData>
  <mergeCells count="1">
    <mergeCell ref="C1:G1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D7"/>
  <sheetViews>
    <sheetView workbookViewId="0"/>
  </sheetViews>
  <sheetFormatPr defaultColWidth="8.86328125" defaultRowHeight="14.25" x14ac:dyDescent="0.45"/>
  <cols>
    <col min="2" max="2" width="12.3984375" bestFit="1" customWidth="1"/>
    <col min="3" max="3" width="12.3984375" customWidth="1"/>
    <col min="4" max="4" width="14.1328125" style="1" customWidth="1"/>
  </cols>
  <sheetData>
    <row r="1" spans="1:4" x14ac:dyDescent="0.45">
      <c r="A1" t="str">
        <f>'051018 Model_Model'!C1</f>
        <v>PROJECTED SUBSCRIPTION 1 (4-YR RAMP)</v>
      </c>
    </row>
    <row r="2" spans="1:4" ht="28.5" x14ac:dyDescent="0.45">
      <c r="A2" s="16" t="s">
        <v>45</v>
      </c>
      <c r="B2" s="54" t="s">
        <v>122</v>
      </c>
      <c r="C2" s="55" t="s">
        <v>123</v>
      </c>
      <c r="D2" s="55" t="s">
        <v>124</v>
      </c>
    </row>
    <row r="3" spans="1:4" x14ac:dyDescent="0.45">
      <c r="A3" s="17" t="s">
        <v>125</v>
      </c>
      <c r="B3" s="56">
        <f>SUM('051018 Model_Model'!E3:E14)</f>
        <v>3148626.0812250003</v>
      </c>
      <c r="C3" s="56"/>
      <c r="D3" s="18">
        <f>'051018 Model_Model'!C14</f>
        <v>10687.122499999999</v>
      </c>
    </row>
    <row r="4" spans="1:4" x14ac:dyDescent="0.45">
      <c r="A4" s="57" t="s">
        <v>126</v>
      </c>
      <c r="B4" s="58">
        <f>SUM('051018 Model_Model'!E15:E26)</f>
        <v>8949576.0418482944</v>
      </c>
      <c r="C4" s="59">
        <f>(D4-D3)/D3</f>
        <v>0.5095867420660638</v>
      </c>
      <c r="D4" s="60">
        <f>'051018 Model_Model'!C26</f>
        <v>16133.138436835927</v>
      </c>
    </row>
    <row r="5" spans="1:4" x14ac:dyDescent="0.45">
      <c r="A5" s="61" t="s">
        <v>127</v>
      </c>
      <c r="B5" s="62">
        <f>SUM('051018 Model_Model'!E27:E38)</f>
        <v>12545538.105491802</v>
      </c>
      <c r="C5" s="63">
        <f>(D5-D4)/D4</f>
        <v>0.3578801251729794</v>
      </c>
      <c r="D5" s="64">
        <f>'051018 Model_Model'!C38</f>
        <v>21906.868040043773</v>
      </c>
    </row>
    <row r="6" spans="1:4" x14ac:dyDescent="0.45">
      <c r="A6" s="4" t="s">
        <v>128</v>
      </c>
      <c r="B6" s="65">
        <f>SUM('051018 Model_Model'!E39:E50)</f>
        <v>15546516.501463631</v>
      </c>
      <c r="C6" s="66">
        <f>(D6-D5)/D5</f>
        <v>0.14868566764927998</v>
      </c>
      <c r="D6" s="67">
        <f>'051018 Model_Model'!C50</f>
        <v>25164.105340682356</v>
      </c>
    </row>
    <row r="7" spans="1:4" x14ac:dyDescent="0.45">
      <c r="A7" s="61" t="s">
        <v>129</v>
      </c>
      <c r="B7" s="62">
        <f>SUM('051018 Model_Model'!E51:E62)</f>
        <v>16490541.51185596</v>
      </c>
      <c r="C7" s="63">
        <f>(D7-D6)/D6</f>
        <v>0</v>
      </c>
      <c r="D7" s="64">
        <f>'051018 Model_Model'!C62</f>
        <v>25164.105340682356</v>
      </c>
    </row>
  </sheetData>
  <pageMargins left="0.7" right="0.7" top="0.75" bottom="0.75" header="0.3" footer="0.3"/>
  <pageSetup scale="72" orientation="landscape" r:id="rId1"/>
  <headerFooter>
    <oddHeader>&amp;CTAP Lost Revenue Projection
Revised Baseline</oddHeader>
    <oddFooter>&amp;CDraft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79998168889431442"/>
  </sheetPr>
  <dimension ref="A1:B8"/>
  <sheetViews>
    <sheetView zoomScaleNormal="100" workbookViewId="0">
      <selection activeCell="B5" sqref="B2:B5"/>
    </sheetView>
  </sheetViews>
  <sheetFormatPr defaultColWidth="8.86328125" defaultRowHeight="14.25" x14ac:dyDescent="0.45"/>
  <cols>
    <col min="1" max="1" width="30.1328125" customWidth="1"/>
    <col min="2" max="2" width="82.59765625" customWidth="1"/>
  </cols>
  <sheetData>
    <row r="1" spans="1:2" x14ac:dyDescent="0.45">
      <c r="A1" s="2" t="s">
        <v>3</v>
      </c>
      <c r="B1" s="2" t="s">
        <v>4</v>
      </c>
    </row>
    <row r="2" spans="1:2" x14ac:dyDescent="0.45">
      <c r="A2" t="s">
        <v>5</v>
      </c>
      <c r="B2" t="s">
        <v>6</v>
      </c>
    </row>
    <row r="3" spans="1:2" x14ac:dyDescent="0.45">
      <c r="A3" t="s">
        <v>7</v>
      </c>
      <c r="B3" t="s">
        <v>8</v>
      </c>
    </row>
    <row r="4" spans="1:2" x14ac:dyDescent="0.45">
      <c r="A4" t="s">
        <v>9</v>
      </c>
      <c r="B4" t="s">
        <v>10</v>
      </c>
    </row>
    <row r="5" spans="1:2" x14ac:dyDescent="0.45">
      <c r="A5" t="s">
        <v>11</v>
      </c>
      <c r="B5" t="s">
        <v>132</v>
      </c>
    </row>
    <row r="6" spans="1:2" ht="28.5" x14ac:dyDescent="0.45">
      <c r="A6" t="s">
        <v>12</v>
      </c>
      <c r="B6" s="5" t="s">
        <v>13</v>
      </c>
    </row>
    <row r="7" spans="1:2" x14ac:dyDescent="0.45">
      <c r="A7" t="s">
        <v>133</v>
      </c>
      <c r="B7" t="s">
        <v>135</v>
      </c>
    </row>
    <row r="8" spans="1:2" x14ac:dyDescent="0.45">
      <c r="A8" t="s">
        <v>134</v>
      </c>
      <c r="B8" t="s">
        <v>136</v>
      </c>
    </row>
  </sheetData>
  <pageMargins left="0.7" right="0.7" top="0.75" bottom="0.75" header="0.3" footer="0.3"/>
  <pageSetup orientation="landscape" r:id="rId1"/>
  <headerFooter>
    <oddHeader xml:space="preserve">&amp;L2026 TAP Reconcilable Rider Reports and Projection Model: &amp;A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  <pageSetUpPr fitToPage="1"/>
  </sheetPr>
  <dimension ref="A1:K26"/>
  <sheetViews>
    <sheetView zoomScale="112" zoomScaleNormal="112" workbookViewId="0">
      <selection activeCell="A16" sqref="A16:XFD16"/>
    </sheetView>
  </sheetViews>
  <sheetFormatPr defaultColWidth="8.86328125" defaultRowHeight="14.25" x14ac:dyDescent="0.45"/>
  <cols>
    <col min="1" max="1" width="42.59765625" customWidth="1"/>
    <col min="2" max="2" width="17.265625" customWidth="1"/>
    <col min="3" max="3" width="3.265625" customWidth="1"/>
    <col min="4" max="4" width="15.1328125" customWidth="1"/>
    <col min="5" max="6" width="16.265625" customWidth="1"/>
    <col min="7" max="7" width="13.1328125" customWidth="1"/>
    <col min="8" max="9" width="17.3984375" customWidth="1"/>
    <col min="11" max="11" width="15.265625" customWidth="1"/>
    <col min="12" max="12" width="11.86328125" bestFit="1" customWidth="1"/>
  </cols>
  <sheetData>
    <row r="1" spans="1:11" x14ac:dyDescent="0.45">
      <c r="A1" s="70" t="s">
        <v>14</v>
      </c>
      <c r="B1" s="122"/>
      <c r="C1" s="122"/>
      <c r="D1" s="122"/>
      <c r="E1" s="122"/>
      <c r="F1" s="122"/>
      <c r="G1" s="122"/>
      <c r="H1" s="122"/>
      <c r="I1" s="123"/>
    </row>
    <row r="2" spans="1:11" x14ac:dyDescent="0.45">
      <c r="A2" s="124" t="s">
        <v>15</v>
      </c>
      <c r="B2" s="45"/>
      <c r="C2" s="83" t="s">
        <v>16</v>
      </c>
      <c r="D2" s="45"/>
      <c r="E2" s="45"/>
      <c r="I2" s="117"/>
    </row>
    <row r="3" spans="1:11" x14ac:dyDescent="0.45">
      <c r="A3" s="125" t="s">
        <v>17</v>
      </c>
      <c r="B3" s="129" t="s">
        <v>18</v>
      </c>
      <c r="C3" t="s">
        <v>19</v>
      </c>
      <c r="G3" s="139"/>
      <c r="H3" s="139"/>
      <c r="I3" s="117"/>
    </row>
    <row r="4" spans="1:11" ht="14.25" customHeight="1" x14ac:dyDescent="0.45">
      <c r="A4" s="125" t="s">
        <v>20</v>
      </c>
      <c r="B4" s="137">
        <f>G10/F10</f>
        <v>62.817464293740656</v>
      </c>
      <c r="C4" t="s">
        <v>21</v>
      </c>
      <c r="E4" s="118"/>
      <c r="G4" s="147"/>
      <c r="H4" s="140"/>
      <c r="I4" s="117"/>
    </row>
    <row r="5" spans="1:11" ht="14.25" customHeight="1" x14ac:dyDescent="0.45">
      <c r="A5" s="125" t="s">
        <v>22</v>
      </c>
      <c r="B5" s="138">
        <f>H10/F10*100</f>
        <v>660.62159502166014</v>
      </c>
      <c r="C5" t="s">
        <v>23</v>
      </c>
      <c r="E5" s="118"/>
      <c r="F5" s="119"/>
      <c r="G5" s="147"/>
      <c r="H5" s="141"/>
      <c r="I5" s="117"/>
    </row>
    <row r="6" spans="1:11" x14ac:dyDescent="0.45">
      <c r="A6" s="126" t="s">
        <v>24</v>
      </c>
      <c r="G6" s="142"/>
      <c r="H6" s="142"/>
      <c r="I6" s="117"/>
    </row>
    <row r="7" spans="1:11" ht="14.65" thickBot="1" x14ac:dyDescent="0.5">
      <c r="A7" s="127"/>
      <c r="B7" s="120"/>
      <c r="C7" s="120"/>
      <c r="D7" s="120"/>
      <c r="E7" s="120"/>
      <c r="F7" s="120"/>
      <c r="G7" s="120"/>
      <c r="H7" s="120"/>
      <c r="I7" s="121"/>
    </row>
    <row r="8" spans="1:11" ht="42.75" x14ac:dyDescent="0.45">
      <c r="A8" s="70"/>
      <c r="B8" s="86"/>
      <c r="C8" s="86"/>
      <c r="D8" s="86"/>
      <c r="E8" s="82" t="s">
        <v>25</v>
      </c>
      <c r="F8" s="82" t="s">
        <v>26</v>
      </c>
      <c r="G8" s="128" t="s">
        <v>27</v>
      </c>
      <c r="H8" s="128" t="s">
        <v>28</v>
      </c>
      <c r="I8" s="81" t="s">
        <v>29</v>
      </c>
      <c r="J8" s="4"/>
    </row>
    <row r="9" spans="1:11" x14ac:dyDescent="0.45">
      <c r="A9" s="78" t="s">
        <v>30</v>
      </c>
      <c r="B9" s="105">
        <v>45748</v>
      </c>
      <c r="C9" s="96" t="s">
        <v>31</v>
      </c>
      <c r="D9" s="105">
        <v>45870</v>
      </c>
      <c r="E9" s="71">
        <f>AVERAGEIFS(TRR_Projections!$5:$5,TRR_Projections!$4:$4,"&gt;="&amp;TRR_Summary!B9,TRR_Projections!$4:$4,"&lt;="&amp;TRR_Summary!D9)</f>
        <v>65475.8</v>
      </c>
      <c r="F9" s="71">
        <f>SUMIFS(TRR_Projections!$5:$5,TRR_Projections!$4:$4,"&gt;="&amp;TRR_Summary!B9,TRR_Projections!$4:$4,"&lt;="&amp;TRR_Summary!D9)</f>
        <v>327379</v>
      </c>
      <c r="G9" s="101">
        <f>SUMIFS(TRR_Projections!$7:$7,TRR_Projections!$4:$4,"&gt;="&amp;TRR_Summary!B9,TRR_Projections!$4:$4,"&lt;="&amp;TRR_Summary!D9)</f>
        <v>17162078.25</v>
      </c>
      <c r="H9" s="71">
        <f>SUMIFS(TRR_Projections!$9:$9,TRR_Projections!$4:$4,"&gt;="&amp;TRR_Summary!B9,TRR_Projections!$4:$4,"&lt;="&amp;TRR_Summary!D9)</f>
        <v>2071880</v>
      </c>
      <c r="I9" s="114">
        <f>SUMIFS(TRR_Projections!$11:$11,TRR_Projections!$4:$4,"&gt;="&amp;TRR_Summary!B9,TRR_Projections!$4:$4,"&lt;="&amp;TRR_Summary!D9)</f>
        <v>2070258</v>
      </c>
      <c r="J9" s="4"/>
      <c r="K9" s="4"/>
    </row>
    <row r="10" spans="1:11" x14ac:dyDescent="0.45">
      <c r="A10" s="79" t="s">
        <v>32</v>
      </c>
      <c r="B10" s="98">
        <f>EDATE(D9,1)</f>
        <v>45901</v>
      </c>
      <c r="C10" s="97" t="s">
        <v>31</v>
      </c>
      <c r="D10" s="106">
        <v>45992</v>
      </c>
      <c r="E10" s="72">
        <f>AVERAGEIFS(TRR_Projections!$5:$5,TRR_Projections!$4:$4,"&gt;="&amp;TRR_Summary!B10,TRR_Projections!$4:$4,"&lt;="&amp;TRR_Summary!D10)</f>
        <v>64519.5</v>
      </c>
      <c r="F10" s="72">
        <f>SUMIFS(TRR_Projections!$5:$5,TRR_Projections!$4:$4,"&gt;="&amp;TRR_Summary!B10,TRR_Projections!$4:$4,"&lt;="&amp;TRR_Summary!D10)</f>
        <v>258078</v>
      </c>
      <c r="G10" s="102">
        <f>SUMIFS(TRR_Projections!$7:$7,TRR_Projections!$4:$4,"&gt;="&amp;TRR_Summary!B10,TRR_Projections!$4:$4,"&lt;="&amp;TRR_Summary!D10)</f>
        <v>16211805.550000001</v>
      </c>
      <c r="H10" s="72">
        <f>SUMIFS(TRR_Projections!$9:$9,TRR_Projections!$4:$4,"&gt;="&amp;TRR_Summary!B10,TRR_Projections!$4:$4,"&lt;="&amp;TRR_Summary!D10)</f>
        <v>1704919</v>
      </c>
      <c r="I10" s="115">
        <f>SUMIFS(TRR_Projections!$11:$11,TRR_Projections!$4:$4,"&gt;="&amp;TRR_Summary!B10,TRR_Projections!$4:$4,"&lt;="&amp;TRR_Summary!D10)</f>
        <v>1703730</v>
      </c>
      <c r="J10" s="4"/>
    </row>
    <row r="11" spans="1:11" x14ac:dyDescent="0.45">
      <c r="A11" s="79" t="s">
        <v>33</v>
      </c>
      <c r="B11" s="98">
        <f>EDATE(D10,1)</f>
        <v>46023</v>
      </c>
      <c r="C11" s="97" t="s">
        <v>31</v>
      </c>
      <c r="D11" s="106">
        <v>46235</v>
      </c>
      <c r="E11" s="87">
        <f>AVERAGEIFS(TRR_Projections!$5:$5,TRR_Projections!$4:$4,"&gt;="&amp;TRR_Summary!B11,TRR_Projections!$4:$4,"&lt;="&amp;TRR_Summary!D11)</f>
        <v>68582.38584001438</v>
      </c>
      <c r="F11" s="72">
        <f>SUMIFS(TRR_Projections!$5:$5,TRR_Projections!$4:$4,"&gt;="&amp;TRR_Summary!B11,TRR_Projections!$4:$4,"&lt;="&amp;TRR_Summary!D11)</f>
        <v>548659.08672011504</v>
      </c>
      <c r="G11" s="102">
        <f>SUMIFS(TRR_Projections!$7:$7,TRR_Projections!$4:$4,"&gt;="&amp;TRR_Summary!B11,TRR_Projections!$4:$4,"&lt;="&amp;TRR_Summary!D11)</f>
        <v>34465372.589477181</v>
      </c>
      <c r="H11" s="72">
        <f>SUMIFS(TRR_Projections!$9:$9,TRR_Projections!$4:$4,"&gt;="&amp;TRR_Summary!B11,TRR_Projections!$4:$4,"&lt;="&amp;TRR_Summary!D11)</f>
        <v>3624560.4099216969</v>
      </c>
      <c r="I11" s="115">
        <f>SUMIFS(TRR_Projections!$11:$11,TRR_Projections!$4:$4,"&gt;="&amp;TRR_Summary!B11,TRR_Projections!$4:$4,"&lt;="&amp;TRR_Summary!D11)</f>
        <v>3624560.4099216969</v>
      </c>
      <c r="J11" s="4"/>
    </row>
    <row r="12" spans="1:11" x14ac:dyDescent="0.45">
      <c r="A12" s="77" t="s">
        <v>34</v>
      </c>
      <c r="B12" s="99">
        <f>B10</f>
        <v>45901</v>
      </c>
      <c r="C12" s="84" t="s">
        <v>31</v>
      </c>
      <c r="D12" s="99">
        <f>D11</f>
        <v>46235</v>
      </c>
      <c r="E12" s="71">
        <f>AVERAGEIFS(TRR_Projections!$5:$5,TRR_Projections!$4:$4,"&gt;="&amp;TRR_Summary!B12,TRR_Projections!$4:$4,"&lt;="&amp;TRR_Summary!D12)</f>
        <v>67228.090560009587</v>
      </c>
      <c r="F12" s="71">
        <f>SUMIFS(TRR_Projections!$5:$5,TRR_Projections!$4:$4,"&gt;="&amp;TRR_Summary!B12,TRR_Projections!$4:$4,"&lt;="&amp;TRR_Summary!D12)</f>
        <v>806737.08672011504</v>
      </c>
      <c r="G12" s="101">
        <f>SUMIFS(TRR_Projections!$7:$7,TRR_Projections!$4:$4,"&gt;="&amp;TRR_Summary!B12,TRR_Projections!$4:$4,"&lt;="&amp;TRR_Summary!D12)</f>
        <v>50677178.139477178</v>
      </c>
      <c r="H12" s="71">
        <f>SUMIFS(TRR_Projections!$9:$9,TRR_Projections!$4:$4,"&gt;="&amp;TRR_Summary!B12,TRR_Projections!$4:$4,"&lt;="&amp;TRR_Summary!D12)</f>
        <v>5329479.4099216973</v>
      </c>
      <c r="I12" s="115">
        <f>SUMIFS(TRR_Projections!$11:$11,TRR_Projections!$4:$4,"&gt;="&amp;TRR_Summary!B12,TRR_Projections!$4:$4,"&lt;="&amp;TRR_Summary!D12)</f>
        <v>5328290.4099216973</v>
      </c>
      <c r="J12" s="4"/>
    </row>
    <row r="13" spans="1:11" ht="14.65" thickBot="1" x14ac:dyDescent="0.5">
      <c r="A13" s="76" t="s">
        <v>35</v>
      </c>
      <c r="B13" s="100">
        <f>EDATE(D12,1)</f>
        <v>46266</v>
      </c>
      <c r="C13" s="85" t="s">
        <v>31</v>
      </c>
      <c r="D13" s="100">
        <f>EDATE(B13,11)</f>
        <v>46600</v>
      </c>
      <c r="E13" s="73">
        <f>AVERAGEIFS(TRR_Projections!$5:$5,TRR_Projections!$4:$4,"&gt;="&amp;TRR_Summary!B13,TRR_Projections!$4:$4,"&lt;="&amp;TRR_Summary!D13)</f>
        <v>70317.824707980981</v>
      </c>
      <c r="F13" s="73">
        <f>SUMIFS(TRR_Projections!$5:$5,TRR_Projections!$4:$4,"&gt;="&amp;TRR_Summary!B13,TRR_Projections!$4:$4,"&lt;="&amp;TRR_Summary!D13)</f>
        <v>843813.89649577183</v>
      </c>
      <c r="G13" s="103">
        <f>SUMIFS(TRR_Projections!$7:$7,TRR_Projections!$4:$4,"&gt;="&amp;TRR_Summary!B13,TRR_Projections!$4:$4,"&lt;="&amp;TRR_Summary!D13)</f>
        <v>53006249.31368532</v>
      </c>
      <c r="H13" s="104">
        <f>SUMIFS(TRR_Projections!$9:$9,TRR_Projections!$4:$4,"&gt;="&amp;TRR_Summary!B13,TRR_Projections!$4:$4,"&lt;="&amp;TRR_Summary!D13)</f>
        <v>5574416.8220447889</v>
      </c>
      <c r="I13" s="116">
        <f>SUMIFS(TRR_Projections!$11:$11,TRR_Projections!$4:$4,"&gt;="&amp;TRR_Summary!B13,TRR_Projections!$4:$4,"&lt;="&amp;TRR_Summary!D13)</f>
        <v>5574416.8220447889</v>
      </c>
      <c r="J13" s="4"/>
    </row>
    <row r="14" spans="1:11" x14ac:dyDescent="0.45">
      <c r="J14" s="4"/>
    </row>
    <row r="15" spans="1:11" x14ac:dyDescent="0.45">
      <c r="A15" s="4"/>
      <c r="F15" s="130"/>
      <c r="H15" s="38"/>
    </row>
    <row r="16" spans="1:11" x14ac:dyDescent="0.45">
      <c r="A16" s="4"/>
    </row>
    <row r="22" spans="1:9" x14ac:dyDescent="0.45">
      <c r="A22" s="4"/>
      <c r="B22" s="4"/>
      <c r="C22" s="4"/>
      <c r="D22" s="4"/>
      <c r="E22" s="4"/>
      <c r="F22" s="4"/>
      <c r="G22" s="4"/>
      <c r="H22" s="4"/>
      <c r="I22" s="1"/>
    </row>
    <row r="23" spans="1:9" x14ac:dyDescent="0.45">
      <c r="A23" s="4"/>
      <c r="B23" s="4"/>
      <c r="C23" s="4"/>
      <c r="D23" s="4"/>
      <c r="E23" s="4"/>
      <c r="F23" s="4"/>
      <c r="G23" s="4"/>
      <c r="H23" s="4"/>
      <c r="I23" s="1"/>
    </row>
    <row r="24" spans="1:9" x14ac:dyDescent="0.45">
      <c r="A24" s="4"/>
      <c r="B24" s="4"/>
      <c r="C24" s="4"/>
      <c r="D24" s="4"/>
      <c r="E24" s="4"/>
      <c r="F24" s="4"/>
      <c r="G24" s="4"/>
      <c r="H24" s="4"/>
      <c r="I24" s="1"/>
    </row>
    <row r="25" spans="1:9" x14ac:dyDescent="0.45">
      <c r="A25" s="4"/>
      <c r="B25" s="4"/>
      <c r="C25" s="4"/>
      <c r="D25" s="4"/>
      <c r="E25" s="4"/>
      <c r="F25" s="4"/>
      <c r="G25" s="4"/>
      <c r="H25" s="4"/>
    </row>
    <row r="26" spans="1:9" x14ac:dyDescent="0.45">
      <c r="A26" s="4"/>
    </row>
  </sheetData>
  <dataValidations disablePrompts="1" count="1">
    <dataValidation allowBlank="1" showDropDown="1" showInputMessage="1" showErrorMessage="1" promptTitle="Rate of increase" sqref="B3" xr:uid="{00000000-0002-0000-0300-000002000000}"/>
  </dataValidations>
  <pageMargins left="0.7" right="0.7" top="0.75" bottom="0.75" header="0.3" footer="0.3"/>
  <pageSetup scale="77" orientation="landscape" r:id="rId1"/>
  <headerFooter>
    <oddHeader>&amp;L2026 TAP Reconcilable Rider Reports and Projection Model: &amp;A</oddHeader>
  </headerFooter>
  <ignoredErrors>
    <ignoredError sqref="B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9"/>
  </sheetPr>
  <dimension ref="A1:AD29"/>
  <sheetViews>
    <sheetView zoomScale="85" zoomScaleNormal="85" workbookViewId="0">
      <selection activeCell="E29" sqref="E29"/>
    </sheetView>
  </sheetViews>
  <sheetFormatPr defaultColWidth="8.86328125" defaultRowHeight="14.25" x14ac:dyDescent="0.45"/>
  <cols>
    <col min="1" max="1" width="36" customWidth="1"/>
    <col min="2" max="18" width="14.86328125" customWidth="1"/>
    <col min="19" max="19" width="15.86328125" customWidth="1"/>
    <col min="20" max="30" width="13.265625" bestFit="1" customWidth="1"/>
  </cols>
  <sheetData>
    <row r="1" spans="1:30" s="107" customFormat="1" x14ac:dyDescent="0.45">
      <c r="B1" s="146" t="str">
        <f>IF(B4=TRR_Summary!$B9,"Reconciled Period",IF(B4=TRR_Summary!$B10,"Most Recent Period",IF(B4=TRR_Summary!$B13,"Next Rate Period","")))</f>
        <v>Reconciled Period</v>
      </c>
      <c r="C1" s="146" t="str">
        <f>IF(C4=TRR_Summary!$B9,"Reconciled Period",IF(C4=TRR_Summary!$B10,"Most Recent Period",IF(C4=TRR_Summary!$B13,"Next Rate Period","")))</f>
        <v/>
      </c>
      <c r="D1" s="146" t="str">
        <f>IF(D4=TRR_Summary!$B9,"Reconciled Period",IF(D4=TRR_Summary!$B10,"Most Recent Period",IF(D4=TRR_Summary!$B13,"Next Rate Period","")))</f>
        <v/>
      </c>
      <c r="E1" s="146" t="str">
        <f>IF(E4=TRR_Summary!$B9,"Reconciled Period",IF(E4=TRR_Summary!$B10,"Most Recent Period",IF(E4=TRR_Summary!$B13,"Next Rate Period","")))</f>
        <v/>
      </c>
      <c r="F1" s="146" t="str">
        <f>IF(F4=TRR_Summary!$B9,"Reconciled Period",IF(F4=TRR_Summary!$B10,"Most Recent Period",IF(F4=TRR_Summary!$B13,"Next Rate Period","")))</f>
        <v/>
      </c>
      <c r="G1" s="108" t="str">
        <f>IF(G4=TRR_Summary!$B9,"Reconciled Period",IF(G4=TRR_Summary!$B10,"Most Recent Period",IF(G4=TRR_Summary!$B13,"Next Rate Period","")))</f>
        <v>Most Recent Period</v>
      </c>
      <c r="H1" s="108" t="str">
        <f>IF(H4=TRR_Summary!$B9,"Reconciled Period",IF(H4=TRR_Summary!$B10,"Most Recent Period",IF(H4=TRR_Summary!$B13,"Next Rate Period","")))</f>
        <v/>
      </c>
      <c r="I1" s="108" t="str">
        <f>IF(I4=TRR_Summary!$B9,"Reconciled Period",IF(I4=TRR_Summary!$B10,"Most Recent Period",IF(I4=TRR_Summary!$B13,"Next Rate Period","")))</f>
        <v/>
      </c>
      <c r="J1" s="108" t="str">
        <f>IF(J4=TRR_Summary!$B9,"Reconciled Period",IF(J4=TRR_Summary!$B10,"Most Recent Period",IF(J4=TRR_Summary!$B13,"Next Rate Period","")))</f>
        <v/>
      </c>
      <c r="K1" s="108" t="str">
        <f>IF(K4=TRR_Summary!$B9,"Reconciled Period",IF(K4=TRR_Summary!$B10,"Most Recent Period",IF(K4=TRR_Summary!$B13,"Next Rate Period","")))</f>
        <v/>
      </c>
      <c r="L1" s="108" t="str">
        <f>IF(L4=TRR_Summary!$B9,"Reconciled Period",IF(L4=TRR_Summary!$B10,"Most Recent Period",IF(L4=TRR_Summary!$B13,"Next Rate Period","")))</f>
        <v/>
      </c>
      <c r="M1" s="108" t="str">
        <f>IF(M4=TRR_Summary!$B9,"Reconciled Period",IF(M4=TRR_Summary!$B10,"Most Recent Period",IF(M4=TRR_Summary!$B13,"Next Rate Period","")))</f>
        <v/>
      </c>
      <c r="N1" s="108" t="str">
        <f>IF(N4=TRR_Summary!$B9,"Reconciled Period",IF(N4=TRR_Summary!$B10,"Most Recent Period",IF(N4=TRR_Summary!$B13,"Next Rate Period","")))</f>
        <v/>
      </c>
      <c r="O1" s="108" t="str">
        <f>IF(O4=TRR_Summary!$B9,"Reconciled Period",IF(O4=TRR_Summary!$B10,"Most Recent Period",IF(O4=TRR_Summary!$B13,"Next Rate Period","")))</f>
        <v/>
      </c>
      <c r="P1" s="108" t="str">
        <f>IF(P4=TRR_Summary!$B9,"Reconciled Period",IF(P4=TRR_Summary!$B10,"Most Recent Period",IF(P4=TRR_Summary!$B13,"Next Rate Period","")))</f>
        <v/>
      </c>
      <c r="Q1" s="108" t="str">
        <f>IF(Q4=TRR_Summary!$B9,"Reconciled Period",IF(Q4=TRR_Summary!$B10,"Most Recent Period",IF(Q4=TRR_Summary!$B13,"Next Rate Period","")))</f>
        <v/>
      </c>
      <c r="R1" s="108" t="str">
        <f>IF(R4=TRR_Summary!$B9,"Reconciled Period",IF(R4=TRR_Summary!$B10,"Most Recent Period",IF(R4=TRR_Summary!$B13,"Next Rate Period","")))</f>
        <v/>
      </c>
      <c r="S1" s="109" t="str">
        <f>IF(S4=TRR_Summary!$B9,"Reconciled Period",IF(S4=TRR_Summary!$B10,"Most Recent Period",IF(S4=TRR_Summary!$B13,"Next Rate Period","")))</f>
        <v>Next Rate Period</v>
      </c>
      <c r="T1" s="109" t="str">
        <f>IF(T4=TRR_Summary!$B9,"Reconciled Period",IF(T4=TRR_Summary!$B10,"Most Recent Period",IF(T4=TRR_Summary!$B13,"Next Rate Period","")))</f>
        <v/>
      </c>
      <c r="U1" s="109" t="str">
        <f>IF(U4=TRR_Summary!$B9,"Reconciled Period",IF(U4=TRR_Summary!$B10,"Most Recent Period",IF(U4=TRR_Summary!$B13,"Next Rate Period","")))</f>
        <v/>
      </c>
      <c r="V1" s="109" t="str">
        <f>IF(V4=TRR_Summary!$B9,"Reconciled Period",IF(V4=TRR_Summary!$B10,"Most Recent Period",IF(V4=TRR_Summary!$B13,"Next Rate Period","")))</f>
        <v/>
      </c>
      <c r="W1" s="109" t="str">
        <f>IF(W4=TRR_Summary!$B9,"Reconciled Period",IF(W4=TRR_Summary!$B10,"Most Recent Period",IF(W4=TRR_Summary!$B13,"Next Rate Period","")))</f>
        <v/>
      </c>
      <c r="X1" s="109" t="str">
        <f>IF(X4=TRR_Summary!$B9,"Reconciled Period",IF(X4=TRR_Summary!$B10,"Most Recent Period",IF(X4=TRR_Summary!$B13,"Next Rate Period","")))</f>
        <v/>
      </c>
      <c r="Y1" s="109" t="str">
        <f>IF(Y4=TRR_Summary!$B9,"Reconciled Period",IF(Y4=TRR_Summary!$B10,"Most Recent Period",IF(Y4=TRR_Summary!$B13,"Next Rate Period","")))</f>
        <v/>
      </c>
      <c r="Z1" s="109" t="str">
        <f>IF(Z4=TRR_Summary!$B9,"Reconciled Period",IF(Z4=TRR_Summary!$B10,"Most Recent Period",IF(Z4=TRR_Summary!$B13,"Next Rate Period","")))</f>
        <v/>
      </c>
      <c r="AA1" s="109" t="str">
        <f>IF(AA4=TRR_Summary!$B9,"Reconciled Period",IF(AA4=TRR_Summary!$B10,"Most Recent Period",IF(AA4=TRR_Summary!$B13,"Next Rate Period","")))</f>
        <v/>
      </c>
      <c r="AB1" s="109" t="str">
        <f>IF(AB4=TRR_Summary!$B9,"Reconciled Period",IF(AB4=TRR_Summary!$B10,"Most Recent Period",IF(AB4=TRR_Summary!$B13,"Next Rate Period","")))</f>
        <v/>
      </c>
      <c r="AC1" s="109" t="str">
        <f>IF(AC4=TRR_Summary!$B9,"Reconciled Period",IF(AC4=TRR_Summary!$B10,"Most Recent Period",IF(AC4=TRR_Summary!$B13,"Next Rate Period","")))</f>
        <v/>
      </c>
      <c r="AD1" s="109" t="str">
        <f>IF(AD4=TRR_Summary!$B9,"Reconciled Period",IF(AD4=TRR_Summary!$B10,"Most Recent Period",IF(AD4=TRR_Summary!$B13,"Next Rate Period","")))</f>
        <v/>
      </c>
    </row>
    <row r="2" spans="1:30" x14ac:dyDescent="0.45">
      <c r="A2" s="88" t="s">
        <v>36</v>
      </c>
      <c r="B2" s="89" t="s">
        <v>37</v>
      </c>
      <c r="C2" s="89" t="s">
        <v>37</v>
      </c>
      <c r="D2" s="89" t="s">
        <v>37</v>
      </c>
      <c r="E2" s="89" t="s">
        <v>37</v>
      </c>
      <c r="F2" s="89" t="s">
        <v>37</v>
      </c>
      <c r="G2" s="89" t="s">
        <v>37</v>
      </c>
      <c r="H2" s="89" t="s">
        <v>37</v>
      </c>
      <c r="I2" s="89" t="s">
        <v>37</v>
      </c>
      <c r="J2" s="89" t="s">
        <v>37</v>
      </c>
      <c r="K2" s="89" t="s">
        <v>38</v>
      </c>
      <c r="L2" s="89" t="s">
        <v>38</v>
      </c>
      <c r="M2" s="89" t="s">
        <v>38</v>
      </c>
      <c r="N2" s="89" t="s">
        <v>38</v>
      </c>
      <c r="O2" s="89" t="s">
        <v>38</v>
      </c>
      <c r="P2" s="89" t="s">
        <v>38</v>
      </c>
      <c r="Q2" s="89" t="s">
        <v>38</v>
      </c>
      <c r="R2" s="89" t="s">
        <v>38</v>
      </c>
      <c r="S2" t="s">
        <v>38</v>
      </c>
      <c r="T2" t="s">
        <v>38</v>
      </c>
      <c r="U2" t="s">
        <v>38</v>
      </c>
      <c r="V2" t="s">
        <v>38</v>
      </c>
      <c r="W2" t="s">
        <v>38</v>
      </c>
      <c r="X2" t="s">
        <v>38</v>
      </c>
      <c r="Y2" t="s">
        <v>38</v>
      </c>
      <c r="Z2" t="s">
        <v>38</v>
      </c>
      <c r="AA2" t="s">
        <v>38</v>
      </c>
      <c r="AB2" t="s">
        <v>38</v>
      </c>
      <c r="AC2" t="s">
        <v>38</v>
      </c>
      <c r="AD2" t="s">
        <v>38</v>
      </c>
    </row>
    <row r="3" spans="1:30" x14ac:dyDescent="0.45">
      <c r="A3" s="90" t="s">
        <v>39</v>
      </c>
      <c r="B3" s="3"/>
      <c r="C3" s="3"/>
      <c r="D3" s="3"/>
      <c r="E3" s="3"/>
      <c r="F3" s="3"/>
      <c r="G3" s="3"/>
      <c r="H3" s="3"/>
      <c r="I3" s="3"/>
      <c r="J3" s="3"/>
      <c r="K3" s="3">
        <v>2.5000000000000001E-3</v>
      </c>
      <c r="L3" s="3">
        <v>2.5000000000000001E-3</v>
      </c>
      <c r="M3" s="3">
        <v>2.5000000000000001E-3</v>
      </c>
      <c r="N3" s="3">
        <v>2.5000000000000001E-3</v>
      </c>
      <c r="O3" s="3">
        <v>2.5000000000000001E-3</v>
      </c>
      <c r="P3" s="3">
        <v>2.5000000000000001E-3</v>
      </c>
      <c r="Q3" s="3">
        <v>2.5000000000000001E-3</v>
      </c>
      <c r="R3" s="3">
        <v>2.5000000000000001E-3</v>
      </c>
      <c r="S3" s="3">
        <v>2.5000000000000001E-3</v>
      </c>
      <c r="T3" s="3">
        <v>2.5000000000000001E-3</v>
      </c>
      <c r="U3" s="3">
        <v>2.5000000000000001E-3</v>
      </c>
      <c r="V3" s="3">
        <v>2.5000000000000001E-3</v>
      </c>
      <c r="W3" s="3">
        <v>2.5000000000000001E-3</v>
      </c>
      <c r="X3" s="3">
        <v>2.5000000000000001E-3</v>
      </c>
      <c r="Y3" s="3">
        <v>2.5000000000000001E-3</v>
      </c>
      <c r="Z3" s="3">
        <v>2.5000000000000001E-3</v>
      </c>
      <c r="AA3" s="3">
        <v>2.5000000000000001E-3</v>
      </c>
      <c r="AB3" s="3">
        <v>2.5000000000000001E-3</v>
      </c>
      <c r="AC3" s="3">
        <v>2.5000000000000001E-3</v>
      </c>
      <c r="AD3" s="3">
        <v>2.5000000000000001E-3</v>
      </c>
    </row>
    <row r="4" spans="1:30" s="80" customFormat="1" x14ac:dyDescent="0.45">
      <c r="A4" s="91"/>
      <c r="B4" s="110">
        <v>45748</v>
      </c>
      <c r="C4" s="110">
        <v>45778</v>
      </c>
      <c r="D4" s="110">
        <v>45809</v>
      </c>
      <c r="E4" s="110">
        <v>45839</v>
      </c>
      <c r="F4" s="110">
        <v>45870</v>
      </c>
      <c r="G4" s="110">
        <v>45901</v>
      </c>
      <c r="H4" s="110">
        <v>45931</v>
      </c>
      <c r="I4" s="110">
        <v>45962</v>
      </c>
      <c r="J4" s="110">
        <v>45992</v>
      </c>
      <c r="K4" s="110">
        <v>46023</v>
      </c>
      <c r="L4" s="110">
        <v>46054</v>
      </c>
      <c r="M4" s="110">
        <v>46082</v>
      </c>
      <c r="N4" s="110">
        <v>46113</v>
      </c>
      <c r="O4" s="110">
        <v>46143</v>
      </c>
      <c r="P4" s="110">
        <v>46174</v>
      </c>
      <c r="Q4" s="110">
        <v>46204</v>
      </c>
      <c r="R4" s="110">
        <v>46235</v>
      </c>
      <c r="S4" s="110">
        <v>46266</v>
      </c>
      <c r="T4" s="110">
        <v>46296</v>
      </c>
      <c r="U4" s="110">
        <v>46327</v>
      </c>
      <c r="V4" s="110">
        <v>46357</v>
      </c>
      <c r="W4" s="110">
        <v>46388</v>
      </c>
      <c r="X4" s="110">
        <v>46419</v>
      </c>
      <c r="Y4" s="110">
        <v>46447</v>
      </c>
      <c r="Z4" s="110">
        <v>46478</v>
      </c>
      <c r="AA4" s="110">
        <v>46508</v>
      </c>
      <c r="AB4" s="110">
        <v>46539</v>
      </c>
      <c r="AC4" s="110">
        <v>46569</v>
      </c>
      <c r="AD4" s="110">
        <v>46600</v>
      </c>
    </row>
    <row r="5" spans="1:30" x14ac:dyDescent="0.45">
      <c r="A5" s="92" t="s">
        <v>40</v>
      </c>
      <c r="B5" s="74">
        <f>SUMIFS('Combined Data'!$I:$I,'Combined Data'!$A:$A,YEAR(TRR_Projections!B$4),'Combined Data'!$B:$B,MONTH(TRR_Projections!B$4),'Combined Data'!$C:$C,"TAP")</f>
        <v>64762</v>
      </c>
      <c r="C5" s="74">
        <f>SUMIFS('Combined Data'!$I:$I,'Combined Data'!$A:$A,YEAR(TRR_Projections!C$4),'Combined Data'!$B:$B,MONTH(TRR_Projections!C$4),'Combined Data'!$C:$C,"TAP")</f>
        <v>65114</v>
      </c>
      <c r="D5" s="74">
        <f>SUMIFS('Combined Data'!$I:$I,'Combined Data'!$A:$A,YEAR(TRR_Projections!D$4),'Combined Data'!$B:$B,MONTH(TRR_Projections!D$4),'Combined Data'!$C:$C,"TAP")</f>
        <v>65257</v>
      </c>
      <c r="E5" s="74">
        <f>SUMIFS('Combined Data'!$I:$I,'Combined Data'!$A:$A,YEAR(TRR_Projections!E$4),'Combined Data'!$B:$B,MONTH(TRR_Projections!E$4),'Combined Data'!$C:$C,"TAP")</f>
        <v>65853</v>
      </c>
      <c r="F5" s="74">
        <f>SUMIFS('Combined Data'!$I:$I,'Combined Data'!$A:$A,YEAR(TRR_Projections!F$4),'Combined Data'!$B:$B,MONTH(TRR_Projections!F$4),'Combined Data'!$C:$C,"TAP")</f>
        <v>66393</v>
      </c>
      <c r="G5" s="74">
        <f>SUMIFS('Combined Data'!$I:$I,'Combined Data'!$A:$A,YEAR(TRR_Projections!G$4),'Combined Data'!$B:$B,MONTH(TRR_Projections!G$4),'Combined Data'!$C:$C,"TAP")</f>
        <v>66827</v>
      </c>
      <c r="H5" s="74">
        <f>SUMIFS('Combined Data'!$I:$I,'Combined Data'!$A:$A,YEAR(TRR_Projections!H$4),'Combined Data'!$B:$B,MONTH(TRR_Projections!H$4),'Combined Data'!$C:$C,"TAP")</f>
        <v>67155</v>
      </c>
      <c r="I5" s="74">
        <f>SUMIFS('Combined Data'!$I:$I,'Combined Data'!$A:$A,YEAR(TRR_Projections!I$4),'Combined Data'!$B:$B,MONTH(TRR_Projections!I$4),'Combined Data'!$C:$C,"TAP")</f>
        <v>56281</v>
      </c>
      <c r="J5" s="74">
        <f>SUMIFS('Combined Data'!$I:$I,'Combined Data'!$A:$A,YEAR(TRR_Projections!J$4),'Combined Data'!$B:$B,MONTH(TRR_Projections!J$4),'Combined Data'!$C:$C,"TAP")</f>
        <v>67815</v>
      </c>
      <c r="K5" s="111">
        <f>J5*(1+K3)</f>
        <v>67984.537499999991</v>
      </c>
      <c r="L5" s="111">
        <f t="shared" ref="L5:AD5" si="0">K5*(1+L3)</f>
        <v>68154.498843749985</v>
      </c>
      <c r="M5" s="111">
        <f t="shared" si="0"/>
        <v>68324.885090859359</v>
      </c>
      <c r="N5" s="111">
        <f t="shared" si="0"/>
        <v>68495.697303586508</v>
      </c>
      <c r="O5" s="111">
        <f t="shared" si="0"/>
        <v>68666.936546845478</v>
      </c>
      <c r="P5" s="111">
        <f t="shared" si="0"/>
        <v>68838.603888212587</v>
      </c>
      <c r="Q5" s="111">
        <f t="shared" si="0"/>
        <v>69010.70039793312</v>
      </c>
      <c r="R5" s="111">
        <f t="shared" si="0"/>
        <v>69183.227148927952</v>
      </c>
      <c r="S5" s="111">
        <f t="shared" si="0"/>
        <v>69356.185216800266</v>
      </c>
      <c r="T5" s="111">
        <f t="shared" si="0"/>
        <v>69529.575679842266</v>
      </c>
      <c r="U5" s="111">
        <f t="shared" si="0"/>
        <v>69703.399619041869</v>
      </c>
      <c r="V5" s="111">
        <f t="shared" si="0"/>
        <v>69877.658118089472</v>
      </c>
      <c r="W5" s="111">
        <f t="shared" si="0"/>
        <v>70052.352263384688</v>
      </c>
      <c r="X5" s="111">
        <f t="shared" si="0"/>
        <v>70227.483144043144</v>
      </c>
      <c r="Y5" s="111">
        <f t="shared" si="0"/>
        <v>70403.051851903248</v>
      </c>
      <c r="Z5" s="111">
        <f t="shared" si="0"/>
        <v>70579.059481532997</v>
      </c>
      <c r="AA5" s="111">
        <f t="shared" si="0"/>
        <v>70755.507130236831</v>
      </c>
      <c r="AB5" s="111">
        <f t="shared" si="0"/>
        <v>70932.395898062416</v>
      </c>
      <c r="AC5" s="111">
        <f t="shared" si="0"/>
        <v>71109.72688780757</v>
      </c>
      <c r="AD5" s="111">
        <f t="shared" si="0"/>
        <v>71287.501205027089</v>
      </c>
    </row>
    <row r="6" spans="1:30" s="80" customFormat="1" x14ac:dyDescent="0.45">
      <c r="A6" s="91" t="s">
        <v>41</v>
      </c>
      <c r="B6" s="110">
        <f t="shared" ref="B6:M6" si="1">B4</f>
        <v>45748</v>
      </c>
      <c r="C6" s="110">
        <f t="shared" si="1"/>
        <v>45778</v>
      </c>
      <c r="D6" s="110">
        <f t="shared" si="1"/>
        <v>45809</v>
      </c>
      <c r="E6" s="110">
        <f t="shared" si="1"/>
        <v>45839</v>
      </c>
      <c r="F6" s="110">
        <f t="shared" si="1"/>
        <v>45870</v>
      </c>
      <c r="G6" s="110">
        <f t="shared" si="1"/>
        <v>45901</v>
      </c>
      <c r="H6" s="110">
        <f t="shared" si="1"/>
        <v>45931</v>
      </c>
      <c r="I6" s="110">
        <f t="shared" si="1"/>
        <v>45962</v>
      </c>
      <c r="J6" s="110">
        <f t="shared" si="1"/>
        <v>45992</v>
      </c>
      <c r="K6" s="110">
        <f t="shared" si="1"/>
        <v>46023</v>
      </c>
      <c r="L6" s="110">
        <f t="shared" si="1"/>
        <v>46054</v>
      </c>
      <c r="M6" s="110">
        <f t="shared" si="1"/>
        <v>46082</v>
      </c>
      <c r="N6" s="110">
        <f t="shared" ref="N6:AD6" si="2">N4</f>
        <v>46113</v>
      </c>
      <c r="O6" s="110">
        <f t="shared" si="2"/>
        <v>46143</v>
      </c>
      <c r="P6" s="110">
        <f t="shared" si="2"/>
        <v>46174</v>
      </c>
      <c r="Q6" s="110">
        <f t="shared" si="2"/>
        <v>46204</v>
      </c>
      <c r="R6" s="110">
        <f t="shared" si="2"/>
        <v>46235</v>
      </c>
      <c r="S6" s="110">
        <f t="shared" si="2"/>
        <v>46266</v>
      </c>
      <c r="T6" s="110">
        <f t="shared" si="2"/>
        <v>46296</v>
      </c>
      <c r="U6" s="110">
        <f t="shared" si="2"/>
        <v>46327</v>
      </c>
      <c r="V6" s="110">
        <f t="shared" si="2"/>
        <v>46357</v>
      </c>
      <c r="W6" s="110">
        <f t="shared" si="2"/>
        <v>46388</v>
      </c>
      <c r="X6" s="110">
        <f t="shared" si="2"/>
        <v>46419</v>
      </c>
      <c r="Y6" s="110">
        <f t="shared" si="2"/>
        <v>46447</v>
      </c>
      <c r="Z6" s="110">
        <f t="shared" si="2"/>
        <v>46478</v>
      </c>
      <c r="AA6" s="110">
        <f t="shared" si="2"/>
        <v>46508</v>
      </c>
      <c r="AB6" s="110">
        <f t="shared" si="2"/>
        <v>46539</v>
      </c>
      <c r="AC6" s="110">
        <f t="shared" si="2"/>
        <v>46569</v>
      </c>
      <c r="AD6" s="110">
        <f t="shared" si="2"/>
        <v>46600</v>
      </c>
    </row>
    <row r="7" spans="1:30" s="11" customFormat="1" x14ac:dyDescent="0.45">
      <c r="A7" s="92" t="s">
        <v>42</v>
      </c>
      <c r="B7" s="75">
        <f>SUMIFS('Combined Data'!$K:$K,'Combined Data'!$A:$A,YEAR(TRR_Projections!B$4),'Combined Data'!$B:$B,MONTH(TRR_Projections!B$4),'Combined Data'!$C:$C,"TAP")</f>
        <v>3128342.41</v>
      </c>
      <c r="C7" s="75">
        <f>SUMIFS('Combined Data'!$K:$K,'Combined Data'!$A:$A,YEAR(TRR_Projections!C$4),'Combined Data'!$B:$B,MONTH(TRR_Projections!C$4),'Combined Data'!$C:$C,"TAP")</f>
        <v>3243724.0700000003</v>
      </c>
      <c r="D7" s="75">
        <f>SUMIFS('Combined Data'!$K:$K,'Combined Data'!$A:$A,YEAR(TRR_Projections!D$4),'Combined Data'!$B:$B,MONTH(TRR_Projections!D$4),'Combined Data'!$C:$C,"TAP")</f>
        <v>3486841.07</v>
      </c>
      <c r="E7" s="75">
        <f>SUMIFS('Combined Data'!$K:$K,'Combined Data'!$A:$A,YEAR(TRR_Projections!E$4),'Combined Data'!$B:$B,MONTH(TRR_Projections!E$4),'Combined Data'!$C:$C,"TAP")</f>
        <v>3526644.22</v>
      </c>
      <c r="F7" s="75">
        <f>SUMIFS('Combined Data'!$K:$K,'Combined Data'!$A:$A,YEAR(TRR_Projections!F$4),'Combined Data'!$B:$B,MONTH(TRR_Projections!F$4),'Combined Data'!$C:$C,"TAP")</f>
        <v>3776526.48</v>
      </c>
      <c r="G7" s="75">
        <f>SUMIFS('Combined Data'!$K:$K,'Combined Data'!$A:$A,YEAR(TRR_Projections!G$4),'Combined Data'!$B:$B,MONTH(TRR_Projections!G$4),'Combined Data'!$C:$C,"TAP")</f>
        <v>3997140.2</v>
      </c>
      <c r="H7" s="75">
        <f>SUMIFS('Combined Data'!$K:$K,'Combined Data'!$A:$A,YEAR(TRR_Projections!H$4),'Combined Data'!$B:$B,MONTH(TRR_Projections!H$4),'Combined Data'!$C:$C,"TAP")</f>
        <v>4545754.26</v>
      </c>
      <c r="I7" s="75">
        <f>SUMIFS('Combined Data'!$K:$K,'Combined Data'!$A:$A,YEAR(TRR_Projections!I$4),'Combined Data'!$B:$B,MONTH(TRR_Projections!I$4),'Combined Data'!$C:$C,"TAP")</f>
        <v>3282881.9</v>
      </c>
      <c r="J7" s="75">
        <f>SUMIFS('Combined Data'!$K:$K,'Combined Data'!$A:$A,YEAR(TRR_Projections!J$4),'Combined Data'!$B:$B,MONTH(TRR_Projections!J$4),'Combined Data'!$C:$C,"TAP")</f>
        <v>4386029.1899999995</v>
      </c>
      <c r="K7" s="112">
        <f>TRR_Summary!$B$4*K5</f>
        <v>4270616.2569327224</v>
      </c>
      <c r="L7" s="112">
        <f>TRR_Summary!$B$4*L5</f>
        <v>4281292.7975750538</v>
      </c>
      <c r="M7" s="112">
        <f>TRR_Summary!$B$4*M5</f>
        <v>4291996.0295689907</v>
      </c>
      <c r="N7" s="112">
        <f>TRR_Summary!$B$4*N5</f>
        <v>4302726.0196429137</v>
      </c>
      <c r="O7" s="112">
        <f>TRR_Summary!$B$4*O5</f>
        <v>4313482.8346920209</v>
      </c>
      <c r="P7" s="112">
        <f>TRR_Summary!$B$4*P5</f>
        <v>4324266.5417787507</v>
      </c>
      <c r="Q7" s="112">
        <f>TRR_Summary!$B$4*Q5</f>
        <v>4335077.2081331983</v>
      </c>
      <c r="R7" s="112">
        <f>TRR_Summary!$B$4*R5</f>
        <v>4345914.9011535309</v>
      </c>
      <c r="S7" s="112">
        <f>TRR_Summary!$B$4*S5</f>
        <v>4356779.6884064144</v>
      </c>
      <c r="T7" s="112">
        <f>TRR_Summary!$B$4*T5</f>
        <v>4367671.6376274303</v>
      </c>
      <c r="U7" s="112">
        <f>TRR_Summary!$B$4*U5</f>
        <v>4378590.816721499</v>
      </c>
      <c r="V7" s="112">
        <f>TRR_Summary!$B$4*V5</f>
        <v>4389537.2937633023</v>
      </c>
      <c r="W7" s="112">
        <f>TRR_Summary!$B$4*W5</f>
        <v>4400511.13699771</v>
      </c>
      <c r="X7" s="112">
        <f>TRR_Summary!$B$4*X5</f>
        <v>4411512.4148402037</v>
      </c>
      <c r="Y7" s="112">
        <f>TRR_Summary!$B$4*Y5</f>
        <v>4422541.1958773043</v>
      </c>
      <c r="Z7" s="112">
        <f>TRR_Summary!$B$4*Z5</f>
        <v>4433597.5488669965</v>
      </c>
      <c r="AA7" s="112">
        <f>TRR_Summary!$B$4*AA5</f>
        <v>4444681.5427391641</v>
      </c>
      <c r="AB7" s="112">
        <f>TRR_Summary!$B$4*AB5</f>
        <v>4455793.2465960123</v>
      </c>
      <c r="AC7" s="112">
        <f>TRR_Summary!$B$4*AC5</f>
        <v>4466932.7297125021</v>
      </c>
      <c r="AD7" s="112">
        <f>TRR_Summary!$B$4*AD5</f>
        <v>4478100.0615367834</v>
      </c>
    </row>
    <row r="8" spans="1:30" s="80" customFormat="1" x14ac:dyDescent="0.45">
      <c r="A8" s="91" t="s">
        <v>43</v>
      </c>
      <c r="B8" s="110">
        <f t="shared" ref="B8:M8" si="3">B6</f>
        <v>45748</v>
      </c>
      <c r="C8" s="110">
        <f t="shared" si="3"/>
        <v>45778</v>
      </c>
      <c r="D8" s="110">
        <f t="shared" si="3"/>
        <v>45809</v>
      </c>
      <c r="E8" s="110">
        <f t="shared" si="3"/>
        <v>45839</v>
      </c>
      <c r="F8" s="110">
        <f t="shared" si="3"/>
        <v>45870</v>
      </c>
      <c r="G8" s="110">
        <f t="shared" si="3"/>
        <v>45901</v>
      </c>
      <c r="H8" s="110">
        <f t="shared" si="3"/>
        <v>45931</v>
      </c>
      <c r="I8" s="110">
        <f t="shared" si="3"/>
        <v>45962</v>
      </c>
      <c r="J8" s="110">
        <f t="shared" si="3"/>
        <v>45992</v>
      </c>
      <c r="K8" s="110">
        <f t="shared" si="3"/>
        <v>46023</v>
      </c>
      <c r="L8" s="110">
        <f t="shared" si="3"/>
        <v>46054</v>
      </c>
      <c r="M8" s="110">
        <f t="shared" si="3"/>
        <v>46082</v>
      </c>
      <c r="N8" s="110">
        <f t="shared" ref="N8:AD8" si="4">N6</f>
        <v>46113</v>
      </c>
      <c r="O8" s="110">
        <f t="shared" si="4"/>
        <v>46143</v>
      </c>
      <c r="P8" s="110">
        <f t="shared" si="4"/>
        <v>46174</v>
      </c>
      <c r="Q8" s="110">
        <f t="shared" si="4"/>
        <v>46204</v>
      </c>
      <c r="R8" s="110">
        <f t="shared" si="4"/>
        <v>46235</v>
      </c>
      <c r="S8" s="110">
        <f t="shared" si="4"/>
        <v>46266</v>
      </c>
      <c r="T8" s="110">
        <f t="shared" si="4"/>
        <v>46296</v>
      </c>
      <c r="U8" s="110">
        <f t="shared" si="4"/>
        <v>46327</v>
      </c>
      <c r="V8" s="110">
        <f t="shared" si="4"/>
        <v>46357</v>
      </c>
      <c r="W8" s="110">
        <f t="shared" si="4"/>
        <v>46388</v>
      </c>
      <c r="X8" s="110">
        <f t="shared" si="4"/>
        <v>46419</v>
      </c>
      <c r="Y8" s="110">
        <f t="shared" si="4"/>
        <v>46447</v>
      </c>
      <c r="Z8" s="110">
        <f t="shared" si="4"/>
        <v>46478</v>
      </c>
      <c r="AA8" s="110">
        <f t="shared" si="4"/>
        <v>46508</v>
      </c>
      <c r="AB8" s="110">
        <f t="shared" si="4"/>
        <v>46539</v>
      </c>
      <c r="AC8" s="110">
        <f t="shared" si="4"/>
        <v>46569</v>
      </c>
      <c r="AD8" s="110">
        <f t="shared" si="4"/>
        <v>46600</v>
      </c>
    </row>
    <row r="9" spans="1:30" x14ac:dyDescent="0.45">
      <c r="A9" s="92" t="s">
        <v>28</v>
      </c>
      <c r="B9" s="69">
        <f>SUMIFS('Combined Data'!$E:$E,'Combined Data'!$A:$A,YEAR(TRR_Projections!B$4),'Combined Data'!$B:$B,MONTH(TRR_Projections!B$4),'Combined Data'!$C:$C,"TAP")</f>
        <v>382353</v>
      </c>
      <c r="C9" s="69">
        <f>SUMIFS('Combined Data'!$E:$E,'Combined Data'!$A:$A,YEAR(TRR_Projections!C$4),'Combined Data'!$B:$B,MONTH(TRR_Projections!C$4),'Combined Data'!$C:$C,"TAP")</f>
        <v>395758</v>
      </c>
      <c r="D9" s="69">
        <f>SUMIFS('Combined Data'!$E:$E,'Combined Data'!$A:$A,YEAR(TRR_Projections!D$4),'Combined Data'!$B:$B,MONTH(TRR_Projections!D$4),'Combined Data'!$C:$C,"TAP")</f>
        <v>419696</v>
      </c>
      <c r="E9" s="69">
        <f>SUMIFS('Combined Data'!$E:$E,'Combined Data'!$A:$A,YEAR(TRR_Projections!E$4),'Combined Data'!$B:$B,MONTH(TRR_Projections!E$4),'Combined Data'!$C:$C,"TAP")</f>
        <v>423997</v>
      </c>
      <c r="F9" s="69">
        <f>SUMIFS('Combined Data'!$E:$E,'Combined Data'!$A:$A,YEAR(TRR_Projections!F$4),'Combined Data'!$B:$B,MONTH(TRR_Projections!F$4),'Combined Data'!$C:$C,"TAP")</f>
        <v>450076</v>
      </c>
      <c r="G9" s="69">
        <f>SUMIFS('Combined Data'!$E:$E,'Combined Data'!$A:$A,YEAR(TRR_Projections!G$4),'Combined Data'!$B:$B,MONTH(TRR_Projections!G$4),'Combined Data'!$C:$C,"TAP")</f>
        <v>444157</v>
      </c>
      <c r="H9" s="69">
        <f>SUMIFS('Combined Data'!$E:$E,'Combined Data'!$A:$A,YEAR(TRR_Projections!H$4),'Combined Data'!$B:$B,MONTH(TRR_Projections!H$4),'Combined Data'!$C:$C,"TAP")</f>
        <v>466827</v>
      </c>
      <c r="I9" s="69">
        <f>SUMIFS('Combined Data'!$E:$E,'Combined Data'!$A:$A,YEAR(TRR_Projections!I$4),'Combined Data'!$B:$B,MONTH(TRR_Projections!I$4),'Combined Data'!$C:$C,"TAP")</f>
        <v>340206</v>
      </c>
      <c r="J9" s="69">
        <f>SUMIFS('Combined Data'!$E:$E,'Combined Data'!$A:$A,YEAR(TRR_Projections!J$4),'Combined Data'!$B:$B,MONTH(TRR_Projections!J$4),'Combined Data'!$C:$C,"TAP")</f>
        <v>453729</v>
      </c>
      <c r="K9" s="87">
        <f>TRR_Summary!$B$5*K5/100</f>
        <v>449120.53600059857</v>
      </c>
      <c r="L9" s="87">
        <f>TRR_Summary!$B$5*L5/100</f>
        <v>450243.33734060003</v>
      </c>
      <c r="M9" s="87">
        <f>TRR_Summary!$B$5*M5/100</f>
        <v>451368.94568395161</v>
      </c>
      <c r="N9" s="87">
        <f>TRR_Summary!$B$5*N5/100</f>
        <v>452497.36804816144</v>
      </c>
      <c r="O9" s="87">
        <f>TRR_Summary!$B$5*O5/100</f>
        <v>453628.61146828189</v>
      </c>
      <c r="P9" s="87">
        <f>TRR_Summary!$B$5*P5/100</f>
        <v>454762.68299695256</v>
      </c>
      <c r="Q9" s="87">
        <f>TRR_Summary!$B$5*Q5/100</f>
        <v>455899.58970444492</v>
      </c>
      <c r="R9" s="87">
        <f>TRR_Summary!$B$5*R5/100</f>
        <v>457039.33867870609</v>
      </c>
      <c r="S9" s="87">
        <f>TRR_Summary!$B$5*S5/100</f>
        <v>458181.93702540279</v>
      </c>
      <c r="T9" s="87">
        <f>TRR_Summary!$B$5*T5/100</f>
        <v>459327.39186796627</v>
      </c>
      <c r="U9" s="87">
        <f>TRR_Summary!$B$5*U5/100</f>
        <v>460475.7103476362</v>
      </c>
      <c r="V9" s="87">
        <f>TRR_Summary!$B$5*V5/100</f>
        <v>461626.89962350525</v>
      </c>
      <c r="W9" s="87">
        <f>TRR_Summary!$B$5*W5/100</f>
        <v>462780.96687256393</v>
      </c>
      <c r="X9" s="87">
        <f>TRR_Summary!$B$5*X5/100</f>
        <v>463937.91928974533</v>
      </c>
      <c r="Y9" s="87">
        <f>TRR_Summary!$B$5*Y5/100</f>
        <v>465097.76408796967</v>
      </c>
      <c r="Z9" s="87">
        <f>TRR_Summary!$B$5*Z5/100</f>
        <v>466260.50849818951</v>
      </c>
      <c r="AA9" s="87">
        <f>TRR_Summary!$B$5*AA5/100</f>
        <v>467426.15976943501</v>
      </c>
      <c r="AB9" s="87">
        <f>TRR_Summary!$B$5*AB5/100</f>
        <v>468594.72516885854</v>
      </c>
      <c r="AC9" s="87">
        <f>TRR_Summary!$B$5*AC5/100</f>
        <v>469766.21198178065</v>
      </c>
      <c r="AD9" s="87">
        <f>TRR_Summary!$B$5*AD5/100</f>
        <v>470940.62751173513</v>
      </c>
    </row>
    <row r="10" spans="1:30" s="80" customFormat="1" x14ac:dyDescent="0.45">
      <c r="A10" s="91" t="s">
        <v>44</v>
      </c>
      <c r="B10" s="113">
        <f t="shared" ref="B10:J10" si="5">B8</f>
        <v>45748</v>
      </c>
      <c r="C10" s="113">
        <f t="shared" si="5"/>
        <v>45778</v>
      </c>
      <c r="D10" s="113">
        <f t="shared" si="5"/>
        <v>45809</v>
      </c>
      <c r="E10" s="113">
        <f t="shared" si="5"/>
        <v>45839</v>
      </c>
      <c r="F10" s="113">
        <f t="shared" si="5"/>
        <v>45870</v>
      </c>
      <c r="G10" s="113">
        <f t="shared" si="5"/>
        <v>45901</v>
      </c>
      <c r="H10" s="113">
        <f t="shared" si="5"/>
        <v>45931</v>
      </c>
      <c r="I10" s="113">
        <f t="shared" si="5"/>
        <v>45962</v>
      </c>
      <c r="J10" s="113">
        <f t="shared" si="5"/>
        <v>45992</v>
      </c>
      <c r="K10" s="110">
        <f t="shared" ref="K10:M10" si="6">K8</f>
        <v>46023</v>
      </c>
      <c r="L10" s="110">
        <f t="shared" si="6"/>
        <v>46054</v>
      </c>
      <c r="M10" s="110">
        <f t="shared" si="6"/>
        <v>46082</v>
      </c>
      <c r="N10" s="110">
        <f t="shared" ref="N10:AD10" si="7">N8</f>
        <v>46113</v>
      </c>
      <c r="O10" s="110">
        <f t="shared" si="7"/>
        <v>46143</v>
      </c>
      <c r="P10" s="110">
        <f t="shared" si="7"/>
        <v>46174</v>
      </c>
      <c r="Q10" s="110">
        <f t="shared" si="7"/>
        <v>46204</v>
      </c>
      <c r="R10" s="110">
        <f t="shared" si="7"/>
        <v>46235</v>
      </c>
      <c r="S10" s="110">
        <f t="shared" si="7"/>
        <v>46266</v>
      </c>
      <c r="T10" s="110">
        <f t="shared" si="7"/>
        <v>46296</v>
      </c>
      <c r="U10" s="110">
        <f t="shared" si="7"/>
        <v>46327</v>
      </c>
      <c r="V10" s="110">
        <f t="shared" si="7"/>
        <v>46357</v>
      </c>
      <c r="W10" s="110">
        <f t="shared" si="7"/>
        <v>46388</v>
      </c>
      <c r="X10" s="110">
        <f t="shared" si="7"/>
        <v>46419</v>
      </c>
      <c r="Y10" s="110">
        <f t="shared" si="7"/>
        <v>46447</v>
      </c>
      <c r="Z10" s="110">
        <f t="shared" si="7"/>
        <v>46478</v>
      </c>
      <c r="AA10" s="110">
        <f t="shared" si="7"/>
        <v>46508</v>
      </c>
      <c r="AB10" s="110">
        <f t="shared" si="7"/>
        <v>46539</v>
      </c>
      <c r="AC10" s="110">
        <f t="shared" si="7"/>
        <v>46569</v>
      </c>
      <c r="AD10" s="110">
        <f t="shared" si="7"/>
        <v>46600</v>
      </c>
    </row>
    <row r="11" spans="1:30" x14ac:dyDescent="0.45">
      <c r="A11" s="93" t="s">
        <v>29</v>
      </c>
      <c r="B11" s="94">
        <f>SUMIFS('Combined Data'!$G:$G,'Combined Data'!$A:$A,YEAR(TRR_Projections!B$4),'Combined Data'!$B:$B,MONTH(TRR_Projections!B$4),'Combined Data'!$C:$C,"TAP")</f>
        <v>382075</v>
      </c>
      <c r="C11" s="94">
        <f>SUMIFS('Combined Data'!$G:$G,'Combined Data'!$A:$A,YEAR(TRR_Projections!C$4),'Combined Data'!$B:$B,MONTH(TRR_Projections!C$4),'Combined Data'!$C:$C,"TAP")</f>
        <v>395427</v>
      </c>
      <c r="D11" s="94">
        <f>SUMIFS('Combined Data'!$G:$G,'Combined Data'!$A:$A,YEAR(TRR_Projections!D$4),'Combined Data'!$B:$B,MONTH(TRR_Projections!D$4),'Combined Data'!$C:$C,"TAP")</f>
        <v>419359</v>
      </c>
      <c r="E11" s="94">
        <f>SUMIFS('Combined Data'!$G:$G,'Combined Data'!$A:$A,YEAR(TRR_Projections!E$4),'Combined Data'!$B:$B,MONTH(TRR_Projections!E$4),'Combined Data'!$C:$C,"TAP")</f>
        <v>423626</v>
      </c>
      <c r="F11" s="94">
        <f>SUMIFS('Combined Data'!$G:$G,'Combined Data'!$A:$A,YEAR(TRR_Projections!F$4),'Combined Data'!$B:$B,MONTH(TRR_Projections!F$4),'Combined Data'!$C:$C,"TAP")</f>
        <v>449771</v>
      </c>
      <c r="G11" s="94">
        <f>SUMIFS('Combined Data'!$G:$G,'Combined Data'!$A:$A,YEAR(TRR_Projections!G$4),'Combined Data'!$B:$B,MONTH(TRR_Projections!G$4),'Combined Data'!$C:$C,"TAP")</f>
        <v>443876</v>
      </c>
      <c r="H11" s="94">
        <f>SUMIFS('Combined Data'!$G:$G,'Combined Data'!$A:$A,YEAR(TRR_Projections!H$4),'Combined Data'!$B:$B,MONTH(TRR_Projections!H$4),'Combined Data'!$C:$C,"TAP")</f>
        <v>466528</v>
      </c>
      <c r="I11" s="94">
        <f>SUMIFS('Combined Data'!$G:$G,'Combined Data'!$A:$A,YEAR(TRR_Projections!I$4),'Combined Data'!$B:$B,MONTH(TRR_Projections!I$4),'Combined Data'!$C:$C,"TAP")</f>
        <v>339938</v>
      </c>
      <c r="J11" s="94">
        <f>SUMIFS('Combined Data'!$G:$G,'Combined Data'!$A:$A,YEAR(TRR_Projections!J$4),'Combined Data'!$B:$B,MONTH(TRR_Projections!J$4),'Combined Data'!$C:$C,"TAP")</f>
        <v>453388</v>
      </c>
      <c r="K11" s="95">
        <f>TRR_Summary!$B$5*K5/100</f>
        <v>449120.53600059857</v>
      </c>
      <c r="L11" s="95">
        <f>TRR_Summary!$B$5*L5/100</f>
        <v>450243.33734060003</v>
      </c>
      <c r="M11" s="95">
        <f>TRR_Summary!$B$5*M5/100</f>
        <v>451368.94568395161</v>
      </c>
      <c r="N11" s="95">
        <f>TRR_Summary!$B$5*N5/100</f>
        <v>452497.36804816144</v>
      </c>
      <c r="O11" s="95">
        <f>TRR_Summary!$B$5*O5/100</f>
        <v>453628.61146828189</v>
      </c>
      <c r="P11" s="95">
        <f>TRR_Summary!$B$5*P5/100</f>
        <v>454762.68299695256</v>
      </c>
      <c r="Q11" s="95">
        <f>TRR_Summary!$B$5*Q5/100</f>
        <v>455899.58970444492</v>
      </c>
      <c r="R11" s="95">
        <f>TRR_Summary!$B$5*R5/100</f>
        <v>457039.33867870609</v>
      </c>
      <c r="S11" s="95">
        <f>TRR_Summary!$B$5*S5/100</f>
        <v>458181.93702540279</v>
      </c>
      <c r="T11" s="95">
        <f>TRR_Summary!$B$5*T5/100</f>
        <v>459327.39186796627</v>
      </c>
      <c r="U11" s="95">
        <f>TRR_Summary!$B$5*U5/100</f>
        <v>460475.7103476362</v>
      </c>
      <c r="V11" s="95">
        <f>TRR_Summary!$B$5*V5/100</f>
        <v>461626.89962350525</v>
      </c>
      <c r="W11" s="95">
        <f>TRR_Summary!$B$5*W5/100</f>
        <v>462780.96687256393</v>
      </c>
      <c r="X11" s="95">
        <f>TRR_Summary!$B$5*X5/100</f>
        <v>463937.91928974533</v>
      </c>
      <c r="Y11" s="95">
        <f>TRR_Summary!$B$5*Y5/100</f>
        <v>465097.76408796967</v>
      </c>
      <c r="Z11" s="95">
        <f>TRR_Summary!$B$5*Z5/100</f>
        <v>466260.50849818951</v>
      </c>
      <c r="AA11" s="95">
        <f>TRR_Summary!$B$5*AA5/100</f>
        <v>467426.15976943501</v>
      </c>
      <c r="AB11" s="95">
        <f>TRR_Summary!$B$5*AB5/100</f>
        <v>468594.72516885854</v>
      </c>
      <c r="AC11" s="95">
        <f>TRR_Summary!$B$5*AC5/100</f>
        <v>469766.21198178065</v>
      </c>
      <c r="AD11" s="95">
        <f>TRR_Summary!$B$5*AD5/100</f>
        <v>470940.62751173513</v>
      </c>
    </row>
    <row r="29" spans="5:5" x14ac:dyDescent="0.45">
      <c r="E29" t="s">
        <v>137</v>
      </c>
    </row>
  </sheetData>
  <conditionalFormatting sqref="B4:AD4 B6:AD6 B8:AD8 B10:AD10">
    <cfRule type="expression" dxfId="0" priority="5">
      <formula>B$2="Actual"</formula>
    </cfRule>
  </conditionalFormatting>
  <pageMargins left="0.7" right="0.7" top="0.75" bottom="0.75" header="0.3" footer="0.3"/>
  <pageSetup fitToWidth="0" fitToHeight="0" orientation="landscape" r:id="rId1"/>
  <headerFooter>
    <oddHeader>&amp;L2026 TAP Reconcilable Rider Reports and Projection Model: 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ECCF-6BB3-4A00-9BF3-9155696A18F4}">
  <dimension ref="A1:K64"/>
  <sheetViews>
    <sheetView zoomScaleNormal="100" workbookViewId="0">
      <selection activeCell="K7" sqref="K7:K8"/>
    </sheetView>
  </sheetViews>
  <sheetFormatPr defaultColWidth="9.1328125" defaultRowHeight="14.25" x14ac:dyDescent="0.45"/>
  <cols>
    <col min="1" max="1" width="6.53125" style="12" customWidth="1"/>
    <col min="2" max="2" width="4.265625" style="12" customWidth="1"/>
    <col min="3" max="3" width="8.53125" style="12" customWidth="1"/>
    <col min="4" max="4" width="13.59765625" style="12" customWidth="1"/>
    <col min="5" max="5" width="13.59765625" style="162" customWidth="1"/>
    <col min="6" max="6" width="14.3984375" style="144" bestFit="1" customWidth="1"/>
    <col min="7" max="7" width="13.59765625" style="162" customWidth="1"/>
    <col min="8" max="8" width="14.3984375" style="144" bestFit="1" customWidth="1"/>
    <col min="9" max="9" width="11.33203125" style="145" customWidth="1"/>
    <col min="10" max="10" width="8" style="145" customWidth="1"/>
    <col min="11" max="11" width="13.46484375" style="144" customWidth="1"/>
    <col min="12" max="16384" width="9.1328125" style="12"/>
  </cols>
  <sheetData>
    <row r="1" spans="1:11" s="161" customFormat="1" ht="42.75" x14ac:dyDescent="0.45">
      <c r="A1" s="163" t="s">
        <v>45</v>
      </c>
      <c r="B1" s="163" t="s">
        <v>46</v>
      </c>
      <c r="C1" s="163" t="s">
        <v>47</v>
      </c>
      <c r="D1" s="163" t="s">
        <v>48</v>
      </c>
      <c r="E1" s="164" t="s">
        <v>49</v>
      </c>
      <c r="F1" s="165" t="s">
        <v>50</v>
      </c>
      <c r="G1" s="164" t="s">
        <v>51</v>
      </c>
      <c r="H1" s="165" t="s">
        <v>52</v>
      </c>
      <c r="I1" s="166" t="s">
        <v>53</v>
      </c>
      <c r="J1" s="166" t="s">
        <v>54</v>
      </c>
      <c r="K1" s="165" t="s">
        <v>55</v>
      </c>
    </row>
    <row r="2" spans="1:11" x14ac:dyDescent="0.45">
      <c r="A2">
        <v>2025</v>
      </c>
      <c r="B2">
        <v>4</v>
      </c>
      <c r="C2" t="s">
        <v>56</v>
      </c>
      <c r="D2" t="s">
        <v>57</v>
      </c>
      <c r="E2" s="69">
        <v>3768623</v>
      </c>
      <c r="F2" s="160">
        <v>23642528.359999999</v>
      </c>
      <c r="G2" s="69">
        <v>3580867</v>
      </c>
      <c r="H2" s="160">
        <v>16550453.460000001</v>
      </c>
      <c r="I2" s="68">
        <v>0</v>
      </c>
      <c r="J2" s="68">
        <v>0</v>
      </c>
      <c r="K2" s="160">
        <v>0</v>
      </c>
    </row>
    <row r="3" spans="1:11" x14ac:dyDescent="0.45">
      <c r="A3">
        <v>2025</v>
      </c>
      <c r="B3">
        <v>4</v>
      </c>
      <c r="C3" t="s">
        <v>56</v>
      </c>
      <c r="D3" t="s">
        <v>58</v>
      </c>
      <c r="E3" s="69">
        <v>128264</v>
      </c>
      <c r="F3" s="160">
        <v>568585.36</v>
      </c>
      <c r="G3" s="69">
        <v>127647</v>
      </c>
      <c r="H3" s="160">
        <v>437216.08</v>
      </c>
      <c r="I3" s="68">
        <v>0</v>
      </c>
      <c r="J3" s="68">
        <v>0</v>
      </c>
      <c r="K3" s="160">
        <v>0</v>
      </c>
    </row>
    <row r="4" spans="1:11" x14ac:dyDescent="0.45">
      <c r="A4">
        <v>2025</v>
      </c>
      <c r="B4">
        <v>4</v>
      </c>
      <c r="C4" t="s">
        <v>56</v>
      </c>
      <c r="D4" t="s">
        <v>59</v>
      </c>
      <c r="E4" s="69">
        <v>103127</v>
      </c>
      <c r="F4" s="160">
        <v>602858.05000000005</v>
      </c>
      <c r="G4" s="69">
        <v>103076</v>
      </c>
      <c r="H4" s="160">
        <v>447613.04</v>
      </c>
      <c r="I4" s="68">
        <v>0</v>
      </c>
      <c r="J4" s="68">
        <v>0</v>
      </c>
      <c r="K4" s="160">
        <v>0</v>
      </c>
    </row>
    <row r="5" spans="1:11" x14ac:dyDescent="0.45">
      <c r="A5">
        <v>2025</v>
      </c>
      <c r="B5">
        <v>4</v>
      </c>
      <c r="C5" t="s">
        <v>56</v>
      </c>
      <c r="D5" t="s">
        <v>60</v>
      </c>
      <c r="E5" s="69">
        <v>199603</v>
      </c>
      <c r="F5" s="160">
        <v>969109.57</v>
      </c>
      <c r="G5" s="69">
        <v>199603</v>
      </c>
      <c r="H5" s="160">
        <v>908393.26</v>
      </c>
      <c r="I5" s="68">
        <v>0</v>
      </c>
      <c r="J5" s="68">
        <v>0</v>
      </c>
      <c r="K5" s="160">
        <v>0</v>
      </c>
    </row>
    <row r="6" spans="1:11" x14ac:dyDescent="0.45">
      <c r="A6">
        <v>2025</v>
      </c>
      <c r="B6">
        <v>4</v>
      </c>
      <c r="C6" t="s">
        <v>56</v>
      </c>
      <c r="D6" t="s">
        <v>61</v>
      </c>
      <c r="E6" s="69">
        <v>47494</v>
      </c>
      <c r="F6" s="160">
        <v>241744.99</v>
      </c>
      <c r="G6" s="69">
        <v>47466</v>
      </c>
      <c r="H6" s="160">
        <v>165463.09</v>
      </c>
      <c r="I6" s="68">
        <v>0</v>
      </c>
      <c r="J6" s="68">
        <v>0</v>
      </c>
      <c r="K6" s="160">
        <v>0</v>
      </c>
    </row>
    <row r="7" spans="1:11" x14ac:dyDescent="0.45">
      <c r="A7">
        <v>2025</v>
      </c>
      <c r="B7">
        <v>4</v>
      </c>
      <c r="C7" t="s">
        <v>62</v>
      </c>
      <c r="D7" t="s">
        <v>57</v>
      </c>
      <c r="E7" s="69">
        <v>331034</v>
      </c>
      <c r="F7" s="160">
        <v>2211966.69</v>
      </c>
      <c r="G7" s="69">
        <v>330764</v>
      </c>
      <c r="H7" s="160">
        <v>1505015.02</v>
      </c>
      <c r="I7" s="68">
        <v>54888</v>
      </c>
      <c r="J7" s="68">
        <v>55089</v>
      </c>
      <c r="K7" s="160">
        <v>2807882.43</v>
      </c>
    </row>
    <row r="8" spans="1:11" x14ac:dyDescent="0.45">
      <c r="A8">
        <v>2025</v>
      </c>
      <c r="B8">
        <v>4</v>
      </c>
      <c r="C8" t="s">
        <v>62</v>
      </c>
      <c r="D8" t="s">
        <v>61</v>
      </c>
      <c r="E8" s="69">
        <v>51319</v>
      </c>
      <c r="F8" s="160">
        <v>256259.46</v>
      </c>
      <c r="G8" s="69">
        <v>51311</v>
      </c>
      <c r="H8" s="160">
        <v>175388.91</v>
      </c>
      <c r="I8" s="68">
        <v>9874</v>
      </c>
      <c r="J8" s="68">
        <v>9907</v>
      </c>
      <c r="K8" s="160">
        <v>320459.98</v>
      </c>
    </row>
    <row r="9" spans="1:11" x14ac:dyDescent="0.45">
      <c r="A9">
        <v>2025</v>
      </c>
      <c r="B9">
        <v>5</v>
      </c>
      <c r="C9" t="s">
        <v>56</v>
      </c>
      <c r="D9" t="s">
        <v>57</v>
      </c>
      <c r="E9" s="69">
        <v>3942518</v>
      </c>
      <c r="F9" s="160">
        <v>24435591.390000001</v>
      </c>
      <c r="G9" s="69">
        <v>3702734</v>
      </c>
      <c r="H9" s="160">
        <v>16978701.52</v>
      </c>
      <c r="I9" s="68">
        <v>0</v>
      </c>
      <c r="J9" s="68">
        <v>0</v>
      </c>
      <c r="K9" s="160">
        <v>0</v>
      </c>
    </row>
    <row r="10" spans="1:11" x14ac:dyDescent="0.45">
      <c r="A10">
        <v>2025</v>
      </c>
      <c r="B10">
        <v>5</v>
      </c>
      <c r="C10" t="s">
        <v>56</v>
      </c>
      <c r="D10" t="s">
        <v>58</v>
      </c>
      <c r="E10" s="69">
        <v>141544</v>
      </c>
      <c r="F10" s="160">
        <v>620131.37</v>
      </c>
      <c r="G10" s="69">
        <v>140608</v>
      </c>
      <c r="H10" s="160">
        <v>481604.47</v>
      </c>
      <c r="I10" s="68">
        <v>0</v>
      </c>
      <c r="J10" s="68">
        <v>0</v>
      </c>
      <c r="K10" s="160">
        <v>0</v>
      </c>
    </row>
    <row r="11" spans="1:11" x14ac:dyDescent="0.45">
      <c r="A11">
        <v>2025</v>
      </c>
      <c r="B11">
        <v>5</v>
      </c>
      <c r="C11" t="s">
        <v>56</v>
      </c>
      <c r="D11" t="s">
        <v>59</v>
      </c>
      <c r="E11" s="69">
        <v>120137</v>
      </c>
      <c r="F11" s="160">
        <v>684208.67</v>
      </c>
      <c r="G11" s="69">
        <v>120074</v>
      </c>
      <c r="H11" s="160">
        <v>519994.46</v>
      </c>
      <c r="I11" s="68">
        <v>0</v>
      </c>
      <c r="J11" s="68">
        <v>0</v>
      </c>
      <c r="K11" s="160">
        <v>0</v>
      </c>
    </row>
    <row r="12" spans="1:11" x14ac:dyDescent="0.45">
      <c r="A12">
        <v>2025</v>
      </c>
      <c r="B12">
        <v>5</v>
      </c>
      <c r="C12" t="s">
        <v>56</v>
      </c>
      <c r="D12" t="s">
        <v>60</v>
      </c>
      <c r="E12" s="69">
        <v>200095</v>
      </c>
      <c r="F12" s="160">
        <v>972553.17</v>
      </c>
      <c r="G12" s="69">
        <v>200095</v>
      </c>
      <c r="H12" s="160">
        <v>910632.4</v>
      </c>
      <c r="I12" s="68">
        <v>0</v>
      </c>
      <c r="J12" s="68">
        <v>0</v>
      </c>
      <c r="K12" s="160">
        <v>0</v>
      </c>
    </row>
    <row r="13" spans="1:11" x14ac:dyDescent="0.45">
      <c r="A13">
        <v>2025</v>
      </c>
      <c r="B13">
        <v>5</v>
      </c>
      <c r="C13" t="s">
        <v>56</v>
      </c>
      <c r="D13" t="s">
        <v>61</v>
      </c>
      <c r="E13" s="69">
        <v>47241</v>
      </c>
      <c r="F13" s="160">
        <v>244568.09</v>
      </c>
      <c r="G13" s="69">
        <v>47208</v>
      </c>
      <c r="H13" s="160">
        <v>167145.10999999999</v>
      </c>
      <c r="I13" s="68">
        <v>0</v>
      </c>
      <c r="J13" s="68">
        <v>0</v>
      </c>
      <c r="K13" s="160">
        <v>0</v>
      </c>
    </row>
    <row r="14" spans="1:11" x14ac:dyDescent="0.45">
      <c r="A14">
        <v>2025</v>
      </c>
      <c r="B14">
        <v>5</v>
      </c>
      <c r="C14" t="s">
        <v>62</v>
      </c>
      <c r="D14" t="s">
        <v>57</v>
      </c>
      <c r="E14" s="69">
        <v>343944</v>
      </c>
      <c r="F14" s="160">
        <v>2296330.79</v>
      </c>
      <c r="G14" s="69">
        <v>343624</v>
      </c>
      <c r="H14" s="160">
        <v>1562333.71</v>
      </c>
      <c r="I14" s="68">
        <v>55226</v>
      </c>
      <c r="J14" s="68">
        <v>55442</v>
      </c>
      <c r="K14" s="160">
        <v>2920704.14</v>
      </c>
    </row>
    <row r="15" spans="1:11" x14ac:dyDescent="0.45">
      <c r="A15">
        <v>2025</v>
      </c>
      <c r="B15">
        <v>5</v>
      </c>
      <c r="C15" t="s">
        <v>62</v>
      </c>
      <c r="D15" t="s">
        <v>61</v>
      </c>
      <c r="E15" s="69">
        <v>51814</v>
      </c>
      <c r="F15" s="160">
        <v>258964.3</v>
      </c>
      <c r="G15" s="69">
        <v>51803</v>
      </c>
      <c r="H15" s="160">
        <v>177060.78</v>
      </c>
      <c r="I15" s="68">
        <v>9888</v>
      </c>
      <c r="J15" s="68">
        <v>9910</v>
      </c>
      <c r="K15" s="160">
        <v>323019.93</v>
      </c>
    </row>
    <row r="16" spans="1:11" x14ac:dyDescent="0.45">
      <c r="A16">
        <v>2025</v>
      </c>
      <c r="B16">
        <v>6</v>
      </c>
      <c r="C16" t="s">
        <v>56</v>
      </c>
      <c r="D16" t="s">
        <v>57</v>
      </c>
      <c r="E16" s="69">
        <v>4123420</v>
      </c>
      <c r="F16" s="160">
        <v>25405596.510000002</v>
      </c>
      <c r="G16" s="69">
        <v>3879586</v>
      </c>
      <c r="H16" s="160">
        <v>17737936.57</v>
      </c>
      <c r="I16" s="68">
        <v>0</v>
      </c>
      <c r="J16" s="68">
        <v>0</v>
      </c>
      <c r="K16" s="160">
        <v>0</v>
      </c>
    </row>
    <row r="17" spans="1:11" x14ac:dyDescent="0.45">
      <c r="A17">
        <v>2025</v>
      </c>
      <c r="B17">
        <v>6</v>
      </c>
      <c r="C17" t="s">
        <v>56</v>
      </c>
      <c r="D17" t="s">
        <v>58</v>
      </c>
      <c r="E17" s="69">
        <v>151644</v>
      </c>
      <c r="F17" s="160">
        <v>658101.76000000001</v>
      </c>
      <c r="G17" s="69">
        <v>150750</v>
      </c>
      <c r="H17" s="160">
        <v>516419.11</v>
      </c>
      <c r="I17" s="68">
        <v>0</v>
      </c>
      <c r="J17" s="68">
        <v>0</v>
      </c>
      <c r="K17" s="160">
        <v>0</v>
      </c>
    </row>
    <row r="18" spans="1:11" x14ac:dyDescent="0.45">
      <c r="A18">
        <v>2025</v>
      </c>
      <c r="B18">
        <v>6</v>
      </c>
      <c r="C18" t="s">
        <v>56</v>
      </c>
      <c r="D18" t="s">
        <v>59</v>
      </c>
      <c r="E18" s="69">
        <v>106380</v>
      </c>
      <c r="F18" s="160">
        <v>623490.74</v>
      </c>
      <c r="G18" s="69">
        <v>106299</v>
      </c>
      <c r="H18" s="160">
        <v>461396.22</v>
      </c>
      <c r="I18" s="68">
        <v>0</v>
      </c>
      <c r="J18" s="68">
        <v>0</v>
      </c>
      <c r="K18" s="160">
        <v>0</v>
      </c>
    </row>
    <row r="19" spans="1:11" x14ac:dyDescent="0.45">
      <c r="A19">
        <v>2025</v>
      </c>
      <c r="B19">
        <v>6</v>
      </c>
      <c r="C19" t="s">
        <v>56</v>
      </c>
      <c r="D19" t="s">
        <v>60</v>
      </c>
      <c r="E19" s="69">
        <v>190575</v>
      </c>
      <c r="F19" s="160">
        <v>926787.54</v>
      </c>
      <c r="G19" s="69">
        <v>190575</v>
      </c>
      <c r="H19" s="160">
        <v>867306.87</v>
      </c>
      <c r="I19" s="68">
        <v>0</v>
      </c>
      <c r="J19" s="68">
        <v>0</v>
      </c>
      <c r="K19" s="160">
        <v>0</v>
      </c>
    </row>
    <row r="20" spans="1:11" x14ac:dyDescent="0.45">
      <c r="A20">
        <v>2025</v>
      </c>
      <c r="B20">
        <v>6</v>
      </c>
      <c r="C20" t="s">
        <v>56</v>
      </c>
      <c r="D20" t="s">
        <v>61</v>
      </c>
      <c r="E20" s="69">
        <v>47522</v>
      </c>
      <c r="F20" s="160">
        <v>242345.53</v>
      </c>
      <c r="G20" s="69">
        <v>47485</v>
      </c>
      <c r="H20" s="160">
        <v>165344.56</v>
      </c>
      <c r="I20" s="68">
        <v>0</v>
      </c>
      <c r="J20" s="68">
        <v>0</v>
      </c>
      <c r="K20" s="160">
        <v>0</v>
      </c>
    </row>
    <row r="21" spans="1:11" x14ac:dyDescent="0.45">
      <c r="A21">
        <v>2025</v>
      </c>
      <c r="B21">
        <v>6</v>
      </c>
      <c r="C21" t="s">
        <v>62</v>
      </c>
      <c r="D21" t="s">
        <v>57</v>
      </c>
      <c r="E21" s="69">
        <v>365770</v>
      </c>
      <c r="F21" s="160">
        <v>2440013.5299999998</v>
      </c>
      <c r="G21" s="69">
        <v>365446</v>
      </c>
      <c r="H21" s="160">
        <v>1660856.79</v>
      </c>
      <c r="I21" s="68">
        <v>55348</v>
      </c>
      <c r="J21" s="68">
        <v>55676</v>
      </c>
      <c r="K21" s="160">
        <v>3146791.73</v>
      </c>
    </row>
    <row r="22" spans="1:11" x14ac:dyDescent="0.45">
      <c r="A22">
        <v>2025</v>
      </c>
      <c r="B22">
        <v>6</v>
      </c>
      <c r="C22" t="s">
        <v>62</v>
      </c>
      <c r="D22" t="s">
        <v>61</v>
      </c>
      <c r="E22" s="69">
        <v>53926</v>
      </c>
      <c r="F22" s="160">
        <v>269315.38</v>
      </c>
      <c r="G22" s="69">
        <v>53913</v>
      </c>
      <c r="H22" s="160">
        <v>184137.12</v>
      </c>
      <c r="I22" s="68">
        <v>9909</v>
      </c>
      <c r="J22" s="68">
        <v>9939</v>
      </c>
      <c r="K22" s="160">
        <v>340049.34</v>
      </c>
    </row>
    <row r="23" spans="1:11" x14ac:dyDescent="0.45">
      <c r="A23">
        <v>2025</v>
      </c>
      <c r="B23">
        <v>7</v>
      </c>
      <c r="C23" t="s">
        <v>56</v>
      </c>
      <c r="D23" t="s">
        <v>57</v>
      </c>
      <c r="E23" s="69">
        <v>4307512</v>
      </c>
      <c r="F23" s="160">
        <v>26321943.170000002</v>
      </c>
      <c r="G23" s="69">
        <v>4015717</v>
      </c>
      <c r="H23" s="160">
        <v>18291749.02</v>
      </c>
      <c r="I23" s="68">
        <v>0</v>
      </c>
      <c r="J23" s="68">
        <v>0</v>
      </c>
      <c r="K23" s="160">
        <v>0</v>
      </c>
    </row>
    <row r="24" spans="1:11" x14ac:dyDescent="0.45">
      <c r="A24">
        <v>2025</v>
      </c>
      <c r="B24">
        <v>7</v>
      </c>
      <c r="C24" t="s">
        <v>56</v>
      </c>
      <c r="D24" t="s">
        <v>58</v>
      </c>
      <c r="E24" s="69">
        <v>157139</v>
      </c>
      <c r="F24" s="160">
        <v>673307.31</v>
      </c>
      <c r="G24" s="69">
        <v>155946</v>
      </c>
      <c r="H24" s="160">
        <v>533923.19999999995</v>
      </c>
      <c r="I24" s="68">
        <v>0</v>
      </c>
      <c r="J24" s="68">
        <v>0</v>
      </c>
      <c r="K24" s="160">
        <v>0</v>
      </c>
    </row>
    <row r="25" spans="1:11" x14ac:dyDescent="0.45">
      <c r="A25">
        <v>2025</v>
      </c>
      <c r="B25">
        <v>7</v>
      </c>
      <c r="C25" t="s">
        <v>56</v>
      </c>
      <c r="D25" t="s">
        <v>59</v>
      </c>
      <c r="E25" s="69">
        <v>112691</v>
      </c>
      <c r="F25" s="160">
        <v>657103.43999999994</v>
      </c>
      <c r="G25" s="69">
        <v>112615</v>
      </c>
      <c r="H25" s="160">
        <v>488098.79</v>
      </c>
      <c r="I25" s="68">
        <v>0</v>
      </c>
      <c r="J25" s="68">
        <v>0</v>
      </c>
      <c r="K25" s="160">
        <v>0</v>
      </c>
    </row>
    <row r="26" spans="1:11" x14ac:dyDescent="0.45">
      <c r="A26">
        <v>2025</v>
      </c>
      <c r="B26">
        <v>7</v>
      </c>
      <c r="C26" t="s">
        <v>56</v>
      </c>
      <c r="D26" t="s">
        <v>60</v>
      </c>
      <c r="E26" s="69">
        <v>207729</v>
      </c>
      <c r="F26" s="160">
        <v>1007314.71</v>
      </c>
      <c r="G26" s="69">
        <v>207729</v>
      </c>
      <c r="H26" s="160">
        <v>945374.65</v>
      </c>
      <c r="I26" s="68">
        <v>0</v>
      </c>
      <c r="J26" s="68">
        <v>0</v>
      </c>
      <c r="K26" s="160">
        <v>0</v>
      </c>
    </row>
    <row r="27" spans="1:11" x14ac:dyDescent="0.45">
      <c r="A27">
        <v>2025</v>
      </c>
      <c r="B27">
        <v>7</v>
      </c>
      <c r="C27" t="s">
        <v>56</v>
      </c>
      <c r="D27" t="s">
        <v>61</v>
      </c>
      <c r="E27" s="69">
        <v>47557</v>
      </c>
      <c r="F27" s="160">
        <v>241538.56</v>
      </c>
      <c r="G27" s="69">
        <v>47519</v>
      </c>
      <c r="H27" s="160">
        <v>164857.72</v>
      </c>
      <c r="I27" s="68">
        <v>0</v>
      </c>
      <c r="J27" s="68">
        <v>0</v>
      </c>
      <c r="K27" s="160">
        <v>0</v>
      </c>
    </row>
    <row r="28" spans="1:11" x14ac:dyDescent="0.45">
      <c r="A28">
        <v>2025</v>
      </c>
      <c r="B28">
        <v>7</v>
      </c>
      <c r="C28" t="s">
        <v>62</v>
      </c>
      <c r="D28" t="s">
        <v>57</v>
      </c>
      <c r="E28" s="69">
        <v>367641</v>
      </c>
      <c r="F28" s="160">
        <v>2450690.58</v>
      </c>
      <c r="G28" s="69">
        <v>367284</v>
      </c>
      <c r="H28" s="160">
        <v>1669350.24</v>
      </c>
      <c r="I28" s="68">
        <v>55882</v>
      </c>
      <c r="J28" s="68">
        <v>56463</v>
      </c>
      <c r="K28" s="160">
        <v>3166320.27</v>
      </c>
    </row>
    <row r="29" spans="1:11" x14ac:dyDescent="0.45">
      <c r="A29">
        <v>2025</v>
      </c>
      <c r="B29">
        <v>7</v>
      </c>
      <c r="C29" t="s">
        <v>62</v>
      </c>
      <c r="D29" t="s">
        <v>61</v>
      </c>
      <c r="E29" s="69">
        <v>56356</v>
      </c>
      <c r="F29" s="160">
        <v>280799.53000000003</v>
      </c>
      <c r="G29" s="69">
        <v>56342</v>
      </c>
      <c r="H29" s="160">
        <v>192534.45</v>
      </c>
      <c r="I29" s="68">
        <v>9971</v>
      </c>
      <c r="J29" s="68">
        <v>10030</v>
      </c>
      <c r="K29" s="160">
        <v>360323.95</v>
      </c>
    </row>
    <row r="30" spans="1:11" x14ac:dyDescent="0.45">
      <c r="A30">
        <v>2025</v>
      </c>
      <c r="B30">
        <v>8</v>
      </c>
      <c r="C30" t="s">
        <v>56</v>
      </c>
      <c r="D30" t="s">
        <v>57</v>
      </c>
      <c r="E30" s="69">
        <v>4456512</v>
      </c>
      <c r="F30" s="160">
        <v>27189625.100000001</v>
      </c>
      <c r="G30" s="69">
        <v>4163784</v>
      </c>
      <c r="H30" s="160">
        <v>18977235.760000002</v>
      </c>
      <c r="I30" s="68">
        <v>0</v>
      </c>
      <c r="J30" s="68">
        <v>0</v>
      </c>
      <c r="K30" s="160">
        <v>0</v>
      </c>
    </row>
    <row r="31" spans="1:11" x14ac:dyDescent="0.45">
      <c r="A31">
        <v>2025</v>
      </c>
      <c r="B31">
        <v>8</v>
      </c>
      <c r="C31" t="s">
        <v>56</v>
      </c>
      <c r="D31" t="s">
        <v>58</v>
      </c>
      <c r="E31" s="69">
        <v>167773</v>
      </c>
      <c r="F31" s="160">
        <v>710253.84</v>
      </c>
      <c r="G31" s="69">
        <v>166612</v>
      </c>
      <c r="H31" s="160">
        <v>569783.24</v>
      </c>
      <c r="I31" s="68">
        <v>0</v>
      </c>
      <c r="J31" s="68">
        <v>0</v>
      </c>
      <c r="K31" s="160">
        <v>0</v>
      </c>
    </row>
    <row r="32" spans="1:11" x14ac:dyDescent="0.45">
      <c r="A32">
        <v>2025</v>
      </c>
      <c r="B32">
        <v>8</v>
      </c>
      <c r="C32" t="s">
        <v>56</v>
      </c>
      <c r="D32" t="s">
        <v>59</v>
      </c>
      <c r="E32" s="69">
        <v>113145</v>
      </c>
      <c r="F32" s="160">
        <v>664648.29</v>
      </c>
      <c r="G32" s="69">
        <v>113065</v>
      </c>
      <c r="H32" s="160">
        <v>492319.57</v>
      </c>
      <c r="I32" s="68">
        <v>0</v>
      </c>
      <c r="J32" s="68">
        <v>0</v>
      </c>
      <c r="K32" s="160">
        <v>0</v>
      </c>
    </row>
    <row r="33" spans="1:11" x14ac:dyDescent="0.45">
      <c r="A33">
        <v>2025</v>
      </c>
      <c r="B33">
        <v>8</v>
      </c>
      <c r="C33" t="s">
        <v>56</v>
      </c>
      <c r="D33" t="s">
        <v>60</v>
      </c>
      <c r="E33" s="69">
        <v>231646</v>
      </c>
      <c r="F33" s="160">
        <v>1120694.1599999999</v>
      </c>
      <c r="G33" s="69">
        <v>231646</v>
      </c>
      <c r="H33" s="160">
        <v>1054220.96</v>
      </c>
      <c r="I33" s="68">
        <v>0</v>
      </c>
      <c r="J33" s="68">
        <v>0</v>
      </c>
      <c r="K33" s="160">
        <v>0</v>
      </c>
    </row>
    <row r="34" spans="1:11" x14ac:dyDescent="0.45">
      <c r="A34">
        <v>2025</v>
      </c>
      <c r="B34">
        <v>8</v>
      </c>
      <c r="C34" t="s">
        <v>56</v>
      </c>
      <c r="D34" t="s">
        <v>61</v>
      </c>
      <c r="E34" s="69">
        <v>49689</v>
      </c>
      <c r="F34" s="160">
        <v>255914.85</v>
      </c>
      <c r="G34" s="69">
        <v>49640</v>
      </c>
      <c r="H34" s="160">
        <v>175176.4</v>
      </c>
      <c r="I34" s="68">
        <v>0</v>
      </c>
      <c r="J34" s="68">
        <v>0</v>
      </c>
      <c r="K34" s="160">
        <v>0</v>
      </c>
    </row>
    <row r="35" spans="1:11" x14ac:dyDescent="0.45">
      <c r="A35">
        <v>2025</v>
      </c>
      <c r="B35">
        <v>8</v>
      </c>
      <c r="C35" t="s">
        <v>62</v>
      </c>
      <c r="D35" t="s">
        <v>57</v>
      </c>
      <c r="E35" s="69">
        <v>390292</v>
      </c>
      <c r="F35" s="160">
        <v>2594967.5699999998</v>
      </c>
      <c r="G35" s="69">
        <v>390001</v>
      </c>
      <c r="H35" s="160">
        <v>1771549.8</v>
      </c>
      <c r="I35" s="68">
        <v>56378</v>
      </c>
      <c r="J35" s="68">
        <v>56800</v>
      </c>
      <c r="K35" s="160">
        <v>3395830.3</v>
      </c>
    </row>
    <row r="36" spans="1:11" x14ac:dyDescent="0.45">
      <c r="A36">
        <v>2025</v>
      </c>
      <c r="B36">
        <v>8</v>
      </c>
      <c r="C36" t="s">
        <v>62</v>
      </c>
      <c r="D36" t="s">
        <v>61</v>
      </c>
      <c r="E36" s="69">
        <v>59784</v>
      </c>
      <c r="F36" s="160">
        <v>297405.18</v>
      </c>
      <c r="G36" s="69">
        <v>59770</v>
      </c>
      <c r="H36" s="160">
        <v>204087.62</v>
      </c>
      <c r="I36" s="68">
        <v>10015</v>
      </c>
      <c r="J36" s="68">
        <v>10046</v>
      </c>
      <c r="K36" s="160">
        <v>380696.18</v>
      </c>
    </row>
    <row r="37" spans="1:11" x14ac:dyDescent="0.45">
      <c r="A37">
        <v>2025</v>
      </c>
      <c r="B37">
        <v>9</v>
      </c>
      <c r="C37" t="s">
        <v>56</v>
      </c>
      <c r="D37" t="s">
        <v>57</v>
      </c>
      <c r="E37" s="69">
        <v>4324158</v>
      </c>
      <c r="F37" s="160">
        <v>27966044.75</v>
      </c>
      <c r="G37" s="69">
        <v>4045984</v>
      </c>
      <c r="H37" s="160">
        <v>19748555.48</v>
      </c>
      <c r="I37" s="68">
        <v>0</v>
      </c>
      <c r="J37" s="68">
        <v>0</v>
      </c>
      <c r="K37" s="160">
        <v>0</v>
      </c>
    </row>
    <row r="38" spans="1:11" x14ac:dyDescent="0.45">
      <c r="A38">
        <v>2025</v>
      </c>
      <c r="B38">
        <v>9</v>
      </c>
      <c r="C38" t="s">
        <v>56</v>
      </c>
      <c r="D38" t="s">
        <v>58</v>
      </c>
      <c r="E38" s="69">
        <v>162033</v>
      </c>
      <c r="F38" s="160">
        <v>739411.18</v>
      </c>
      <c r="G38" s="69">
        <v>161087</v>
      </c>
      <c r="H38" s="160">
        <v>588535.48</v>
      </c>
      <c r="I38" s="68">
        <v>0</v>
      </c>
      <c r="J38" s="68">
        <v>0</v>
      </c>
      <c r="K38" s="160">
        <v>0</v>
      </c>
    </row>
    <row r="39" spans="1:11" x14ac:dyDescent="0.45">
      <c r="A39">
        <v>2025</v>
      </c>
      <c r="B39">
        <v>9</v>
      </c>
      <c r="C39" t="s">
        <v>56</v>
      </c>
      <c r="D39" t="s">
        <v>59</v>
      </c>
      <c r="E39" s="69">
        <v>111990</v>
      </c>
      <c r="F39" s="160">
        <v>683186.31</v>
      </c>
      <c r="G39" s="69">
        <v>111914</v>
      </c>
      <c r="H39" s="160">
        <v>513215.45</v>
      </c>
      <c r="I39" s="68">
        <v>0</v>
      </c>
      <c r="J39" s="68">
        <v>0</v>
      </c>
      <c r="K39" s="160">
        <v>0</v>
      </c>
    </row>
    <row r="40" spans="1:11" x14ac:dyDescent="0.45">
      <c r="A40">
        <v>2025</v>
      </c>
      <c r="B40">
        <v>9</v>
      </c>
      <c r="C40" t="s">
        <v>56</v>
      </c>
      <c r="D40" t="s">
        <v>60</v>
      </c>
      <c r="E40" s="69">
        <v>244653</v>
      </c>
      <c r="F40" s="160">
        <v>1213558.76</v>
      </c>
      <c r="G40" s="69">
        <v>244653</v>
      </c>
      <c r="H40" s="160">
        <v>1151979.0900000001</v>
      </c>
      <c r="I40" s="68">
        <v>0</v>
      </c>
      <c r="J40" s="68">
        <v>0</v>
      </c>
      <c r="K40" s="160">
        <v>0</v>
      </c>
    </row>
    <row r="41" spans="1:11" x14ac:dyDescent="0.45">
      <c r="A41">
        <v>2025</v>
      </c>
      <c r="B41">
        <v>9</v>
      </c>
      <c r="C41" t="s">
        <v>56</v>
      </c>
      <c r="D41" t="s">
        <v>61</v>
      </c>
      <c r="E41" s="69">
        <v>47307</v>
      </c>
      <c r="F41" s="160">
        <v>251029.94</v>
      </c>
      <c r="G41" s="69">
        <v>47240</v>
      </c>
      <c r="H41" s="160">
        <v>173549.34</v>
      </c>
      <c r="I41" s="68">
        <v>0</v>
      </c>
      <c r="J41" s="68">
        <v>0</v>
      </c>
      <c r="K41" s="160">
        <v>0</v>
      </c>
    </row>
    <row r="42" spans="1:11" x14ac:dyDescent="0.45">
      <c r="A42">
        <v>2025</v>
      </c>
      <c r="B42">
        <v>9</v>
      </c>
      <c r="C42" t="s">
        <v>62</v>
      </c>
      <c r="D42" t="s">
        <v>57</v>
      </c>
      <c r="E42" s="69">
        <v>382532</v>
      </c>
      <c r="F42" s="160">
        <v>2678859.41</v>
      </c>
      <c r="G42" s="69">
        <v>382270</v>
      </c>
      <c r="H42" s="160">
        <v>1849846.66</v>
      </c>
      <c r="I42" s="68">
        <v>56747</v>
      </c>
      <c r="J42" s="68">
        <v>57160</v>
      </c>
      <c r="K42" s="160">
        <v>3577140.77</v>
      </c>
    </row>
    <row r="43" spans="1:11" x14ac:dyDescent="0.45">
      <c r="A43">
        <v>2025</v>
      </c>
      <c r="B43">
        <v>9</v>
      </c>
      <c r="C43" t="s">
        <v>62</v>
      </c>
      <c r="D43" t="s">
        <v>61</v>
      </c>
      <c r="E43" s="69">
        <v>61625</v>
      </c>
      <c r="F43" s="160">
        <v>319493.21999999997</v>
      </c>
      <c r="G43" s="69">
        <v>61606</v>
      </c>
      <c r="H43" s="160">
        <v>222067.94</v>
      </c>
      <c r="I43" s="68">
        <v>10080</v>
      </c>
      <c r="J43" s="68">
        <v>10167</v>
      </c>
      <c r="K43" s="160">
        <v>419999.43</v>
      </c>
    </row>
    <row r="44" spans="1:11" x14ac:dyDescent="0.45">
      <c r="A44">
        <v>2025</v>
      </c>
      <c r="B44">
        <v>10</v>
      </c>
      <c r="C44" t="s">
        <v>56</v>
      </c>
      <c r="D44" t="s">
        <v>57</v>
      </c>
      <c r="E44" s="69">
        <v>4440404</v>
      </c>
      <c r="F44" s="160">
        <v>30163203.219999999</v>
      </c>
      <c r="G44" s="69">
        <v>4168231</v>
      </c>
      <c r="H44" s="160">
        <v>21486253.100000001</v>
      </c>
      <c r="I44" s="68">
        <v>0</v>
      </c>
      <c r="J44" s="68">
        <v>0</v>
      </c>
      <c r="K44" s="160">
        <v>0</v>
      </c>
    </row>
    <row r="45" spans="1:11" x14ac:dyDescent="0.45">
      <c r="A45">
        <v>2025</v>
      </c>
      <c r="B45">
        <v>10</v>
      </c>
      <c r="C45" t="s">
        <v>56</v>
      </c>
      <c r="D45" t="s">
        <v>58</v>
      </c>
      <c r="E45" s="69">
        <v>181080</v>
      </c>
      <c r="F45" s="160">
        <v>851745.44</v>
      </c>
      <c r="G45" s="69">
        <v>177711</v>
      </c>
      <c r="H45" s="160">
        <v>683149.77</v>
      </c>
      <c r="I45" s="68">
        <v>0</v>
      </c>
      <c r="J45" s="68">
        <v>0</v>
      </c>
      <c r="K45" s="160">
        <v>0</v>
      </c>
    </row>
    <row r="46" spans="1:11" x14ac:dyDescent="0.45">
      <c r="A46">
        <v>2025</v>
      </c>
      <c r="B46">
        <v>10</v>
      </c>
      <c r="C46" t="s">
        <v>56</v>
      </c>
      <c r="D46" t="s">
        <v>59</v>
      </c>
      <c r="E46" s="69">
        <v>107777</v>
      </c>
      <c r="F46" s="160">
        <v>697985.68</v>
      </c>
      <c r="G46" s="69">
        <v>107701</v>
      </c>
      <c r="H46" s="160">
        <v>529184.1</v>
      </c>
      <c r="I46" s="68">
        <v>0</v>
      </c>
      <c r="J46" s="68">
        <v>0</v>
      </c>
      <c r="K46" s="160">
        <v>0</v>
      </c>
    </row>
    <row r="47" spans="1:11" x14ac:dyDescent="0.45">
      <c r="A47">
        <v>2025</v>
      </c>
      <c r="B47">
        <v>10</v>
      </c>
      <c r="C47" t="s">
        <v>56</v>
      </c>
      <c r="D47" t="s">
        <v>60</v>
      </c>
      <c r="E47" s="69">
        <v>352472</v>
      </c>
      <c r="F47" s="160">
        <v>1875884.51</v>
      </c>
      <c r="G47" s="69">
        <v>352472</v>
      </c>
      <c r="H47" s="160">
        <v>1819460.49</v>
      </c>
      <c r="I47" s="68">
        <v>0</v>
      </c>
      <c r="J47" s="68">
        <v>0</v>
      </c>
      <c r="K47" s="160">
        <v>0</v>
      </c>
    </row>
    <row r="48" spans="1:11" x14ac:dyDescent="0.45">
      <c r="A48">
        <v>2025</v>
      </c>
      <c r="B48">
        <v>10</v>
      </c>
      <c r="C48" t="s">
        <v>56</v>
      </c>
      <c r="D48" t="s">
        <v>61</v>
      </c>
      <c r="E48" s="69">
        <v>49343</v>
      </c>
      <c r="F48" s="160">
        <v>276481.09999999998</v>
      </c>
      <c r="G48" s="69">
        <v>49276</v>
      </c>
      <c r="H48" s="160">
        <v>193455.79</v>
      </c>
      <c r="I48" s="68">
        <v>0</v>
      </c>
      <c r="J48" s="68">
        <v>0</v>
      </c>
      <c r="K48" s="160">
        <v>0</v>
      </c>
    </row>
    <row r="49" spans="1:11" x14ac:dyDescent="0.45">
      <c r="A49">
        <v>2025</v>
      </c>
      <c r="B49">
        <v>10</v>
      </c>
      <c r="C49" t="s">
        <v>62</v>
      </c>
      <c r="D49" t="s">
        <v>57</v>
      </c>
      <c r="E49" s="69">
        <v>405182</v>
      </c>
      <c r="F49" s="160">
        <v>2993786.41</v>
      </c>
      <c r="G49" s="69">
        <v>404923</v>
      </c>
      <c r="H49" s="160">
        <v>2087399.92</v>
      </c>
      <c r="I49" s="68">
        <v>57018</v>
      </c>
      <c r="J49" s="68">
        <v>63753</v>
      </c>
      <c r="K49" s="160">
        <v>4093110.86</v>
      </c>
    </row>
    <row r="50" spans="1:11" x14ac:dyDescent="0.45">
      <c r="A50">
        <v>2025</v>
      </c>
      <c r="B50">
        <v>10</v>
      </c>
      <c r="C50" t="s">
        <v>62</v>
      </c>
      <c r="D50" t="s">
        <v>61</v>
      </c>
      <c r="E50" s="69">
        <v>61645</v>
      </c>
      <c r="F50" s="160">
        <v>340411.61</v>
      </c>
      <c r="G50" s="69">
        <v>61605</v>
      </c>
      <c r="H50" s="160">
        <v>238309.63</v>
      </c>
      <c r="I50" s="68">
        <v>10137</v>
      </c>
      <c r="J50" s="68">
        <v>11304</v>
      </c>
      <c r="K50" s="160">
        <v>452643.4</v>
      </c>
    </row>
    <row r="51" spans="1:11" x14ac:dyDescent="0.45">
      <c r="A51">
        <v>2025</v>
      </c>
      <c r="B51">
        <v>11</v>
      </c>
      <c r="C51" t="s">
        <v>56</v>
      </c>
      <c r="D51" t="s">
        <v>57</v>
      </c>
      <c r="E51" s="69">
        <v>3355146</v>
      </c>
      <c r="F51" s="160">
        <v>22997864.309999999</v>
      </c>
      <c r="G51" s="69">
        <v>3149891</v>
      </c>
      <c r="H51" s="160">
        <v>16335037.199999999</v>
      </c>
      <c r="I51" s="68">
        <v>0</v>
      </c>
      <c r="J51" s="68">
        <v>0</v>
      </c>
      <c r="K51" s="160">
        <v>0</v>
      </c>
    </row>
    <row r="52" spans="1:11" x14ac:dyDescent="0.45">
      <c r="A52">
        <v>2025</v>
      </c>
      <c r="B52">
        <v>11</v>
      </c>
      <c r="C52" t="s">
        <v>56</v>
      </c>
      <c r="D52" t="s">
        <v>58</v>
      </c>
      <c r="E52" s="69">
        <v>131467</v>
      </c>
      <c r="F52" s="160">
        <v>631355.43000000005</v>
      </c>
      <c r="G52" s="69">
        <v>130613</v>
      </c>
      <c r="H52" s="160">
        <v>505217.55</v>
      </c>
      <c r="I52" s="68">
        <v>0</v>
      </c>
      <c r="J52" s="68">
        <v>0</v>
      </c>
      <c r="K52" s="160">
        <v>0</v>
      </c>
    </row>
    <row r="53" spans="1:11" x14ac:dyDescent="0.45">
      <c r="A53">
        <v>2025</v>
      </c>
      <c r="B53">
        <v>11</v>
      </c>
      <c r="C53" t="s">
        <v>56</v>
      </c>
      <c r="D53" t="s">
        <v>59</v>
      </c>
      <c r="E53" s="69">
        <v>98283</v>
      </c>
      <c r="F53" s="160">
        <v>632919.01</v>
      </c>
      <c r="G53" s="69">
        <v>98204</v>
      </c>
      <c r="H53" s="160">
        <v>481163.26</v>
      </c>
      <c r="I53" s="68">
        <v>0</v>
      </c>
      <c r="J53" s="68">
        <v>0</v>
      </c>
      <c r="K53" s="160">
        <v>0</v>
      </c>
    </row>
    <row r="54" spans="1:11" x14ac:dyDescent="0.45">
      <c r="A54">
        <v>2025</v>
      </c>
      <c r="B54">
        <v>11</v>
      </c>
      <c r="C54" t="s">
        <v>56</v>
      </c>
      <c r="D54" t="s">
        <v>60</v>
      </c>
      <c r="E54" s="69">
        <v>68383</v>
      </c>
      <c r="F54" s="160">
        <v>374234.72</v>
      </c>
      <c r="G54" s="69">
        <v>68383</v>
      </c>
      <c r="H54" s="160">
        <v>352993.07</v>
      </c>
      <c r="I54" s="68">
        <v>0</v>
      </c>
      <c r="J54" s="68">
        <v>0</v>
      </c>
      <c r="K54" s="160">
        <v>0</v>
      </c>
    </row>
    <row r="55" spans="1:11" x14ac:dyDescent="0.45">
      <c r="A55">
        <v>2025</v>
      </c>
      <c r="B55">
        <v>11</v>
      </c>
      <c r="C55" t="s">
        <v>56</v>
      </c>
      <c r="D55" t="s">
        <v>61</v>
      </c>
      <c r="E55" s="69">
        <v>34367</v>
      </c>
      <c r="F55" s="160">
        <v>191891.69</v>
      </c>
      <c r="G55" s="69">
        <v>34334</v>
      </c>
      <c r="H55" s="160">
        <v>133681.82</v>
      </c>
      <c r="I55" s="68">
        <v>0</v>
      </c>
      <c r="J55" s="68">
        <v>0</v>
      </c>
      <c r="K55" s="160">
        <v>0</v>
      </c>
    </row>
    <row r="56" spans="1:11" x14ac:dyDescent="0.45">
      <c r="A56">
        <v>2025</v>
      </c>
      <c r="B56">
        <v>11</v>
      </c>
      <c r="C56" t="s">
        <v>62</v>
      </c>
      <c r="D56" t="s">
        <v>57</v>
      </c>
      <c r="E56" s="69">
        <v>296061</v>
      </c>
      <c r="F56" s="160">
        <v>2184514.7400000002</v>
      </c>
      <c r="G56" s="69">
        <v>295805</v>
      </c>
      <c r="H56" s="160">
        <v>1522313.07</v>
      </c>
      <c r="I56" s="68">
        <v>47800</v>
      </c>
      <c r="J56" s="68">
        <v>48133</v>
      </c>
      <c r="K56" s="160">
        <v>2963492.77</v>
      </c>
    </row>
    <row r="57" spans="1:11" x14ac:dyDescent="0.45">
      <c r="A57">
        <v>2025</v>
      </c>
      <c r="B57">
        <v>11</v>
      </c>
      <c r="C57" t="s">
        <v>62</v>
      </c>
      <c r="D57" t="s">
        <v>61</v>
      </c>
      <c r="E57" s="69">
        <v>44145</v>
      </c>
      <c r="F57" s="160">
        <v>244004.38</v>
      </c>
      <c r="G57" s="69">
        <v>44133</v>
      </c>
      <c r="H57" s="160">
        <v>170837.58</v>
      </c>
      <c r="I57" s="68">
        <v>8481</v>
      </c>
      <c r="J57" s="68">
        <v>8521</v>
      </c>
      <c r="K57" s="160">
        <v>319389.13</v>
      </c>
    </row>
    <row r="58" spans="1:11" x14ac:dyDescent="0.45">
      <c r="A58">
        <v>2025</v>
      </c>
      <c r="B58">
        <v>12</v>
      </c>
      <c r="C58" t="s">
        <v>56</v>
      </c>
      <c r="D58" t="s">
        <v>57</v>
      </c>
      <c r="E58" s="69">
        <v>4051393</v>
      </c>
      <c r="F58" s="160">
        <v>27783550.809999999</v>
      </c>
      <c r="G58" s="69">
        <v>3868382</v>
      </c>
      <c r="H58" s="160">
        <v>20047818.59</v>
      </c>
      <c r="I58" s="68">
        <v>0</v>
      </c>
      <c r="J58" s="68">
        <v>0</v>
      </c>
      <c r="K58" s="160">
        <v>0</v>
      </c>
    </row>
    <row r="59" spans="1:11" x14ac:dyDescent="0.45">
      <c r="A59">
        <v>2025</v>
      </c>
      <c r="B59">
        <v>12</v>
      </c>
      <c r="C59" t="s">
        <v>56</v>
      </c>
      <c r="D59" t="s">
        <v>58</v>
      </c>
      <c r="E59" s="69">
        <v>139021</v>
      </c>
      <c r="F59" s="160">
        <v>676695.52</v>
      </c>
      <c r="G59" s="69">
        <v>138255</v>
      </c>
      <c r="H59" s="160">
        <v>536289.5</v>
      </c>
      <c r="I59" s="68">
        <v>0</v>
      </c>
      <c r="J59" s="68">
        <v>0</v>
      </c>
      <c r="K59" s="160">
        <v>0</v>
      </c>
    </row>
    <row r="60" spans="1:11" x14ac:dyDescent="0.45">
      <c r="A60">
        <v>2025</v>
      </c>
      <c r="B60">
        <v>12</v>
      </c>
      <c r="C60" t="s">
        <v>56</v>
      </c>
      <c r="D60" t="s">
        <v>59</v>
      </c>
      <c r="E60" s="69">
        <v>106611</v>
      </c>
      <c r="F60" s="160">
        <v>685764.86</v>
      </c>
      <c r="G60" s="69">
        <v>106537</v>
      </c>
      <c r="H60" s="160">
        <v>521816.14</v>
      </c>
      <c r="I60" s="68">
        <v>0</v>
      </c>
      <c r="J60" s="68">
        <v>0</v>
      </c>
      <c r="K60" s="160">
        <v>0</v>
      </c>
    </row>
    <row r="61" spans="1:11" x14ac:dyDescent="0.45">
      <c r="A61">
        <v>2025</v>
      </c>
      <c r="B61">
        <v>12</v>
      </c>
      <c r="C61" t="s">
        <v>56</v>
      </c>
      <c r="D61" t="s">
        <v>60</v>
      </c>
      <c r="E61" s="69">
        <v>241737</v>
      </c>
      <c r="F61" s="160">
        <v>1292419.53</v>
      </c>
      <c r="G61" s="69">
        <v>241737</v>
      </c>
      <c r="H61" s="160">
        <v>1247846.3999999999</v>
      </c>
      <c r="I61" s="68">
        <v>0</v>
      </c>
      <c r="J61" s="68">
        <v>0</v>
      </c>
      <c r="K61" s="160">
        <v>0</v>
      </c>
    </row>
    <row r="62" spans="1:11" x14ac:dyDescent="0.45">
      <c r="A62">
        <v>2025</v>
      </c>
      <c r="B62">
        <v>12</v>
      </c>
      <c r="C62" t="s">
        <v>56</v>
      </c>
      <c r="D62" t="s">
        <v>61</v>
      </c>
      <c r="E62" s="69">
        <v>47086</v>
      </c>
      <c r="F62" s="160">
        <v>260863.09</v>
      </c>
      <c r="G62" s="69">
        <v>47051</v>
      </c>
      <c r="H62" s="160">
        <v>182408.95</v>
      </c>
      <c r="I62" s="68">
        <v>0</v>
      </c>
      <c r="J62" s="68">
        <v>0</v>
      </c>
      <c r="K62" s="160">
        <v>0</v>
      </c>
    </row>
    <row r="63" spans="1:11" x14ac:dyDescent="0.45">
      <c r="A63">
        <v>2025</v>
      </c>
      <c r="B63">
        <v>12</v>
      </c>
      <c r="C63" t="s">
        <v>62</v>
      </c>
      <c r="D63" t="s">
        <v>57</v>
      </c>
      <c r="E63" s="69">
        <v>396078</v>
      </c>
      <c r="F63" s="160">
        <v>2901006.29</v>
      </c>
      <c r="G63" s="69">
        <v>395753</v>
      </c>
      <c r="H63" s="160">
        <v>2023853.15</v>
      </c>
      <c r="I63" s="68">
        <v>57620</v>
      </c>
      <c r="J63" s="68">
        <v>61044</v>
      </c>
      <c r="K63" s="160">
        <v>3968498.05</v>
      </c>
    </row>
    <row r="64" spans="1:11" x14ac:dyDescent="0.45">
      <c r="A64">
        <v>2025</v>
      </c>
      <c r="B64">
        <v>12</v>
      </c>
      <c r="C64" t="s">
        <v>62</v>
      </c>
      <c r="D64" t="s">
        <v>61</v>
      </c>
      <c r="E64" s="69">
        <v>57651</v>
      </c>
      <c r="F64" s="160">
        <v>318890.86</v>
      </c>
      <c r="G64" s="69">
        <v>57635</v>
      </c>
      <c r="H64" s="160">
        <v>223165.55</v>
      </c>
      <c r="I64" s="68">
        <v>10195</v>
      </c>
      <c r="J64" s="68">
        <v>10785</v>
      </c>
      <c r="K64" s="160">
        <v>417531.14</v>
      </c>
    </row>
  </sheetData>
  <pageMargins left="0.7" right="0.7" top="0.75" bottom="0.75" header="0.3" footer="0.3"/>
  <pageSetup orientation="landscape" r:id="rId1"/>
  <headerFooter>
    <oddHeader>&amp;L2026 TAP Reconcilable Rider Reports and Projection Model: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6944-B3D6-4EA3-965F-095E4EBFF650}">
  <sheetPr>
    <tabColor theme="4"/>
  </sheetPr>
  <dimension ref="A1:K20"/>
  <sheetViews>
    <sheetView zoomScale="90" zoomScaleNormal="90" workbookViewId="0">
      <selection activeCell="C19" sqref="C19"/>
    </sheetView>
  </sheetViews>
  <sheetFormatPr defaultColWidth="8.86328125" defaultRowHeight="14.25" x14ac:dyDescent="0.45"/>
  <cols>
    <col min="1" max="1" width="31.1328125" customWidth="1"/>
    <col min="2" max="2" width="30" customWidth="1"/>
    <col min="3" max="11" width="11.86328125" customWidth="1"/>
  </cols>
  <sheetData>
    <row r="1" spans="1:11" x14ac:dyDescent="0.45">
      <c r="A1" s="167" t="str">
        <f>"DR-1: Water Billed Volume"</f>
        <v>DR-1: Water Billed Volume</v>
      </c>
      <c r="B1" s="168"/>
      <c r="C1" s="148"/>
      <c r="D1" s="148"/>
      <c r="E1" s="148"/>
      <c r="F1" s="148"/>
      <c r="G1" s="148"/>
      <c r="H1" s="148"/>
      <c r="I1" s="148"/>
      <c r="J1" s="148"/>
      <c r="K1" s="148"/>
    </row>
    <row r="2" spans="1:11" x14ac:dyDescent="0.45">
      <c r="A2" s="149"/>
      <c r="B2" s="150"/>
      <c r="C2" s="150">
        <v>2025</v>
      </c>
      <c r="D2" s="150">
        <f t="shared" ref="D2" si="0">IF(D3=1,C2+1,C2)</f>
        <v>2025</v>
      </c>
      <c r="E2" s="150">
        <f t="shared" ref="E2" si="1">IF(E3=1,D2+1,D2)</f>
        <v>2025</v>
      </c>
      <c r="F2" s="150">
        <f t="shared" ref="F2" si="2">IF(F3=1,E2+1,E2)</f>
        <v>2025</v>
      </c>
      <c r="G2" s="150">
        <f t="shared" ref="G2" si="3">IF(G3=1,F2+1,F2)</f>
        <v>2025</v>
      </c>
      <c r="H2" s="150">
        <f t="shared" ref="H2" si="4">IF(H3=1,G2+1,G2)</f>
        <v>2025</v>
      </c>
      <c r="I2" s="150">
        <f t="shared" ref="I2" si="5">IF(I3=1,H2+1,H2)</f>
        <v>2025</v>
      </c>
      <c r="J2" s="150">
        <f t="shared" ref="J2" si="6">IF(J3=1,I2+1,I2)</f>
        <v>2025</v>
      </c>
      <c r="K2" s="150">
        <f t="shared" ref="K2" si="7">IF(K3=1,J2+1,J2)</f>
        <v>2025</v>
      </c>
    </row>
    <row r="3" spans="1:11" x14ac:dyDescent="0.45">
      <c r="A3" s="149"/>
      <c r="B3" s="150"/>
      <c r="C3" s="150">
        <v>4</v>
      </c>
      <c r="D3" s="150">
        <f t="shared" ref="D3" si="8">IF(C3&lt;12,C3+1,1)</f>
        <v>5</v>
      </c>
      <c r="E3" s="150">
        <f t="shared" ref="E3" si="9">IF(D3&lt;12,D3+1,1)</f>
        <v>6</v>
      </c>
      <c r="F3" s="150">
        <f t="shared" ref="F3" si="10">IF(E3&lt;12,E3+1,1)</f>
        <v>7</v>
      </c>
      <c r="G3" s="150">
        <f t="shared" ref="G3" si="11">IF(F3&lt;12,F3+1,1)</f>
        <v>8</v>
      </c>
      <c r="H3" s="150">
        <f t="shared" ref="H3" si="12">IF(G3&lt;12,G3+1,1)</f>
        <v>9</v>
      </c>
      <c r="I3" s="150">
        <f t="shared" ref="I3" si="13">IF(H3&lt;12,H3+1,1)</f>
        <v>10</v>
      </c>
      <c r="J3" s="150">
        <f t="shared" ref="J3" si="14">IF(I3&lt;12,I3+1,1)</f>
        <v>11</v>
      </c>
      <c r="K3" s="150">
        <f t="shared" ref="K3" si="15">IF(J3&lt;12,J3+1,1)</f>
        <v>12</v>
      </c>
    </row>
    <row r="4" spans="1:11" ht="84.75" customHeight="1" x14ac:dyDescent="0.45">
      <c r="A4" s="151" t="s">
        <v>63</v>
      </c>
      <c r="B4" s="152" t="s">
        <v>64</v>
      </c>
      <c r="C4" s="153" t="str">
        <f t="shared" ref="C4:K4" si="16">TEXT(C3*29, "Mmmm")&amp;" "&amp;C2&amp;" Water Billed Volume (CCF)"</f>
        <v>April 2025 Water Billed Volume (CCF)</v>
      </c>
      <c r="D4" s="153" t="str">
        <f t="shared" si="16"/>
        <v>May 2025 Water Billed Volume (CCF)</v>
      </c>
      <c r="E4" s="153" t="str">
        <f t="shared" si="16"/>
        <v>June 2025 Water Billed Volume (CCF)</v>
      </c>
      <c r="F4" s="153" t="str">
        <f t="shared" si="16"/>
        <v>July 2025 Water Billed Volume (CCF)</v>
      </c>
      <c r="G4" s="153" t="str">
        <f t="shared" si="16"/>
        <v>August 2025 Water Billed Volume (CCF)</v>
      </c>
      <c r="H4" s="153" t="str">
        <f t="shared" si="16"/>
        <v>September 2025 Water Billed Volume (CCF)</v>
      </c>
      <c r="I4" s="153" t="str">
        <f t="shared" si="16"/>
        <v>October 2025 Water Billed Volume (CCF)</v>
      </c>
      <c r="J4" s="153" t="str">
        <f t="shared" si="16"/>
        <v>November 2025 Water Billed Volume (CCF)</v>
      </c>
      <c r="K4" s="153" t="str">
        <f t="shared" si="16"/>
        <v>December 2025 Water Billed Volume (CCF)</v>
      </c>
    </row>
    <row r="5" spans="1:11" x14ac:dyDescent="0.45">
      <c r="A5" s="154" t="s">
        <v>62</v>
      </c>
      <c r="B5" s="155" t="s">
        <v>65</v>
      </c>
      <c r="C5" s="156">
        <f>SUMIFS('Combined Data'!$E:$E,'Combined Data'!$A:$A,DR_1!C$2,'Combined Data'!$B:$B,DR_1!C$3,'Combined Data'!$C:$C,DR_1!$A5)</f>
        <v>382353</v>
      </c>
      <c r="D5" s="156">
        <f>SUMIFS('Combined Data'!$E:$E,'Combined Data'!$A:$A,DR_1!D$2,'Combined Data'!$B:$B,DR_1!D$3,'Combined Data'!$C:$C,DR_1!$A5)</f>
        <v>395758</v>
      </c>
      <c r="E5" s="156">
        <f>SUMIFS('Combined Data'!$E:$E,'Combined Data'!$A:$A,DR_1!E$2,'Combined Data'!$B:$B,DR_1!E$3,'Combined Data'!$C:$C,DR_1!$A5)</f>
        <v>419696</v>
      </c>
      <c r="F5" s="156">
        <f>SUMIFS('Combined Data'!$E:$E,'Combined Data'!$A:$A,DR_1!F$2,'Combined Data'!$B:$B,DR_1!F$3,'Combined Data'!$C:$C,DR_1!$A5)</f>
        <v>423997</v>
      </c>
      <c r="G5" s="156">
        <f>SUMIFS('Combined Data'!$E:$E,'Combined Data'!$A:$A,DR_1!G$2,'Combined Data'!$B:$B,DR_1!G$3,'Combined Data'!$C:$C,DR_1!$A5)</f>
        <v>450076</v>
      </c>
      <c r="H5" s="156">
        <f>SUMIFS('Combined Data'!$E:$E,'Combined Data'!$A:$A,DR_1!H$2,'Combined Data'!$B:$B,DR_1!H$3,'Combined Data'!$C:$C,DR_1!$A5)</f>
        <v>444157</v>
      </c>
      <c r="I5" s="156">
        <f>SUMIFS('Combined Data'!$E:$E,'Combined Data'!$A:$A,DR_1!I$2,'Combined Data'!$B:$B,DR_1!I$3,'Combined Data'!$C:$C,DR_1!$A5)</f>
        <v>466827</v>
      </c>
      <c r="J5" s="156">
        <f>SUMIFS('Combined Data'!$E:$E,'Combined Data'!$A:$A,DR_1!J$2,'Combined Data'!$B:$B,DR_1!J$3,'Combined Data'!$C:$C,DR_1!$A5)</f>
        <v>340206</v>
      </c>
      <c r="K5" s="156">
        <f>SUMIFS('Combined Data'!$E:$E,'Combined Data'!$A:$A,DR_1!K$2,'Combined Data'!$B:$B,DR_1!K$3,'Combined Data'!$C:$C,DR_1!$A5)</f>
        <v>453729</v>
      </c>
    </row>
    <row r="6" spans="1:11" x14ac:dyDescent="0.45">
      <c r="A6" s="154" t="s">
        <v>56</v>
      </c>
      <c r="B6" s="154" t="s">
        <v>66</v>
      </c>
      <c r="C6" s="156">
        <f>SUMIFS('Combined Data'!$E:$E,'Combined Data'!$A:$A,DR_1!C$2,'Combined Data'!$B:$B,DR_1!C$3,'Combined Data'!$C:$C,DR_1!$A6,'Combined Data'!$D:$D,DR_1!$B6)</f>
        <v>47494</v>
      </c>
      <c r="D6" s="156">
        <f>SUMIFS('Combined Data'!$E:$E,'Combined Data'!$A:$A,DR_1!D$2,'Combined Data'!$B:$B,DR_1!D$3,'Combined Data'!$C:$C,DR_1!$A6,'Combined Data'!$D:$D,DR_1!$B6)</f>
        <v>47241</v>
      </c>
      <c r="E6" s="156">
        <f>SUMIFS('Combined Data'!$E:$E,'Combined Data'!$A:$A,DR_1!E$2,'Combined Data'!$B:$B,DR_1!E$3,'Combined Data'!$C:$C,DR_1!$A6,'Combined Data'!$D:$D,DR_1!$B6)</f>
        <v>47522</v>
      </c>
      <c r="F6" s="156">
        <f>SUMIFS('Combined Data'!$E:$E,'Combined Data'!$A:$A,DR_1!F$2,'Combined Data'!$B:$B,DR_1!F$3,'Combined Data'!$C:$C,DR_1!$A6,'Combined Data'!$D:$D,DR_1!$B6)</f>
        <v>47557</v>
      </c>
      <c r="G6" s="156">
        <f>SUMIFS('Combined Data'!$E:$E,'Combined Data'!$A:$A,DR_1!G$2,'Combined Data'!$B:$B,DR_1!G$3,'Combined Data'!$C:$C,DR_1!$A6,'Combined Data'!$D:$D,DR_1!$B6)</f>
        <v>49689</v>
      </c>
      <c r="H6" s="156">
        <f>SUMIFS('Combined Data'!$E:$E,'Combined Data'!$A:$A,DR_1!H$2,'Combined Data'!$B:$B,DR_1!H$3,'Combined Data'!$C:$C,DR_1!$A6,'Combined Data'!$D:$D,DR_1!$B6)</f>
        <v>47307</v>
      </c>
      <c r="I6" s="156">
        <f>SUMIFS('Combined Data'!$E:$E,'Combined Data'!$A:$A,DR_1!I$2,'Combined Data'!$B:$B,DR_1!I$3,'Combined Data'!$C:$C,DR_1!$A6,'Combined Data'!$D:$D,DR_1!$B6)</f>
        <v>49343</v>
      </c>
      <c r="J6" s="156">
        <f>SUMIFS('Combined Data'!$E:$E,'Combined Data'!$A:$A,DR_1!J$2,'Combined Data'!$B:$B,DR_1!J$3,'Combined Data'!$C:$C,DR_1!$A6,'Combined Data'!$D:$D,DR_1!$B6)</f>
        <v>34367</v>
      </c>
      <c r="K6" s="156">
        <f>SUMIFS('Combined Data'!$E:$E,'Combined Data'!$A:$A,DR_1!K$2,'Combined Data'!$B:$B,DR_1!K$3,'Combined Data'!$C:$C,DR_1!$A6,'Combined Data'!$D:$D,DR_1!$B6)</f>
        <v>47086</v>
      </c>
    </row>
    <row r="7" spans="1:11" x14ac:dyDescent="0.45">
      <c r="A7" s="154" t="s">
        <v>56</v>
      </c>
      <c r="B7" s="154" t="s">
        <v>67</v>
      </c>
      <c r="C7" s="156">
        <f>SUMIFS('Combined Data'!$E:$E,'Combined Data'!$A:$A,DR_1!C$2,'Combined Data'!$B:$B,DR_1!C$3,'Combined Data'!$C:$C,DR_1!$A7,'Combined Data'!$D:$D,"PHA")</f>
        <v>103127</v>
      </c>
      <c r="D7" s="156">
        <f>SUMIFS('Combined Data'!$E:$E,'Combined Data'!$A:$A,DR_1!D$2,'Combined Data'!$B:$B,DR_1!D$3,'Combined Data'!$C:$C,DR_1!$A7,'Combined Data'!$D:$D,"PHA")</f>
        <v>120137</v>
      </c>
      <c r="E7" s="156">
        <f>SUMIFS('Combined Data'!$E:$E,'Combined Data'!$A:$A,DR_1!E$2,'Combined Data'!$B:$B,DR_1!E$3,'Combined Data'!$C:$C,DR_1!$A7,'Combined Data'!$D:$D,"PHA")</f>
        <v>106380</v>
      </c>
      <c r="F7" s="156">
        <f>SUMIFS('Combined Data'!$E:$E,'Combined Data'!$A:$A,DR_1!F$2,'Combined Data'!$B:$B,DR_1!F$3,'Combined Data'!$C:$C,DR_1!$A7,'Combined Data'!$D:$D,"PHA")</f>
        <v>112691</v>
      </c>
      <c r="G7" s="156">
        <f>SUMIFS('Combined Data'!$E:$E,'Combined Data'!$A:$A,DR_1!G$2,'Combined Data'!$B:$B,DR_1!G$3,'Combined Data'!$C:$C,DR_1!$A7,'Combined Data'!$D:$D,"PHA")</f>
        <v>113145</v>
      </c>
      <c r="H7" s="156">
        <f>SUMIFS('Combined Data'!$E:$E,'Combined Data'!$A:$A,DR_1!H$2,'Combined Data'!$B:$B,DR_1!H$3,'Combined Data'!$C:$C,DR_1!$A7,'Combined Data'!$D:$D,"PHA")</f>
        <v>111990</v>
      </c>
      <c r="I7" s="156">
        <f>SUMIFS('Combined Data'!$E:$E,'Combined Data'!$A:$A,DR_1!I$2,'Combined Data'!$B:$B,DR_1!I$3,'Combined Data'!$C:$C,DR_1!$A7,'Combined Data'!$D:$D,"PHA")</f>
        <v>107777</v>
      </c>
      <c r="J7" s="156">
        <f>SUMIFS('Combined Data'!$E:$E,'Combined Data'!$A:$A,DR_1!J$2,'Combined Data'!$B:$B,DR_1!J$3,'Combined Data'!$C:$C,DR_1!$A7,'Combined Data'!$D:$D,"PHA")</f>
        <v>98283</v>
      </c>
      <c r="K7" s="156">
        <f>SUMIFS('Combined Data'!$E:$E,'Combined Data'!$A:$A,DR_1!K$2,'Combined Data'!$B:$B,DR_1!K$3,'Combined Data'!$C:$C,DR_1!$A7,'Combined Data'!$D:$D,"PHA")</f>
        <v>106611</v>
      </c>
    </row>
    <row r="8" spans="1:11" x14ac:dyDescent="0.45">
      <c r="A8" s="154" t="s">
        <v>56</v>
      </c>
      <c r="B8" s="154" t="s">
        <v>68</v>
      </c>
      <c r="C8" s="156">
        <f>SUMIFS('Combined Data'!$E:$E,'Combined Data'!$A:$A,DR_1!C$2,'Combined Data'!$B:$B,DR_1!C$3,'Combined Data'!$C:$C,DR_1!$A8,'Combined Data'!$D:$D,"Non-PHA")</f>
        <v>128264</v>
      </c>
      <c r="D8" s="156">
        <f>SUMIFS('Combined Data'!$E:$E,'Combined Data'!$A:$A,DR_1!D$2,'Combined Data'!$B:$B,DR_1!D$3,'Combined Data'!$C:$C,DR_1!$A8,'Combined Data'!$D:$D,"Non-PHA")</f>
        <v>141544</v>
      </c>
      <c r="E8" s="156">
        <f>SUMIFS('Combined Data'!$E:$E,'Combined Data'!$A:$A,DR_1!E$2,'Combined Data'!$B:$B,DR_1!E$3,'Combined Data'!$C:$C,DR_1!$A8,'Combined Data'!$D:$D,"Non-PHA")</f>
        <v>151644</v>
      </c>
      <c r="F8" s="156">
        <f>SUMIFS('Combined Data'!$E:$E,'Combined Data'!$A:$A,DR_1!F$2,'Combined Data'!$B:$B,DR_1!F$3,'Combined Data'!$C:$C,DR_1!$A8,'Combined Data'!$D:$D,"Non-PHA")</f>
        <v>157139</v>
      </c>
      <c r="G8" s="156">
        <f>SUMIFS('Combined Data'!$E:$E,'Combined Data'!$A:$A,DR_1!G$2,'Combined Data'!$B:$B,DR_1!G$3,'Combined Data'!$C:$C,DR_1!$A8,'Combined Data'!$D:$D,"Non-PHA")</f>
        <v>167773</v>
      </c>
      <c r="H8" s="156">
        <f>SUMIFS('Combined Data'!$E:$E,'Combined Data'!$A:$A,DR_1!H$2,'Combined Data'!$B:$B,DR_1!H$3,'Combined Data'!$C:$C,DR_1!$A8,'Combined Data'!$D:$D,"Non-PHA")</f>
        <v>162033</v>
      </c>
      <c r="I8" s="156">
        <f>SUMIFS('Combined Data'!$E:$E,'Combined Data'!$A:$A,DR_1!I$2,'Combined Data'!$B:$B,DR_1!I$3,'Combined Data'!$C:$C,DR_1!$A8,'Combined Data'!$D:$D,"Non-PHA")</f>
        <v>181080</v>
      </c>
      <c r="J8" s="156">
        <f>SUMIFS('Combined Data'!$E:$E,'Combined Data'!$A:$A,DR_1!J$2,'Combined Data'!$B:$B,DR_1!J$3,'Combined Data'!$C:$C,DR_1!$A8,'Combined Data'!$D:$D,"Non-PHA")</f>
        <v>131467</v>
      </c>
      <c r="K8" s="156">
        <f>SUMIFS('Combined Data'!$E:$E,'Combined Data'!$A:$A,DR_1!K$2,'Combined Data'!$B:$B,DR_1!K$3,'Combined Data'!$C:$C,DR_1!$A8,'Combined Data'!$D:$D,"Non-PHA")</f>
        <v>139021</v>
      </c>
    </row>
    <row r="9" spans="1:11" x14ac:dyDescent="0.45">
      <c r="A9" s="154" t="s">
        <v>56</v>
      </c>
      <c r="B9" s="158" t="s">
        <v>69</v>
      </c>
      <c r="C9" s="156">
        <f>SUMIFS('Combined Data'!$E:$E,'Combined Data'!$A:$A,DR_1!C$2,'Combined Data'!$B:$B,DR_1!C$3,'Combined Data'!$C:$C,DR_1!$A9,'Combined Data'!$D:$D,"No Discount")</f>
        <v>3768623</v>
      </c>
      <c r="D9" s="156">
        <f>SUMIFS('Combined Data'!$E:$E,'Combined Data'!$A:$A,DR_1!D$2,'Combined Data'!$B:$B,DR_1!D$3,'Combined Data'!$C:$C,DR_1!$A9,'Combined Data'!$D:$D,"No Discount")</f>
        <v>3942518</v>
      </c>
      <c r="E9" s="156">
        <f>SUMIFS('Combined Data'!$E:$E,'Combined Data'!$A:$A,DR_1!E$2,'Combined Data'!$B:$B,DR_1!E$3,'Combined Data'!$C:$C,DR_1!$A9,'Combined Data'!$D:$D,"No Discount")</f>
        <v>4123420</v>
      </c>
      <c r="F9" s="156">
        <f>SUMIFS('Combined Data'!$E:$E,'Combined Data'!$A:$A,DR_1!F$2,'Combined Data'!$B:$B,DR_1!F$3,'Combined Data'!$C:$C,DR_1!$A9,'Combined Data'!$D:$D,"No Discount")</f>
        <v>4307512</v>
      </c>
      <c r="G9" s="156">
        <f>SUMIFS('Combined Data'!$E:$E,'Combined Data'!$A:$A,DR_1!G$2,'Combined Data'!$B:$B,DR_1!G$3,'Combined Data'!$C:$C,DR_1!$A9,'Combined Data'!$D:$D,"No Discount")</f>
        <v>4456512</v>
      </c>
      <c r="H9" s="156">
        <f>SUMIFS('Combined Data'!$E:$E,'Combined Data'!$A:$A,DR_1!H$2,'Combined Data'!$B:$B,DR_1!H$3,'Combined Data'!$C:$C,DR_1!$A9,'Combined Data'!$D:$D,"No Discount")</f>
        <v>4324158</v>
      </c>
      <c r="I9" s="156">
        <f>SUMIFS('Combined Data'!$E:$E,'Combined Data'!$A:$A,DR_1!I$2,'Combined Data'!$B:$B,DR_1!I$3,'Combined Data'!$C:$C,DR_1!$A9,'Combined Data'!$D:$D,"No Discount")</f>
        <v>4440404</v>
      </c>
      <c r="J9" s="156">
        <f>SUMIFS('Combined Data'!$E:$E,'Combined Data'!$A:$A,DR_1!J$2,'Combined Data'!$B:$B,DR_1!J$3,'Combined Data'!$C:$C,DR_1!$A9,'Combined Data'!$D:$D,"No Discount")</f>
        <v>3355146</v>
      </c>
      <c r="K9" s="156">
        <f>SUMIFS('Combined Data'!$E:$E,'Combined Data'!$A:$A,DR_1!K$2,'Combined Data'!$B:$B,DR_1!K$3,'Combined Data'!$C:$C,DR_1!$A9,'Combined Data'!$D:$D,"No Discount")</f>
        <v>4051393</v>
      </c>
    </row>
    <row r="10" spans="1:11" x14ac:dyDescent="0.45">
      <c r="A10" s="154" t="s">
        <v>70</v>
      </c>
      <c r="B10" s="154" t="s">
        <v>60</v>
      </c>
      <c r="C10" s="156">
        <f>SUMIFS('Combined Data'!$E:$E,'Combined Data'!$A:$A,DR_1!C$2,'Combined Data'!$B:$B,DR_1!C$3,'Combined Data'!$C:$C,$A9,'Combined Data'!$D:$D,DR_1!$B10)</f>
        <v>199603</v>
      </c>
      <c r="D10" s="156">
        <f>SUMIFS('Combined Data'!$E:$E,'Combined Data'!$A:$A,DR_1!D$2,'Combined Data'!$B:$B,DR_1!D$3,'Combined Data'!$C:$C,$A9,'Combined Data'!$D:$D,DR_1!$B10)</f>
        <v>200095</v>
      </c>
      <c r="E10" s="156">
        <f>SUMIFS('Combined Data'!$E:$E,'Combined Data'!$A:$A,DR_1!E$2,'Combined Data'!$B:$B,DR_1!E$3,'Combined Data'!$C:$C,$A9,'Combined Data'!$D:$D,DR_1!$B10)</f>
        <v>190575</v>
      </c>
      <c r="F10" s="156">
        <f>SUMIFS('Combined Data'!$E:$E,'Combined Data'!$A:$A,DR_1!F$2,'Combined Data'!$B:$B,DR_1!F$3,'Combined Data'!$C:$C,$A9,'Combined Data'!$D:$D,DR_1!$B10)</f>
        <v>207729</v>
      </c>
      <c r="G10" s="156">
        <f>SUMIFS('Combined Data'!$E:$E,'Combined Data'!$A:$A,DR_1!G$2,'Combined Data'!$B:$B,DR_1!G$3,'Combined Data'!$C:$C,$A9,'Combined Data'!$D:$D,DR_1!$B10)</f>
        <v>231646</v>
      </c>
      <c r="H10" s="156">
        <f>SUMIFS('Combined Data'!$E:$E,'Combined Data'!$A:$A,DR_1!H$2,'Combined Data'!$B:$B,DR_1!H$3,'Combined Data'!$C:$C,$A9,'Combined Data'!$D:$D,DR_1!$B10)</f>
        <v>244653</v>
      </c>
      <c r="I10" s="156">
        <f>SUMIFS('Combined Data'!$E:$E,'Combined Data'!$A:$A,DR_1!I$2,'Combined Data'!$B:$B,DR_1!I$3,'Combined Data'!$C:$C,$A9,'Combined Data'!$D:$D,DR_1!$B10)</f>
        <v>352472</v>
      </c>
      <c r="J10" s="156">
        <f>SUMIFS('Combined Data'!$E:$E,'Combined Data'!$A:$A,DR_1!J$2,'Combined Data'!$B:$B,DR_1!J$3,'Combined Data'!$C:$C,$A9,'Combined Data'!$D:$D,DR_1!$B10)</f>
        <v>68383</v>
      </c>
      <c r="K10" s="156">
        <f>SUMIFS('Combined Data'!$E:$E,'Combined Data'!$A:$A,DR_1!K$2,'Combined Data'!$B:$B,DR_1!K$3,'Combined Data'!$C:$C,$A9,'Combined Data'!$D:$D,DR_1!$B10)</f>
        <v>241737</v>
      </c>
    </row>
    <row r="12" spans="1:11" x14ac:dyDescent="0.45">
      <c r="A12" s="169" t="s">
        <v>71</v>
      </c>
      <c r="B12" s="170"/>
      <c r="C12" s="148"/>
      <c r="D12" s="148"/>
      <c r="E12" s="148"/>
      <c r="F12" s="148"/>
      <c r="G12" s="148"/>
      <c r="H12" s="148"/>
      <c r="I12" s="148"/>
      <c r="J12" s="148"/>
      <c r="K12" s="148"/>
    </row>
    <row r="13" spans="1:11" ht="57" x14ac:dyDescent="0.45">
      <c r="A13" s="159" t="s">
        <v>63</v>
      </c>
      <c r="C13" s="153" t="str">
        <f t="shared" ref="C13:K13" si="17">C4</f>
        <v>April 2025 Water Billed Volume (CCF)</v>
      </c>
      <c r="D13" s="153" t="str">
        <f t="shared" si="17"/>
        <v>May 2025 Water Billed Volume (CCF)</v>
      </c>
      <c r="E13" s="153" t="str">
        <f t="shared" si="17"/>
        <v>June 2025 Water Billed Volume (CCF)</v>
      </c>
      <c r="F13" s="153" t="str">
        <f t="shared" si="17"/>
        <v>July 2025 Water Billed Volume (CCF)</v>
      </c>
      <c r="G13" s="153" t="str">
        <f t="shared" si="17"/>
        <v>August 2025 Water Billed Volume (CCF)</v>
      </c>
      <c r="H13" s="153" t="str">
        <f t="shared" si="17"/>
        <v>September 2025 Water Billed Volume (CCF)</v>
      </c>
      <c r="I13" s="153" t="str">
        <f t="shared" si="17"/>
        <v>October 2025 Water Billed Volume (CCF)</v>
      </c>
      <c r="J13" s="153" t="str">
        <f t="shared" si="17"/>
        <v>November 2025 Water Billed Volume (CCF)</v>
      </c>
      <c r="K13" s="153" t="str">
        <f t="shared" si="17"/>
        <v>December 2025 Water Billed Volume (CCF)</v>
      </c>
    </row>
    <row r="14" spans="1:11" x14ac:dyDescent="0.45">
      <c r="A14" s="154" t="s">
        <v>62</v>
      </c>
      <c r="C14" s="157">
        <f t="shared" ref="C14:K14" si="18">SUMIF($A$5:$A$10,$A14,C$5:C$10)</f>
        <v>382353</v>
      </c>
      <c r="D14" s="157">
        <f t="shared" si="18"/>
        <v>395758</v>
      </c>
      <c r="E14" s="157">
        <f t="shared" si="18"/>
        <v>419696</v>
      </c>
      <c r="F14" s="157">
        <f t="shared" si="18"/>
        <v>423997</v>
      </c>
      <c r="G14" s="157">
        <f t="shared" si="18"/>
        <v>450076</v>
      </c>
      <c r="H14" s="157">
        <f t="shared" si="18"/>
        <v>444157</v>
      </c>
      <c r="I14" s="157">
        <f t="shared" si="18"/>
        <v>466827</v>
      </c>
      <c r="J14" s="157">
        <f t="shared" si="18"/>
        <v>340206</v>
      </c>
      <c r="K14" s="157">
        <f t="shared" si="18"/>
        <v>453729</v>
      </c>
    </row>
    <row r="15" spans="1:11" x14ac:dyDescent="0.45">
      <c r="A15" s="154" t="s">
        <v>56</v>
      </c>
      <c r="C15" s="157">
        <f t="shared" ref="C15:K16" si="19">SUMIF($A$5:$A$10,$A15,C$5:C$10)</f>
        <v>4047508</v>
      </c>
      <c r="D15" s="157">
        <f t="shared" si="19"/>
        <v>4251440</v>
      </c>
      <c r="E15" s="157">
        <f t="shared" si="19"/>
        <v>4428966</v>
      </c>
      <c r="F15" s="157">
        <f t="shared" si="19"/>
        <v>4624899</v>
      </c>
      <c r="G15" s="157">
        <f t="shared" si="19"/>
        <v>4787119</v>
      </c>
      <c r="H15" s="157">
        <f t="shared" si="19"/>
        <v>4645488</v>
      </c>
      <c r="I15" s="157">
        <f t="shared" si="19"/>
        <v>4778604</v>
      </c>
      <c r="J15" s="157">
        <f t="shared" si="19"/>
        <v>3619263</v>
      </c>
      <c r="K15" s="157">
        <f t="shared" si="19"/>
        <v>4344111</v>
      </c>
    </row>
    <row r="16" spans="1:11" x14ac:dyDescent="0.45">
      <c r="A16" s="154" t="s">
        <v>70</v>
      </c>
      <c r="C16" s="157">
        <f t="shared" si="19"/>
        <v>199603</v>
      </c>
      <c r="D16" s="157">
        <f t="shared" si="19"/>
        <v>200095</v>
      </c>
      <c r="E16" s="157">
        <f t="shared" si="19"/>
        <v>190575</v>
      </c>
      <c r="F16" s="157">
        <f t="shared" si="19"/>
        <v>207729</v>
      </c>
      <c r="G16" s="157">
        <f t="shared" si="19"/>
        <v>231646</v>
      </c>
      <c r="H16" s="157">
        <f t="shared" si="19"/>
        <v>244653</v>
      </c>
      <c r="I16" s="157">
        <f t="shared" si="19"/>
        <v>352472</v>
      </c>
      <c r="J16" s="157">
        <f t="shared" si="19"/>
        <v>68383</v>
      </c>
      <c r="K16" s="157">
        <f t="shared" si="19"/>
        <v>241737</v>
      </c>
    </row>
    <row r="18" spans="1:2" x14ac:dyDescent="0.45">
      <c r="A18" s="4"/>
    </row>
    <row r="19" spans="1:2" ht="31.35" customHeight="1" x14ac:dyDescent="0.45">
      <c r="A19" s="171" t="s">
        <v>72</v>
      </c>
      <c r="B19" s="171"/>
    </row>
    <row r="20" spans="1:2" ht="28.35" customHeight="1" x14ac:dyDescent="0.45">
      <c r="A20" s="171" t="s">
        <v>73</v>
      </c>
      <c r="B20" s="171"/>
    </row>
  </sheetData>
  <mergeCells count="4">
    <mergeCell ref="A1:B1"/>
    <mergeCell ref="A12:B12"/>
    <mergeCell ref="A19:B19"/>
    <mergeCell ref="A20:B20"/>
  </mergeCells>
  <pageMargins left="0.7" right="0.7" top="0.75" bottom="0.75" header="0.3" footer="0.3"/>
  <pageSetup orientation="landscape" r:id="rId1"/>
  <headerFooter>
    <oddHeader>&amp;L2026 TAP Reconcilable Rider Reports and Projection Model: &amp;A
January 2023 - December 2025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B21F-D78A-42F0-AADC-C7F6356DD16D}">
  <sheetPr>
    <tabColor theme="4"/>
  </sheetPr>
  <dimension ref="A1:K20"/>
  <sheetViews>
    <sheetView zoomScale="90" zoomScaleNormal="90" workbookViewId="0">
      <selection activeCell="C16" sqref="C14:C16"/>
    </sheetView>
  </sheetViews>
  <sheetFormatPr defaultColWidth="8.86328125" defaultRowHeight="14.25" x14ac:dyDescent="0.45"/>
  <cols>
    <col min="1" max="1" width="31.1328125" customWidth="1"/>
    <col min="2" max="2" width="30" customWidth="1"/>
    <col min="3" max="11" width="11.73046875" customWidth="1"/>
  </cols>
  <sheetData>
    <row r="1" spans="1:11" x14ac:dyDescent="0.45">
      <c r="A1" s="167" t="str">
        <f>"DR-2: Sewer Billed Volume"</f>
        <v>DR-2: Sewer Billed Volume</v>
      </c>
      <c r="B1" s="168"/>
      <c r="C1" s="148"/>
      <c r="D1" s="148"/>
      <c r="E1" s="148"/>
      <c r="F1" s="148"/>
      <c r="G1" s="148"/>
      <c r="H1" s="148"/>
      <c r="I1" s="148"/>
      <c r="J1" s="148"/>
      <c r="K1" s="148"/>
    </row>
    <row r="2" spans="1:11" x14ac:dyDescent="0.45">
      <c r="A2" s="149"/>
      <c r="B2" s="150"/>
      <c r="C2" s="150">
        <v>2025</v>
      </c>
      <c r="D2" s="150">
        <f t="shared" ref="D2" si="0">IF(D3=1,C2+1,C2)</f>
        <v>2025</v>
      </c>
      <c r="E2" s="150">
        <f t="shared" ref="E2" si="1">IF(E3=1,D2+1,D2)</f>
        <v>2025</v>
      </c>
      <c r="F2" s="150">
        <f t="shared" ref="F2" si="2">IF(F3=1,E2+1,E2)</f>
        <v>2025</v>
      </c>
      <c r="G2" s="150">
        <f t="shared" ref="G2" si="3">IF(G3=1,F2+1,F2)</f>
        <v>2025</v>
      </c>
      <c r="H2" s="150">
        <f t="shared" ref="H2" si="4">IF(H3=1,G2+1,G2)</f>
        <v>2025</v>
      </c>
      <c r="I2" s="150">
        <f t="shared" ref="I2" si="5">IF(I3=1,H2+1,H2)</f>
        <v>2025</v>
      </c>
      <c r="J2" s="150">
        <f t="shared" ref="J2" si="6">IF(J3=1,I2+1,I2)</f>
        <v>2025</v>
      </c>
      <c r="K2" s="150">
        <f t="shared" ref="K2" si="7">IF(K3=1,J2+1,J2)</f>
        <v>2025</v>
      </c>
    </row>
    <row r="3" spans="1:11" x14ac:dyDescent="0.45">
      <c r="A3" s="149"/>
      <c r="B3" s="150"/>
      <c r="C3" s="150">
        <v>4</v>
      </c>
      <c r="D3" s="150">
        <f t="shared" ref="D3" si="8">IF(C3&lt;12,C3+1,1)</f>
        <v>5</v>
      </c>
      <c r="E3" s="150">
        <f t="shared" ref="E3" si="9">IF(D3&lt;12,D3+1,1)</f>
        <v>6</v>
      </c>
      <c r="F3" s="150">
        <f t="shared" ref="F3" si="10">IF(E3&lt;12,E3+1,1)</f>
        <v>7</v>
      </c>
      <c r="G3" s="150">
        <f t="shared" ref="G3" si="11">IF(F3&lt;12,F3+1,1)</f>
        <v>8</v>
      </c>
      <c r="H3" s="150">
        <f t="shared" ref="H3" si="12">IF(G3&lt;12,G3+1,1)</f>
        <v>9</v>
      </c>
      <c r="I3" s="150">
        <f t="shared" ref="I3" si="13">IF(H3&lt;12,H3+1,1)</f>
        <v>10</v>
      </c>
      <c r="J3" s="150">
        <f t="shared" ref="J3" si="14">IF(I3&lt;12,I3+1,1)</f>
        <v>11</v>
      </c>
      <c r="K3" s="150">
        <f t="shared" ref="K3" si="15">IF(J3&lt;12,J3+1,1)</f>
        <v>12</v>
      </c>
    </row>
    <row r="4" spans="1:11" ht="57.6" customHeight="1" x14ac:dyDescent="0.45">
      <c r="A4" s="151" t="s">
        <v>63</v>
      </c>
      <c r="B4" s="152" t="s">
        <v>64</v>
      </c>
      <c r="C4" s="153" t="str">
        <f t="shared" ref="C4:K4" si="16">TEXT(C3*29, "Mmmm")&amp;" "&amp;C2&amp;" Sewer Billed Volume (CCF)"</f>
        <v>April 2025 Sewer Billed Volume (CCF)</v>
      </c>
      <c r="D4" s="153" t="str">
        <f t="shared" si="16"/>
        <v>May 2025 Sewer Billed Volume (CCF)</v>
      </c>
      <c r="E4" s="153" t="str">
        <f t="shared" si="16"/>
        <v>June 2025 Sewer Billed Volume (CCF)</v>
      </c>
      <c r="F4" s="153" t="str">
        <f t="shared" si="16"/>
        <v>July 2025 Sewer Billed Volume (CCF)</v>
      </c>
      <c r="G4" s="153" t="str">
        <f t="shared" si="16"/>
        <v>August 2025 Sewer Billed Volume (CCF)</v>
      </c>
      <c r="H4" s="153" t="str">
        <f t="shared" si="16"/>
        <v>September 2025 Sewer Billed Volume (CCF)</v>
      </c>
      <c r="I4" s="153" t="str">
        <f t="shared" si="16"/>
        <v>October 2025 Sewer Billed Volume (CCF)</v>
      </c>
      <c r="J4" s="153" t="str">
        <f t="shared" si="16"/>
        <v>November 2025 Sewer Billed Volume (CCF)</v>
      </c>
      <c r="K4" s="153" t="str">
        <f t="shared" si="16"/>
        <v>December 2025 Sewer Billed Volume (CCF)</v>
      </c>
    </row>
    <row r="5" spans="1:11" x14ac:dyDescent="0.45">
      <c r="A5" s="154" t="s">
        <v>62</v>
      </c>
      <c r="B5" s="155" t="s">
        <v>65</v>
      </c>
      <c r="C5" s="156">
        <f>SUMIFS('Combined Data'!$G:$G,'Combined Data'!$A:$A,DR_1!C$2,'Combined Data'!$B:$B,DR_1!C$3,'Combined Data'!$C:$C,DR_1!$A5)</f>
        <v>382075</v>
      </c>
      <c r="D5" s="156">
        <f>SUMIFS('Combined Data'!$G:$G,'Combined Data'!$A:$A,DR_1!D$2,'Combined Data'!$B:$B,DR_1!D$3,'Combined Data'!$C:$C,DR_1!$A5)</f>
        <v>395427</v>
      </c>
      <c r="E5" s="156">
        <f>SUMIFS('Combined Data'!$G:$G,'Combined Data'!$A:$A,DR_1!E$2,'Combined Data'!$B:$B,DR_1!E$3,'Combined Data'!$C:$C,DR_1!$A5)</f>
        <v>419359</v>
      </c>
      <c r="F5" s="156">
        <f>SUMIFS('Combined Data'!$G:$G,'Combined Data'!$A:$A,DR_1!F$2,'Combined Data'!$B:$B,DR_1!F$3,'Combined Data'!$C:$C,DR_1!$A5)</f>
        <v>423626</v>
      </c>
      <c r="G5" s="156">
        <f>SUMIFS('Combined Data'!$G:$G,'Combined Data'!$A:$A,DR_1!G$2,'Combined Data'!$B:$B,DR_1!G$3,'Combined Data'!$C:$C,DR_1!$A5)</f>
        <v>449771</v>
      </c>
      <c r="H5" s="156">
        <f>SUMIFS('Combined Data'!$G:$G,'Combined Data'!$A:$A,DR_1!H$2,'Combined Data'!$B:$B,DR_1!H$3,'Combined Data'!$C:$C,DR_1!$A5)</f>
        <v>443876</v>
      </c>
      <c r="I5" s="156">
        <f>SUMIFS('Combined Data'!$G:$G,'Combined Data'!$A:$A,DR_1!I$2,'Combined Data'!$B:$B,DR_1!I$3,'Combined Data'!$C:$C,DR_1!$A5)</f>
        <v>466528</v>
      </c>
      <c r="J5" s="156">
        <f>SUMIFS('Combined Data'!$G:$G,'Combined Data'!$A:$A,DR_1!J$2,'Combined Data'!$B:$B,DR_1!J$3,'Combined Data'!$C:$C,DR_1!$A5)</f>
        <v>339938</v>
      </c>
      <c r="K5" s="156">
        <f>SUMIFS('Combined Data'!$G:$G,'Combined Data'!$A:$A,DR_1!K$2,'Combined Data'!$B:$B,DR_1!K$3,'Combined Data'!$C:$C,DR_1!$A5)</f>
        <v>453388</v>
      </c>
    </row>
    <row r="6" spans="1:11" x14ac:dyDescent="0.45">
      <c r="A6" s="154" t="s">
        <v>56</v>
      </c>
      <c r="B6" s="154" t="s">
        <v>66</v>
      </c>
      <c r="C6" s="156">
        <f>SUMIFS('Combined Data'!$G:$G,'Combined Data'!$A:$A,DR_1!C$2,'Combined Data'!$B:$B,DR_1!C$3,'Combined Data'!$C:$C,DR_1!$A6,'Combined Data'!$D:$D,DR_1!$B6)</f>
        <v>47466</v>
      </c>
      <c r="D6" s="156">
        <f>SUMIFS('Combined Data'!$G:$G,'Combined Data'!$A:$A,DR_1!D$2,'Combined Data'!$B:$B,DR_1!D$3,'Combined Data'!$C:$C,DR_1!$A6,'Combined Data'!$D:$D,DR_1!$B6)</f>
        <v>47208</v>
      </c>
      <c r="E6" s="156">
        <f>SUMIFS('Combined Data'!$G:$G,'Combined Data'!$A:$A,DR_1!E$2,'Combined Data'!$B:$B,DR_1!E$3,'Combined Data'!$C:$C,DR_1!$A6,'Combined Data'!$D:$D,DR_1!$B6)</f>
        <v>47485</v>
      </c>
      <c r="F6" s="156">
        <f>SUMIFS('Combined Data'!$G:$G,'Combined Data'!$A:$A,DR_1!F$2,'Combined Data'!$B:$B,DR_1!F$3,'Combined Data'!$C:$C,DR_1!$A6,'Combined Data'!$D:$D,DR_1!$B6)</f>
        <v>47519</v>
      </c>
      <c r="G6" s="156">
        <f>SUMIFS('Combined Data'!$G:$G,'Combined Data'!$A:$A,DR_1!G$2,'Combined Data'!$B:$B,DR_1!G$3,'Combined Data'!$C:$C,DR_1!$A6,'Combined Data'!$D:$D,DR_1!$B6)</f>
        <v>49640</v>
      </c>
      <c r="H6" s="156">
        <f>SUMIFS('Combined Data'!$G:$G,'Combined Data'!$A:$A,DR_1!H$2,'Combined Data'!$B:$B,DR_1!H$3,'Combined Data'!$C:$C,DR_1!$A6,'Combined Data'!$D:$D,DR_1!$B6)</f>
        <v>47240</v>
      </c>
      <c r="I6" s="156">
        <f>SUMIFS('Combined Data'!$G:$G,'Combined Data'!$A:$A,DR_1!I$2,'Combined Data'!$B:$B,DR_1!I$3,'Combined Data'!$C:$C,DR_1!$A6,'Combined Data'!$D:$D,DR_1!$B6)</f>
        <v>49276</v>
      </c>
      <c r="J6" s="156">
        <f>SUMIFS('Combined Data'!$G:$G,'Combined Data'!$A:$A,DR_1!J$2,'Combined Data'!$B:$B,DR_1!J$3,'Combined Data'!$C:$C,DR_1!$A6,'Combined Data'!$D:$D,DR_1!$B6)</f>
        <v>34334</v>
      </c>
      <c r="K6" s="156">
        <f>SUMIFS('Combined Data'!$G:$G,'Combined Data'!$A:$A,DR_1!K$2,'Combined Data'!$B:$B,DR_1!K$3,'Combined Data'!$C:$C,DR_1!$A6,'Combined Data'!$D:$D,DR_1!$B6)</f>
        <v>47051</v>
      </c>
    </row>
    <row r="7" spans="1:11" x14ac:dyDescent="0.45">
      <c r="A7" s="154" t="s">
        <v>56</v>
      </c>
      <c r="B7" s="154" t="s">
        <v>67</v>
      </c>
      <c r="C7" s="156">
        <f>SUMIFS('Combined Data'!$G:$G,'Combined Data'!$A:$A,DR_1!C$2,'Combined Data'!$B:$B,DR_1!C$3,'Combined Data'!$C:$C,DR_1!$A7,'Combined Data'!$D:$D,"PHA")</f>
        <v>103076</v>
      </c>
      <c r="D7" s="156">
        <f>SUMIFS('Combined Data'!$G:$G,'Combined Data'!$A:$A,DR_1!D$2,'Combined Data'!$B:$B,DR_1!D$3,'Combined Data'!$C:$C,DR_1!$A7,'Combined Data'!$D:$D,"PHA")</f>
        <v>120074</v>
      </c>
      <c r="E7" s="156">
        <f>SUMIFS('Combined Data'!$G:$G,'Combined Data'!$A:$A,DR_1!E$2,'Combined Data'!$B:$B,DR_1!E$3,'Combined Data'!$C:$C,DR_1!$A7,'Combined Data'!$D:$D,"PHA")</f>
        <v>106299</v>
      </c>
      <c r="F7" s="156">
        <f>SUMIFS('Combined Data'!$G:$G,'Combined Data'!$A:$A,DR_1!F$2,'Combined Data'!$B:$B,DR_1!F$3,'Combined Data'!$C:$C,DR_1!$A7,'Combined Data'!$D:$D,"PHA")</f>
        <v>112615</v>
      </c>
      <c r="G7" s="156">
        <f>SUMIFS('Combined Data'!$G:$G,'Combined Data'!$A:$A,DR_1!G$2,'Combined Data'!$B:$B,DR_1!G$3,'Combined Data'!$C:$C,DR_1!$A7,'Combined Data'!$D:$D,"PHA")</f>
        <v>113065</v>
      </c>
      <c r="H7" s="156">
        <f>SUMIFS('Combined Data'!$G:$G,'Combined Data'!$A:$A,DR_1!H$2,'Combined Data'!$B:$B,DR_1!H$3,'Combined Data'!$C:$C,DR_1!$A7,'Combined Data'!$D:$D,"PHA")</f>
        <v>111914</v>
      </c>
      <c r="I7" s="156">
        <f>SUMIFS('Combined Data'!$G:$G,'Combined Data'!$A:$A,DR_1!I$2,'Combined Data'!$B:$B,DR_1!I$3,'Combined Data'!$C:$C,DR_1!$A7,'Combined Data'!$D:$D,"PHA")</f>
        <v>107701</v>
      </c>
      <c r="J7" s="156">
        <f>SUMIFS('Combined Data'!$G:$G,'Combined Data'!$A:$A,DR_1!J$2,'Combined Data'!$B:$B,DR_1!J$3,'Combined Data'!$C:$C,DR_1!$A7,'Combined Data'!$D:$D,"PHA")</f>
        <v>98204</v>
      </c>
      <c r="K7" s="156">
        <f>SUMIFS('Combined Data'!$G:$G,'Combined Data'!$A:$A,DR_1!K$2,'Combined Data'!$B:$B,DR_1!K$3,'Combined Data'!$C:$C,DR_1!$A7,'Combined Data'!$D:$D,"PHA")</f>
        <v>106537</v>
      </c>
    </row>
    <row r="8" spans="1:11" x14ac:dyDescent="0.45">
      <c r="A8" s="154" t="s">
        <v>56</v>
      </c>
      <c r="B8" s="154" t="s">
        <v>68</v>
      </c>
      <c r="C8" s="156">
        <f>SUMIFS('Combined Data'!$G:$G,'Combined Data'!$A:$A,DR_1!C$2,'Combined Data'!$B:$B,DR_1!C$3,'Combined Data'!$C:$C,DR_1!$A8,'Combined Data'!$D:$D,"Non-PHA")</f>
        <v>127647</v>
      </c>
      <c r="D8" s="156">
        <f>SUMIFS('Combined Data'!$G:$G,'Combined Data'!$A:$A,DR_1!D$2,'Combined Data'!$B:$B,DR_1!D$3,'Combined Data'!$C:$C,DR_1!$A8,'Combined Data'!$D:$D,"Non-PHA")</f>
        <v>140608</v>
      </c>
      <c r="E8" s="156">
        <f>SUMIFS('Combined Data'!$G:$G,'Combined Data'!$A:$A,DR_1!E$2,'Combined Data'!$B:$B,DR_1!E$3,'Combined Data'!$C:$C,DR_1!$A8,'Combined Data'!$D:$D,"Non-PHA")</f>
        <v>150750</v>
      </c>
      <c r="F8" s="156">
        <f>SUMIFS('Combined Data'!$G:$G,'Combined Data'!$A:$A,DR_1!F$2,'Combined Data'!$B:$B,DR_1!F$3,'Combined Data'!$C:$C,DR_1!$A8,'Combined Data'!$D:$D,"Non-PHA")</f>
        <v>155946</v>
      </c>
      <c r="G8" s="156">
        <f>SUMIFS('Combined Data'!$G:$G,'Combined Data'!$A:$A,DR_1!G$2,'Combined Data'!$B:$B,DR_1!G$3,'Combined Data'!$C:$C,DR_1!$A8,'Combined Data'!$D:$D,"Non-PHA")</f>
        <v>166612</v>
      </c>
      <c r="H8" s="156">
        <f>SUMIFS('Combined Data'!$G:$G,'Combined Data'!$A:$A,DR_1!H$2,'Combined Data'!$B:$B,DR_1!H$3,'Combined Data'!$C:$C,DR_1!$A8,'Combined Data'!$D:$D,"Non-PHA")</f>
        <v>161087</v>
      </c>
      <c r="I8" s="156">
        <f>SUMIFS('Combined Data'!$G:$G,'Combined Data'!$A:$A,DR_1!I$2,'Combined Data'!$B:$B,DR_1!I$3,'Combined Data'!$C:$C,DR_1!$A8,'Combined Data'!$D:$D,"Non-PHA")</f>
        <v>177711</v>
      </c>
      <c r="J8" s="156">
        <f>SUMIFS('Combined Data'!$G:$G,'Combined Data'!$A:$A,DR_1!J$2,'Combined Data'!$B:$B,DR_1!J$3,'Combined Data'!$C:$C,DR_1!$A8,'Combined Data'!$D:$D,"Non-PHA")</f>
        <v>130613</v>
      </c>
      <c r="K8" s="156">
        <f>SUMIFS('Combined Data'!$G:$G,'Combined Data'!$A:$A,DR_1!K$2,'Combined Data'!$B:$B,DR_1!K$3,'Combined Data'!$C:$C,DR_1!$A8,'Combined Data'!$D:$D,"Non-PHA")</f>
        <v>138255</v>
      </c>
    </row>
    <row r="9" spans="1:11" x14ac:dyDescent="0.45">
      <c r="A9" s="154" t="s">
        <v>56</v>
      </c>
      <c r="B9" s="158" t="s">
        <v>69</v>
      </c>
      <c r="C9" s="156">
        <f>SUMIFS('Combined Data'!$G:$G,'Combined Data'!$A:$A,DR_1!C$2,'Combined Data'!$B:$B,DR_1!C$3,'Combined Data'!$C:$C,DR_1!$A9,'Combined Data'!$D:$D,"No Discount")</f>
        <v>3580867</v>
      </c>
      <c r="D9" s="156">
        <f>SUMIFS('Combined Data'!$G:$G,'Combined Data'!$A:$A,DR_1!D$2,'Combined Data'!$B:$B,DR_1!D$3,'Combined Data'!$C:$C,DR_1!$A9,'Combined Data'!$D:$D,"No Discount")</f>
        <v>3702734</v>
      </c>
      <c r="E9" s="156">
        <f>SUMIFS('Combined Data'!$G:$G,'Combined Data'!$A:$A,DR_1!E$2,'Combined Data'!$B:$B,DR_1!E$3,'Combined Data'!$C:$C,DR_1!$A9,'Combined Data'!$D:$D,"No Discount")</f>
        <v>3879586</v>
      </c>
      <c r="F9" s="156">
        <f>SUMIFS('Combined Data'!$G:$G,'Combined Data'!$A:$A,DR_1!F$2,'Combined Data'!$B:$B,DR_1!F$3,'Combined Data'!$C:$C,DR_1!$A9,'Combined Data'!$D:$D,"No Discount")</f>
        <v>4015717</v>
      </c>
      <c r="G9" s="156">
        <f>SUMIFS('Combined Data'!$G:$G,'Combined Data'!$A:$A,DR_1!G$2,'Combined Data'!$B:$B,DR_1!G$3,'Combined Data'!$C:$C,DR_1!$A9,'Combined Data'!$D:$D,"No Discount")</f>
        <v>4163784</v>
      </c>
      <c r="H9" s="156">
        <f>SUMIFS('Combined Data'!$G:$G,'Combined Data'!$A:$A,DR_1!H$2,'Combined Data'!$B:$B,DR_1!H$3,'Combined Data'!$C:$C,DR_1!$A9,'Combined Data'!$D:$D,"No Discount")</f>
        <v>4045984</v>
      </c>
      <c r="I9" s="156">
        <f>SUMIFS('Combined Data'!$G:$G,'Combined Data'!$A:$A,DR_1!I$2,'Combined Data'!$B:$B,DR_1!I$3,'Combined Data'!$C:$C,DR_1!$A9,'Combined Data'!$D:$D,"No Discount")</f>
        <v>4168231</v>
      </c>
      <c r="J9" s="156">
        <f>SUMIFS('Combined Data'!$G:$G,'Combined Data'!$A:$A,DR_1!J$2,'Combined Data'!$B:$B,DR_1!J$3,'Combined Data'!$C:$C,DR_1!$A9,'Combined Data'!$D:$D,"No Discount")</f>
        <v>3149891</v>
      </c>
      <c r="K9" s="156">
        <f>SUMIFS('Combined Data'!$G:$G,'Combined Data'!$A:$A,DR_1!K$2,'Combined Data'!$B:$B,DR_1!K$3,'Combined Data'!$C:$C,DR_1!$A9,'Combined Data'!$D:$D,"No Discount")</f>
        <v>3868382</v>
      </c>
    </row>
    <row r="10" spans="1:11" x14ac:dyDescent="0.45">
      <c r="A10" s="154" t="s">
        <v>70</v>
      </c>
      <c r="B10" s="154" t="s">
        <v>60</v>
      </c>
      <c r="C10" s="156">
        <f>SUMIFS('Combined Data'!$G:$G,'Combined Data'!$A:$A,DR_1!C$2,'Combined Data'!$B:$B,DR_1!C$3,'Combined Data'!$C:$C,$A9,'Combined Data'!$D:$D,DR_1!$B10)</f>
        <v>199603</v>
      </c>
      <c r="D10" s="156">
        <f>SUMIFS('Combined Data'!$G:$G,'Combined Data'!$A:$A,DR_1!D$2,'Combined Data'!$B:$B,DR_1!D$3,'Combined Data'!$C:$C,$A9,'Combined Data'!$D:$D,DR_1!$B10)</f>
        <v>200095</v>
      </c>
      <c r="E10" s="156">
        <f>SUMIFS('Combined Data'!$G:$G,'Combined Data'!$A:$A,DR_1!E$2,'Combined Data'!$B:$B,DR_1!E$3,'Combined Data'!$C:$C,$A9,'Combined Data'!$D:$D,DR_1!$B10)</f>
        <v>190575</v>
      </c>
      <c r="F10" s="156">
        <f>SUMIFS('Combined Data'!$G:$G,'Combined Data'!$A:$A,DR_1!F$2,'Combined Data'!$B:$B,DR_1!F$3,'Combined Data'!$C:$C,$A9,'Combined Data'!$D:$D,DR_1!$B10)</f>
        <v>207729</v>
      </c>
      <c r="G10" s="156">
        <f>SUMIFS('Combined Data'!$G:$G,'Combined Data'!$A:$A,DR_1!G$2,'Combined Data'!$B:$B,DR_1!G$3,'Combined Data'!$C:$C,$A9,'Combined Data'!$D:$D,DR_1!$B10)</f>
        <v>231646</v>
      </c>
      <c r="H10" s="156">
        <f>SUMIFS('Combined Data'!$G:$G,'Combined Data'!$A:$A,DR_1!H$2,'Combined Data'!$B:$B,DR_1!H$3,'Combined Data'!$C:$C,$A9,'Combined Data'!$D:$D,DR_1!$B10)</f>
        <v>244653</v>
      </c>
      <c r="I10" s="156">
        <f>SUMIFS('Combined Data'!$G:$G,'Combined Data'!$A:$A,DR_1!I$2,'Combined Data'!$B:$B,DR_1!I$3,'Combined Data'!$C:$C,$A9,'Combined Data'!$D:$D,DR_1!$B10)</f>
        <v>352472</v>
      </c>
      <c r="J10" s="156">
        <f>SUMIFS('Combined Data'!$G:$G,'Combined Data'!$A:$A,DR_1!J$2,'Combined Data'!$B:$B,DR_1!J$3,'Combined Data'!$C:$C,$A9,'Combined Data'!$D:$D,DR_1!$B10)</f>
        <v>68383</v>
      </c>
      <c r="K10" s="156">
        <f>SUMIFS('Combined Data'!$G:$G,'Combined Data'!$A:$A,DR_1!K$2,'Combined Data'!$B:$B,DR_1!K$3,'Combined Data'!$C:$C,$A9,'Combined Data'!$D:$D,DR_1!$B10)</f>
        <v>241737</v>
      </c>
    </row>
    <row r="12" spans="1:11" x14ac:dyDescent="0.45">
      <c r="A12" s="169" t="s">
        <v>74</v>
      </c>
      <c r="B12" s="170"/>
      <c r="C12" s="148"/>
      <c r="D12" s="148"/>
      <c r="E12" s="148"/>
      <c r="F12" s="148"/>
      <c r="G12" s="148"/>
      <c r="H12" s="148"/>
      <c r="I12" s="148"/>
      <c r="J12" s="148"/>
      <c r="K12" s="148"/>
    </row>
    <row r="13" spans="1:11" ht="57" x14ac:dyDescent="0.45">
      <c r="A13" s="159" t="s">
        <v>63</v>
      </c>
      <c r="C13" s="153" t="str">
        <f t="shared" ref="C13:K13" si="17">C4</f>
        <v>April 2025 Sewer Billed Volume (CCF)</v>
      </c>
      <c r="D13" s="153" t="str">
        <f t="shared" si="17"/>
        <v>May 2025 Sewer Billed Volume (CCF)</v>
      </c>
      <c r="E13" s="153" t="str">
        <f t="shared" si="17"/>
        <v>June 2025 Sewer Billed Volume (CCF)</v>
      </c>
      <c r="F13" s="153" t="str">
        <f t="shared" si="17"/>
        <v>July 2025 Sewer Billed Volume (CCF)</v>
      </c>
      <c r="G13" s="153" t="str">
        <f t="shared" si="17"/>
        <v>August 2025 Sewer Billed Volume (CCF)</v>
      </c>
      <c r="H13" s="153" t="str">
        <f t="shared" si="17"/>
        <v>September 2025 Sewer Billed Volume (CCF)</v>
      </c>
      <c r="I13" s="153" t="str">
        <f t="shared" si="17"/>
        <v>October 2025 Sewer Billed Volume (CCF)</v>
      </c>
      <c r="J13" s="153" t="str">
        <f t="shared" si="17"/>
        <v>November 2025 Sewer Billed Volume (CCF)</v>
      </c>
      <c r="K13" s="153" t="str">
        <f t="shared" si="17"/>
        <v>December 2025 Sewer Billed Volume (CCF)</v>
      </c>
    </row>
    <row r="14" spans="1:11" x14ac:dyDescent="0.45">
      <c r="A14" s="154" t="s">
        <v>62</v>
      </c>
      <c r="C14" s="157">
        <f t="shared" ref="C14" si="18">SUMIF($A$5:$A$10,$A14,C$5:C$10)</f>
        <v>382075</v>
      </c>
      <c r="D14" s="157">
        <f t="shared" ref="C14:K16" si="19">SUMIF($A$5:$A$10,$A14,D$5:D$10)</f>
        <v>395427</v>
      </c>
      <c r="E14" s="157">
        <f t="shared" si="19"/>
        <v>419359</v>
      </c>
      <c r="F14" s="157">
        <f t="shared" si="19"/>
        <v>423626</v>
      </c>
      <c r="G14" s="157">
        <f t="shared" si="19"/>
        <v>449771</v>
      </c>
      <c r="H14" s="157">
        <f t="shared" si="19"/>
        <v>443876</v>
      </c>
      <c r="I14" s="157">
        <f t="shared" si="19"/>
        <v>466528</v>
      </c>
      <c r="J14" s="157">
        <f t="shared" si="19"/>
        <v>339938</v>
      </c>
      <c r="K14" s="157">
        <f t="shared" si="19"/>
        <v>453388</v>
      </c>
    </row>
    <row r="15" spans="1:11" x14ac:dyDescent="0.45">
      <c r="A15" s="154" t="s">
        <v>56</v>
      </c>
      <c r="C15" s="157">
        <f t="shared" si="19"/>
        <v>3859056</v>
      </c>
      <c r="D15" s="157">
        <f t="shared" si="19"/>
        <v>4010624</v>
      </c>
      <c r="E15" s="157">
        <f t="shared" si="19"/>
        <v>4184120</v>
      </c>
      <c r="F15" s="157">
        <f t="shared" si="19"/>
        <v>4331797</v>
      </c>
      <c r="G15" s="157">
        <f t="shared" si="19"/>
        <v>4493101</v>
      </c>
      <c r="H15" s="157">
        <f t="shared" si="19"/>
        <v>4366225</v>
      </c>
      <c r="I15" s="157">
        <f t="shared" si="19"/>
        <v>4502919</v>
      </c>
      <c r="J15" s="157">
        <f t="shared" si="19"/>
        <v>3413042</v>
      </c>
      <c r="K15" s="157">
        <f t="shared" si="19"/>
        <v>4160225</v>
      </c>
    </row>
    <row r="16" spans="1:11" x14ac:dyDescent="0.45">
      <c r="A16" s="154" t="s">
        <v>70</v>
      </c>
      <c r="C16" s="157">
        <f t="shared" si="19"/>
        <v>199603</v>
      </c>
      <c r="D16" s="157">
        <f t="shared" si="19"/>
        <v>200095</v>
      </c>
      <c r="E16" s="157">
        <f t="shared" si="19"/>
        <v>190575</v>
      </c>
      <c r="F16" s="157">
        <f t="shared" si="19"/>
        <v>207729</v>
      </c>
      <c r="G16" s="157">
        <f t="shared" si="19"/>
        <v>231646</v>
      </c>
      <c r="H16" s="157">
        <f t="shared" si="19"/>
        <v>244653</v>
      </c>
      <c r="I16" s="157">
        <f t="shared" si="19"/>
        <v>352472</v>
      </c>
      <c r="J16" s="157">
        <f t="shared" si="19"/>
        <v>68383</v>
      </c>
      <c r="K16" s="157">
        <f t="shared" si="19"/>
        <v>241737</v>
      </c>
    </row>
    <row r="18" spans="1:2" x14ac:dyDescent="0.45">
      <c r="A18" s="4"/>
    </row>
    <row r="19" spans="1:2" ht="28.9" customHeight="1" x14ac:dyDescent="0.45">
      <c r="A19" s="171" t="s">
        <v>72</v>
      </c>
      <c r="B19" s="171"/>
    </row>
    <row r="20" spans="1:2" ht="28.35" customHeight="1" x14ac:dyDescent="0.45">
      <c r="A20" s="171" t="s">
        <v>73</v>
      </c>
      <c r="B20" s="171"/>
    </row>
  </sheetData>
  <mergeCells count="4">
    <mergeCell ref="A1:B1"/>
    <mergeCell ref="A12:B12"/>
    <mergeCell ref="A19:B19"/>
    <mergeCell ref="A20:B20"/>
  </mergeCells>
  <pageMargins left="0.7" right="0.7" top="0.75" bottom="0.75" header="0.3" footer="0.3"/>
  <pageSetup fitToHeight="0" orientation="landscape" r:id="rId1"/>
  <headerFooter>
    <oddHeader>&amp;L2026 TAP Reconcilable Rider Reports and Projection Model: &amp;A
January 2023 - December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/>
  </sheetPr>
  <dimension ref="A2:M7"/>
  <sheetViews>
    <sheetView zoomScaleNormal="100" workbookViewId="0">
      <selection activeCell="D21" sqref="D21"/>
    </sheetView>
  </sheetViews>
  <sheetFormatPr defaultColWidth="8.86328125" defaultRowHeight="14.25" x14ac:dyDescent="0.45"/>
  <cols>
    <col min="2" max="2" width="12.1328125" customWidth="1"/>
    <col min="3" max="3" width="11.59765625" customWidth="1"/>
    <col min="4" max="4" width="7.86328125" customWidth="1"/>
    <col min="10" max="10" width="4.1328125" customWidth="1"/>
    <col min="11" max="11" width="10.59765625" bestFit="1" customWidth="1"/>
    <col min="13" max="13" width="9.1328125" bestFit="1" customWidth="1"/>
  </cols>
  <sheetData>
    <row r="2" spans="1:13" x14ac:dyDescent="0.45">
      <c r="A2" s="11" t="s">
        <v>130</v>
      </c>
      <c r="K2" s="132"/>
      <c r="M2" s="143"/>
    </row>
    <row r="6" spans="1:13" x14ac:dyDescent="0.4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4"/>
    </row>
    <row r="7" spans="1:13" x14ac:dyDescent="0.45">
      <c r="A7" s="133"/>
      <c r="B7" s="133"/>
      <c r="C7" s="135"/>
      <c r="D7" s="133"/>
      <c r="E7" s="136"/>
      <c r="F7" s="133"/>
      <c r="G7" s="133"/>
      <c r="H7" s="133"/>
      <c r="I7" s="133"/>
      <c r="J7" s="133"/>
      <c r="K7" s="133"/>
    </row>
  </sheetData>
  <pageMargins left="0.7" right="0.7" top="0.75" bottom="0.75" header="0.3" footer="0.3"/>
  <pageSetup orientation="landscape" r:id="rId1"/>
  <headerFooter>
    <oddHeader>&amp;L2026 TAP Reconcilable Rider Reports and Projection Model: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B41"/>
  <sheetViews>
    <sheetView workbookViewId="0">
      <selection sqref="A1:B1"/>
    </sheetView>
  </sheetViews>
  <sheetFormatPr defaultColWidth="9.1328125" defaultRowHeight="14.25" x14ac:dyDescent="0.45"/>
  <cols>
    <col min="1" max="1" width="42.3984375" style="12" customWidth="1"/>
    <col min="2" max="2" width="14" style="13" customWidth="1"/>
    <col min="3" max="16384" width="9.1328125" style="12"/>
  </cols>
  <sheetData>
    <row r="1" spans="1:2" ht="30" customHeight="1" x14ac:dyDescent="0.45">
      <c r="A1" s="172" t="s">
        <v>75</v>
      </c>
      <c r="B1" s="173"/>
    </row>
    <row r="2" spans="1:2" x14ac:dyDescent="0.45">
      <c r="A2" s="12" t="s">
        <v>76</v>
      </c>
      <c r="B2" s="13">
        <v>279</v>
      </c>
    </row>
    <row r="3" spans="1:2" x14ac:dyDescent="0.45">
      <c r="A3" s="14" t="s">
        <v>77</v>
      </c>
      <c r="B3" s="15">
        <v>253</v>
      </c>
    </row>
    <row r="4" spans="1:2" x14ac:dyDescent="0.45">
      <c r="A4" s="14" t="s">
        <v>78</v>
      </c>
      <c r="B4" s="15">
        <v>26</v>
      </c>
    </row>
    <row r="6" spans="1:2" x14ac:dyDescent="0.45">
      <c r="A6" s="174" t="s">
        <v>79</v>
      </c>
      <c r="B6" s="175"/>
    </row>
    <row r="7" spans="1:2" x14ac:dyDescent="0.45">
      <c r="A7" s="12" t="s">
        <v>80</v>
      </c>
      <c r="B7" s="13">
        <v>279</v>
      </c>
    </row>
    <row r="9" spans="1:2" ht="30" customHeight="1" x14ac:dyDescent="0.45">
      <c r="A9" s="172" t="s">
        <v>81</v>
      </c>
      <c r="B9" s="173"/>
    </row>
    <row r="10" spans="1:2" x14ac:dyDescent="0.45">
      <c r="A10" s="12" t="s">
        <v>80</v>
      </c>
      <c r="B10" s="13">
        <v>84</v>
      </c>
    </row>
    <row r="11" spans="1:2" x14ac:dyDescent="0.45">
      <c r="A11" s="14" t="s">
        <v>82</v>
      </c>
      <c r="B11" s="15">
        <v>73</v>
      </c>
    </row>
    <row r="12" spans="1:2" x14ac:dyDescent="0.45">
      <c r="A12" s="14" t="s">
        <v>83</v>
      </c>
      <c r="B12" s="15">
        <v>11</v>
      </c>
    </row>
    <row r="13" spans="1:2" x14ac:dyDescent="0.45">
      <c r="A13" s="12" t="s">
        <v>84</v>
      </c>
      <c r="B13" s="13">
        <v>237</v>
      </c>
    </row>
    <row r="14" spans="1:2" x14ac:dyDescent="0.45">
      <c r="A14" s="14" t="s">
        <v>85</v>
      </c>
      <c r="B14" s="15">
        <v>237</v>
      </c>
    </row>
    <row r="15" spans="1:2" x14ac:dyDescent="0.45">
      <c r="A15" s="12" t="s">
        <v>86</v>
      </c>
      <c r="B15" s="13">
        <v>95</v>
      </c>
    </row>
    <row r="16" spans="1:2" x14ac:dyDescent="0.45">
      <c r="A16" s="14" t="s">
        <v>87</v>
      </c>
      <c r="B16" s="15">
        <v>58</v>
      </c>
    </row>
    <row r="17" spans="1:2" x14ac:dyDescent="0.45">
      <c r="A17" s="14" t="s">
        <v>88</v>
      </c>
      <c r="B17" s="15">
        <v>37</v>
      </c>
    </row>
    <row r="18" spans="1:2" x14ac:dyDescent="0.45">
      <c r="A18" s="12" t="s">
        <v>89</v>
      </c>
      <c r="B18" s="13">
        <v>21</v>
      </c>
    </row>
    <row r="19" spans="1:2" x14ac:dyDescent="0.45">
      <c r="A19" s="14" t="s">
        <v>90</v>
      </c>
      <c r="B19" s="15">
        <v>21</v>
      </c>
    </row>
    <row r="20" spans="1:2" x14ac:dyDescent="0.45">
      <c r="A20" s="12" t="s">
        <v>91</v>
      </c>
      <c r="B20" s="13">
        <v>222</v>
      </c>
    </row>
    <row r="21" spans="1:2" x14ac:dyDescent="0.45">
      <c r="A21" s="14" t="s">
        <v>92</v>
      </c>
      <c r="B21" s="15">
        <v>222</v>
      </c>
    </row>
    <row r="22" spans="1:2" x14ac:dyDescent="0.45">
      <c r="A22" s="12" t="s">
        <v>93</v>
      </c>
      <c r="B22" s="13">
        <v>123</v>
      </c>
    </row>
    <row r="23" spans="1:2" x14ac:dyDescent="0.45">
      <c r="A23" s="14" t="s">
        <v>94</v>
      </c>
      <c r="B23" s="15">
        <v>48</v>
      </c>
    </row>
    <row r="24" spans="1:2" x14ac:dyDescent="0.45">
      <c r="A24" s="14" t="s">
        <v>95</v>
      </c>
      <c r="B24" s="15">
        <v>1</v>
      </c>
    </row>
    <row r="25" spans="1:2" x14ac:dyDescent="0.45">
      <c r="A25" s="14" t="s">
        <v>96</v>
      </c>
      <c r="B25" s="15">
        <v>74</v>
      </c>
    </row>
    <row r="26" spans="1:2" x14ac:dyDescent="0.45">
      <c r="A26" s="12" t="s">
        <v>97</v>
      </c>
      <c r="B26" s="13">
        <v>2</v>
      </c>
    </row>
    <row r="27" spans="1:2" x14ac:dyDescent="0.45">
      <c r="A27" s="14" t="s">
        <v>98</v>
      </c>
      <c r="B27" s="15">
        <v>2</v>
      </c>
    </row>
    <row r="30" spans="1:2" ht="30.75" customHeight="1" x14ac:dyDescent="0.45">
      <c r="A30" s="172" t="s">
        <v>99</v>
      </c>
      <c r="B30" s="173"/>
    </row>
    <row r="31" spans="1:2" x14ac:dyDescent="0.45">
      <c r="A31" s="12" t="s">
        <v>76</v>
      </c>
      <c r="B31" s="13">
        <v>10621</v>
      </c>
    </row>
    <row r="33" spans="1:2" x14ac:dyDescent="0.45">
      <c r="A33" s="174" t="s">
        <v>100</v>
      </c>
      <c r="B33" s="175"/>
    </row>
    <row r="34" spans="1:2" x14ac:dyDescent="0.45">
      <c r="A34" s="12" t="s">
        <v>80</v>
      </c>
      <c r="B34" s="13">
        <v>6004</v>
      </c>
    </row>
    <row r="35" spans="1:2" x14ac:dyDescent="0.45">
      <c r="A35" s="12" t="s">
        <v>84</v>
      </c>
      <c r="B35" s="13">
        <v>1501</v>
      </c>
    </row>
    <row r="36" spans="1:2" x14ac:dyDescent="0.45">
      <c r="A36" s="12" t="s">
        <v>101</v>
      </c>
      <c r="B36" s="13">
        <v>9</v>
      </c>
    </row>
    <row r="37" spans="1:2" x14ac:dyDescent="0.45">
      <c r="A37" s="12" t="s">
        <v>86</v>
      </c>
      <c r="B37" s="13">
        <v>313</v>
      </c>
    </row>
    <row r="38" spans="1:2" x14ac:dyDescent="0.45">
      <c r="A38" s="12" t="s">
        <v>89</v>
      </c>
      <c r="B38" s="13">
        <v>155</v>
      </c>
    </row>
    <row r="39" spans="1:2" x14ac:dyDescent="0.45">
      <c r="A39" s="12" t="s">
        <v>91</v>
      </c>
      <c r="B39" s="13">
        <v>362</v>
      </c>
    </row>
    <row r="40" spans="1:2" x14ac:dyDescent="0.45">
      <c r="A40" s="12" t="s">
        <v>93</v>
      </c>
      <c r="B40" s="13">
        <v>2272</v>
      </c>
    </row>
    <row r="41" spans="1:2" x14ac:dyDescent="0.45">
      <c r="A41" s="12" t="s">
        <v>97</v>
      </c>
      <c r="B41" s="13">
        <v>5</v>
      </c>
    </row>
  </sheetData>
  <mergeCells count="5">
    <mergeCell ref="A1:B1"/>
    <mergeCell ref="A6:B6"/>
    <mergeCell ref="A9:B9"/>
    <mergeCell ref="A30:B30"/>
    <mergeCell ref="A33:B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Props1.xml><?xml version="1.0" encoding="utf-8"?>
<ds:datastoreItem xmlns:ds="http://schemas.openxmlformats.org/officeDocument/2006/customXml" ds:itemID="{31A571AD-4037-45B3-BA9D-B365970EBF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43D1E-6C1B-4E33-BADE-ED641D0B1829}"/>
</file>

<file path=customXml/itemProps3.xml><?xml version="1.0" encoding="utf-8"?>
<ds:datastoreItem xmlns:ds="http://schemas.openxmlformats.org/officeDocument/2006/customXml" ds:itemID="{482E7EF8-6663-4F87-93C0-A052CF6BBCB9}">
  <ds:schemaRefs>
    <ds:schemaRef ds:uri="http://www.w3.org/XML/1998/namespace"/>
    <ds:schemaRef ds:uri="9db3acdc-9024-421a-86fb-dc74c805b941"/>
    <ds:schemaRef ds:uri="http://schemas.openxmlformats.org/package/2006/metadata/core-properties"/>
    <ds:schemaRef ds:uri="e8be1fe3-a3bf-4e07-bb34-f57d41ea28b5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156022b-67ad-4709-a228-10a02d5a9ab9}" enabled="0" method="" siteId="{6156022b-67ad-4709-a228-10a02d5a9ab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Cover</vt:lpstr>
      <vt:lpstr>Table of Contents</vt:lpstr>
      <vt:lpstr>TRR_Summary</vt:lpstr>
      <vt:lpstr>TRR_Projections</vt:lpstr>
      <vt:lpstr>Combined Data</vt:lpstr>
      <vt:lpstr>DR_1</vt:lpstr>
      <vt:lpstr>DR_2</vt:lpstr>
      <vt:lpstr>Data Source</vt:lpstr>
      <vt:lpstr>051018 Model_Applications</vt:lpstr>
      <vt:lpstr>051018 Model_Assumptions</vt:lpstr>
      <vt:lpstr>051018 Model_Model</vt:lpstr>
      <vt:lpstr>051018 Model_Cost Estimates</vt:lpstr>
      <vt:lpstr>Cover!Print_Area</vt:lpstr>
      <vt:lpstr>'Data Source'!Print_Area</vt:lpstr>
      <vt:lpstr>'Table of Contents'!Print_Area</vt:lpstr>
      <vt:lpstr>TRR_Projections!Print_Area</vt:lpstr>
      <vt:lpstr>DR_1!Print_Titles</vt:lpstr>
      <vt:lpstr>DR_2!Print_Titles</vt:lpstr>
      <vt:lpstr>TRR_Projections!Print_Titles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marcellawigg</dc:creator>
  <cp:keywords/>
  <dc:description/>
  <cp:lastModifiedBy>Jennifer Tavantzis</cp:lastModifiedBy>
  <cp:revision/>
  <cp:lastPrinted>2026-02-13T21:28:12Z</cp:lastPrinted>
  <dcterms:created xsi:type="dcterms:W3CDTF">2017-11-15T18:58:43Z</dcterms:created>
  <dcterms:modified xsi:type="dcterms:W3CDTF">2026-02-16T18:04:43Z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_dlc_DocIdItemGuid">
    <vt:lpwstr>59c6a427-dc9a-4555-b09d-4244685aec27</vt:lpwstr>
  </property>
  <property fmtid="{D5CDD505-2E9C-101B-9397-08002B2CF9AE}" pid="4" name="MediaServiceImageTags">
    <vt:lpwstr/>
  </property>
</Properties>
</file>