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d.docs.live.net/29e39f5313cc976b/Exeter1/103709-PWD 2025/For my Testimony/Response to II-1/"/>
    </mc:Choice>
  </mc:AlternateContent>
  <xr:revisionPtr revIDLastSave="0" documentId="8_{97B12D2C-2E38-42BF-8517-0EA6DC9C9B25}" xr6:coauthVersionLast="47" xr6:coauthVersionMax="47" xr10:uidLastSave="{00000000-0000-0000-0000-000000000000}"/>
  <bookViews>
    <workbookView xWindow="-108" yWindow="-108" windowWidth="23256" windowHeight="12456" tabRatio="772" activeTab="1" xr2:uid="{00000000-000D-0000-FFFF-FFFF00000000}"/>
  </bookViews>
  <sheets>
    <sheet name="Notice to Recipients-Users" sheetId="10" r:id="rId1"/>
    <sheet name="Table C-1A" sheetId="3" r:id="rId2"/>
    <sheet name="C-3 Receipts Existing Rates" sheetId="6" r:id="rId3"/>
    <sheet name="Table C-6 O&amp;M Expense" sheetId="7" r:id="rId4"/>
    <sheet name="C-7,8,9 CIP - Debt Service" sheetId="5" r:id="rId5"/>
    <sheet name="C-2 Summary" sheetId="9" r:id="rId6"/>
  </sheets>
  <externalReferences>
    <externalReference r:id="rId7"/>
  </externalReferences>
  <definedNames>
    <definedName name="BYR">[1]Home!$A$4</definedName>
    <definedName name="Capitalized_Interest_Length">'[1]Assumption #s'!$A$503:$A$508</definedName>
    <definedName name="CBWorkbookPriority">-975096245</definedName>
    <definedName name="CIP_Esc">'[1]Assumption #s'!$A$1496:$A$1498</definedName>
    <definedName name="CIP_Lookup">'[1]Assumption #s'!$A$1496:$B$1498</definedName>
    <definedName name="Criticality_Scale">'[1]Capital Projects'!$Y$12:$Y$16</definedName>
    <definedName name="Customer_Classes">'[1]Assumption #s'!$A$524:$A$530</definedName>
    <definedName name="Customer_List">'[1]Assumption #s'!$A$25:$A$31</definedName>
    <definedName name="Dashboard_Utility">[1]Dashboard!$BA$114:$BA$116</definedName>
    <definedName name="Funds">[1]Funds!$B$348:$B$353</definedName>
    <definedName name="Meter_Sizes">'[1]Assumption #s'!$A$548:$A$560</definedName>
    <definedName name="OM_Escalation">'[1]Assumption #s'!$A$485:$A$499</definedName>
    <definedName name="OM_Utility">'[1]Direct O&amp;M'!$AG$15:$AG$17</definedName>
    <definedName name="_xlnm.Print_Area" localSheetId="5">'C-2 Summary'!$B$8:$M$90</definedName>
    <definedName name="_xlnm.Print_Area" localSheetId="2">'C-3 Receipts Existing Rates'!$B$6:$O$68</definedName>
    <definedName name="_xlnm.Print_Area" localSheetId="4">'C-7,8,9 CIP - Debt Service'!$B$1:$O$205</definedName>
    <definedName name="_xlnm.Print_Area" localSheetId="1">'Table C-1A'!$B$1:$P$155</definedName>
    <definedName name="_xlnm.Print_Area" localSheetId="3">'Table C-6 O&amp;M Expense'!$B$6:$N$55</definedName>
    <definedName name="_xlnm.Print_Titles" localSheetId="5">'C-2 Summary'!$1:$7</definedName>
    <definedName name="_xlnm.Print_Titles" localSheetId="2">'C-3 Receipts Existing Rates'!$1:$5</definedName>
    <definedName name="_xlnm.Print_Titles" localSheetId="1">'Table C-1A'!$1:$6</definedName>
    <definedName name="_xlnm.Print_Titles" localSheetId="3">'Table C-6 O&amp;M Expense'!$1:$5</definedName>
    <definedName name="TABLE_1" localSheetId="1">'Table C-1A'!#REF!</definedName>
    <definedName name="TABLE_10" localSheetId="1">'Table C-1A'!#REF!</definedName>
    <definedName name="TABLE_11" localSheetId="1">'Table C-1A'!#REF!</definedName>
    <definedName name="TABLE_11">#REF!</definedName>
    <definedName name="TABLE_12" localSheetId="1">'Table C-1A'!#REF!</definedName>
    <definedName name="TABLE_13" localSheetId="1">'Table C-1A'!#REF!</definedName>
    <definedName name="TABLE_14" localSheetId="1">'Table C-1A'!#REF!</definedName>
    <definedName name="TABLE_2" localSheetId="1">'Table C-1A'!#REF!</definedName>
    <definedName name="TABLE_26" localSheetId="1">'Table C-1A'!#REF!</definedName>
    <definedName name="TABLE_3" localSheetId="1">'Table C-1A'!#REF!</definedName>
    <definedName name="TABLE_4" localSheetId="1">'Table C-1A'!#REF!</definedName>
    <definedName name="TABLE_5" localSheetId="1">'Table C-1A'!#REF!</definedName>
    <definedName name="TABLE_6" localSheetId="1">'Table C-1A'!#REF!</definedName>
    <definedName name="TABLE_6B" localSheetId="1">'Table C-1A'!#REF!</definedName>
    <definedName name="TABLE_7" localSheetId="1">'Table C-1A'!#REF!</definedName>
    <definedName name="TABLE_8" localSheetId="1">'Table C-1A'!#REF!</definedName>
    <definedName name="TABLE_9" localSheetId="1">'Table C-1A'!#REF!</definedName>
    <definedName name="TYR">[1]Home!$A$5</definedName>
    <definedName name="Z_Account_List">'[1]Assumption #s'!$A$15:$A$19</definedName>
    <definedName name="Z_Account_Lookup">'[1]Assumption #s'!$A$15:$S$20</definedName>
    <definedName name="Z_Chart_rev_SelChart">CHOOSE('[1]Dashboard Data'!$K$309,Z_Dash_Rev_Chart1,Z_Dash_Rev_Chart2)</definedName>
    <definedName name="Z_Dash_Rev_Chart1">'[1]Dashboard Data'!$K$270:$X$283</definedName>
    <definedName name="Z_Dash_Rev_Chart2">'[1]Dashboard Data'!$K$286:$X$299</definedName>
    <definedName name="Z_OM_Adj1">'[1]O&amp;M Adjustments'!$A$11</definedName>
    <definedName name="Z_OM_Adj10">'[1]O&amp;M Adjustments'!$A$20</definedName>
    <definedName name="Z_OM_Adj11">'[1]O&amp;M Adjustments'!$A$21</definedName>
    <definedName name="Z_OM_Adj2">'[1]O&amp;M Adjustments'!$A$12</definedName>
    <definedName name="Z_OM_Adj3">'[1]O&amp;M Adjustments'!$A$13</definedName>
    <definedName name="Z_OM_Adj4">'[1]O&amp;M Adjustments'!$A$14</definedName>
    <definedName name="Z_OM_Adj5">'[1]O&amp;M Adjustments'!$A$15</definedName>
    <definedName name="Z_OM_Adj6">'[1]O&amp;M Adjustments'!$A$16</definedName>
    <definedName name="Z_OM_Adj7">'[1]O&amp;M Adjustments'!$A$17</definedName>
    <definedName name="Z_OM_Adj8">'[1]O&amp;M Adjustments'!$A$18</definedName>
    <definedName name="Z_OM_Adj9">'[1]O&amp;M Adjustments'!$A$19</definedName>
    <definedName name="Z_SLE">'[1]Direct O&amp;M'!$K$522</definedName>
    <definedName name="Z_Volume_List">'[1]Assumption #s'!$A$25:$A$31</definedName>
    <definedName name="Z_Volume_Lookup">'[1]Assumption #s'!$A$25:$R$32</definedName>
    <definedName name="Z_Year_Lookup">'[1]Assumption #s'!$C$13:$R$14</definedName>
    <definedName name="zCIPCrit">[1]Dashboard!$G$14</definedName>
    <definedName name="zDashDebt">[1]Dashboard!$D$18</definedName>
    <definedName name="zDashDebt_2">[1]Dashboard!$D$21</definedName>
    <definedName name="zDashDebt_3">[1]Dashboard!$D$24</definedName>
    <definedName name="zDashSelect">'[1]CF Data'!$A$314</definedName>
    <definedName name="zDashStab">[1]Dashboard!$D$61</definedName>
    <definedName name="zPaste">'[1]Dashboard Storage'!$B$680</definedName>
    <definedName name="zRate">[1]Dashboard!$D$57</definedName>
    <definedName name="zTran">[1]Dashboard!$D$35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3" i="5" l="1"/>
  <c r="L83" i="5"/>
  <c r="K83" i="5"/>
  <c r="J83" i="5"/>
  <c r="I83" i="5"/>
  <c r="H83" i="5"/>
  <c r="M81" i="5"/>
  <c r="L81" i="5"/>
  <c r="K81" i="5"/>
  <c r="J81" i="5"/>
  <c r="I81" i="5"/>
  <c r="H81" i="5"/>
  <c r="M79" i="5"/>
  <c r="L79" i="5"/>
  <c r="K79" i="5"/>
  <c r="J79" i="5"/>
  <c r="I79" i="5"/>
  <c r="H79" i="5"/>
  <c r="M77" i="5"/>
  <c r="L77" i="5"/>
  <c r="K77" i="5"/>
  <c r="J77" i="5"/>
  <c r="I77" i="5"/>
  <c r="H77" i="5"/>
  <c r="M75" i="5"/>
  <c r="L75" i="5"/>
  <c r="K75" i="5"/>
  <c r="J75" i="5"/>
  <c r="I75" i="5"/>
  <c r="H75" i="5"/>
  <c r="M185" i="5"/>
  <c r="L185" i="5"/>
  <c r="K185" i="5"/>
  <c r="J185" i="5"/>
  <c r="I185" i="5"/>
  <c r="H185" i="5"/>
  <c r="M182" i="5"/>
  <c r="L182" i="5"/>
  <c r="K182" i="5"/>
  <c r="J182" i="5"/>
  <c r="I182" i="5"/>
  <c r="H182" i="5"/>
  <c r="M179" i="5"/>
  <c r="L179" i="5"/>
  <c r="K179" i="5"/>
  <c r="J179" i="5"/>
  <c r="I179" i="5"/>
  <c r="H179" i="5"/>
  <c r="E164" i="5"/>
  <c r="I29" i="5"/>
  <c r="H29" i="5"/>
  <c r="J41" i="6"/>
  <c r="M48" i="6" l="1"/>
  <c r="L48" i="6"/>
  <c r="K48" i="6"/>
  <c r="J48" i="6"/>
  <c r="I48" i="6"/>
  <c r="H48" i="6"/>
  <c r="M39" i="6"/>
  <c r="L39" i="6"/>
  <c r="K39" i="6"/>
  <c r="J39" i="6"/>
  <c r="I39" i="6"/>
  <c r="H39" i="6"/>
  <c r="M32" i="6"/>
  <c r="L32" i="6"/>
  <c r="K32" i="6"/>
  <c r="J32" i="6"/>
  <c r="I32" i="6"/>
  <c r="H32" i="6"/>
  <c r="M30" i="6"/>
  <c r="L30" i="6"/>
  <c r="K30" i="6"/>
  <c r="J30" i="6"/>
  <c r="I30" i="6"/>
  <c r="H30" i="6"/>
  <c r="M28" i="6"/>
  <c r="L28" i="6"/>
  <c r="K28" i="6"/>
  <c r="J28" i="6"/>
  <c r="I28" i="6"/>
  <c r="H28" i="6"/>
  <c r="M24" i="6"/>
  <c r="L24" i="6"/>
  <c r="K24" i="6"/>
  <c r="J24" i="6"/>
  <c r="I24" i="6"/>
  <c r="H24" i="6"/>
  <c r="J16" i="6"/>
  <c r="J18" i="6" s="1"/>
  <c r="M16" i="6"/>
  <c r="M18" i="6" s="1"/>
  <c r="L16" i="6"/>
  <c r="L18" i="6" s="1"/>
  <c r="K16" i="6"/>
  <c r="K18" i="6" s="1"/>
  <c r="I16" i="6"/>
  <c r="I18" i="6" s="1"/>
  <c r="H16" i="6"/>
  <c r="H18" i="6" s="1"/>
  <c r="M124" i="3" l="1"/>
  <c r="I125" i="3"/>
  <c r="L124" i="3"/>
  <c r="L125" i="3" s="1"/>
  <c r="K124" i="3"/>
  <c r="J124" i="3"/>
  <c r="J125" i="3" s="1"/>
  <c r="H124" i="3"/>
  <c r="M60" i="5"/>
  <c r="L60" i="5"/>
  <c r="K60" i="5"/>
  <c r="J60" i="5"/>
  <c r="I60" i="5"/>
  <c r="H60" i="5"/>
  <c r="M54" i="6"/>
  <c r="L54" i="6"/>
  <c r="K54" i="6"/>
  <c r="J54" i="6"/>
  <c r="I54" i="6"/>
  <c r="H54" i="6"/>
  <c r="C200" i="5"/>
  <c r="E22" i="3"/>
  <c r="E24" i="3" s="1"/>
  <c r="E26" i="3" s="1"/>
  <c r="E28" i="3" s="1"/>
  <c r="E30" i="3" s="1"/>
  <c r="H71" i="3" l="1"/>
  <c r="H105" i="3"/>
  <c r="H110" i="3" s="1"/>
  <c r="M10" i="3"/>
  <c r="N10" i="3"/>
  <c r="K125" i="3"/>
  <c r="M125" i="3"/>
  <c r="H125" i="3"/>
  <c r="J64" i="3"/>
  <c r="H114" i="5"/>
  <c r="H121" i="5" s="1"/>
  <c r="H122" i="5" s="1"/>
  <c r="I113" i="5" s="1"/>
  <c r="J29" i="5"/>
  <c r="J92" i="5" s="1"/>
  <c r="I92" i="5"/>
  <c r="S29" i="3"/>
  <c r="S27" i="3"/>
  <c r="S25" i="3"/>
  <c r="S23" i="3"/>
  <c r="S21" i="3"/>
  <c r="H113" i="3"/>
  <c r="H114" i="3" s="1"/>
  <c r="I40" i="3"/>
  <c r="I42" i="3"/>
  <c r="I48" i="3"/>
  <c r="I63" i="3"/>
  <c r="I65" i="3"/>
  <c r="I69" i="3"/>
  <c r="I71" i="3"/>
  <c r="I85" i="3"/>
  <c r="I113" i="3"/>
  <c r="I114" i="3" s="1"/>
  <c r="J42" i="6"/>
  <c r="J44" i="6" s="1"/>
  <c r="J38" i="3" s="1"/>
  <c r="J40" i="3"/>
  <c r="J42" i="3"/>
  <c r="J48" i="3"/>
  <c r="J63" i="3"/>
  <c r="J65" i="3"/>
  <c r="J69" i="3"/>
  <c r="J71" i="3"/>
  <c r="J85" i="3"/>
  <c r="K42" i="6"/>
  <c r="K44" i="6" s="1"/>
  <c r="K38" i="3" s="1"/>
  <c r="K40" i="3"/>
  <c r="K42" i="3"/>
  <c r="K48" i="3"/>
  <c r="K63" i="3"/>
  <c r="K65" i="3"/>
  <c r="K69" i="3"/>
  <c r="K71" i="3"/>
  <c r="K85" i="3"/>
  <c r="L42" i="6"/>
  <c r="L44" i="6" s="1"/>
  <c r="L38" i="3" s="1"/>
  <c r="L40" i="3"/>
  <c r="L42" i="3"/>
  <c r="L48" i="3"/>
  <c r="L63" i="3"/>
  <c r="L65" i="3"/>
  <c r="L69" i="3"/>
  <c r="L71" i="3"/>
  <c r="L85" i="3"/>
  <c r="M42" i="6"/>
  <c r="M43" i="6" s="1"/>
  <c r="M40" i="3"/>
  <c r="M42" i="3"/>
  <c r="M48" i="3"/>
  <c r="M63" i="3"/>
  <c r="M65" i="3"/>
  <c r="M69" i="3"/>
  <c r="M71" i="3"/>
  <c r="M85" i="3"/>
  <c r="E166" i="5"/>
  <c r="H122" i="3"/>
  <c r="H139" i="3" s="1"/>
  <c r="J82" i="9"/>
  <c r="J83" i="9" s="1"/>
  <c r="K82" i="9"/>
  <c r="K83" i="9" s="1"/>
  <c r="L122" i="3"/>
  <c r="M122" i="3"/>
  <c r="M139" i="3" s="1"/>
  <c r="M15" i="6"/>
  <c r="M17" i="6" s="1"/>
  <c r="K15" i="6"/>
  <c r="K17" i="6" s="1"/>
  <c r="K9" i="3"/>
  <c r="J12" i="3"/>
  <c r="J9" i="3"/>
  <c r="J10" i="3"/>
  <c r="I12" i="3"/>
  <c r="I10" i="3"/>
  <c r="H12" i="3"/>
  <c r="H9" i="3"/>
  <c r="L172" i="5"/>
  <c r="L67" i="3" s="1"/>
  <c r="K172" i="5"/>
  <c r="K67" i="3" s="1"/>
  <c r="J172" i="5"/>
  <c r="J67" i="3" s="1"/>
  <c r="I172" i="5"/>
  <c r="I67" i="3" s="1"/>
  <c r="H172" i="5"/>
  <c r="H175" i="5" s="1"/>
  <c r="H187" i="5" s="1"/>
  <c r="M172" i="5"/>
  <c r="M67" i="3" s="1"/>
  <c r="I101" i="5"/>
  <c r="I103" i="5" s="1"/>
  <c r="J101" i="5"/>
  <c r="J103" i="5" s="1"/>
  <c r="K101" i="5"/>
  <c r="K103" i="5" s="1"/>
  <c r="L101" i="5"/>
  <c r="L103" i="5" s="1"/>
  <c r="M101" i="5"/>
  <c r="M103" i="5" s="1"/>
  <c r="H17" i="5"/>
  <c r="H20" i="5" s="1"/>
  <c r="I17" i="5"/>
  <c r="I20" i="5" s="1"/>
  <c r="J17" i="5"/>
  <c r="J20" i="5" s="1"/>
  <c r="AB20" i="5" s="1"/>
  <c r="K17" i="5"/>
  <c r="K20" i="5" s="1"/>
  <c r="K23" i="5" s="1"/>
  <c r="K26" i="5" s="1"/>
  <c r="L17" i="5"/>
  <c r="L20" i="5" s="1"/>
  <c r="L23" i="5" s="1"/>
  <c r="L26" i="5" s="1"/>
  <c r="M17" i="5"/>
  <c r="M20" i="5" s="1"/>
  <c r="M23" i="5" s="1"/>
  <c r="M26" i="5" s="1"/>
  <c r="I117" i="5"/>
  <c r="M113" i="3"/>
  <c r="M114" i="3" s="1"/>
  <c r="L113" i="3"/>
  <c r="L114" i="3" s="1"/>
  <c r="L117" i="5"/>
  <c r="K113" i="3"/>
  <c r="K114" i="3" s="1"/>
  <c r="J113" i="3"/>
  <c r="J114" i="3" s="1"/>
  <c r="H117" i="5"/>
  <c r="L32" i="3"/>
  <c r="I32" i="3"/>
  <c r="I33" i="7"/>
  <c r="H33" i="7"/>
  <c r="H63" i="3"/>
  <c r="H64" i="3" s="1"/>
  <c r="H65" i="3"/>
  <c r="H66" i="3" s="1"/>
  <c r="H44" i="6"/>
  <c r="H38" i="3" s="1"/>
  <c r="H39" i="3" s="1"/>
  <c r="H69" i="3"/>
  <c r="H48" i="3"/>
  <c r="H93" i="3"/>
  <c r="M32" i="3"/>
  <c r="K32" i="3"/>
  <c r="J32" i="3"/>
  <c r="H120" i="3"/>
  <c r="H10" i="9" s="1"/>
  <c r="H32" i="3"/>
  <c r="M91" i="5"/>
  <c r="M51" i="9" s="1"/>
  <c r="L91" i="5"/>
  <c r="L51" i="9" s="1"/>
  <c r="K91" i="5"/>
  <c r="K51" i="9" s="1"/>
  <c r="J91" i="5"/>
  <c r="J51" i="9" s="1"/>
  <c r="J50" i="9"/>
  <c r="I91" i="5"/>
  <c r="I51" i="9" s="1"/>
  <c r="H91" i="5"/>
  <c r="H51" i="9" s="1"/>
  <c r="H52" i="6"/>
  <c r="H49" i="3" s="1"/>
  <c r="E170" i="5"/>
  <c r="E168" i="5"/>
  <c r="H113" i="5"/>
  <c r="H71" i="5"/>
  <c r="M81" i="3"/>
  <c r="M135" i="3" s="1"/>
  <c r="L81" i="3"/>
  <c r="L135" i="3" s="1"/>
  <c r="K81" i="3"/>
  <c r="K135" i="3" s="1"/>
  <c r="M79" i="3"/>
  <c r="L79" i="3"/>
  <c r="K79" i="3"/>
  <c r="H42" i="3"/>
  <c r="I50" i="9"/>
  <c r="I111" i="3"/>
  <c r="I112" i="3" s="1"/>
  <c r="J105" i="3"/>
  <c r="K105" i="3"/>
  <c r="L105" i="3"/>
  <c r="M105" i="3"/>
  <c r="I105" i="3"/>
  <c r="M22" i="6"/>
  <c r="M41" i="6"/>
  <c r="G169" i="5"/>
  <c r="G161" i="5"/>
  <c r="M70" i="3"/>
  <c r="L70" i="3"/>
  <c r="K70" i="3"/>
  <c r="J70" i="3"/>
  <c r="I70" i="3"/>
  <c r="H70" i="3"/>
  <c r="M87" i="5"/>
  <c r="L87" i="5"/>
  <c r="K87" i="5"/>
  <c r="J87" i="5"/>
  <c r="I87" i="5"/>
  <c r="M134" i="5"/>
  <c r="L86" i="3"/>
  <c r="L133" i="3" s="1"/>
  <c r="K134" i="5"/>
  <c r="J86" i="3"/>
  <c r="J133" i="3" s="1"/>
  <c r="I86" i="3"/>
  <c r="I133" i="3" s="1"/>
  <c r="N86" i="3"/>
  <c r="N133" i="3" s="1"/>
  <c r="M72" i="5"/>
  <c r="L72" i="5"/>
  <c r="K72" i="5"/>
  <c r="J72" i="5"/>
  <c r="I72" i="5"/>
  <c r="I44" i="6"/>
  <c r="I38" i="3" s="1"/>
  <c r="M80" i="9"/>
  <c r="M81" i="9" s="1"/>
  <c r="L80" i="9"/>
  <c r="L81" i="9" s="1"/>
  <c r="K80" i="9"/>
  <c r="K81" i="9" s="1"/>
  <c r="M50" i="9"/>
  <c r="L50" i="9"/>
  <c r="K50" i="9"/>
  <c r="M72" i="3"/>
  <c r="N66" i="3"/>
  <c r="N64" i="3"/>
  <c r="L72" i="3"/>
  <c r="L66" i="3"/>
  <c r="L64" i="3"/>
  <c r="K72" i="3"/>
  <c r="K66" i="3"/>
  <c r="K64" i="3"/>
  <c r="M124" i="5"/>
  <c r="M119" i="5"/>
  <c r="M114" i="5"/>
  <c r="L124" i="5"/>
  <c r="L119" i="5"/>
  <c r="L114" i="5"/>
  <c r="K124" i="5"/>
  <c r="K119" i="5"/>
  <c r="K114" i="5"/>
  <c r="M54" i="5"/>
  <c r="G167" i="5"/>
  <c r="L54" i="5"/>
  <c r="G165" i="5"/>
  <c r="K54" i="5"/>
  <c r="M29" i="5"/>
  <c r="M92" i="5" s="1"/>
  <c r="L29" i="5"/>
  <c r="L92" i="5" s="1"/>
  <c r="K29" i="5"/>
  <c r="K92" i="5" s="1"/>
  <c r="L32" i="7"/>
  <c r="L33" i="7"/>
  <c r="L25" i="7"/>
  <c r="L26" i="7"/>
  <c r="L13" i="7"/>
  <c r="L14" i="7"/>
  <c r="K32" i="7"/>
  <c r="K33" i="7"/>
  <c r="K25" i="7"/>
  <c r="K13" i="7"/>
  <c r="K14" i="7"/>
  <c r="J32" i="7"/>
  <c r="J33" i="7"/>
  <c r="J25" i="7"/>
  <c r="J26" i="7"/>
  <c r="J13" i="7"/>
  <c r="M52" i="6"/>
  <c r="N49" i="3" s="1"/>
  <c r="M50" i="6"/>
  <c r="M41" i="3"/>
  <c r="L52" i="6"/>
  <c r="L49" i="3" s="1"/>
  <c r="L50" i="6"/>
  <c r="L41" i="6"/>
  <c r="K52" i="6"/>
  <c r="K49" i="3" s="1"/>
  <c r="K50" i="6"/>
  <c r="K41" i="3"/>
  <c r="K41" i="6"/>
  <c r="L22" i="6"/>
  <c r="K22" i="6"/>
  <c r="M121" i="3"/>
  <c r="M111" i="3"/>
  <c r="M112" i="3" s="1"/>
  <c r="L121" i="3"/>
  <c r="L111" i="3"/>
  <c r="L112" i="3" s="1"/>
  <c r="K121" i="3"/>
  <c r="K111" i="3"/>
  <c r="K112" i="3" s="1"/>
  <c r="M103" i="3"/>
  <c r="M96" i="3"/>
  <c r="L103" i="3"/>
  <c r="L96" i="3"/>
  <c r="K103" i="3"/>
  <c r="K96" i="3"/>
  <c r="H160" i="5"/>
  <c r="H173" i="5" s="1"/>
  <c r="H176" i="5" s="1"/>
  <c r="G32" i="7"/>
  <c r="J160" i="5"/>
  <c r="K160" i="5" s="1"/>
  <c r="I64" i="3"/>
  <c r="H121" i="3"/>
  <c r="H40" i="3"/>
  <c r="H50" i="6"/>
  <c r="H92" i="5"/>
  <c r="H86" i="3"/>
  <c r="H133" i="3" s="1"/>
  <c r="J81" i="3"/>
  <c r="J135" i="3" s="1"/>
  <c r="I81" i="3"/>
  <c r="I135" i="3" s="1"/>
  <c r="H85" i="3"/>
  <c r="H81" i="3"/>
  <c r="H135" i="3" s="1"/>
  <c r="I32" i="7"/>
  <c r="I25" i="7"/>
  <c r="I13" i="7"/>
  <c r="H32" i="7"/>
  <c r="H25" i="7"/>
  <c r="H13" i="7"/>
  <c r="G25" i="7"/>
  <c r="G13" i="7"/>
  <c r="H72" i="5"/>
  <c r="H89" i="5" s="1"/>
  <c r="H87" i="5"/>
  <c r="H54" i="5"/>
  <c r="I54" i="5"/>
  <c r="I115" i="5" s="1"/>
  <c r="J54" i="5"/>
  <c r="I26" i="7"/>
  <c r="I14" i="7"/>
  <c r="J66" i="3"/>
  <c r="J72" i="3"/>
  <c r="J22" i="6"/>
  <c r="J41" i="3"/>
  <c r="J50" i="6"/>
  <c r="J52" i="6"/>
  <c r="J49" i="3" s="1"/>
  <c r="H26" i="7"/>
  <c r="H14" i="7"/>
  <c r="I66" i="3"/>
  <c r="I72" i="3"/>
  <c r="I22" i="6"/>
  <c r="I41" i="6"/>
  <c r="I41" i="3"/>
  <c r="I50" i="6"/>
  <c r="I52" i="6"/>
  <c r="I49" i="3" s="1"/>
  <c r="G26" i="7"/>
  <c r="G14" i="7"/>
  <c r="H72" i="3"/>
  <c r="H22" i="6"/>
  <c r="H41" i="6"/>
  <c r="H41" i="3"/>
  <c r="H10" i="3"/>
  <c r="J80" i="9"/>
  <c r="J81" i="9" s="1"/>
  <c r="I80" i="9"/>
  <c r="I81" i="9" s="1"/>
  <c r="I79" i="9"/>
  <c r="J79" i="9" s="1"/>
  <c r="K79" i="9" s="1"/>
  <c r="L79" i="9" s="1"/>
  <c r="M79" i="9" s="1"/>
  <c r="I121" i="3"/>
  <c r="J121" i="3"/>
  <c r="H111" i="3"/>
  <c r="J111" i="3"/>
  <c r="J112" i="3" s="1"/>
  <c r="H96" i="3"/>
  <c r="H103" i="3"/>
  <c r="I96" i="3"/>
  <c r="I103" i="3"/>
  <c r="J96" i="3"/>
  <c r="J103" i="3"/>
  <c r="J114" i="5"/>
  <c r="I114" i="5"/>
  <c r="H101" i="5"/>
  <c r="H103" i="5" s="1"/>
  <c r="G163" i="5"/>
  <c r="H50" i="9"/>
  <c r="I7" i="9"/>
  <c r="J7" i="9" s="1"/>
  <c r="K7" i="9" s="1"/>
  <c r="L7" i="9" s="1"/>
  <c r="M7" i="9" s="1"/>
  <c r="N69" i="3"/>
  <c r="J124" i="5"/>
  <c r="I124" i="5"/>
  <c r="H124" i="5"/>
  <c r="J119" i="5"/>
  <c r="I119" i="5"/>
  <c r="H119" i="5"/>
  <c r="J79" i="3"/>
  <c r="I79" i="3"/>
  <c r="H79" i="3"/>
  <c r="N40" i="3"/>
  <c r="N42" i="3"/>
  <c r="N48" i="3"/>
  <c r="N63" i="3"/>
  <c r="N65" i="3"/>
  <c r="N85" i="3"/>
  <c r="N105" i="3"/>
  <c r="N32" i="3"/>
  <c r="N103" i="3"/>
  <c r="N112" i="3" s="1"/>
  <c r="N59" i="3"/>
  <c r="N122" i="3" s="1"/>
  <c r="N139" i="3" s="1"/>
  <c r="N81" i="3"/>
  <c r="N135" i="3" s="1"/>
  <c r="N56" i="3"/>
  <c r="N131" i="3" s="1"/>
  <c r="N138" i="3" s="1"/>
  <c r="N141" i="3" s="1"/>
  <c r="N55" i="3"/>
  <c r="N121" i="3"/>
  <c r="N114" i="3"/>
  <c r="N111" i="3"/>
  <c r="N96" i="3"/>
  <c r="N79" i="3"/>
  <c r="H43" i="6"/>
  <c r="G33" i="7"/>
  <c r="H80" i="9"/>
  <c r="H81" i="9" s="1"/>
  <c r="I43" i="6"/>
  <c r="L134" i="5"/>
  <c r="H9" i="9"/>
  <c r="Y20" i="5"/>
  <c r="J15" i="6"/>
  <c r="J17" i="6" s="1"/>
  <c r="M49" i="3"/>
  <c r="I134" i="5"/>
  <c r="J117" i="5"/>
  <c r="M64" i="3"/>
  <c r="K117" i="5"/>
  <c r="M82" i="9"/>
  <c r="M83" i="9" s="1"/>
  <c r="L82" i="9"/>
  <c r="L83" i="9" s="1"/>
  <c r="K122" i="3"/>
  <c r="K139" i="3" s="1"/>
  <c r="H82" i="9"/>
  <c r="H83" i="9" s="1"/>
  <c r="J122" i="3"/>
  <c r="J139" i="3" s="1"/>
  <c r="N9" i="3"/>
  <c r="L15" i="6"/>
  <c r="L17" i="6" s="1"/>
  <c r="I15" i="6"/>
  <c r="I17" i="6" s="1"/>
  <c r="H15" i="6"/>
  <c r="L41" i="3"/>
  <c r="M117" i="5"/>
  <c r="M9" i="3"/>
  <c r="I9" i="3"/>
  <c r="K10" i="3"/>
  <c r="N12" i="3"/>
  <c r="M12" i="3"/>
  <c r="K26" i="7"/>
  <c r="I82" i="9"/>
  <c r="I83" i="9" s="1"/>
  <c r="I122" i="3"/>
  <c r="J14" i="7"/>
  <c r="L139" i="3"/>
  <c r="L10" i="3"/>
  <c r="L9" i="3"/>
  <c r="L12" i="3"/>
  <c r="K175" i="5" l="1"/>
  <c r="K187" i="5" s="1"/>
  <c r="G45" i="7"/>
  <c r="G49" i="7" s="1"/>
  <c r="H56" i="3" s="1"/>
  <c r="H131" i="3" s="1"/>
  <c r="J45" i="7"/>
  <c r="M43" i="3"/>
  <c r="M55" i="6"/>
  <c r="N43" i="3"/>
  <c r="J55" i="6"/>
  <c r="L43" i="3"/>
  <c r="L55" i="6"/>
  <c r="J49" i="7"/>
  <c r="K56" i="3" s="1"/>
  <c r="K131" i="3" s="1"/>
  <c r="H11" i="3"/>
  <c r="H14" i="3" s="1"/>
  <c r="H34" i="3" s="1"/>
  <c r="H51" i="3" s="1"/>
  <c r="H17" i="6"/>
  <c r="H19" i="6" s="1"/>
  <c r="K43" i="3"/>
  <c r="K55" i="6"/>
  <c r="I43" i="3"/>
  <c r="I55" i="6"/>
  <c r="H43" i="3"/>
  <c r="H55" i="6"/>
  <c r="I175" i="5"/>
  <c r="I187" i="5" s="1"/>
  <c r="J175" i="5"/>
  <c r="J187" i="5" s="1"/>
  <c r="L175" i="5"/>
  <c r="L187" i="5" s="1"/>
  <c r="H126" i="3"/>
  <c r="H13" i="9" s="1"/>
  <c r="H11" i="9" s="1"/>
  <c r="H127" i="3"/>
  <c r="I120" i="3" s="1"/>
  <c r="I127" i="3" s="1"/>
  <c r="I139" i="3"/>
  <c r="K86" i="3"/>
  <c r="K133" i="3" s="1"/>
  <c r="H67" i="3"/>
  <c r="H68" i="3" s="1"/>
  <c r="H75" i="3" s="1"/>
  <c r="H132" i="3" s="1"/>
  <c r="H115" i="5"/>
  <c r="M115" i="5"/>
  <c r="J115" i="5"/>
  <c r="L115" i="5"/>
  <c r="K115" i="5"/>
  <c r="M86" i="3"/>
  <c r="M133" i="3" s="1"/>
  <c r="M175" i="5"/>
  <c r="N70" i="3" s="1"/>
  <c r="N67" i="3"/>
  <c r="N74" i="3" s="1"/>
  <c r="N83" i="3" s="1"/>
  <c r="H134" i="5"/>
  <c r="J19" i="6"/>
  <c r="K12" i="3"/>
  <c r="K15" i="3" s="1"/>
  <c r="K142" i="3" s="1"/>
  <c r="L45" i="7"/>
  <c r="I45" i="7"/>
  <c r="H45" i="7"/>
  <c r="I112" i="5"/>
  <c r="I121" i="5" s="1"/>
  <c r="S36" i="3"/>
  <c r="S32" i="3"/>
  <c r="H188" i="5"/>
  <c r="J134" i="5"/>
  <c r="H94" i="5"/>
  <c r="H130" i="5"/>
  <c r="H132" i="5" s="1"/>
  <c r="H54" i="9"/>
  <c r="AC20" i="5"/>
  <c r="I23" i="5"/>
  <c r="I26" i="5" s="1"/>
  <c r="AA20" i="5"/>
  <c r="J23" i="5"/>
  <c r="J26" i="5" s="1"/>
  <c r="I19" i="6"/>
  <c r="I56" i="6"/>
  <c r="J11" i="3"/>
  <c r="J14" i="3" s="1"/>
  <c r="J34" i="3" s="1"/>
  <c r="J51" i="3" s="1"/>
  <c r="I11" i="3"/>
  <c r="I14" i="3" s="1"/>
  <c r="I34" i="3" s="1"/>
  <c r="I51" i="3" s="1"/>
  <c r="L56" i="6"/>
  <c r="J74" i="3"/>
  <c r="J83" i="3" s="1"/>
  <c r="N15" i="3"/>
  <c r="N20" i="3" s="1"/>
  <c r="M44" i="6"/>
  <c r="M38" i="3" s="1"/>
  <c r="L52" i="9"/>
  <c r="I74" i="3"/>
  <c r="I83" i="3" s="1"/>
  <c r="H52" i="9"/>
  <c r="I15" i="3"/>
  <c r="I142" i="3" s="1"/>
  <c r="K45" i="7"/>
  <c r="H44" i="7"/>
  <c r="H48" i="7" s="1"/>
  <c r="I55" i="3" s="1"/>
  <c r="G44" i="7"/>
  <c r="L44" i="7"/>
  <c r="L48" i="7" s="1"/>
  <c r="M55" i="3" s="1"/>
  <c r="I44" i="7"/>
  <c r="I48" i="7" s="1"/>
  <c r="J55" i="3" s="1"/>
  <c r="J44" i="7"/>
  <c r="J48" i="7" s="1"/>
  <c r="K55" i="3" s="1"/>
  <c r="K44" i="7"/>
  <c r="K48" i="7" s="1"/>
  <c r="L55" i="3" s="1"/>
  <c r="K52" i="9"/>
  <c r="M45" i="6"/>
  <c r="N39" i="3" s="1"/>
  <c r="H15" i="3"/>
  <c r="H142" i="3" s="1"/>
  <c r="J52" i="9"/>
  <c r="J15" i="3"/>
  <c r="J142" i="3" s="1"/>
  <c r="M15" i="3"/>
  <c r="M142" i="3" s="1"/>
  <c r="L15" i="3"/>
  <c r="L142" i="3" s="1"/>
  <c r="I45" i="6"/>
  <c r="I39" i="3" s="1"/>
  <c r="M74" i="3"/>
  <c r="M83" i="3" s="1"/>
  <c r="L74" i="3"/>
  <c r="L83" i="3" s="1"/>
  <c r="J43" i="6"/>
  <c r="J45" i="6" s="1"/>
  <c r="H45" i="6"/>
  <c r="I52" i="9"/>
  <c r="M52" i="9"/>
  <c r="K74" i="3"/>
  <c r="K83" i="3" s="1"/>
  <c r="K43" i="6"/>
  <c r="K45" i="6" s="1"/>
  <c r="K39" i="3" s="1"/>
  <c r="K140" i="3" s="1"/>
  <c r="K54" i="9"/>
  <c r="K130" i="5"/>
  <c r="K132" i="5" s="1"/>
  <c r="K133" i="5" s="1"/>
  <c r="K85" i="5" s="1"/>
  <c r="N11" i="3"/>
  <c r="N14" i="3" s="1"/>
  <c r="N34" i="3" s="1"/>
  <c r="M11" i="3"/>
  <c r="M14" i="3" s="1"/>
  <c r="M34" i="3" s="1"/>
  <c r="M130" i="5"/>
  <c r="M132" i="5" s="1"/>
  <c r="M133" i="5" s="1"/>
  <c r="M85" i="5" s="1"/>
  <c r="M54" i="9"/>
  <c r="J56" i="6"/>
  <c r="H23" i="5"/>
  <c r="H26" i="5" s="1"/>
  <c r="Z20" i="5"/>
  <c r="J54" i="9"/>
  <c r="J130" i="5"/>
  <c r="J132" i="5" s="1"/>
  <c r="I130" i="5"/>
  <c r="I132" i="5" s="1"/>
  <c r="I133" i="5" s="1"/>
  <c r="I85" i="5" s="1"/>
  <c r="I54" i="9"/>
  <c r="K11" i="3"/>
  <c r="K14" i="3" s="1"/>
  <c r="K34" i="3" s="1"/>
  <c r="K56" i="6"/>
  <c r="H140" i="3"/>
  <c r="L19" i="6"/>
  <c r="L130" i="5"/>
  <c r="L132" i="5" s="1"/>
  <c r="L133" i="5" s="1"/>
  <c r="L85" i="5" s="1"/>
  <c r="L54" i="9"/>
  <c r="H112" i="3"/>
  <c r="T21" i="3"/>
  <c r="J43" i="3"/>
  <c r="H134" i="3"/>
  <c r="L160" i="5"/>
  <c r="M66" i="3"/>
  <c r="L43" i="6"/>
  <c r="L45" i="6" s="1"/>
  <c r="N41" i="3"/>
  <c r="L11" i="3"/>
  <c r="L14" i="3" s="1"/>
  <c r="L34" i="3" s="1"/>
  <c r="L51" i="3" s="1"/>
  <c r="H56" i="6" l="1"/>
  <c r="I140" i="3"/>
  <c r="G48" i="7"/>
  <c r="H55" i="3" s="1"/>
  <c r="H60" i="3" s="1"/>
  <c r="K49" i="7"/>
  <c r="L56" i="3" s="1"/>
  <c r="L131" i="3" s="1"/>
  <c r="I49" i="7"/>
  <c r="J56" i="3" s="1"/>
  <c r="J131" i="3" s="1"/>
  <c r="H49" i="7"/>
  <c r="I56" i="3" s="1"/>
  <c r="I131" i="3" s="1"/>
  <c r="L49" i="7"/>
  <c r="M56" i="3" s="1"/>
  <c r="M131" i="3" s="1"/>
  <c r="H133" i="5"/>
  <c r="H85" i="5" s="1"/>
  <c r="H53" i="9" s="1"/>
  <c r="H55" i="9" s="1"/>
  <c r="I10" i="9"/>
  <c r="I119" i="3"/>
  <c r="I126" i="3" s="1"/>
  <c r="I13" i="9" s="1"/>
  <c r="J120" i="3"/>
  <c r="J127" i="3" s="1"/>
  <c r="I14" i="9"/>
  <c r="H74" i="3"/>
  <c r="H83" i="3" s="1"/>
  <c r="H14" i="9"/>
  <c r="H12" i="9" s="1"/>
  <c r="H95" i="5"/>
  <c r="I70" i="5"/>
  <c r="I89" i="5" s="1"/>
  <c r="M187" i="5"/>
  <c r="I122" i="5"/>
  <c r="J113" i="5" s="1"/>
  <c r="J112" i="5"/>
  <c r="J121" i="5" s="1"/>
  <c r="J133" i="5"/>
  <c r="J85" i="5" s="1"/>
  <c r="J110" i="3" s="1"/>
  <c r="J134" i="3" s="1"/>
  <c r="H57" i="6"/>
  <c r="M57" i="6"/>
  <c r="N142" i="3"/>
  <c r="N143" i="3" s="1"/>
  <c r="N145" i="3" s="1"/>
  <c r="N33" i="3" s="1"/>
  <c r="N36" i="3" s="1"/>
  <c r="N52" i="3" s="1"/>
  <c r="N61" i="3" s="1"/>
  <c r="H36" i="3"/>
  <c r="H52" i="3" s="1"/>
  <c r="H61" i="3" s="1"/>
  <c r="N38" i="3"/>
  <c r="N51" i="3" s="1"/>
  <c r="N60" i="3" s="1"/>
  <c r="M51" i="3"/>
  <c r="M60" i="3" s="1"/>
  <c r="I57" i="6"/>
  <c r="K57" i="6"/>
  <c r="M39" i="3"/>
  <c r="M140" i="3" s="1"/>
  <c r="L39" i="3"/>
  <c r="L140" i="3" s="1"/>
  <c r="L57" i="6"/>
  <c r="J39" i="3"/>
  <c r="J140" i="3" s="1"/>
  <c r="J57" i="6"/>
  <c r="H46" i="9"/>
  <c r="H48" i="9" s="1"/>
  <c r="H84" i="3"/>
  <c r="K51" i="3"/>
  <c r="T36" i="3"/>
  <c r="T23" i="3"/>
  <c r="T25" i="3" s="1"/>
  <c r="T27" i="3" s="1"/>
  <c r="T29" i="3" s="1"/>
  <c r="I53" i="9"/>
  <c r="I55" i="9" s="1"/>
  <c r="I110" i="3"/>
  <c r="I134" i="3" s="1"/>
  <c r="L53" i="9"/>
  <c r="L55" i="9" s="1"/>
  <c r="L110" i="3"/>
  <c r="L134" i="3" s="1"/>
  <c r="K110" i="3"/>
  <c r="K134" i="3" s="1"/>
  <c r="K53" i="9"/>
  <c r="K55" i="9" s="1"/>
  <c r="M160" i="5"/>
  <c r="L46" i="9"/>
  <c r="L48" i="9" s="1"/>
  <c r="L60" i="3"/>
  <c r="L32" i="9"/>
  <c r="I60" i="3"/>
  <c r="I32" i="9"/>
  <c r="I46" i="9"/>
  <c r="I48" i="9" s="1"/>
  <c r="J60" i="3"/>
  <c r="J32" i="9"/>
  <c r="J46" i="9"/>
  <c r="J48" i="9" s="1"/>
  <c r="N110" i="3"/>
  <c r="N134" i="3" s="1"/>
  <c r="M110" i="3"/>
  <c r="M134" i="3" s="1"/>
  <c r="M53" i="9"/>
  <c r="M55" i="9" s="1"/>
  <c r="K19" i="6"/>
  <c r="N140" i="3"/>
  <c r="M56" i="6"/>
  <c r="M19" i="6"/>
  <c r="H90" i="5" l="1"/>
  <c r="I71" i="5"/>
  <c r="H73" i="5"/>
  <c r="H58" i="5" s="1"/>
  <c r="H51" i="5" s="1"/>
  <c r="I12" i="9"/>
  <c r="I9" i="9"/>
  <c r="I11" i="9" s="1"/>
  <c r="J10" i="9"/>
  <c r="J119" i="3"/>
  <c r="J9" i="9" s="1"/>
  <c r="H32" i="9"/>
  <c r="H76" i="3"/>
  <c r="H22" i="9" s="1"/>
  <c r="H98" i="3"/>
  <c r="H116" i="3" s="1"/>
  <c r="T32" i="3"/>
  <c r="J122" i="5"/>
  <c r="K113" i="5" s="1"/>
  <c r="K112" i="5"/>
  <c r="K121" i="5" s="1"/>
  <c r="J53" i="9"/>
  <c r="J55" i="9" s="1"/>
  <c r="I94" i="5"/>
  <c r="I95" i="5" s="1"/>
  <c r="H33" i="9"/>
  <c r="H34" i="9" s="1"/>
  <c r="N98" i="3"/>
  <c r="N99" i="3" s="1"/>
  <c r="N136" i="3" s="1"/>
  <c r="N87" i="3"/>
  <c r="M46" i="9"/>
  <c r="M48" i="9" s="1"/>
  <c r="N76" i="3"/>
  <c r="M32" i="9"/>
  <c r="H87" i="3"/>
  <c r="H28" i="9" s="1"/>
  <c r="H88" i="3"/>
  <c r="H29" i="9" s="1"/>
  <c r="H30" i="9" s="1"/>
  <c r="H77" i="3"/>
  <c r="H23" i="9" s="1"/>
  <c r="N88" i="3"/>
  <c r="I98" i="3"/>
  <c r="I89" i="3" s="1"/>
  <c r="I87" i="3"/>
  <c r="I28" i="9" s="1"/>
  <c r="I76" i="3"/>
  <c r="I22" i="9" s="1"/>
  <c r="J87" i="3"/>
  <c r="J28" i="9" s="1"/>
  <c r="J98" i="3"/>
  <c r="J76" i="3"/>
  <c r="J22" i="9" s="1"/>
  <c r="L87" i="3"/>
  <c r="L28" i="9" s="1"/>
  <c r="L98" i="3"/>
  <c r="L76" i="3"/>
  <c r="L22" i="9" s="1"/>
  <c r="K32" i="9"/>
  <c r="K60" i="3"/>
  <c r="K46" i="9"/>
  <c r="K48" i="9" s="1"/>
  <c r="K120" i="3"/>
  <c r="J14" i="9"/>
  <c r="M76" i="3"/>
  <c r="M22" i="9" s="1"/>
  <c r="M98" i="3"/>
  <c r="M87" i="3"/>
  <c r="M28" i="9" s="1"/>
  <c r="I90" i="5" l="1"/>
  <c r="I73" i="5" s="1"/>
  <c r="J71" i="5"/>
  <c r="L24" i="9"/>
  <c r="L25" i="9"/>
  <c r="M24" i="9"/>
  <c r="M25" i="9"/>
  <c r="I24" i="9"/>
  <c r="I25" i="9"/>
  <c r="J24" i="9"/>
  <c r="J25" i="9"/>
  <c r="H24" i="9"/>
  <c r="H25" i="9"/>
  <c r="H61" i="5"/>
  <c r="J12" i="9"/>
  <c r="J126" i="3"/>
  <c r="J13" i="9" s="1"/>
  <c r="J11" i="9" s="1"/>
  <c r="H89" i="3"/>
  <c r="J99" i="3"/>
  <c r="J89" i="3"/>
  <c r="L99" i="3"/>
  <c r="L89" i="3"/>
  <c r="M99" i="3"/>
  <c r="M89" i="3"/>
  <c r="J70" i="5"/>
  <c r="H99" i="3"/>
  <c r="H100" i="3" s="1"/>
  <c r="H117" i="3" s="1"/>
  <c r="K122" i="5"/>
  <c r="L113" i="5" s="1"/>
  <c r="L112" i="5"/>
  <c r="L121" i="5" s="1"/>
  <c r="H26" i="9"/>
  <c r="H27" i="9"/>
  <c r="I99" i="3"/>
  <c r="I90" i="3" s="1"/>
  <c r="K87" i="3"/>
  <c r="K28" i="9" s="1"/>
  <c r="K98" i="3"/>
  <c r="K76" i="3"/>
  <c r="K22" i="9" s="1"/>
  <c r="K127" i="3"/>
  <c r="K10" i="9"/>
  <c r="K24" i="9" l="1"/>
  <c r="K25" i="9"/>
  <c r="K119" i="3"/>
  <c r="K9" i="9" s="1"/>
  <c r="J136" i="3"/>
  <c r="J90" i="3"/>
  <c r="L136" i="3"/>
  <c r="L90" i="3"/>
  <c r="H90" i="3"/>
  <c r="K99" i="3"/>
  <c r="K89" i="3"/>
  <c r="M136" i="3"/>
  <c r="M90" i="3"/>
  <c r="J89" i="5"/>
  <c r="J94" i="5" s="1"/>
  <c r="I136" i="3"/>
  <c r="H15" i="9"/>
  <c r="I92" i="3"/>
  <c r="I116" i="3" s="1"/>
  <c r="H16" i="9"/>
  <c r="H136" i="3"/>
  <c r="L122" i="5"/>
  <c r="M113" i="5" s="1"/>
  <c r="M112" i="5"/>
  <c r="M121" i="5" s="1"/>
  <c r="M122" i="5" s="1"/>
  <c r="L120" i="3"/>
  <c r="K14" i="9"/>
  <c r="K12" i="9" s="1"/>
  <c r="K70" i="5" l="1"/>
  <c r="K89" i="5" s="1"/>
  <c r="K94" i="5" s="1"/>
  <c r="J95" i="5"/>
  <c r="K126" i="3"/>
  <c r="K13" i="9" s="1"/>
  <c r="K11" i="9" s="1"/>
  <c r="J92" i="3"/>
  <c r="J116" i="3" s="1"/>
  <c r="H137" i="3"/>
  <c r="H138" i="3" s="1"/>
  <c r="H141" i="3" s="1"/>
  <c r="H143" i="3" s="1"/>
  <c r="H145" i="3" s="1"/>
  <c r="K136" i="3"/>
  <c r="K90" i="3"/>
  <c r="H17" i="9"/>
  <c r="H18" i="9" s="1"/>
  <c r="L10" i="9"/>
  <c r="L127" i="3"/>
  <c r="J90" i="5" l="1"/>
  <c r="J73" i="5" s="1"/>
  <c r="K71" i="5"/>
  <c r="I15" i="9"/>
  <c r="L119" i="3"/>
  <c r="L9" i="9" s="1"/>
  <c r="I16" i="9"/>
  <c r="K92" i="3"/>
  <c r="J16" i="9"/>
  <c r="K95" i="5"/>
  <c r="L70" i="5"/>
  <c r="L89" i="5" s="1"/>
  <c r="J15" i="9"/>
  <c r="I93" i="3"/>
  <c r="L14" i="9"/>
  <c r="L12" i="9" s="1"/>
  <c r="M120" i="3"/>
  <c r="K90" i="5" l="1"/>
  <c r="K73" i="5" s="1"/>
  <c r="L71" i="5"/>
  <c r="I100" i="3"/>
  <c r="I117" i="3" s="1"/>
  <c r="K116" i="3"/>
  <c r="K15" i="9" s="1"/>
  <c r="L126" i="3"/>
  <c r="M119" i="3" s="1"/>
  <c r="L94" i="5"/>
  <c r="M10" i="9"/>
  <c r="M127" i="3"/>
  <c r="K16" i="9" l="1"/>
  <c r="L92" i="3"/>
  <c r="L116" i="3" s="1"/>
  <c r="L15" i="9" s="1"/>
  <c r="L13" i="9"/>
  <c r="L11" i="9" s="1"/>
  <c r="I137" i="3"/>
  <c r="M126" i="3"/>
  <c r="M9" i="9"/>
  <c r="L95" i="5"/>
  <c r="M70" i="5"/>
  <c r="M89" i="5" s="1"/>
  <c r="J93" i="3"/>
  <c r="J100" i="3" s="1"/>
  <c r="M14" i="9"/>
  <c r="M12" i="9" s="1"/>
  <c r="N120" i="3"/>
  <c r="N127" i="3" s="1"/>
  <c r="L90" i="5" l="1"/>
  <c r="L73" i="5" s="1"/>
  <c r="M71" i="5"/>
  <c r="L16" i="9"/>
  <c r="M92" i="3"/>
  <c r="J117" i="3"/>
  <c r="N119" i="3"/>
  <c r="N126" i="3" s="1"/>
  <c r="M13" i="9"/>
  <c r="M11" i="9" s="1"/>
  <c r="I17" i="9"/>
  <c r="I18" i="9" s="1"/>
  <c r="L58" i="5"/>
  <c r="M94" i="5"/>
  <c r="M95" i="5" s="1"/>
  <c r="M90" i="5" s="1"/>
  <c r="M73" i="5" s="1"/>
  <c r="M116" i="3" l="1"/>
  <c r="N92" i="3" s="1"/>
  <c r="N116" i="3" s="1"/>
  <c r="J137" i="3"/>
  <c r="L61" i="5"/>
  <c r="G168" i="5" s="1"/>
  <c r="M168" i="5" s="1"/>
  <c r="L51" i="5"/>
  <c r="K93" i="3"/>
  <c r="K100" i="3" s="1"/>
  <c r="J17" i="9"/>
  <c r="J18" i="9" s="1"/>
  <c r="M58" i="5"/>
  <c r="M16" i="9" l="1"/>
  <c r="M15" i="9"/>
  <c r="K117" i="3"/>
  <c r="M61" i="5"/>
  <c r="G170" i="5" s="1"/>
  <c r="M170" i="5" s="1"/>
  <c r="M51" i="5"/>
  <c r="L168" i="5"/>
  <c r="L93" i="3" l="1"/>
  <c r="L100" i="3" s="1"/>
  <c r="K17" i="9"/>
  <c r="K18" i="9" s="1"/>
  <c r="K137" i="3"/>
  <c r="L117" i="3" l="1"/>
  <c r="L17" i="9" s="1"/>
  <c r="L18" i="9" s="1"/>
  <c r="L137" i="3"/>
  <c r="M93" i="3" l="1"/>
  <c r="M100" i="3" s="1"/>
  <c r="M137" i="3" l="1"/>
  <c r="M117" i="3" l="1"/>
  <c r="M17" i="9" s="1"/>
  <c r="M18" i="9" s="1"/>
  <c r="N93" i="3" l="1"/>
  <c r="N117" i="3" s="1"/>
  <c r="K58" i="5"/>
  <c r="K51" i="5" l="1"/>
  <c r="K61" i="5"/>
  <c r="G166" i="5" s="1"/>
  <c r="L166" i="5" l="1"/>
  <c r="M166" i="5" s="1"/>
  <c r="K166" i="5"/>
  <c r="I58" i="5"/>
  <c r="J58" i="5"/>
  <c r="I61" i="5" l="1"/>
  <c r="G162" i="5" s="1"/>
  <c r="I51" i="5"/>
  <c r="J51" i="5"/>
  <c r="J61" i="5"/>
  <c r="G164" i="5" s="1"/>
  <c r="I162" i="5" l="1"/>
  <c r="I173" i="5" s="1"/>
  <c r="J162" i="5"/>
  <c r="K162" i="5" s="1"/>
  <c r="L162" i="5" s="1"/>
  <c r="M162" i="5" s="1"/>
  <c r="K164" i="5"/>
  <c r="J164" i="5"/>
  <c r="I68" i="3" l="1"/>
  <c r="I75" i="3" s="1"/>
  <c r="I176" i="5"/>
  <c r="I188" i="5" s="1"/>
  <c r="J173" i="5"/>
  <c r="J176" i="5" s="1"/>
  <c r="J188" i="5" s="1"/>
  <c r="L164" i="5"/>
  <c r="K173" i="5"/>
  <c r="J68" i="3" l="1"/>
  <c r="J75" i="3" s="1"/>
  <c r="J132" i="3" s="1"/>
  <c r="J138" i="3" s="1"/>
  <c r="J141" i="3" s="1"/>
  <c r="J143" i="3" s="1"/>
  <c r="J145" i="3" s="1"/>
  <c r="J33" i="3" s="1"/>
  <c r="I132" i="3"/>
  <c r="I138" i="3" s="1"/>
  <c r="I141" i="3" s="1"/>
  <c r="I143" i="3" s="1"/>
  <c r="I145" i="3" s="1"/>
  <c r="I33" i="3" s="1"/>
  <c r="I84" i="3"/>
  <c r="K176" i="5"/>
  <c r="K188" i="5" s="1"/>
  <c r="K68" i="3"/>
  <c r="K75" i="3" s="1"/>
  <c r="M164" i="5"/>
  <c r="M173" i="5" s="1"/>
  <c r="L173" i="5"/>
  <c r="D22" i="3" l="1"/>
  <c r="I36" i="3"/>
  <c r="I52" i="3" s="1"/>
  <c r="J84" i="3"/>
  <c r="J36" i="3"/>
  <c r="L176" i="5"/>
  <c r="L188" i="5" s="1"/>
  <c r="L68" i="3"/>
  <c r="L75" i="3" s="1"/>
  <c r="M68" i="3"/>
  <c r="M75" i="3" s="1"/>
  <c r="M176" i="5"/>
  <c r="M188" i="5" s="1"/>
  <c r="N68" i="3"/>
  <c r="N75" i="3" s="1"/>
  <c r="K132" i="3"/>
  <c r="K138" i="3" s="1"/>
  <c r="K141" i="3" s="1"/>
  <c r="K143" i="3" s="1"/>
  <c r="K145" i="3" s="1"/>
  <c r="K33" i="3" s="1"/>
  <c r="K84" i="3"/>
  <c r="I33" i="9" l="1"/>
  <c r="I34" i="9" s="1"/>
  <c r="I61" i="3"/>
  <c r="N22" i="3"/>
  <c r="J22" i="3"/>
  <c r="D24" i="3" s="1"/>
  <c r="S24" i="3" s="1"/>
  <c r="L22" i="3"/>
  <c r="I22" i="3"/>
  <c r="K22" i="3"/>
  <c r="S22" i="3"/>
  <c r="U22" i="3" s="1"/>
  <c r="M22" i="3"/>
  <c r="M132" i="3"/>
  <c r="M138" i="3" s="1"/>
  <c r="M141" i="3" s="1"/>
  <c r="M143" i="3" s="1"/>
  <c r="M145" i="3" s="1"/>
  <c r="M33" i="3" s="1"/>
  <c r="M84" i="3"/>
  <c r="N77" i="3"/>
  <c r="N132" i="3"/>
  <c r="N84" i="3"/>
  <c r="K36" i="3"/>
  <c r="K52" i="3" s="1"/>
  <c r="L84" i="3"/>
  <c r="L132" i="3"/>
  <c r="L138" i="3" s="1"/>
  <c r="L141" i="3" s="1"/>
  <c r="L143" i="3" s="1"/>
  <c r="L145" i="3" s="1"/>
  <c r="L33" i="3" s="1"/>
  <c r="J52" i="3"/>
  <c r="M24" i="3" l="1"/>
  <c r="K24" i="3"/>
  <c r="D26" i="3" s="1"/>
  <c r="S26" i="3" s="1"/>
  <c r="L24" i="3"/>
  <c r="I77" i="3"/>
  <c r="I23" i="9" s="1"/>
  <c r="I88" i="3"/>
  <c r="I29" i="9" s="1"/>
  <c r="I30" i="9" s="1"/>
  <c r="N24" i="3"/>
  <c r="J24" i="3"/>
  <c r="J33" i="9"/>
  <c r="J34" i="9" s="1"/>
  <c r="J61" i="3"/>
  <c r="L36" i="3"/>
  <c r="S37" i="3"/>
  <c r="U24" i="3"/>
  <c r="K33" i="9"/>
  <c r="K34" i="9" s="1"/>
  <c r="K61" i="3"/>
  <c r="M36" i="3"/>
  <c r="M52" i="3" s="1"/>
  <c r="L26" i="3" l="1"/>
  <c r="D28" i="3" s="1"/>
  <c r="S28" i="3" s="1"/>
  <c r="U26" i="3"/>
  <c r="K26" i="3"/>
  <c r="M26" i="3"/>
  <c r="I26" i="9"/>
  <c r="I27" i="9"/>
  <c r="M61" i="3"/>
  <c r="M33" i="9"/>
  <c r="M34" i="9" s="1"/>
  <c r="S38" i="3"/>
  <c r="T38" i="3" s="1"/>
  <c r="U38" i="3"/>
  <c r="J88" i="3"/>
  <c r="J29" i="9" s="1"/>
  <c r="J30" i="9" s="1"/>
  <c r="J77" i="3"/>
  <c r="J23" i="9" s="1"/>
  <c r="K88" i="3"/>
  <c r="K29" i="9" s="1"/>
  <c r="K30" i="9" s="1"/>
  <c r="K77" i="3"/>
  <c r="K23" i="9" s="1"/>
  <c r="L52" i="3"/>
  <c r="T37" i="3"/>
  <c r="M28" i="3" l="1"/>
  <c r="D30" i="3" s="1"/>
  <c r="S30" i="3" s="1"/>
  <c r="S33" i="3" s="1"/>
  <c r="L28" i="3"/>
  <c r="L33" i="9"/>
  <c r="L34" i="9" s="1"/>
  <c r="L61" i="3"/>
  <c r="M77" i="3"/>
  <c r="M23" i="9" s="1"/>
  <c r="M88" i="3"/>
  <c r="M29" i="9" s="1"/>
  <c r="M30" i="9" s="1"/>
  <c r="J27" i="9"/>
  <c r="J26" i="9"/>
  <c r="K27" i="9"/>
  <c r="K26" i="9"/>
  <c r="U28" i="3"/>
  <c r="U30" i="3" l="1"/>
  <c r="U33" i="3" s="1"/>
  <c r="U34" i="3" s="1"/>
  <c r="M30" i="3"/>
  <c r="M26" i="9"/>
  <c r="M27" i="9"/>
  <c r="L77" i="3"/>
  <c r="L23" i="9" s="1"/>
  <c r="L88" i="3"/>
  <c r="L29" i="9" s="1"/>
  <c r="L30" i="9" s="1"/>
  <c r="L26" i="9" l="1"/>
  <c r="L27" i="9"/>
</calcChain>
</file>

<file path=xl/sharedStrings.xml><?xml version="1.0" encoding="utf-8"?>
<sst xmlns="http://schemas.openxmlformats.org/spreadsheetml/2006/main" count="939" uniqueCount="494">
  <si>
    <t>Description</t>
  </si>
  <si>
    <t>TABLE C-2</t>
  </si>
  <si>
    <t>TABLE C-3: PROJECTED RECEIPTS UNDER EXISTING RATES</t>
  </si>
  <si>
    <t>TABLE C-7: PROJECTED CAPITAL IMPROVEMENT PROGRAM</t>
  </si>
  <si>
    <t>TABLE C-9: SUMMARY OF EXISTING AND PROPOSED DEBT SERVICE</t>
  </si>
  <si>
    <t>(in thousands of dollars)</t>
  </si>
  <si>
    <t>Line</t>
  </si>
  <si>
    <t>No.</t>
  </si>
  <si>
    <t>OPERATING REVENUE</t>
  </si>
  <si>
    <t>Water Service - Existing Rates</t>
  </si>
  <si>
    <t>Wastewater Service - Existing Rates</t>
  </si>
  <si>
    <t>Total Service Revenue - Existing Rates</t>
  </si>
  <si>
    <t>Months</t>
  </si>
  <si>
    <t>Year</t>
  </si>
  <si>
    <t>Increase</t>
  </si>
  <si>
    <t>Effective</t>
  </si>
  <si>
    <t>Total Additional Service Revenue Required</t>
  </si>
  <si>
    <t>Total Water &amp; Wastewater Service Revenue</t>
  </si>
  <si>
    <t>Other Operating Revenue</t>
  </si>
  <si>
    <t>Operating Fund Interest Income</t>
  </si>
  <si>
    <t>Rate Stabilization Interest Income</t>
  </si>
  <si>
    <t>Total Revenues</t>
  </si>
  <si>
    <t>OPERATING EXPENSES</t>
  </si>
  <si>
    <t>Total Operating Expenses</t>
  </si>
  <si>
    <t>NET REVENUES</t>
  </si>
  <si>
    <t>Transfer From/(To) Rate Stabilization Fund</t>
  </si>
  <si>
    <t>NET REVENUES AFTER OPERATIONS</t>
  </si>
  <si>
    <t>DEBT SERVICE</t>
  </si>
  <si>
    <t>Outstanding Bonds</t>
  </si>
  <si>
    <t>Projected Future Bonds</t>
  </si>
  <si>
    <t>Total Senior Debt Service</t>
  </si>
  <si>
    <t>Subordinate Debt Service</t>
  </si>
  <si>
    <t>Transfer to Escrow</t>
  </si>
  <si>
    <t>Total Debt Service on Bonds</t>
  </si>
  <si>
    <t>CAPITAL ACCOUNT DEPOSIT</t>
  </si>
  <si>
    <t>RESIDUAL FUND</t>
  </si>
  <si>
    <t>Beginning of Year Balance</t>
  </si>
  <si>
    <t>Interest Income</t>
  </si>
  <si>
    <t>Plus:</t>
  </si>
  <si>
    <t>End of Year Revenue Fund Balance</t>
  </si>
  <si>
    <t>Less:</t>
  </si>
  <si>
    <t>Transfer to Construction Fund</t>
  </si>
  <si>
    <t>Transfer to City General Fund</t>
  </si>
  <si>
    <t>End of Year Balance</t>
  </si>
  <si>
    <t>RATE STABILIZATION FUND</t>
  </si>
  <si>
    <t>Deposit From/(To) Revenue Fund</t>
  </si>
  <si>
    <t>COMBINED UTILITY:  PROJECTED RATE STABILIZATION FUND</t>
  </si>
  <si>
    <t>Beginning Balance: Rate Stabilization Fund (a)</t>
  </si>
  <si>
    <t>Year-End Rate Stabilization Fund Balance  (Line 1 + Line 2)</t>
  </si>
  <si>
    <t>1989 General Bond Ordinance Covenants</t>
  </si>
  <si>
    <t>Insurance Covenants</t>
  </si>
  <si>
    <t>Cash Funding</t>
  </si>
  <si>
    <t>Water Sales Receipts</t>
  </si>
  <si>
    <t>Wastewater Sales Receipts</t>
  </si>
  <si>
    <t>Sanitary Sewer</t>
  </si>
  <si>
    <t>Stormwater</t>
  </si>
  <si>
    <t xml:space="preserve">  Subtotal Wastewater Service Receipts</t>
  </si>
  <si>
    <t>Total Water &amp; Wastewater Receipts</t>
  </si>
  <si>
    <t>Other Income</t>
  </si>
  <si>
    <t>Penalties</t>
  </si>
  <si>
    <t>Miscellaneous City Revenue</t>
  </si>
  <si>
    <t xml:space="preserve">Other </t>
  </si>
  <si>
    <t>State &amp; Federal Grants</t>
  </si>
  <si>
    <t>Permits Issued by L&amp;I</t>
  </si>
  <si>
    <t>Miscellaneous (Procurement)</t>
  </si>
  <si>
    <t>City &amp; UESF Grants</t>
  </si>
  <si>
    <t>Affordability Program Discount Cost (a)</t>
  </si>
  <si>
    <t>Other Operating Revenues</t>
  </si>
  <si>
    <t xml:space="preserve">  Operating Fund</t>
  </si>
  <si>
    <t xml:space="preserve">  Rate Stabilization Fund</t>
  </si>
  <si>
    <t xml:space="preserve">  Total Receipts</t>
  </si>
  <si>
    <t xml:space="preserve">(a) Affordability Program Discounts represent anticipated lost revenue due to the Tiered Assistance Program (TAP). </t>
  </si>
  <si>
    <t>(c) Excludes deposit into Residual Fund for Transfer to City General Fund.</t>
  </si>
  <si>
    <t>Water and Wastewater Operations</t>
  </si>
  <si>
    <t>Personal Services</t>
  </si>
  <si>
    <t>Pension and Benefits</t>
  </si>
  <si>
    <t xml:space="preserve">    Subtotal</t>
  </si>
  <si>
    <t>Purchase of Services</t>
  </si>
  <si>
    <t>Power</t>
  </si>
  <si>
    <t>Gas</t>
  </si>
  <si>
    <t>SMIP/GARP</t>
  </si>
  <si>
    <t>Materials and Supplies</t>
  </si>
  <si>
    <t>Chemicals</t>
  </si>
  <si>
    <t>Other</t>
  </si>
  <si>
    <t>Equipment</t>
  </si>
  <si>
    <t>Indemnities and Transfers</t>
  </si>
  <si>
    <t>Subtotal Expenses</t>
  </si>
  <si>
    <t>Liquidated Encumbrances</t>
  </si>
  <si>
    <t>Total Expenses</t>
  </si>
  <si>
    <t>Engineering and Administration (a)</t>
  </si>
  <si>
    <t>Plant Improvements</t>
  </si>
  <si>
    <t>Distribution System Rehabilitation</t>
  </si>
  <si>
    <t>Large Meter Replacement</t>
  </si>
  <si>
    <t>Storm Flood Relief</t>
  </si>
  <si>
    <t>Reconstruction of Sewers</t>
  </si>
  <si>
    <t>Green Infrastructure</t>
  </si>
  <si>
    <t>Vehicles</t>
  </si>
  <si>
    <t xml:space="preserve">  Total Improvements</t>
  </si>
  <si>
    <t>Inflation Adjustment (b)</t>
  </si>
  <si>
    <t>Inflated Total</t>
  </si>
  <si>
    <t>Net Cash Financing Required</t>
  </si>
  <si>
    <t>Disposition of Bond Proceeds</t>
  </si>
  <si>
    <t xml:space="preserve">  Proceeds From Sale of Bonds</t>
  </si>
  <si>
    <t xml:space="preserve">  Transfers:</t>
  </si>
  <si>
    <t>Cost of Bond Issuance (b)</t>
  </si>
  <si>
    <t>Construction Fund (c)</t>
  </si>
  <si>
    <t xml:space="preserve">      Total Issue</t>
  </si>
  <si>
    <t>Construction Fund</t>
  </si>
  <si>
    <t xml:space="preserve">  Beginning Balance</t>
  </si>
  <si>
    <t xml:space="preserve">  Transfer From Bond Proceeds</t>
  </si>
  <si>
    <t xml:space="preserve">  Capital Account Deposit</t>
  </si>
  <si>
    <t xml:space="preserve">  Penn Vest Loan</t>
  </si>
  <si>
    <t xml:space="preserve">  Interest Income on Construction Fund</t>
  </si>
  <si>
    <t xml:space="preserve">    Total Available</t>
  </si>
  <si>
    <t>Ending Balance</t>
  </si>
  <si>
    <t xml:space="preserve">Revenue Bonds </t>
  </si>
  <si>
    <t>Existing (a)</t>
  </si>
  <si>
    <t>Proposed</t>
  </si>
  <si>
    <t>Total Proposed</t>
  </si>
  <si>
    <t>Total Revenue Bonds</t>
  </si>
  <si>
    <t>1a</t>
  </si>
  <si>
    <t>2a</t>
  </si>
  <si>
    <t>3a</t>
  </si>
  <si>
    <t>4a</t>
  </si>
  <si>
    <t>5a</t>
  </si>
  <si>
    <t>19a</t>
  </si>
  <si>
    <t>20a</t>
  </si>
  <si>
    <t>21a</t>
  </si>
  <si>
    <t>22a</t>
  </si>
  <si>
    <t>18a</t>
  </si>
  <si>
    <t>16a</t>
  </si>
  <si>
    <t>15a</t>
  </si>
  <si>
    <t>36a</t>
  </si>
  <si>
    <t>23a</t>
  </si>
  <si>
    <t>25a</t>
  </si>
  <si>
    <t>14a</t>
  </si>
  <si>
    <t>End- of year Balance in the Residual Fund</t>
  </si>
  <si>
    <t>Combined End- of year Balance</t>
  </si>
  <si>
    <t>User Input</t>
  </si>
  <si>
    <t>6a</t>
  </si>
  <si>
    <t>7a</t>
  </si>
  <si>
    <t>8a</t>
  </si>
  <si>
    <t>9a</t>
  </si>
  <si>
    <t>10a</t>
  </si>
  <si>
    <t>11a</t>
  </si>
  <si>
    <t>12a</t>
  </si>
  <si>
    <t>13a</t>
  </si>
  <si>
    <t>17a</t>
  </si>
  <si>
    <t>24a</t>
  </si>
  <si>
    <t>26a</t>
  </si>
  <si>
    <t>27a</t>
  </si>
  <si>
    <t>30a</t>
  </si>
  <si>
    <t>29a</t>
  </si>
  <si>
    <t>31a</t>
  </si>
  <si>
    <t>32a</t>
  </si>
  <si>
    <t>33a</t>
  </si>
  <si>
    <t>34a</t>
  </si>
  <si>
    <t>35a</t>
  </si>
  <si>
    <t>38a</t>
  </si>
  <si>
    <t>37a</t>
  </si>
  <si>
    <t>39a</t>
  </si>
  <si>
    <t>28a</t>
  </si>
  <si>
    <t xml:space="preserve">       Total Issue</t>
  </si>
  <si>
    <t>Calc %</t>
  </si>
  <si>
    <t>Net Additional Service Revenue Required</t>
  </si>
  <si>
    <t>User Calculated</t>
  </si>
  <si>
    <t>Lines 3+8+11+12+13</t>
  </si>
  <si>
    <t>Lines 14+15</t>
  </si>
  <si>
    <t>Lines 14a+15a</t>
  </si>
  <si>
    <t>Lines 9+10</t>
  </si>
  <si>
    <t>Lines 9a+10a</t>
  </si>
  <si>
    <t>Lines 4+5+6+7</t>
  </si>
  <si>
    <t>Lines 1+2</t>
  </si>
  <si>
    <t>Lines 1a+2a</t>
  </si>
  <si>
    <t>Cash Funded Capital Ratio (j)</t>
  </si>
  <si>
    <t>Cash Funded Required</t>
  </si>
  <si>
    <t>A</t>
  </si>
  <si>
    <t>B</t>
  </si>
  <si>
    <t>C</t>
  </si>
  <si>
    <t>D</t>
  </si>
  <si>
    <t>E</t>
  </si>
  <si>
    <t>Capital Account Deposit Calculation - User</t>
  </si>
  <si>
    <t>From O&amp;M Expense, User</t>
  </si>
  <si>
    <t>Subtotal</t>
  </si>
  <si>
    <t>Other Op Revenue, DSRF + Operating + RSF Interest</t>
  </si>
  <si>
    <t>Net Revenue Needs</t>
  </si>
  <si>
    <t>Source</t>
  </si>
  <si>
    <t>From PWD</t>
  </si>
  <si>
    <t>Equals prior line</t>
  </si>
  <si>
    <t>5b</t>
  </si>
  <si>
    <t>Net Change in Total Water &amp; Wastewater Receipts</t>
  </si>
  <si>
    <t>Equals A times B</t>
  </si>
  <si>
    <t>RED FIGURES</t>
  </si>
  <si>
    <t>Lines 2+3</t>
  </si>
  <si>
    <t>Lines 2a+3a</t>
  </si>
  <si>
    <t>Lines 1+4</t>
  </si>
  <si>
    <t>Lines 1a+4a</t>
  </si>
  <si>
    <t>Lines 6 thru 14</t>
  </si>
  <si>
    <t>Lines 6a thru 14a</t>
  </si>
  <si>
    <t>Lines 5+15+19</t>
  </si>
  <si>
    <t>Lines 5a+15a+19a</t>
  </si>
  <si>
    <t>User Calculated Below</t>
  </si>
  <si>
    <t>From O&amp;M Expense, PWD</t>
  </si>
  <si>
    <t>Opening from PWD, then prior yr end</t>
  </si>
  <si>
    <t>Calculation of Additional Service Revenue Required:</t>
  </si>
  <si>
    <t>6b</t>
  </si>
  <si>
    <t>7b</t>
  </si>
  <si>
    <t>8b</t>
  </si>
  <si>
    <t>Interest Rate</t>
  </si>
  <si>
    <t>FY 2025</t>
  </si>
  <si>
    <t>TABLE C-8: PROJECTED FLOW OF FUNDS - CONSTRUCTION FUND &amp; DEBT RESERVE ACCOUNT</t>
  </si>
  <si>
    <t>Bond Size</t>
  </si>
  <si>
    <t>Change in Residual Fund</t>
  </si>
  <si>
    <t>Line No.</t>
  </si>
  <si>
    <t>Notes</t>
  </si>
  <si>
    <t xml:space="preserve">AND PERFORMANCE VS COVENANTS </t>
  </si>
  <si>
    <t>(All amounts in thousands of dollars except for coverages and percentages)</t>
  </si>
  <si>
    <t>Rollforward Adjustments</t>
  </si>
  <si>
    <t>Total Inflated Adjusted CIP Budget</t>
  </si>
  <si>
    <t>Contingency Adjustment</t>
  </si>
  <si>
    <t>Annual Encumbrances</t>
  </si>
  <si>
    <t>Allowance Commitments Prior to Bond Issue</t>
  </si>
  <si>
    <t>Target Balance</t>
  </si>
  <si>
    <t>Commercial Paper</t>
  </si>
  <si>
    <t xml:space="preserve">Fiscal Year 2026 (c) </t>
  </si>
  <si>
    <t>Project Expenses (c)</t>
  </si>
  <si>
    <t>Adjustment to Project Expenses</t>
  </si>
  <si>
    <t>Adjusted Project Expenses</t>
  </si>
  <si>
    <t>Senior Debt Coverage (c)</t>
  </si>
  <si>
    <t>Total Debt Coverage  (d)</t>
  </si>
  <si>
    <t>Senior Debt Coverage from Current Revenues (e)</t>
  </si>
  <si>
    <t>Cash Funded Capital (i)</t>
  </si>
  <si>
    <t>O&amp;M Actual to Budget Ratio</t>
  </si>
  <si>
    <t>(e) Senior Debt Coverage from Current Revenues  = (Total Revenues ‐ Operating Expenses ‐ Transfer to Rate Stabilization Fund) divided by Senior Debt. Transfers from Rate Stabilization are excluded from the Total Revenues. The General Bond Ordinance requires a minimum Senior Debt Service Coverage of 0.90 from Current Revenues.</t>
  </si>
  <si>
    <t xml:space="preserve">(h) Rate Ordinance requires that Total Revenues not exceed Total Appropriations.  </t>
  </si>
  <si>
    <t>(i) Cash Funded Capital = Capital Account Deposit + Residual Transfer to Construction Fund</t>
  </si>
  <si>
    <t>Rate Ordinance Requirements</t>
  </si>
  <si>
    <t>Projected O&amp;M Budget (f)</t>
  </si>
  <si>
    <t>Projected Total Appropriations (g)</t>
  </si>
  <si>
    <t>Projected Total Revenues (g)</t>
  </si>
  <si>
    <t>(a) Reflects shift in capital related salary costs from capital to operating budget.</t>
  </si>
  <si>
    <t>(c) Reflects annual drawdown of capital budget appropriations based on project durations and annual encumbrances.</t>
  </si>
  <si>
    <t>Total Water &amp; Wastewater Service Revenue (a)</t>
  </si>
  <si>
    <t>40a</t>
  </si>
  <si>
    <t>41a</t>
  </si>
  <si>
    <t>Deposit for Transfer to City General Fund (b)</t>
  </si>
  <si>
    <t>Beginning of Year Balance (c)</t>
  </si>
  <si>
    <t>Equals line 13a</t>
  </si>
  <si>
    <t>TABLE C-6: PROJECTED OPERATION AND MAINTENANCE EXPENSE</t>
  </si>
  <si>
    <t>Line 5a - line 5</t>
  </si>
  <si>
    <t>Line 16+17+18</t>
  </si>
  <si>
    <t>Equals line 2</t>
  </si>
  <si>
    <t>Equals line 2a</t>
  </si>
  <si>
    <t>Placeholder, not used</t>
  </si>
  <si>
    <t>Opening Balance from PWD, then prior year ending</t>
  </si>
  <si>
    <t>From PWD, placeholder not used</t>
  </si>
  <si>
    <t>Other Income (a)</t>
  </si>
  <si>
    <r>
      <t xml:space="preserve">Transfers </t>
    </r>
    <r>
      <rPr>
        <b/>
        <sz val="11"/>
        <rFont val="Calibri"/>
        <family val="2"/>
      </rPr>
      <t>From (To)</t>
    </r>
    <r>
      <rPr>
        <sz val="11"/>
        <rFont val="Calibri"/>
        <family val="2"/>
      </rPr>
      <t xml:space="preserve"> </t>
    </r>
    <r>
      <rPr>
        <sz val="10"/>
        <rFont val="Calibri"/>
        <family val="2"/>
      </rPr>
      <t>Revenue Fund (b)</t>
    </r>
  </si>
  <si>
    <t>Year-End Rate Stabilization Fund Balance  (Line 1a + Line 2a)</t>
  </si>
  <si>
    <t>For (e) above, transfers from RSF are excluded, transfers to the RSF are deducted as calculated below:</t>
  </si>
  <si>
    <t>Cash Funded Capital Ratio</t>
  </si>
  <si>
    <t>6c</t>
  </si>
  <si>
    <t>Line 6: General Ordinance Coverage of 1.20</t>
  </si>
  <si>
    <t>Line 12 &gt; line 11: Rate Ordinance Requirement Compliance (h)</t>
  </si>
  <si>
    <t>From Receipts Existing Rates</t>
  </si>
  <si>
    <t>RED TEXT with</t>
  </si>
  <si>
    <t>YELLOW BACKGROUND</t>
  </si>
  <si>
    <t>means USER INPUT</t>
  </si>
  <si>
    <t>See notes (a)-(j) on following page.</t>
  </si>
  <si>
    <t>See Notice to Recipients-Users Worksheet Regarding Use of the Model.  You may make changes only to orange-highlighted cells identified as "User Input."</t>
  </si>
  <si>
    <t>orange-highlighted cells with red type</t>
  </si>
  <si>
    <t xml:space="preserve">identified in the final column as </t>
  </si>
  <si>
    <t>User Input.</t>
  </si>
  <si>
    <r>
      <t xml:space="preserve">You may modify </t>
    </r>
    <r>
      <rPr>
        <b/>
        <u/>
        <sz val="14"/>
        <color indexed="8"/>
        <rFont val="Calibri"/>
        <family val="2"/>
      </rPr>
      <t>only</t>
    </r>
  </si>
  <si>
    <t>NOTICE TO RECIPIENTS - USERS</t>
  </si>
  <si>
    <t>RED FIGURES in orange are for User Input.</t>
  </si>
  <si>
    <t xml:space="preserve">   Subtotal Expenses</t>
  </si>
  <si>
    <t>% Increase is Calculated</t>
  </si>
  <si>
    <t>6d</t>
  </si>
  <si>
    <t>6e</t>
  </si>
  <si>
    <t>Line 6a: General Ordinance Coverage of 1.20</t>
  </si>
  <si>
    <t>Calculated/From User Inputs</t>
  </si>
  <si>
    <t>Residual Fund Deposits</t>
  </si>
  <si>
    <t>Capital Account Deposits</t>
  </si>
  <si>
    <t>Equals C, minus E</t>
  </si>
  <si>
    <t>Line 6: Rate Board Policy in Previous Proceeding: 1.30 Coverage</t>
  </si>
  <si>
    <t>Line 6a: Rate Board Policy in Previous Proceeding: 1.30 Coverage</t>
  </si>
  <si>
    <t>Billing System</t>
  </si>
  <si>
    <t>17b</t>
  </si>
  <si>
    <t xml:space="preserve">Fiscal Year 2027 (c) </t>
  </si>
  <si>
    <t>WIFIA</t>
  </si>
  <si>
    <t>Need to confirm equation</t>
  </si>
  <si>
    <t>WIFIA Proceeds</t>
  </si>
  <si>
    <t>WIFIA Match Funding Proceeds</t>
  </si>
  <si>
    <t>35x</t>
  </si>
  <si>
    <t>42a</t>
  </si>
  <si>
    <t>Equals line 35</t>
  </si>
  <si>
    <t>Lines 4a+5a+6a+7a</t>
  </si>
  <si>
    <t>Lines 3a+8a+11a+12a+13a</t>
  </si>
  <si>
    <t>Lines 17+17a</t>
  </si>
  <si>
    <t>Equals Table C-7, line 17b</t>
  </si>
  <si>
    <t>Updated</t>
  </si>
  <si>
    <t xml:space="preserve">(a) Projected debt service amounts include debt service for all Water and Wastewater Revenue Bonds and Revenue Refunding Bonds  </t>
  </si>
  <si>
    <t xml:space="preserve">  and assume issuance during the first quarter of the fiscal year.</t>
  </si>
  <si>
    <t xml:space="preserve">(d) Projected debt service amounts assume interest only payment for the first year of the bond authorization based on 6.00% interest rate; </t>
  </si>
  <si>
    <t>(e) Includes projected PENNVEST Loans.</t>
  </si>
  <si>
    <t>(a) Amount of Debt Reserve Account estimated based on outstanding and proposed debt service payments.</t>
  </si>
  <si>
    <t>(c) Deposits equal proceeds from sale of bonds less transfers to Debt Reserve Account and Costs of Issuance.</t>
  </si>
  <si>
    <t>See notes (a)-(e) below.</t>
  </si>
  <si>
    <t xml:space="preserve">       projected contra revenue credits for Affordability Program Discounts (TAP Costs).  </t>
  </si>
  <si>
    <t>(b) Transfer of interest earnings from the Debt Reserve Account to the Residual Fund as shown in Line 35 to satisfy the requirements for the</t>
  </si>
  <si>
    <t xml:space="preserve">      transfer to the City General Fund shown on Line 37.</t>
  </si>
  <si>
    <t>(c) Senior Debt Coverage = (Total Revenues - Operating Expenses + Transfer From (to) Rate Stabilization) divided by Senior Debt. The General Bond Ordinance requires the minimum Senior Debt Service Coverage of 1.20.</t>
  </si>
  <si>
    <t>(d) Total Debt Coverage = (Total Revenues - Operating Expenses + Rate Stabilization Transfer) divided by (Senior Debt + Subordinate Debt + Capital Account Deposit). The 1989 General Ordinance requires the minimum Total Debt Service Coverage of 1.00.</t>
  </si>
  <si>
    <t>(g) Total Appropriation = Total O&amp;M Budget + Senior Debt + Subordinate Debt + Transfer to Escrow + Capital Account Deposit + Transfer to Rate Stabilization Fund + Transfer to Residual Fund.  Costs to service the City included as required by the General Bond Ordinance rate covenants.</t>
  </si>
  <si>
    <t>Additional Rev Req Needed</t>
  </si>
  <si>
    <t>To maintain Residual Fund Bal</t>
  </si>
  <si>
    <t>Add Rev Req to Maintain Residual Fund Bal</t>
  </si>
  <si>
    <t>See Note (e) below</t>
  </si>
  <si>
    <t>Equals Line 14/Line 15</t>
  </si>
  <si>
    <t>Equals Line 14a/Line 15a</t>
  </si>
  <si>
    <t>PWD RSF Withdrawal (+) or Addition (-)</t>
  </si>
  <si>
    <t>PWD Subtract only the additions</t>
  </si>
  <si>
    <t>User RSF Withdrawal (+) or Addition (-)</t>
  </si>
  <si>
    <t>User Subtract only the additions</t>
  </si>
  <si>
    <t>Lines 10+11</t>
  </si>
  <si>
    <t>Lines 12+13</t>
  </si>
  <si>
    <t>Lines 2 through 7</t>
  </si>
  <si>
    <t>Lines 2a through 7a</t>
  </si>
  <si>
    <t>Lines 1 + 8</t>
  </si>
  <si>
    <t>Lines 1a + 8a</t>
  </si>
  <si>
    <t>Lines 9 + 10 + 11 + 12</t>
  </si>
  <si>
    <t>Lines 9a + 10a + 11a + 12a</t>
  </si>
  <si>
    <t>TABLE C-1A: PROJECTED REVENUE AND REVENUE REQUIREMENTS</t>
  </si>
  <si>
    <t>BASE RATES EXCLUDING TAP-R SURCHARGE</t>
  </si>
  <si>
    <t>33x</t>
  </si>
  <si>
    <t>33ax</t>
  </si>
  <si>
    <t>34x</t>
  </si>
  <si>
    <t>35ax</t>
  </si>
  <si>
    <t>From User Inputs</t>
  </si>
  <si>
    <t>From Table C-9 Debt Service</t>
  </si>
  <si>
    <t>TOTAL SENIOR DEBT SERVICE COVERAGE (L19/L25)</t>
  </si>
  <si>
    <t>TOTAL SENIOR DEBT SERVICE COVERAGE (L19a/L25a)</t>
  </si>
  <si>
    <t>From Table C-8 Flow of Funds</t>
  </si>
  <si>
    <t>From line 35 above</t>
  </si>
  <si>
    <t>Equals line 37 above</t>
  </si>
  <si>
    <t>Table C-1A, Line 40a</t>
  </si>
  <si>
    <t>Table C-1A, Line 40</t>
  </si>
  <si>
    <t>Table C-1A, Line 39</t>
  </si>
  <si>
    <t>Table C-1A or Line 3 + Line 4</t>
  </si>
  <si>
    <t>PWD</t>
  </si>
  <si>
    <t>User</t>
  </si>
  <si>
    <t>Charges Using Base of 100</t>
  </si>
  <si>
    <t>PWD Totals</t>
  </si>
  <si>
    <t>User Totals</t>
  </si>
  <si>
    <t>Difference</t>
  </si>
  <si>
    <t>% Difference</t>
  </si>
  <si>
    <t>CHECKING</t>
  </si>
  <si>
    <t>Change</t>
  </si>
  <si>
    <t>Calculated from PWD Data</t>
  </si>
  <si>
    <t>Deposit From/(To) TAP-R</t>
  </si>
  <si>
    <t>Equals line above</t>
  </si>
  <si>
    <t>43a</t>
  </si>
  <si>
    <t>Lines 40+41+42</t>
  </si>
  <si>
    <t>Lines 40a+41a+42a</t>
  </si>
  <si>
    <t>Table C-1A, Line 43</t>
  </si>
  <si>
    <t>Table C-1A, Line 43a</t>
  </si>
  <si>
    <t>Equals line 38 above</t>
  </si>
  <si>
    <t>Lines 32 through 38 shaded</t>
  </si>
  <si>
    <t>Lines 32a through 38a no shading</t>
  </si>
  <si>
    <t>Total Operating Expenses, 17a</t>
  </si>
  <si>
    <t>Total Senior Debt Service, 25a</t>
  </si>
  <si>
    <t>CAPITAL ACCOUNT DEPOSIT, 30a</t>
  </si>
  <si>
    <t>Transfer to Construction Fund, 36a</t>
  </si>
  <si>
    <t>Transfer to Escrow, 28a</t>
  </si>
  <si>
    <t>RSF Deposit From/(To) Revenue Fund, 41a</t>
  </si>
  <si>
    <t>Table C-1A, Line 39a</t>
  </si>
  <si>
    <t>FY 2026</t>
  </si>
  <si>
    <t>FY 2027</t>
  </si>
  <si>
    <t>FY 2028</t>
  </si>
  <si>
    <t>FY 2029</t>
  </si>
  <si>
    <t>FY 2030</t>
  </si>
  <si>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</si>
  <si>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t>
    </r>
    <r>
      <rPr>
        <b/>
        <sz val="10"/>
        <color indexed="30"/>
        <rFont val="Calibri"/>
        <family val="2"/>
      </rPr>
      <t>not make any changes to the Model except to 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</si>
  <si>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t>
    </r>
    <r>
      <rPr>
        <b/>
        <sz val="10"/>
        <color indexed="30"/>
        <rFont val="Calibri"/>
        <family val="2"/>
      </rPr>
      <t>not make any changes to the Model except to enter data solely in the cells marked for “User Input.”</t>
    </r>
    <r>
      <rPr>
        <sz val="10"/>
        <color indexed="30"/>
        <rFont val="Calibri"/>
        <family val="2"/>
      </rPr>
      <t xml:space="preserve"> The City is not responsible for any defects, including computer viruses. The City is not responsible for any consequence of any recipient’s use of or reliance on the Model.</t>
    </r>
  </si>
  <si>
    <t xml:space="preserve">  Grant Proceeds</t>
  </si>
  <si>
    <t>Capital Program Net Encumbrances - Not in Use for This Proceeding</t>
  </si>
  <si>
    <t>issue amount in FY 2027, and assumed 1.0% of issuance in FY 2028 to FY 2030.</t>
  </si>
  <si>
    <r>
      <t>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t>
    </r>
    <r>
      <rPr>
        <b/>
        <sz val="10"/>
        <color indexed="30"/>
        <rFont val="Calibri"/>
        <family val="2"/>
      </rPr>
      <t>ot make any changes to the Model except to 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</si>
  <si>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t xml:space="preserve">(a) Includes other operating and nonoperating income, including interest income on funds and accounts transferable to the Revenue Fund.  </t>
  </si>
  <si>
    <t>(c) FY 2025 beginning balance is estimated based on preliminary FY 2024 results.</t>
  </si>
  <si>
    <t xml:space="preserve">(a) FY 2025 beginning balance is estimated based on FY 2024 preliminary financial results. </t>
  </si>
  <si>
    <t>(b) See Line 17 in Table C-1.</t>
  </si>
  <si>
    <t>(f) FY 2025 budget reflects the PWD adopted budget;  FY 2026 through FY 2030 budget reflects annual cost escalation factors.</t>
  </si>
  <si>
    <t>(g) Total Revenues includes service to the City as required by the 1989 General Ordinance rate covenants.</t>
  </si>
  <si>
    <r>
      <t xml:space="preserve">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any defects, including computer viruses. The City is not responsible for any consequence of any recipient’s use of or reliance on the Model.</t>
    </r>
  </si>
  <si>
    <t xml:space="preserve">(b) Cost of bonds issuance reflects actual cost in FY 2022, FY 2023 and FY 2024, assumed 0.60 percent of </t>
  </si>
  <si>
    <t xml:space="preserve">  issued prior to July 1, 2024 plus the Water and Wastewater Revenue Bond Series 2024C (issued in October 2024).</t>
  </si>
  <si>
    <t xml:space="preserve">(c) Projected debt service amounts assume interest only payment for the first year of the bond authorization based on 5.00% interest rate; </t>
  </si>
  <si>
    <t>The Rate Board has provided this Model and Model Outline (the “Model”), which includes formulas and preloaded information, to facilitate participation in the 2025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enter data solely in the cells marked for “User Input.” The City is not responsible for any defects, including computer viruses. The City is not responsible for any consequence of any recipient’s use of or reliance on the Model.</t>
  </si>
  <si>
    <t>PWD, equals C-7, line 17</t>
  </si>
  <si>
    <t xml:space="preserve">  Annual Encumbrances </t>
  </si>
  <si>
    <t xml:space="preserve">  Project Expenses </t>
  </si>
  <si>
    <t xml:space="preserve">  Transfer From Residual Fund (d)</t>
  </si>
  <si>
    <t>(d) Estimated deposits to fund PENNVEST debt service reserve requirement.</t>
  </si>
  <si>
    <t>Months Effective is Input</t>
  </si>
  <si>
    <t>Sum: Lines 1 thru 9</t>
  </si>
  <si>
    <t>This Line Not in Use</t>
  </si>
  <si>
    <t>(b) Allowance for inflation of 5.0 percent per year after fiscal year 2026.</t>
  </si>
  <si>
    <t>Release from Debt Reserve Account (b)</t>
  </si>
  <si>
    <t xml:space="preserve">  Debt Reserve Account (c)</t>
  </si>
  <si>
    <t xml:space="preserve">  Beginning in FY 2019, TAP Revenue Loss is recovered via the TAP Rate Rider Surcharge.</t>
  </si>
  <si>
    <t>(b) Projected Release from Debt Reserve Account based on outstanding and proposed debt service payments.</t>
  </si>
  <si>
    <t xml:space="preserve">    Total Nonoperating Income</t>
  </si>
  <si>
    <t>Disposition of Commercial Paper - Not In Use</t>
  </si>
  <si>
    <t xml:space="preserve">  Transfer From Revenue Bond Proceeds</t>
  </si>
  <si>
    <t xml:space="preserve">  Transfer from Residual Fund</t>
  </si>
  <si>
    <t xml:space="preserve">  Transfer from Residual Fund </t>
  </si>
  <si>
    <t>Line 15 - 16</t>
  </si>
  <si>
    <t>Lines 6 through 14</t>
  </si>
  <si>
    <t>Equals worksheet line 133 below</t>
  </si>
  <si>
    <t>2025 from PWD; then prior year</t>
  </si>
  <si>
    <t xml:space="preserve">  Debt Reserve Account Release</t>
  </si>
  <si>
    <t>Interest Income on Debt Reserve Account</t>
  </si>
  <si>
    <t>From PWD, lines 18+19+20+21</t>
  </si>
  <si>
    <t>Debt Reserve Account</t>
  </si>
  <si>
    <t xml:space="preserve">Fiscal Year 2025 (b) </t>
  </si>
  <si>
    <t xml:space="preserve">Fiscal Year 2028 (d) </t>
  </si>
  <si>
    <t xml:space="preserve">Fiscal Year 2029 (d) </t>
  </si>
  <si>
    <t xml:space="preserve">Fiscal Year 2030 (d) </t>
  </si>
  <si>
    <t>Pennvest Loans (e)</t>
  </si>
  <si>
    <t>PENNVEST Loans</t>
  </si>
  <si>
    <t>Equals C-8, 16a</t>
  </si>
  <si>
    <t>Equals C-8, 12a</t>
  </si>
  <si>
    <t>Lines 4+5+6+7+8</t>
  </si>
  <si>
    <t>Lines 3+9</t>
  </si>
  <si>
    <t>10x</t>
  </si>
  <si>
    <t>10xa</t>
  </si>
  <si>
    <t>Lines 3a+9a</t>
  </si>
  <si>
    <t>Debt Reserve Account Interest Income</t>
  </si>
  <si>
    <t>Line 18/Line 24</t>
  </si>
  <si>
    <t>Line 18a/Line 24a</t>
  </si>
  <si>
    <t>Lines 19+20+21+22+23</t>
  </si>
  <si>
    <t>Lines 19a+20a+21a+22a+23a</t>
  </si>
  <si>
    <t>Lines 24+26+27</t>
  </si>
  <si>
    <t>Lines 24a+26a+27a</t>
  </si>
  <si>
    <t>Line 18/(Line 24+Line 26+Line 29)</t>
  </si>
  <si>
    <t>Line 18a/(Line 24a+Line 26a+Line 29a)</t>
  </si>
  <si>
    <t>TOTAL COVERAGE (L18/(L24+L26+L29))</t>
  </si>
  <si>
    <t>TOTAL COVERAGE (L18a/(L24a+L26a+L29a))</t>
  </si>
  <si>
    <t>Lines 18+28+29</t>
  </si>
  <si>
    <t>Equals line 34</t>
  </si>
  <si>
    <t>Equals line 34a</t>
  </si>
  <si>
    <t>Placeholder not used</t>
  </si>
  <si>
    <t>From Table C-8, line 13</t>
  </si>
  <si>
    <t>From Table C-8, line 13a</t>
  </si>
  <si>
    <t>Line 17, From PWD</t>
  </si>
  <si>
    <t>From line 17a</t>
  </si>
  <si>
    <t>Table C-8 Lines 12+13</t>
  </si>
  <si>
    <t>Table C-8 Line 16</t>
  </si>
  <si>
    <t>Table C-8 Lines 12a+13a</t>
  </si>
  <si>
    <t>Table C-8 Line 16a</t>
  </si>
  <si>
    <t>Table C-1A, Line 15</t>
  </si>
  <si>
    <t>Lines 10+10x+11+12+13+14</t>
  </si>
  <si>
    <t>Lines 10a+10xa+11a+12a+13a+14a</t>
  </si>
  <si>
    <t>Lines 15+16+17</t>
  </si>
  <si>
    <t>Lines 15a+16a+17a</t>
  </si>
  <si>
    <t>Equals line 33</t>
  </si>
  <si>
    <t>Equals line 33x, placeholder not used</t>
  </si>
  <si>
    <t>Transfer to Debt Reserve Account</t>
  </si>
  <si>
    <t>Line 3a + Line 4a above</t>
  </si>
  <si>
    <t>Table C-1A, Line 25</t>
  </si>
  <si>
    <t>Table C-1A, Line 25a</t>
  </si>
  <si>
    <t>Line 16a+17a+18a</t>
  </si>
  <si>
    <t>Debt Reserve Account (a)</t>
  </si>
  <si>
    <t>Lines 16a+17b</t>
  </si>
  <si>
    <t>From line 17, Table C-1B</t>
  </si>
  <si>
    <t>Table C-8</t>
  </si>
  <si>
    <t>Line 3-Line 1</t>
  </si>
  <si>
    <t>Line 3a-Line 1a</t>
  </si>
  <si>
    <t>Table C-1A, Line 30</t>
  </si>
  <si>
    <t>Table C-1A, Line 30a</t>
  </si>
  <si>
    <t>Table C-1A, Line 17</t>
  </si>
  <si>
    <t>Table C-1A, Line 17a</t>
  </si>
  <si>
    <t>Line 8a: Insurance Minimum of 0.90</t>
  </si>
  <si>
    <t>Line 7a: General Ordinance Coverage of 1.00</t>
  </si>
  <si>
    <t>(j) Cash Funded Capital Ratio = Cash Funded Capital divided by Net Cash Financing Required.</t>
  </si>
  <si>
    <t>Calculated with User Input</t>
  </si>
  <si>
    <t>Lines 2+3+4</t>
  </si>
  <si>
    <t>Lines 2a+3a+4a</t>
  </si>
  <si>
    <t>2025 PWD, then prior line 17</t>
  </si>
  <si>
    <t>2025 PWD, then prior line 17a</t>
  </si>
  <si>
    <t>Line 9 Totals</t>
  </si>
  <si>
    <t>Line 9a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</si>
</sst>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_);\(0\)"/>
    <numFmt numFmtId="165" formatCode="_(* #,##0_);_(* \(#,##0\);_(* &quot;0&quot;_);_(@_)"/>
    <numFmt numFmtId="166" formatCode="0.0%"/>
    <numFmt numFmtId="167" formatCode="_(* #,##0.0000_);_(* \(#,##0.0000\);_(* &quot;-&quot;_);_(@_)"/>
    <numFmt numFmtId="168" formatCode="_(* #,##0_);_(* \(#,##0\);_(* &quot;-&quot;??_);_(@_)"/>
    <numFmt numFmtId="169" formatCode="0.000%"/>
    <numFmt numFmtId="170" formatCode="_(* #,##0.0000_);_(* \(#,##0.0000\);_(* &quot;-&quot;??_);_(@_)"/>
    <numFmt numFmtId="171" formatCode="0.0000"/>
  </numFmts>
  <fonts count="77">
    <font>
      <sz val="12"/>
      <color theme="1"/>
      <name val="Calibri"/>
      <family val="2"/>
      <scheme val="minor"/>
    </font>
    <font>
      <sz val="11"/>
      <color indexed="8"/>
      <name val="Calibri"/>
      <family val="2"/>
    </font>
    <font>
      <sz val="11"/>
      <color indexed="8"/>
      <name val="Calibri"/>
      <family val="2"/>
    </font>
    <font>
      <sz val="11"/>
      <color indexed="8"/>
      <name val="Calibri"/>
      <family val="2"/>
    </font>
    <font>
      <b/>
      <sz val="11"/>
      <color indexed="9"/>
      <name val="Calibri"/>
      <family val="2"/>
    </font>
    <font>
      <sz val="12"/>
      <color indexed="8"/>
      <name val="Calibri"/>
      <family val="2"/>
    </font>
    <font>
      <b/>
      <sz val="10"/>
      <color indexed="8"/>
      <name val="Times New Roman"/>
      <family val="1"/>
    </font>
    <font>
      <sz val="12"/>
      <name val="Arial MT"/>
    </font>
    <font>
      <sz val="10"/>
      <name val="Times New Roman"/>
      <family val="1"/>
    </font>
    <font>
      <u val="singleAccounting"/>
      <sz val="10"/>
      <name val="Times New Roman"/>
      <family val="1"/>
    </font>
    <font>
      <u/>
      <sz val="10"/>
      <color indexed="12"/>
      <name val="Times New Roman"/>
      <family val="1"/>
    </font>
    <font>
      <b/>
      <sz val="14"/>
      <color indexed="8"/>
      <name val="Arial"/>
      <family val="2"/>
    </font>
    <font>
      <b/>
      <sz val="14"/>
      <color indexed="9"/>
      <name val="Arial"/>
      <family val="2"/>
    </font>
    <font>
      <b/>
      <u val="singleAccounting"/>
      <sz val="11"/>
      <color indexed="9"/>
      <name val="Calibri"/>
      <family val="2"/>
    </font>
    <font>
      <sz val="10"/>
      <color indexed="8"/>
      <name val="Times New Roman"/>
      <family val="1"/>
    </font>
    <font>
      <sz val="10"/>
      <name val="Calibri"/>
      <family val="2"/>
    </font>
    <font>
      <sz val="11"/>
      <name val="Calibri"/>
      <family val="2"/>
    </font>
    <font>
      <u/>
      <sz val="11"/>
      <name val="Calibri"/>
      <family val="2"/>
    </font>
    <font>
      <b/>
      <sz val="14"/>
      <color indexed="9"/>
      <name val="Calibri"/>
      <family val="2"/>
    </font>
    <font>
      <b/>
      <sz val="11"/>
      <color indexed="9"/>
      <name val="Calibri"/>
      <family val="2"/>
    </font>
    <font>
      <sz val="10"/>
      <name val="Arial"/>
      <family val="2"/>
    </font>
    <font>
      <b/>
      <sz val="11"/>
      <name val="Calibri"/>
      <family val="2"/>
    </font>
    <font>
      <sz val="10"/>
      <color indexed="8"/>
      <name val="Calibri"/>
      <family val="2"/>
    </font>
    <font>
      <b/>
      <sz val="10"/>
      <name val="Times New Roman"/>
      <family val="1"/>
    </font>
    <font>
      <b/>
      <sz val="10"/>
      <name val="Calibri"/>
      <family val="2"/>
    </font>
    <font>
      <sz val="8"/>
      <name val="Calibri"/>
      <family val="2"/>
    </font>
    <font>
      <u/>
      <sz val="11"/>
      <color indexed="8"/>
      <name val="Calibri"/>
      <family val="2"/>
    </font>
    <font>
      <sz val="12"/>
      <color indexed="8"/>
      <name val="Calibri"/>
      <family val="2"/>
    </font>
    <font>
      <b/>
      <sz val="10"/>
      <color indexed="10"/>
      <name val="Calibri"/>
      <family val="2"/>
    </font>
    <font>
      <b/>
      <sz val="12"/>
      <color indexed="8"/>
      <name val="Calibri"/>
      <family val="2"/>
    </font>
    <font>
      <sz val="12"/>
      <color indexed="10"/>
      <name val="Calibri"/>
      <family val="2"/>
    </font>
    <font>
      <sz val="12"/>
      <name val="Calibri"/>
      <family val="2"/>
    </font>
    <font>
      <b/>
      <sz val="10"/>
      <color indexed="8"/>
      <name val="Calibri"/>
      <family val="2"/>
    </font>
    <font>
      <sz val="10"/>
      <color indexed="8"/>
      <name val="Calibri"/>
      <family val="2"/>
    </font>
    <font>
      <sz val="10"/>
      <name val="Calibri"/>
      <family val="2"/>
    </font>
    <font>
      <b/>
      <sz val="12"/>
      <name val="Calibri"/>
      <family val="2"/>
    </font>
    <font>
      <b/>
      <sz val="12"/>
      <name val="Calibri"/>
      <family val="2"/>
    </font>
    <font>
      <sz val="10"/>
      <color indexed="8"/>
      <name val="Calibri"/>
      <family val="2"/>
    </font>
    <font>
      <b/>
      <u val="singleAccounting"/>
      <sz val="11"/>
      <name val="Calibri"/>
      <family val="2"/>
    </font>
    <font>
      <sz val="12"/>
      <color indexed="10"/>
      <name val="Calibri"/>
      <family val="2"/>
    </font>
    <font>
      <b/>
      <sz val="11"/>
      <color indexed="8"/>
      <name val="Calibri"/>
      <family val="2"/>
    </font>
    <font>
      <b/>
      <sz val="10"/>
      <color indexed="10"/>
      <name val="Calibri"/>
      <family val="2"/>
    </font>
    <font>
      <b/>
      <sz val="12"/>
      <color indexed="10"/>
      <name val="Calibri"/>
      <family val="2"/>
    </font>
    <font>
      <b/>
      <sz val="12"/>
      <color indexed="8"/>
      <name val="Calibri"/>
      <family val="2"/>
    </font>
    <font>
      <b/>
      <sz val="10"/>
      <color indexed="10"/>
      <name val="Times New Roman"/>
      <family val="1"/>
    </font>
    <font>
      <b/>
      <sz val="11"/>
      <color indexed="8"/>
      <name val="Arial"/>
      <family val="2"/>
    </font>
    <font>
      <sz val="10"/>
      <color indexed="30"/>
      <name val="Calibri"/>
      <family val="2"/>
    </font>
    <font>
      <b/>
      <sz val="10"/>
      <color indexed="30"/>
      <name val="Calibri"/>
      <family val="2"/>
    </font>
    <font>
      <sz val="10"/>
      <color indexed="8"/>
      <name val="Calibri"/>
      <family val="2"/>
    </font>
    <font>
      <b/>
      <sz val="10"/>
      <color indexed="10"/>
      <name val="Arial"/>
      <family val="2"/>
    </font>
    <font>
      <b/>
      <sz val="9"/>
      <color indexed="10"/>
      <name val="Arial"/>
      <family val="2"/>
    </font>
    <font>
      <b/>
      <sz val="10.5"/>
      <color indexed="10"/>
      <name val="Arial"/>
      <family val="2"/>
    </font>
    <font>
      <sz val="14"/>
      <color indexed="10"/>
      <name val="Calibri"/>
      <family val="2"/>
    </font>
    <font>
      <b/>
      <sz val="14"/>
      <color indexed="8"/>
      <name val="Calibri"/>
      <family val="2"/>
    </font>
    <font>
      <b/>
      <u/>
      <sz val="14"/>
      <color indexed="8"/>
      <name val="Calibri"/>
      <family val="2"/>
    </font>
    <font>
      <b/>
      <sz val="14"/>
      <color indexed="10"/>
      <name val="Times New Roman"/>
      <family val="1"/>
    </font>
    <font>
      <b/>
      <u/>
      <sz val="16"/>
      <color indexed="10"/>
      <name val="Calibri"/>
      <family val="2"/>
    </font>
    <font>
      <sz val="10"/>
      <color indexed="30"/>
      <name val="Times New Roman"/>
      <family val="1"/>
    </font>
    <font>
      <b/>
      <sz val="12"/>
      <color indexed="10"/>
      <name val="Arial"/>
      <family val="2"/>
    </font>
    <font>
      <sz val="12"/>
      <color indexed="8"/>
      <name val="Calibri"/>
      <family val="2"/>
    </font>
    <font>
      <sz val="11"/>
      <color indexed="8"/>
      <name val="Calibri"/>
      <family val="2"/>
    </font>
    <font>
      <sz val="12"/>
      <color indexed="10"/>
      <name val="Calibri"/>
      <family val="2"/>
    </font>
    <font>
      <sz val="12"/>
      <color indexed="17"/>
      <name val="Calibri"/>
      <family val="2"/>
    </font>
    <font>
      <sz val="12"/>
      <name val="Calibri"/>
      <family val="2"/>
    </font>
    <font>
      <sz val="10"/>
      <color indexed="10"/>
      <name val="Calibri"/>
      <family val="2"/>
    </font>
    <font>
      <sz val="10"/>
      <name val="Calibri"/>
      <family val="2"/>
    </font>
    <font>
      <b/>
      <sz val="11"/>
      <color indexed="9"/>
      <name val="Calibri"/>
      <family val="2"/>
    </font>
    <font>
      <sz val="10"/>
      <color indexed="8"/>
      <name val="Calibri"/>
      <family val="2"/>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sz val="12"/>
      <color rgb="FFFF0000"/>
      <name val="Calibri"/>
      <family val="2"/>
      <scheme val="minor"/>
    </font>
    <font>
      <sz val="10"/>
      <name val="Calibri"/>
      <family val="2"/>
      <scheme val="minor"/>
    </font>
    <font>
      <b/>
      <u val="singleAccounting"/>
      <sz val="10"/>
      <name val="Calibri"/>
      <family val="2"/>
      <scheme val="minor"/>
    </font>
    <font>
      <b/>
      <sz val="10"/>
      <name val="Calibri"/>
      <family val="2"/>
      <scheme val="minor"/>
    </font>
  </fonts>
  <fills count="17">
    <fill>
      <patternFill patternType="none"/>
    </fill>
    <fill>
      <patternFill patternType="gray125"/>
    </fill>
    <fill>
      <patternFill patternType="solid">
        <fgColor indexed="26"/>
      </patternFill>
    </fill>
    <fill>
      <patternFill patternType="solid">
        <fgColor indexed="22"/>
        <bgColor indexed="64"/>
      </patternFill>
    </fill>
    <fill>
      <patternFill patternType="solid">
        <fgColor indexed="23"/>
        <bgColor indexed="64"/>
      </patternFill>
    </fill>
    <fill>
      <patternFill patternType="solid">
        <fgColor indexed="30"/>
        <bgColor indexed="64"/>
      </patternFill>
    </fill>
    <fill>
      <patternFill patternType="solid">
        <fgColor indexed="62"/>
        <bgColor indexed="64"/>
      </patternFill>
    </fill>
    <fill>
      <patternFill patternType="solid">
        <fgColor indexed="54"/>
        <bgColor indexed="64"/>
      </patternFill>
    </fill>
    <fill>
      <patternFill patternType="solid">
        <fgColor indexed="55"/>
        <bgColor indexed="64"/>
      </patternFill>
    </fill>
    <fill>
      <patternFill patternType="solid">
        <fgColor indexed="9"/>
        <bgColor indexed="64"/>
      </patternFill>
    </fill>
    <fill>
      <patternFill patternType="solid">
        <fgColor indexed="8"/>
        <bgColor indexed="64"/>
      </patternFill>
    </fill>
    <fill>
      <patternFill patternType="solid">
        <fgColor indexed="51"/>
        <bgColor indexed="64"/>
      </patternFill>
    </fill>
    <fill>
      <patternFill patternType="solid">
        <fgColor indexed="44"/>
        <bgColor indexed="64"/>
      </patternFill>
    </fill>
    <fill>
      <patternFill patternType="solid">
        <fgColor indexed="50"/>
        <bgColor indexed="64"/>
      </patternFill>
    </fill>
    <fill>
      <patternFill patternType="solid">
        <fgColor indexed="40"/>
        <bgColor indexed="64"/>
      </patternFill>
    </fill>
    <fill>
      <patternFill patternType="solid">
        <fgColor theme="0" tint="-0.249977111117893"/>
        <bgColor indexed="64"/>
      </patternFill>
    </fill>
    <fill>
      <patternFill patternType="solid">
        <fgColor rgb="FFFFC000"/>
        <bgColor indexed="64"/>
      </patternFill>
    </fill>
  </fills>
  <borders count="103">
    <border>
      <left/>
      <right/>
      <top/>
      <bottom/>
      <diagonal/>
    </border>
    <border>
      <left/>
      <right/>
      <top style="medium">
        <color indexed="8"/>
      </top>
      <bottom/>
      <diagonal/>
    </border>
    <border>
      <left/>
      <right/>
      <top/>
      <bottom style="thick">
        <color indexed="8"/>
      </bottom>
      <diagonal/>
    </border>
    <border>
      <left style="thick">
        <color indexed="9"/>
      </left>
      <right/>
      <top style="thin">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style="thin">
        <color indexed="9"/>
      </left>
      <right/>
      <top style="thin">
        <color indexed="9"/>
      </top>
      <bottom style="thin">
        <color indexed="9"/>
      </bottom>
      <diagonal/>
    </border>
    <border>
      <left style="thick">
        <color indexed="9"/>
      </left>
      <right/>
      <top style="thin">
        <color indexed="9"/>
      </top>
      <bottom/>
      <diagonal/>
    </border>
    <border>
      <left/>
      <right/>
      <top style="thin">
        <color indexed="9"/>
      </top>
      <bottom/>
      <diagonal/>
    </border>
    <border>
      <left/>
      <right style="thick">
        <color indexed="9"/>
      </right>
      <top style="thin">
        <color indexed="9"/>
      </top>
      <bottom/>
      <diagonal/>
    </border>
    <border>
      <left style="thick">
        <color indexed="9"/>
      </left>
      <right/>
      <top/>
      <bottom style="thin">
        <color indexed="9"/>
      </bottom>
      <diagonal/>
    </border>
    <border>
      <left/>
      <right/>
      <top/>
      <bottom style="thin">
        <color indexed="9"/>
      </bottom>
      <diagonal/>
    </border>
    <border>
      <left/>
      <right style="thick">
        <color indexed="9"/>
      </right>
      <top/>
      <bottom style="thin">
        <color indexed="9"/>
      </bottom>
      <diagonal/>
    </border>
    <border>
      <left style="thick">
        <color indexed="9"/>
      </left>
      <right/>
      <top style="thick">
        <color indexed="9"/>
      </top>
      <bottom style="thick">
        <color indexed="9"/>
      </bottom>
      <diagonal/>
    </border>
    <border>
      <left/>
      <right/>
      <top style="thick">
        <color indexed="9"/>
      </top>
      <bottom style="thick">
        <color indexed="9"/>
      </bottom>
      <diagonal/>
    </border>
    <border>
      <left/>
      <right style="thick">
        <color indexed="9"/>
      </right>
      <top style="thick">
        <color indexed="9"/>
      </top>
      <bottom style="thick">
        <color indexed="9"/>
      </bottom>
      <diagonal/>
    </border>
    <border>
      <left style="thin">
        <color indexed="64"/>
      </left>
      <right/>
      <top/>
      <bottom/>
      <diagonal/>
    </border>
    <border>
      <left style="thin">
        <color indexed="64"/>
      </left>
      <right/>
      <top style="thin">
        <color indexed="9"/>
      </top>
      <bottom style="thin">
        <color indexed="9"/>
      </bottom>
      <diagonal/>
    </border>
    <border>
      <left style="thick">
        <color indexed="9"/>
      </left>
      <right style="thin">
        <color indexed="64"/>
      </right>
      <top style="thin">
        <color indexed="9"/>
      </top>
      <bottom style="thin">
        <color indexed="9"/>
      </bottom>
      <diagonal/>
    </border>
    <border>
      <left/>
      <right style="thin">
        <color indexed="64"/>
      </right>
      <top/>
      <bottom/>
      <diagonal/>
    </border>
    <border>
      <left/>
      <right/>
      <top style="thin">
        <color indexed="64"/>
      </top>
      <bottom/>
      <diagonal/>
    </border>
    <border>
      <left style="thin">
        <color indexed="64"/>
      </left>
      <right/>
      <top style="thin">
        <color indexed="9"/>
      </top>
      <bottom style="thin">
        <color indexed="64"/>
      </bottom>
      <diagonal/>
    </border>
    <border>
      <left style="thick">
        <color indexed="9"/>
      </left>
      <right/>
      <top style="thin">
        <color indexed="9"/>
      </top>
      <bottom style="thin">
        <color indexed="64"/>
      </bottom>
      <diagonal/>
    </border>
    <border>
      <left/>
      <right/>
      <top style="thin">
        <color indexed="9"/>
      </top>
      <bottom style="thin">
        <color indexed="64"/>
      </bottom>
      <diagonal/>
    </border>
    <border>
      <left/>
      <right style="thick">
        <color indexed="9"/>
      </right>
      <top style="thin">
        <color indexed="9"/>
      </top>
      <bottom style="thin">
        <color indexed="64"/>
      </bottom>
      <diagonal/>
    </border>
    <border>
      <left style="thick">
        <color indexed="9"/>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style="thick">
        <color indexed="9"/>
      </left>
      <right/>
      <top style="thin">
        <color indexed="64"/>
      </top>
      <bottom style="thin">
        <color indexed="9"/>
      </bottom>
      <diagonal/>
    </border>
    <border>
      <left/>
      <right/>
      <top style="thin">
        <color indexed="64"/>
      </top>
      <bottom style="thin">
        <color indexed="9"/>
      </bottom>
      <diagonal/>
    </border>
    <border>
      <left/>
      <right style="thick">
        <color indexed="9"/>
      </right>
      <top style="thin">
        <color indexed="64"/>
      </top>
      <bottom style="thin">
        <color indexed="9"/>
      </bottom>
      <diagonal/>
    </border>
    <border>
      <left style="thin">
        <color indexed="64"/>
      </left>
      <right/>
      <top style="thin">
        <color indexed="64"/>
      </top>
      <bottom/>
      <diagonal/>
    </border>
    <border>
      <left style="thin">
        <color indexed="64"/>
      </left>
      <right/>
      <top style="thin">
        <color indexed="9"/>
      </top>
      <bottom/>
      <diagonal/>
    </border>
    <border>
      <left style="thick">
        <color indexed="9"/>
      </left>
      <right style="thin">
        <color indexed="64"/>
      </right>
      <top style="thin">
        <color indexed="9"/>
      </top>
      <bottom/>
      <diagonal/>
    </border>
    <border>
      <left style="thin">
        <color indexed="64"/>
      </left>
      <right/>
      <top/>
      <bottom style="thin">
        <color indexed="9"/>
      </bottom>
      <diagonal/>
    </border>
    <border>
      <left style="thick">
        <color indexed="9"/>
      </left>
      <right style="thin">
        <color indexed="64"/>
      </right>
      <top/>
      <bottom style="thin">
        <color indexed="9"/>
      </bottom>
      <diagonal/>
    </border>
    <border>
      <left/>
      <right style="thin">
        <color indexed="64"/>
      </right>
      <top style="thin">
        <color indexed="9"/>
      </top>
      <bottom/>
      <diagonal/>
    </border>
    <border>
      <left/>
      <right style="thin">
        <color indexed="64"/>
      </right>
      <top style="thin">
        <color indexed="9"/>
      </top>
      <bottom style="thin">
        <color indexed="9"/>
      </bottom>
      <diagonal/>
    </border>
    <border>
      <left/>
      <right/>
      <top/>
      <bottom style="thin">
        <color indexed="64"/>
      </bottom>
      <diagonal/>
    </border>
    <border>
      <left/>
      <right style="thick">
        <color indexed="9"/>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thick">
        <color indexed="9"/>
      </right>
      <top style="thin">
        <color indexed="9"/>
      </top>
      <bottom style="medium">
        <color indexed="64"/>
      </bottom>
      <diagonal/>
    </border>
    <border>
      <left style="thick">
        <color indexed="9"/>
      </left>
      <right/>
      <top style="thin">
        <color indexed="9"/>
      </top>
      <bottom style="medium">
        <color indexed="64"/>
      </bottom>
      <diagonal/>
    </border>
    <border>
      <left style="thick">
        <color indexed="9"/>
      </left>
      <right style="medium">
        <color indexed="64"/>
      </right>
      <top style="thin">
        <color indexed="9"/>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ck">
        <color indexed="9"/>
      </right>
      <top style="thin">
        <color indexed="64"/>
      </top>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9"/>
      </top>
      <bottom style="thin">
        <color indexed="9"/>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bottom style="thin">
        <color indexed="9"/>
      </bottom>
      <diagonal/>
    </border>
    <border>
      <left/>
      <right style="medium">
        <color indexed="64"/>
      </right>
      <top style="thin">
        <color indexed="9"/>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9"/>
      </left>
      <right/>
      <top style="thin">
        <color indexed="9"/>
      </top>
      <bottom/>
      <diagonal/>
    </border>
    <border>
      <left style="thin">
        <color indexed="9"/>
      </left>
      <right/>
      <top/>
      <bottom style="thin">
        <color indexed="9"/>
      </bottom>
      <diagonal/>
    </border>
    <border>
      <left style="medium">
        <color indexed="64"/>
      </left>
      <right style="thin">
        <color indexed="9"/>
      </right>
      <top/>
      <bottom style="thin">
        <color indexed="9"/>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ck">
        <color indexed="9"/>
      </left>
      <right/>
      <top/>
      <bottom/>
      <diagonal/>
    </border>
    <border>
      <left style="medium">
        <color indexed="64"/>
      </left>
      <right/>
      <top style="thin">
        <color indexed="9"/>
      </top>
      <bottom/>
      <diagonal/>
    </border>
    <border>
      <left/>
      <right style="thin">
        <color indexed="64"/>
      </right>
      <top style="thin">
        <color indexed="64"/>
      </top>
      <bottom/>
      <diagonal/>
    </border>
    <border>
      <left style="medium">
        <color indexed="64"/>
      </left>
      <right style="thick">
        <color indexed="9"/>
      </right>
      <top/>
      <bottom style="thin">
        <color indexed="64"/>
      </bottom>
      <diagonal/>
    </border>
    <border>
      <left style="thick">
        <color indexed="9"/>
      </left>
      <right style="medium">
        <color indexed="64"/>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ck">
        <color indexed="9"/>
      </left>
      <right style="thick">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9"/>
      </bottom>
      <diagonal/>
    </border>
    <border>
      <left/>
      <right/>
      <top style="medium">
        <color indexed="64"/>
      </top>
      <bottom style="thin">
        <color indexed="9"/>
      </bottom>
      <diagonal/>
    </border>
    <border>
      <left/>
      <right style="thick">
        <color indexed="9"/>
      </right>
      <top style="medium">
        <color indexed="64"/>
      </top>
      <bottom style="thin">
        <color indexed="9"/>
      </bottom>
      <diagonal/>
    </border>
    <border>
      <left style="medium">
        <color indexed="64"/>
      </left>
      <right/>
      <top style="thin">
        <color indexed="9"/>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9"/>
      </right>
      <top style="thin">
        <color indexed="9"/>
      </top>
      <bottom style="thin">
        <color indexed="9"/>
      </bottom>
      <diagonal/>
    </border>
    <border>
      <left style="thick">
        <color indexed="9"/>
      </left>
      <right/>
      <top style="thin">
        <color indexed="64"/>
      </top>
      <bottom/>
      <diagonal/>
    </border>
    <border>
      <left style="thick">
        <color theme="0"/>
      </left>
      <right/>
      <top style="thin">
        <color theme="0"/>
      </top>
      <bottom style="thin">
        <color theme="0"/>
      </bottom>
      <diagonal/>
    </border>
    <border>
      <left/>
      <right/>
      <top style="thin">
        <color theme="0"/>
      </top>
      <bottom style="thin">
        <color theme="0"/>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ck">
        <color indexed="9"/>
      </left>
      <right style="medium">
        <color indexed="64"/>
      </right>
      <top style="thin">
        <color indexed="9"/>
      </top>
      <bottom style="thin">
        <color indexed="64"/>
      </bottom>
      <diagonal/>
    </border>
    <border>
      <left style="thick">
        <color indexed="9"/>
      </left>
      <right style="medium">
        <color indexed="64"/>
      </right>
      <top/>
      <bottom style="thin">
        <color indexed="9"/>
      </bottom>
      <diagonal/>
    </border>
    <border>
      <left style="thick">
        <color indexed="9"/>
      </left>
      <right style="medium">
        <color indexed="64"/>
      </right>
      <top style="thin">
        <color indexed="9"/>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thin">
        <color indexed="64"/>
      </bottom>
      <diagonal/>
    </border>
    <border>
      <left/>
      <right style="medium">
        <color indexed="64"/>
      </right>
      <top style="thin">
        <color indexed="64"/>
      </top>
      <bottom style="thin">
        <color indexed="64"/>
      </bottom>
      <diagonal/>
    </border>
    <border>
      <left style="medium">
        <color indexed="64"/>
      </left>
      <right style="thick">
        <color indexed="9"/>
      </right>
      <top style="thin">
        <color indexed="9"/>
      </top>
      <bottom style="thin">
        <color indexed="9"/>
      </bottom>
      <diagonal/>
    </border>
    <border>
      <left style="medium">
        <color indexed="64"/>
      </left>
      <right/>
      <top/>
      <bottom style="thin">
        <color indexed="9"/>
      </bottom>
      <diagonal/>
    </border>
    <border>
      <left style="medium">
        <color indexed="64"/>
      </left>
      <right/>
      <top style="thin">
        <color indexed="9"/>
      </top>
      <bottom style="medium">
        <color indexed="9"/>
      </bottom>
      <diagonal/>
    </border>
  </borders>
  <cellStyleXfs count="14">
    <xf numFmtId="0" fontId="0" fillId="0" borderId="0"/>
    <xf numFmtId="43" fontId="27"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69" fillId="0" borderId="0"/>
    <xf numFmtId="0" fontId="69" fillId="0" borderId="0"/>
    <xf numFmtId="0" fontId="68" fillId="0" borderId="0"/>
    <xf numFmtId="0" fontId="69" fillId="0" borderId="0"/>
    <xf numFmtId="9" fontId="5"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164" fontId="6" fillId="2" borderId="1">
      <alignment horizontal="left" vertical="center"/>
    </xf>
    <xf numFmtId="37" fontId="6" fillId="2" borderId="2" applyAlignment="0">
      <alignment horizontal="left" vertical="center"/>
      <protection locked="0"/>
    </xf>
    <xf numFmtId="0" fontId="11" fillId="0" borderId="0">
      <alignment horizontal="centerContinuous"/>
    </xf>
  </cellStyleXfs>
  <cellXfs count="779">
    <xf numFmtId="0" fontId="0" fillId="0" borderId="0" xfId="0"/>
    <xf numFmtId="37" fontId="15" fillId="3" borderId="3" xfId="0" applyNumberFormat="1" applyFont="1" applyFill="1" applyBorder="1" applyAlignment="1">
      <alignment horizontal="center" vertical="center"/>
    </xf>
    <xf numFmtId="41" fontId="15" fillId="3" borderId="3" xfId="0" applyNumberFormat="1" applyFont="1" applyFill="1" applyBorder="1" applyAlignment="1">
      <alignment horizontal="right" vertical="center" indent="1"/>
    </xf>
    <xf numFmtId="37" fontId="15" fillId="3" borderId="3" xfId="0" applyNumberFormat="1" applyFont="1" applyFill="1" applyBorder="1" applyAlignment="1">
      <alignment vertical="center"/>
    </xf>
    <xf numFmtId="37" fontId="15" fillId="3" borderId="4" xfId="0" applyNumberFormat="1" applyFont="1" applyFill="1" applyBorder="1" applyAlignment="1">
      <alignment vertical="center"/>
    </xf>
    <xf numFmtId="37" fontId="15" fillId="3" borderId="5" xfId="0" applyNumberFormat="1" applyFont="1" applyFill="1" applyBorder="1" applyAlignment="1">
      <alignment vertical="center"/>
    </xf>
    <xf numFmtId="37" fontId="15" fillId="3" borderId="3" xfId="0" applyNumberFormat="1" applyFont="1" applyFill="1" applyBorder="1" applyAlignment="1">
      <alignment horizontal="left" vertical="center" indent="1"/>
    </xf>
    <xf numFmtId="0" fontId="20" fillId="4" borderId="0" xfId="7" applyFont="1" applyFill="1"/>
    <xf numFmtId="37" fontId="15" fillId="3" borderId="6" xfId="0" applyNumberFormat="1" applyFont="1" applyFill="1" applyBorder="1" applyAlignment="1">
      <alignment horizontal="left"/>
    </xf>
    <xf numFmtId="39" fontId="15" fillId="3" borderId="3" xfId="0" applyNumberFormat="1" applyFont="1" applyFill="1" applyBorder="1" applyAlignment="1">
      <alignment horizontal="center" vertical="center"/>
    </xf>
    <xf numFmtId="41" fontId="15" fillId="3" borderId="3" xfId="0" applyNumberFormat="1" applyFont="1" applyFill="1" applyBorder="1" applyAlignment="1">
      <alignment horizontal="left" vertical="center" indent="1"/>
    </xf>
    <xf numFmtId="41" fontId="15" fillId="5" borderId="3" xfId="0" applyNumberFormat="1" applyFont="1" applyFill="1" applyBorder="1" applyAlignment="1">
      <alignment horizontal="left" vertical="center" indent="1"/>
    </xf>
    <xf numFmtId="37" fontId="15" fillId="5" borderId="5" xfId="0" applyNumberFormat="1" applyFont="1" applyFill="1" applyBorder="1" applyAlignment="1">
      <alignment horizontal="left" vertical="center"/>
    </xf>
    <xf numFmtId="37" fontId="24" fillId="3" borderId="3" xfId="0" applyNumberFormat="1" applyFont="1" applyFill="1" applyBorder="1" applyAlignment="1">
      <alignment vertical="center"/>
    </xf>
    <xf numFmtId="41" fontId="15" fillId="3" borderId="3" xfId="0" applyNumberFormat="1" applyFont="1" applyFill="1" applyBorder="1" applyAlignment="1">
      <alignment vertical="center"/>
    </xf>
    <xf numFmtId="41" fontId="15" fillId="3" borderId="4" xfId="0" applyNumberFormat="1" applyFont="1" applyFill="1" applyBorder="1" applyAlignment="1">
      <alignment vertical="center"/>
    </xf>
    <xf numFmtId="41" fontId="15" fillId="3" borderId="5" xfId="0" applyNumberFormat="1" applyFont="1" applyFill="1" applyBorder="1" applyAlignment="1">
      <alignment vertical="center"/>
    </xf>
    <xf numFmtId="0" fontId="18" fillId="6" borderId="0" xfId="13" applyFont="1" applyFill="1">
      <alignment horizontal="centerContinuous"/>
    </xf>
    <xf numFmtId="0" fontId="13" fillId="7" borderId="0" xfId="0" applyFont="1" applyFill="1" applyAlignment="1">
      <alignment horizontal="centerContinuous"/>
    </xf>
    <xf numFmtId="37" fontId="15" fillId="3" borderId="3" xfId="0" applyNumberFormat="1" applyFont="1" applyFill="1" applyBorder="1" applyAlignment="1">
      <alignment horizontal="left" vertical="center"/>
    </xf>
    <xf numFmtId="37" fontId="15" fillId="3" borderId="4" xfId="0" applyNumberFormat="1" applyFont="1" applyFill="1" applyBorder="1" applyAlignment="1">
      <alignment horizontal="left" vertical="center"/>
    </xf>
    <xf numFmtId="37" fontId="15" fillId="3" borderId="5" xfId="0" applyNumberFormat="1" applyFont="1" applyFill="1" applyBorder="1" applyAlignment="1">
      <alignment horizontal="left" vertical="center"/>
    </xf>
    <xf numFmtId="37" fontId="15" fillId="3" borderId="7" xfId="0" applyNumberFormat="1" applyFont="1" applyFill="1" applyBorder="1" applyAlignment="1">
      <alignment vertical="center"/>
    </xf>
    <xf numFmtId="37" fontId="15" fillId="3" borderId="8" xfId="0" applyNumberFormat="1" applyFont="1" applyFill="1" applyBorder="1" applyAlignment="1">
      <alignment vertical="center"/>
    </xf>
    <xf numFmtId="37" fontId="15" fillId="3" borderId="9" xfId="0" applyNumberFormat="1" applyFont="1" applyFill="1" applyBorder="1" applyAlignment="1">
      <alignment vertical="center"/>
    </xf>
    <xf numFmtId="41" fontId="15" fillId="3" borderId="7" xfId="0" applyNumberFormat="1" applyFont="1" applyFill="1" applyBorder="1" applyAlignment="1">
      <alignment horizontal="left" vertical="center" indent="1"/>
    </xf>
    <xf numFmtId="37" fontId="15" fillId="3" borderId="10" xfId="0" applyNumberFormat="1" applyFont="1" applyFill="1" applyBorder="1" applyAlignment="1">
      <alignment vertical="center"/>
    </xf>
    <xf numFmtId="37" fontId="15" fillId="3" borderId="11" xfId="0" applyNumberFormat="1" applyFont="1" applyFill="1" applyBorder="1" applyAlignment="1">
      <alignment vertical="center"/>
    </xf>
    <xf numFmtId="37" fontId="15" fillId="3" borderId="12" xfId="0" applyNumberFormat="1" applyFont="1" applyFill="1" applyBorder="1" applyAlignment="1">
      <alignment vertical="center"/>
    </xf>
    <xf numFmtId="41" fontId="15" fillId="3" borderId="10" xfId="0" applyNumberFormat="1" applyFont="1" applyFill="1" applyBorder="1" applyAlignment="1">
      <alignment horizontal="left" vertical="center" indent="1"/>
    </xf>
    <xf numFmtId="39" fontId="15" fillId="3" borderId="3" xfId="0" applyNumberFormat="1" applyFont="1" applyFill="1" applyBorder="1" applyAlignment="1">
      <alignment horizontal="right" vertical="center" indent="1"/>
    </xf>
    <xf numFmtId="41" fontId="15" fillId="8" borderId="3" xfId="0" applyNumberFormat="1" applyFont="1" applyFill="1" applyBorder="1" applyAlignment="1">
      <alignment horizontal="right" vertical="center" indent="1"/>
    </xf>
    <xf numFmtId="0" fontId="0" fillId="9" borderId="0" xfId="0" applyFill="1"/>
    <xf numFmtId="0" fontId="14" fillId="9" borderId="0" xfId="0" applyFont="1" applyFill="1"/>
    <xf numFmtId="37" fontId="8" fillId="9" borderId="0" xfId="0" applyNumberFormat="1" applyFont="1" applyFill="1"/>
    <xf numFmtId="37" fontId="7" fillId="9" borderId="0" xfId="0" applyNumberFormat="1" applyFont="1" applyFill="1"/>
    <xf numFmtId="37" fontId="24" fillId="9" borderId="3" xfId="0" applyNumberFormat="1" applyFont="1" applyFill="1" applyBorder="1" applyAlignment="1">
      <alignment horizontal="center" vertical="center"/>
    </xf>
    <xf numFmtId="41" fontId="24" fillId="9" borderId="3" xfId="0" applyNumberFormat="1" applyFont="1" applyFill="1" applyBorder="1" applyAlignment="1">
      <alignment horizontal="right" vertical="center" indent="1"/>
    </xf>
    <xf numFmtId="41" fontId="24" fillId="0" borderId="3" xfId="0" applyNumberFormat="1" applyFont="1" applyBorder="1" applyAlignment="1">
      <alignment horizontal="right" vertical="center" indent="1"/>
    </xf>
    <xf numFmtId="41" fontId="24" fillId="9" borderId="3" xfId="0" applyNumberFormat="1" applyFont="1" applyFill="1" applyBorder="1" applyAlignment="1">
      <alignment horizontal="left" vertical="center" indent="1"/>
    </xf>
    <xf numFmtId="37" fontId="24" fillId="9" borderId="3" xfId="0" applyNumberFormat="1" applyFont="1" applyFill="1" applyBorder="1" applyAlignment="1">
      <alignment vertical="center"/>
    </xf>
    <xf numFmtId="37" fontId="24" fillId="9" borderId="4" xfId="0" applyNumberFormat="1" applyFont="1" applyFill="1" applyBorder="1" applyAlignment="1">
      <alignment vertical="center"/>
    </xf>
    <xf numFmtId="37" fontId="24" fillId="9" borderId="13" xfId="0" applyNumberFormat="1" applyFont="1" applyFill="1" applyBorder="1" applyAlignment="1" applyProtection="1">
      <alignment vertical="center"/>
      <protection locked="0"/>
    </xf>
    <xf numFmtId="37" fontId="28" fillId="9" borderId="14" xfId="0" applyNumberFormat="1" applyFont="1" applyFill="1" applyBorder="1" applyAlignment="1" applyProtection="1">
      <alignment vertical="center"/>
      <protection locked="0"/>
    </xf>
    <xf numFmtId="37" fontId="24" fillId="9" borderId="14" xfId="0" applyNumberFormat="1" applyFont="1" applyFill="1" applyBorder="1" applyAlignment="1" applyProtection="1">
      <alignment vertical="center"/>
      <protection locked="0"/>
    </xf>
    <xf numFmtId="37" fontId="24" fillId="9" borderId="15" xfId="0" applyNumberFormat="1" applyFont="1" applyFill="1" applyBorder="1" applyAlignment="1" applyProtection="1">
      <alignment vertical="center"/>
      <protection locked="0"/>
    </xf>
    <xf numFmtId="37" fontId="24" fillId="9" borderId="5" xfId="0" applyNumberFormat="1" applyFont="1" applyFill="1" applyBorder="1" applyAlignment="1">
      <alignment vertical="center"/>
    </xf>
    <xf numFmtId="37" fontId="4" fillId="8" borderId="16" xfId="0" applyNumberFormat="1" applyFont="1" applyFill="1" applyBorder="1"/>
    <xf numFmtId="37" fontId="4" fillId="8" borderId="0" xfId="0" applyNumberFormat="1" applyFont="1" applyFill="1"/>
    <xf numFmtId="37" fontId="15" fillId="3" borderId="17" xfId="0" applyNumberFormat="1" applyFont="1" applyFill="1" applyBorder="1" applyAlignment="1">
      <alignment horizontal="center" vertical="center"/>
    </xf>
    <xf numFmtId="41" fontId="15" fillId="3" borderId="18" xfId="0" applyNumberFormat="1" applyFont="1" applyFill="1" applyBorder="1" applyAlignment="1">
      <alignment horizontal="right" vertical="center" indent="1"/>
    </xf>
    <xf numFmtId="37" fontId="24" fillId="9" borderId="17" xfId="0" applyNumberFormat="1" applyFont="1" applyFill="1" applyBorder="1" applyAlignment="1">
      <alignment horizontal="center" vertical="center"/>
    </xf>
    <xf numFmtId="41" fontId="24" fillId="9" borderId="18" xfId="0" applyNumberFormat="1" applyFont="1" applyFill="1" applyBorder="1" applyAlignment="1">
      <alignment horizontal="right" vertical="center" indent="1"/>
    </xf>
    <xf numFmtId="37" fontId="24" fillId="0" borderId="17" xfId="0" applyNumberFormat="1" applyFont="1" applyBorder="1" applyAlignment="1">
      <alignment horizontal="center" vertical="center"/>
    </xf>
    <xf numFmtId="37" fontId="8" fillId="5" borderId="16" xfId="0" applyNumberFormat="1" applyFont="1" applyFill="1" applyBorder="1" applyAlignment="1">
      <alignment horizontal="center"/>
    </xf>
    <xf numFmtId="37" fontId="8" fillId="5" borderId="0" xfId="0" applyNumberFormat="1" applyFont="1" applyFill="1" applyAlignment="1">
      <alignment horizontal="center"/>
    </xf>
    <xf numFmtId="41" fontId="9" fillId="5" borderId="0" xfId="0" applyNumberFormat="1" applyFont="1" applyFill="1" applyAlignment="1">
      <alignment horizontal="right"/>
    </xf>
    <xf numFmtId="41" fontId="9" fillId="5" borderId="19" xfId="0" applyNumberFormat="1" applyFont="1" applyFill="1" applyBorder="1" applyAlignment="1">
      <alignment horizontal="right"/>
    </xf>
    <xf numFmtId="37" fontId="16" fillId="3" borderId="16" xfId="0" applyNumberFormat="1" applyFont="1" applyFill="1" applyBorder="1"/>
    <xf numFmtId="37" fontId="16" fillId="3" borderId="0" xfId="0" applyNumberFormat="1" applyFont="1" applyFill="1"/>
    <xf numFmtId="37" fontId="16" fillId="3" borderId="0" xfId="0" applyNumberFormat="1" applyFont="1" applyFill="1" applyAlignment="1">
      <alignment horizontal="center"/>
    </xf>
    <xf numFmtId="37" fontId="16" fillId="3" borderId="19" xfId="0" applyNumberFormat="1" applyFont="1" applyFill="1" applyBorder="1"/>
    <xf numFmtId="37" fontId="17" fillId="3" borderId="0" xfId="0" applyNumberFormat="1" applyFont="1" applyFill="1" applyAlignment="1">
      <alignment horizontal="center"/>
    </xf>
    <xf numFmtId="37" fontId="4" fillId="8" borderId="20" xfId="0" applyNumberFormat="1" applyFont="1" applyFill="1" applyBorder="1"/>
    <xf numFmtId="37" fontId="4" fillId="8" borderId="0" xfId="0" applyNumberFormat="1" applyFont="1" applyFill="1" applyAlignment="1">
      <alignment horizontal="right"/>
    </xf>
    <xf numFmtId="37" fontId="4" fillId="8" borderId="19" xfId="0" applyNumberFormat="1" applyFont="1" applyFill="1" applyBorder="1" applyAlignment="1">
      <alignment horizontal="right"/>
    </xf>
    <xf numFmtId="37" fontId="15" fillId="9" borderId="17" xfId="0" applyNumberFormat="1" applyFont="1" applyFill="1" applyBorder="1" applyAlignment="1">
      <alignment horizontal="center" vertical="center"/>
    </xf>
    <xf numFmtId="37" fontId="15" fillId="9" borderId="3" xfId="0" applyNumberFormat="1" applyFont="1" applyFill="1" applyBorder="1" applyAlignment="1">
      <alignment horizontal="left" vertical="center" indent="1"/>
    </xf>
    <xf numFmtId="37" fontId="15" fillId="9" borderId="18" xfId="0" applyNumberFormat="1" applyFont="1" applyFill="1" applyBorder="1" applyAlignment="1">
      <alignment horizontal="left" vertical="center" indent="1"/>
    </xf>
    <xf numFmtId="39" fontId="24" fillId="9" borderId="3" xfId="0" applyNumberFormat="1" applyFont="1" applyFill="1" applyBorder="1" applyAlignment="1">
      <alignment horizontal="right" vertical="center" indent="1"/>
    </xf>
    <xf numFmtId="39" fontId="24" fillId="9" borderId="18" xfId="0" applyNumberFormat="1" applyFont="1" applyFill="1" applyBorder="1" applyAlignment="1">
      <alignment horizontal="right" vertical="center" indent="1"/>
    </xf>
    <xf numFmtId="0" fontId="15" fillId="9" borderId="0" xfId="0" applyFont="1" applyFill="1"/>
    <xf numFmtId="41" fontId="7" fillId="9" borderId="0" xfId="0" applyNumberFormat="1" applyFont="1" applyFill="1"/>
    <xf numFmtId="37" fontId="24" fillId="9" borderId="21" xfId="0" applyNumberFormat="1" applyFont="1" applyFill="1" applyBorder="1" applyAlignment="1">
      <alignment horizontal="center" vertical="center"/>
    </xf>
    <xf numFmtId="37" fontId="24" fillId="9" borderId="22" xfId="0" applyNumberFormat="1" applyFont="1" applyFill="1" applyBorder="1" applyAlignment="1">
      <alignment vertical="center"/>
    </xf>
    <xf numFmtId="37" fontId="24" fillId="9" borderId="23" xfId="0" applyNumberFormat="1" applyFont="1" applyFill="1" applyBorder="1" applyAlignment="1">
      <alignment vertical="center"/>
    </xf>
    <xf numFmtId="37" fontId="24" fillId="9" borderId="24" xfId="0" applyNumberFormat="1" applyFont="1" applyFill="1" applyBorder="1" applyAlignment="1">
      <alignment vertical="center"/>
    </xf>
    <xf numFmtId="41" fontId="24" fillId="9" borderId="22" xfId="0" applyNumberFormat="1" applyFont="1" applyFill="1" applyBorder="1" applyAlignment="1">
      <alignment horizontal="right" vertical="center" indent="1"/>
    </xf>
    <xf numFmtId="41" fontId="24" fillId="9" borderId="25" xfId="0" applyNumberFormat="1" applyFont="1" applyFill="1" applyBorder="1" applyAlignment="1">
      <alignment horizontal="right" vertical="center" indent="1"/>
    </xf>
    <xf numFmtId="37" fontId="15" fillId="3" borderId="26" xfId="0" applyNumberFormat="1" applyFont="1" applyFill="1" applyBorder="1" applyAlignment="1">
      <alignment horizontal="center" vertical="center"/>
    </xf>
    <xf numFmtId="37" fontId="15" fillId="3" borderId="27" xfId="0" applyNumberFormat="1" applyFont="1" applyFill="1" applyBorder="1" applyAlignment="1">
      <alignment vertical="center"/>
    </xf>
    <xf numFmtId="37" fontId="15" fillId="3" borderId="28" xfId="0" applyNumberFormat="1" applyFont="1" applyFill="1" applyBorder="1" applyAlignment="1">
      <alignment vertical="center"/>
    </xf>
    <xf numFmtId="37" fontId="15" fillId="3" borderId="29" xfId="0" applyNumberFormat="1" applyFont="1" applyFill="1" applyBorder="1" applyAlignment="1">
      <alignment vertical="center"/>
    </xf>
    <xf numFmtId="41" fontId="15" fillId="3" borderId="27" xfId="0" applyNumberFormat="1" applyFont="1" applyFill="1" applyBorder="1" applyAlignment="1">
      <alignment horizontal="left" vertical="center" indent="1"/>
    </xf>
    <xf numFmtId="41" fontId="15" fillId="3" borderId="18" xfId="0" applyNumberFormat="1" applyFont="1" applyFill="1" applyBorder="1" applyAlignment="1">
      <alignment horizontal="left" vertical="center" indent="1"/>
    </xf>
    <xf numFmtId="41" fontId="4" fillId="8" borderId="0" xfId="0" applyNumberFormat="1" applyFont="1" applyFill="1"/>
    <xf numFmtId="41" fontId="15" fillId="5" borderId="18" xfId="0" applyNumberFormat="1" applyFont="1" applyFill="1" applyBorder="1" applyAlignment="1">
      <alignment horizontal="left" vertical="center" indent="1"/>
    </xf>
    <xf numFmtId="37" fontId="15" fillId="9" borderId="0" xfId="0" applyNumberFormat="1" applyFont="1" applyFill="1"/>
    <xf numFmtId="37" fontId="15" fillId="9" borderId="0" xfId="0" applyNumberFormat="1" applyFont="1" applyFill="1" applyAlignment="1">
      <alignment horizontal="left" indent="1"/>
    </xf>
    <xf numFmtId="37" fontId="23" fillId="9" borderId="0" xfId="0" applyNumberFormat="1" applyFont="1" applyFill="1"/>
    <xf numFmtId="37" fontId="4" fillId="7" borderId="30" xfId="0" applyNumberFormat="1" applyFont="1" applyFill="1" applyBorder="1" applyAlignment="1">
      <alignment horizontal="center"/>
    </xf>
    <xf numFmtId="37" fontId="4" fillId="7" borderId="20" xfId="0" applyNumberFormat="1" applyFont="1" applyFill="1" applyBorder="1"/>
    <xf numFmtId="37" fontId="13" fillId="7" borderId="20" xfId="0" applyNumberFormat="1" applyFont="1" applyFill="1" applyBorder="1"/>
    <xf numFmtId="37" fontId="13" fillId="7" borderId="20" xfId="0" applyNumberFormat="1" applyFont="1" applyFill="1" applyBorder="1" applyAlignment="1">
      <alignment horizontal="center"/>
    </xf>
    <xf numFmtId="0" fontId="13" fillId="7" borderId="16" xfId="0" applyFont="1" applyFill="1" applyBorder="1" applyAlignment="1">
      <alignment horizontal="center"/>
    </xf>
    <xf numFmtId="0" fontId="13" fillId="7" borderId="0" xfId="0" applyFont="1" applyFill="1" applyAlignment="1">
      <alignment horizontal="center"/>
    </xf>
    <xf numFmtId="0" fontId="13" fillId="7" borderId="19" xfId="0" applyFont="1" applyFill="1" applyBorder="1" applyAlignment="1">
      <alignment horizontal="center"/>
    </xf>
    <xf numFmtId="0" fontId="14" fillId="9" borderId="16" xfId="0" applyFont="1" applyFill="1" applyBorder="1"/>
    <xf numFmtId="37" fontId="8" fillId="9" borderId="19" xfId="0" applyNumberFormat="1" applyFont="1" applyFill="1" applyBorder="1"/>
    <xf numFmtId="41" fontId="24" fillId="9" borderId="18" xfId="0" applyNumberFormat="1" applyFont="1" applyFill="1" applyBorder="1" applyAlignment="1">
      <alignment horizontal="left" vertical="center" indent="1"/>
    </xf>
    <xf numFmtId="37" fontId="15" fillId="3" borderId="31" xfId="0" applyNumberFormat="1" applyFont="1" applyFill="1" applyBorder="1" applyAlignment="1">
      <alignment horizontal="center" vertical="center"/>
    </xf>
    <xf numFmtId="41" fontId="15" fillId="3" borderId="32" xfId="0" applyNumberFormat="1" applyFont="1" applyFill="1" applyBorder="1" applyAlignment="1">
      <alignment horizontal="left" vertical="center" indent="1"/>
    </xf>
    <xf numFmtId="37" fontId="15" fillId="3" borderId="33" xfId="0" applyNumberFormat="1" applyFont="1" applyFill="1" applyBorder="1" applyAlignment="1">
      <alignment horizontal="center" vertical="center"/>
    </xf>
    <xf numFmtId="41" fontId="15" fillId="3" borderId="34" xfId="0" applyNumberFormat="1" applyFont="1" applyFill="1" applyBorder="1" applyAlignment="1">
      <alignment horizontal="left" vertical="center" indent="1"/>
    </xf>
    <xf numFmtId="37" fontId="7" fillId="9" borderId="19" xfId="0" applyNumberFormat="1" applyFont="1" applyFill="1" applyBorder="1"/>
    <xf numFmtId="41" fontId="24" fillId="9" borderId="4" xfId="0" applyNumberFormat="1" applyFont="1" applyFill="1" applyBorder="1" applyAlignment="1">
      <alignment vertical="center"/>
    </xf>
    <xf numFmtId="41" fontId="24" fillId="9" borderId="5" xfId="0" applyNumberFormat="1" applyFont="1" applyFill="1" applyBorder="1" applyAlignment="1">
      <alignment vertical="center"/>
    </xf>
    <xf numFmtId="37" fontId="4" fillId="8" borderId="30" xfId="0" applyNumberFormat="1" applyFont="1" applyFill="1" applyBorder="1" applyAlignment="1">
      <alignment horizontal="center"/>
    </xf>
    <xf numFmtId="41" fontId="4" fillId="8" borderId="20" xfId="0" applyNumberFormat="1" applyFont="1" applyFill="1" applyBorder="1"/>
    <xf numFmtId="37" fontId="24" fillId="9" borderId="31" xfId="0" applyNumberFormat="1" applyFont="1" applyFill="1" applyBorder="1" applyAlignment="1">
      <alignment horizontal="center" vertical="center"/>
    </xf>
    <xf numFmtId="37" fontId="4" fillId="8" borderId="4" xfId="0" applyNumberFormat="1" applyFont="1" applyFill="1" applyBorder="1"/>
    <xf numFmtId="37" fontId="4" fillId="8" borderId="4" xfId="0" applyNumberFormat="1" applyFont="1" applyFill="1" applyBorder="1" applyAlignment="1">
      <alignment horizontal="right"/>
    </xf>
    <xf numFmtId="37" fontId="4" fillId="8" borderId="8" xfId="0" applyNumberFormat="1" applyFont="1" applyFill="1" applyBorder="1"/>
    <xf numFmtId="37" fontId="4" fillId="8" borderId="31" xfId="0" applyNumberFormat="1" applyFont="1" applyFill="1" applyBorder="1"/>
    <xf numFmtId="37" fontId="4" fillId="8" borderId="35" xfId="0" applyNumberFormat="1" applyFont="1" applyFill="1" applyBorder="1"/>
    <xf numFmtId="37" fontId="4" fillId="8" borderId="17" xfId="0" applyNumberFormat="1" applyFont="1" applyFill="1" applyBorder="1"/>
    <xf numFmtId="37" fontId="4" fillId="8" borderId="36" xfId="0" applyNumberFormat="1" applyFont="1" applyFill="1" applyBorder="1" applyAlignment="1">
      <alignment horizontal="right"/>
    </xf>
    <xf numFmtId="0" fontId="22" fillId="9" borderId="0" xfId="0" applyFont="1" applyFill="1"/>
    <xf numFmtId="37" fontId="24" fillId="10" borderId="0" xfId="0" applyNumberFormat="1" applyFont="1" applyFill="1" applyAlignment="1">
      <alignment horizontal="center" vertical="center"/>
    </xf>
    <xf numFmtId="37" fontId="24" fillId="10" borderId="0" xfId="0" applyNumberFormat="1" applyFont="1" applyFill="1" applyAlignment="1">
      <alignment vertical="center"/>
    </xf>
    <xf numFmtId="41" fontId="24" fillId="10" borderId="0" xfId="0" applyNumberFormat="1" applyFont="1" applyFill="1" applyAlignment="1">
      <alignment horizontal="right" vertical="center" indent="1"/>
    </xf>
    <xf numFmtId="0" fontId="20" fillId="4" borderId="0" xfId="7" applyFont="1" applyFill="1" applyAlignment="1">
      <alignment horizontal="left"/>
    </xf>
    <xf numFmtId="37" fontId="4" fillId="8" borderId="0" xfId="0" applyNumberFormat="1" applyFont="1" applyFill="1" applyAlignment="1">
      <alignment horizontal="left"/>
    </xf>
    <xf numFmtId="37" fontId="4" fillId="8" borderId="0" xfId="0" applyNumberFormat="1" applyFont="1" applyFill="1" applyAlignment="1">
      <alignment horizontal="centerContinuous"/>
    </xf>
    <xf numFmtId="37" fontId="24" fillId="9" borderId="3" xfId="0" applyNumberFormat="1" applyFont="1" applyFill="1" applyBorder="1" applyAlignment="1">
      <alignment horizontal="left" vertical="center"/>
    </xf>
    <xf numFmtId="1" fontId="19" fillId="5" borderId="38" xfId="7" applyNumberFormat="1" applyFont="1" applyFill="1" applyBorder="1" applyAlignment="1">
      <alignment horizontal="center" vertical="top" wrapText="1"/>
    </xf>
    <xf numFmtId="41" fontId="15" fillId="3" borderId="4"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0" fontId="26" fillId="3" borderId="0" xfId="0" applyFont="1" applyFill="1" applyAlignment="1">
      <alignment horizontal="center"/>
    </xf>
    <xf numFmtId="0" fontId="2" fillId="3" borderId="0" xfId="0" applyFont="1" applyFill="1" applyAlignment="1">
      <alignment horizontal="center"/>
    </xf>
    <xf numFmtId="39" fontId="15" fillId="3" borderId="18" xfId="0" applyNumberFormat="1" applyFont="1" applyFill="1" applyBorder="1" applyAlignment="1">
      <alignment horizontal="right" vertical="center" indent="1"/>
    </xf>
    <xf numFmtId="41" fontId="24" fillId="10" borderId="19" xfId="0" applyNumberFormat="1" applyFont="1" applyFill="1" applyBorder="1" applyAlignment="1">
      <alignment horizontal="right" vertical="center" indent="1"/>
    </xf>
    <xf numFmtId="37" fontId="8" fillId="5" borderId="0" xfId="0" applyNumberFormat="1" applyFont="1" applyFill="1" applyAlignment="1">
      <alignment horizontal="left"/>
    </xf>
    <xf numFmtId="41" fontId="24" fillId="0" borderId="0" xfId="0" applyNumberFormat="1" applyFont="1" applyAlignment="1">
      <alignment horizontal="right" vertical="center" indent="1"/>
    </xf>
    <xf numFmtId="41" fontId="24" fillId="0" borderId="10" xfId="0" applyNumberFormat="1" applyFont="1" applyBorder="1" applyAlignment="1">
      <alignment horizontal="right" vertical="center" indent="1"/>
    </xf>
    <xf numFmtId="37" fontId="15" fillId="8" borderId="3" xfId="0" applyNumberFormat="1" applyFont="1" applyFill="1" applyBorder="1" applyAlignment="1">
      <alignment vertical="center"/>
    </xf>
    <xf numFmtId="37" fontId="15" fillId="8" borderId="4" xfId="0" applyNumberFormat="1" applyFont="1" applyFill="1" applyBorder="1" applyAlignment="1">
      <alignment vertical="center"/>
    </xf>
    <xf numFmtId="37" fontId="15" fillId="8" borderId="3" xfId="0" applyNumberFormat="1" applyFont="1" applyFill="1" applyBorder="1" applyAlignment="1">
      <alignment horizontal="left" vertical="center"/>
    </xf>
    <xf numFmtId="37" fontId="15" fillId="8" borderId="4" xfId="0" applyNumberFormat="1" applyFont="1" applyFill="1" applyBorder="1" applyAlignment="1">
      <alignment horizontal="left" vertical="center"/>
    </xf>
    <xf numFmtId="10" fontId="28" fillId="11" borderId="4" xfId="0" applyNumberFormat="1" applyFont="1" applyFill="1" applyBorder="1" applyAlignment="1">
      <alignment horizontal="center" vertical="center"/>
    </xf>
    <xf numFmtId="41" fontId="28" fillId="11" borderId="3" xfId="0" applyNumberFormat="1" applyFont="1" applyFill="1" applyBorder="1" applyAlignment="1">
      <alignment horizontal="left" vertical="center" indent="1"/>
    </xf>
    <xf numFmtId="37" fontId="24" fillId="0" borderId="3" xfId="0" applyNumberFormat="1" applyFont="1" applyBorder="1" applyAlignment="1">
      <alignment horizontal="right" vertical="center"/>
    </xf>
    <xf numFmtId="37" fontId="15" fillId="0" borderId="4" xfId="0" applyNumberFormat="1" applyFont="1" applyBorder="1" applyAlignment="1">
      <alignment vertical="center"/>
    </xf>
    <xf numFmtId="37" fontId="24" fillId="0" borderId="0" xfId="0" applyNumberFormat="1" applyFont="1" applyAlignment="1">
      <alignment horizontal="center" vertical="center"/>
    </xf>
    <xf numFmtId="37" fontId="24" fillId="0" borderId="0" xfId="0" applyNumberFormat="1" applyFont="1" applyAlignment="1">
      <alignment vertical="center"/>
    </xf>
    <xf numFmtId="37" fontId="15" fillId="0" borderId="0" xfId="0" applyNumberFormat="1" applyFont="1" applyAlignment="1">
      <alignment vertical="center"/>
    </xf>
    <xf numFmtId="41" fontId="24" fillId="0" borderId="3" xfId="0" applyNumberFormat="1" applyFont="1" applyBorder="1" applyAlignment="1">
      <alignment horizontal="left" vertical="center" indent="1"/>
    </xf>
    <xf numFmtId="37" fontId="24" fillId="0" borderId="10" xfId="0" applyNumberFormat="1" applyFont="1" applyBorder="1" applyAlignment="1">
      <alignment horizontal="left" vertical="center"/>
    </xf>
    <xf numFmtId="37" fontId="24" fillId="0" borderId="11" xfId="0" applyNumberFormat="1" applyFont="1" applyBorder="1" applyAlignment="1">
      <alignment horizontal="left" vertical="center"/>
    </xf>
    <xf numFmtId="37" fontId="24" fillId="0" borderId="12" xfId="0" applyNumberFormat="1" applyFont="1" applyBorder="1" applyAlignment="1">
      <alignment horizontal="left" vertical="center"/>
    </xf>
    <xf numFmtId="10" fontId="28" fillId="11" borderId="4" xfId="8" applyNumberFormat="1" applyFont="1" applyFill="1" applyBorder="1" applyAlignment="1" applyProtection="1">
      <alignment horizontal="center" vertical="center"/>
    </xf>
    <xf numFmtId="41" fontId="0" fillId="9" borderId="0" xfId="0" applyNumberFormat="1" applyFill="1"/>
    <xf numFmtId="37" fontId="24" fillId="9" borderId="0" xfId="0" applyNumberFormat="1" applyFont="1" applyFill="1" applyAlignment="1">
      <alignment vertical="center"/>
    </xf>
    <xf numFmtId="41" fontId="24" fillId="9" borderId="0" xfId="0" applyNumberFormat="1" applyFont="1" applyFill="1" applyAlignment="1">
      <alignment horizontal="center" vertical="center"/>
    </xf>
    <xf numFmtId="0" fontId="33" fillId="0" borderId="0" xfId="0" applyFont="1"/>
    <xf numFmtId="0" fontId="0" fillId="8" borderId="0" xfId="0" applyFill="1"/>
    <xf numFmtId="0" fontId="0" fillId="7" borderId="0" xfId="0" applyFill="1"/>
    <xf numFmtId="0" fontId="33" fillId="9" borderId="0" xfId="0" applyFont="1" applyFill="1"/>
    <xf numFmtId="0" fontId="32" fillId="7" borderId="0" xfId="0" applyFont="1" applyFill="1"/>
    <xf numFmtId="0" fontId="35" fillId="0" borderId="0" xfId="0" applyFont="1"/>
    <xf numFmtId="41" fontId="15" fillId="3" borderId="0" xfId="0" applyNumberFormat="1" applyFont="1" applyFill="1" applyAlignment="1">
      <alignment horizontal="left" vertical="center" indent="1"/>
    </xf>
    <xf numFmtId="0" fontId="30" fillId="8" borderId="0" xfId="0" applyFont="1" applyFill="1"/>
    <xf numFmtId="43" fontId="0" fillId="8" borderId="0" xfId="0" applyNumberFormat="1" applyFill="1"/>
    <xf numFmtId="37" fontId="8" fillId="9" borderId="16" xfId="0" applyNumberFormat="1" applyFont="1" applyFill="1" applyBorder="1"/>
    <xf numFmtId="41" fontId="15" fillId="0" borderId="18" xfId="0" applyNumberFormat="1" applyFont="1" applyBorder="1" applyAlignment="1">
      <alignment horizontal="right" vertical="center" indent="1"/>
    </xf>
    <xf numFmtId="37" fontId="36" fillId="0" borderId="0" xfId="0" applyNumberFormat="1" applyFont="1" applyAlignment="1">
      <alignment horizontal="left" vertical="center"/>
    </xf>
    <xf numFmtId="41" fontId="24" fillId="12" borderId="39" xfId="0" applyNumberFormat="1" applyFont="1" applyFill="1" applyBorder="1" applyAlignment="1">
      <alignment horizontal="right" vertical="center" indent="1"/>
    </xf>
    <xf numFmtId="41" fontId="24" fillId="12" borderId="40" xfId="0" applyNumberFormat="1" applyFont="1" applyFill="1" applyBorder="1" applyAlignment="1">
      <alignment horizontal="right" vertical="center" indent="1"/>
    </xf>
    <xf numFmtId="41" fontId="24" fillId="12" borderId="0" xfId="0" applyNumberFormat="1" applyFont="1" applyFill="1" applyAlignment="1">
      <alignment horizontal="right" vertical="center" indent="1"/>
    </xf>
    <xf numFmtId="41" fontId="24" fillId="12" borderId="41" xfId="0" applyNumberFormat="1" applyFont="1" applyFill="1" applyBorder="1" applyAlignment="1">
      <alignment horizontal="right" vertical="center" indent="1"/>
    </xf>
    <xf numFmtId="0" fontId="0" fillId="12" borderId="0" xfId="0" applyFill="1"/>
    <xf numFmtId="41" fontId="32" fillId="12" borderId="0" xfId="0" applyNumberFormat="1" applyFont="1" applyFill="1"/>
    <xf numFmtId="37" fontId="24" fillId="12" borderId="42" xfId="0" applyNumberFormat="1" applyFont="1" applyFill="1" applyBorder="1" applyAlignment="1">
      <alignment vertical="center"/>
    </xf>
    <xf numFmtId="37" fontId="24" fillId="12" borderId="0" xfId="0" applyNumberFormat="1" applyFont="1" applyFill="1" applyAlignment="1">
      <alignment vertical="center"/>
    </xf>
    <xf numFmtId="41" fontId="24" fillId="12" borderId="3" xfId="0" applyNumberFormat="1" applyFont="1" applyFill="1" applyBorder="1" applyAlignment="1">
      <alignment horizontal="right" vertical="center" indent="1"/>
    </xf>
    <xf numFmtId="37" fontId="24" fillId="12" borderId="43" xfId="0" applyNumberFormat="1" applyFont="1" applyFill="1" applyBorder="1" applyAlignment="1">
      <alignment horizontal="left" vertical="center" indent="1"/>
    </xf>
    <xf numFmtId="37" fontId="24" fillId="12" borderId="44" xfId="0" applyNumberFormat="1" applyFont="1" applyFill="1" applyBorder="1" applyAlignment="1">
      <alignment horizontal="left" vertical="center"/>
    </xf>
    <xf numFmtId="37" fontId="24" fillId="12" borderId="45" xfId="0" applyNumberFormat="1" applyFont="1" applyFill="1" applyBorder="1" applyAlignment="1">
      <alignment horizontal="left" vertical="center"/>
    </xf>
    <xf numFmtId="41" fontId="24" fillId="12" borderId="46" xfId="0" applyNumberFormat="1" applyFont="1" applyFill="1" applyBorder="1" applyAlignment="1">
      <alignment horizontal="right" vertical="center" indent="1"/>
    </xf>
    <xf numFmtId="41" fontId="24" fillId="12" borderId="47" xfId="0" applyNumberFormat="1" applyFont="1" applyFill="1" applyBorder="1" applyAlignment="1">
      <alignment horizontal="right" vertical="center" indent="1"/>
    </xf>
    <xf numFmtId="37" fontId="24" fillId="12" borderId="42" xfId="0" applyNumberFormat="1" applyFont="1" applyFill="1" applyBorder="1" applyAlignment="1">
      <alignment horizontal="center" vertical="center"/>
    </xf>
    <xf numFmtId="37" fontId="15" fillId="12" borderId="0" xfId="0" applyNumberFormat="1" applyFont="1" applyFill="1" applyAlignment="1">
      <alignment vertical="center"/>
    </xf>
    <xf numFmtId="37" fontId="15" fillId="12" borderId="0" xfId="0" applyNumberFormat="1" applyFont="1" applyFill="1" applyAlignment="1">
      <alignment horizontal="left" vertical="center"/>
    </xf>
    <xf numFmtId="168" fontId="24" fillId="12" borderId="0" xfId="1" applyNumberFormat="1" applyFont="1" applyFill="1" applyBorder="1" applyAlignment="1" applyProtection="1">
      <alignment horizontal="right" vertical="center" indent="1"/>
    </xf>
    <xf numFmtId="37" fontId="24" fillId="12" borderId="48" xfId="0" applyNumberFormat="1" applyFont="1" applyFill="1" applyBorder="1" applyAlignment="1">
      <alignment horizontal="center" vertical="center"/>
    </xf>
    <xf numFmtId="37" fontId="15" fillId="12" borderId="49" xfId="0" applyNumberFormat="1" applyFont="1" applyFill="1" applyBorder="1" applyAlignment="1">
      <alignment vertical="center"/>
    </xf>
    <xf numFmtId="37" fontId="24" fillId="12" borderId="49" xfId="0" applyNumberFormat="1" applyFont="1" applyFill="1" applyBorder="1" applyAlignment="1">
      <alignment vertical="center"/>
    </xf>
    <xf numFmtId="168" fontId="24" fillId="12" borderId="49" xfId="1" applyNumberFormat="1" applyFont="1" applyFill="1" applyBorder="1" applyAlignment="1" applyProtection="1">
      <alignment horizontal="right" vertical="center" indent="1"/>
    </xf>
    <xf numFmtId="37" fontId="15" fillId="0" borderId="6" xfId="0" applyNumberFormat="1" applyFont="1" applyBorder="1" applyAlignment="1">
      <alignment horizontal="left"/>
    </xf>
    <xf numFmtId="37" fontId="15" fillId="0" borderId="4" xfId="0" applyNumberFormat="1" applyFont="1" applyBorder="1" applyAlignment="1">
      <alignment horizontal="left"/>
    </xf>
    <xf numFmtId="37" fontId="15" fillId="0" borderId="3" xfId="0" applyNumberFormat="1" applyFont="1" applyBorder="1" applyAlignment="1">
      <alignment horizontal="center" vertical="center"/>
    </xf>
    <xf numFmtId="39" fontId="15" fillId="0" borderId="3" xfId="0" applyNumberFormat="1" applyFont="1" applyBorder="1" applyAlignment="1">
      <alignment horizontal="center" vertical="center"/>
    </xf>
    <xf numFmtId="39" fontId="15" fillId="0" borderId="0" xfId="0" applyNumberFormat="1" applyFont="1" applyAlignment="1">
      <alignment horizontal="center" vertical="center"/>
    </xf>
    <xf numFmtId="168" fontId="15" fillId="3" borderId="3" xfId="1" applyNumberFormat="1" applyFont="1" applyFill="1" applyBorder="1" applyAlignment="1" applyProtection="1">
      <alignment horizontal="left" vertical="center" indent="1"/>
    </xf>
    <xf numFmtId="37" fontId="4" fillId="12" borderId="50" xfId="0" applyNumberFormat="1" applyFont="1" applyFill="1" applyBorder="1"/>
    <xf numFmtId="37" fontId="4" fillId="12" borderId="39" xfId="0" applyNumberFormat="1" applyFont="1" applyFill="1" applyBorder="1"/>
    <xf numFmtId="0" fontId="38" fillId="12" borderId="39" xfId="0" applyFont="1" applyFill="1" applyBorder="1" applyAlignment="1">
      <alignment horizontal="center"/>
    </xf>
    <xf numFmtId="166" fontId="15" fillId="3" borderId="7" xfId="8" applyNumberFormat="1" applyFont="1" applyFill="1" applyBorder="1" applyAlignment="1" applyProtection="1">
      <alignment horizontal="center" vertical="center"/>
    </xf>
    <xf numFmtId="0" fontId="18" fillId="6" borderId="50" xfId="13" applyFont="1" applyFill="1" applyBorder="1">
      <alignment horizontal="centerContinuous"/>
    </xf>
    <xf numFmtId="0" fontId="18" fillId="6" borderId="39" xfId="13" applyFont="1" applyFill="1" applyBorder="1">
      <alignment horizontal="centerContinuous"/>
    </xf>
    <xf numFmtId="0" fontId="18" fillId="6" borderId="40" xfId="13" applyFont="1" applyFill="1" applyBorder="1">
      <alignment horizontal="centerContinuous"/>
    </xf>
    <xf numFmtId="0" fontId="19" fillId="5" borderId="51" xfId="7" applyFont="1" applyFill="1" applyBorder="1" applyAlignment="1">
      <alignment horizontal="center" vertical="top" wrapText="1"/>
    </xf>
    <xf numFmtId="0" fontId="20" fillId="4" borderId="42" xfId="7" applyFont="1" applyFill="1" applyBorder="1"/>
    <xf numFmtId="37" fontId="4" fillId="8" borderId="42" xfId="0" applyNumberFormat="1" applyFont="1" applyFill="1" applyBorder="1"/>
    <xf numFmtId="37" fontId="15" fillId="3" borderId="52" xfId="0" applyNumberFormat="1" applyFont="1" applyFill="1" applyBorder="1" applyAlignment="1">
      <alignment horizontal="center" vertical="center"/>
    </xf>
    <xf numFmtId="37" fontId="15" fillId="0" borderId="52" xfId="0" applyNumberFormat="1" applyFont="1" applyBorder="1" applyAlignment="1">
      <alignment horizontal="center" vertical="center"/>
    </xf>
    <xf numFmtId="37" fontId="15" fillId="3" borderId="52" xfId="0" applyNumberFormat="1" applyFont="1" applyFill="1" applyBorder="1" applyAlignment="1">
      <alignment horizontal="center"/>
    </xf>
    <xf numFmtId="37" fontId="15" fillId="0" borderId="52" xfId="0" applyNumberFormat="1" applyFont="1" applyBorder="1" applyAlignment="1">
      <alignment horizontal="center"/>
    </xf>
    <xf numFmtId="37" fontId="15" fillId="0" borderId="42" xfId="0" applyNumberFormat="1" applyFont="1" applyBorder="1" applyAlignment="1">
      <alignment horizontal="center" vertical="center"/>
    </xf>
    <xf numFmtId="37" fontId="15" fillId="3" borderId="53" xfId="0" applyNumberFormat="1" applyFont="1" applyFill="1" applyBorder="1" applyAlignment="1">
      <alignment horizontal="center" vertical="center"/>
    </xf>
    <xf numFmtId="37" fontId="24" fillId="10" borderId="48" xfId="0" applyNumberFormat="1" applyFont="1" applyFill="1" applyBorder="1" applyAlignment="1">
      <alignment horizontal="center" vertical="center"/>
    </xf>
    <xf numFmtId="37" fontId="24" fillId="10" borderId="49" xfId="0" applyNumberFormat="1" applyFont="1" applyFill="1" applyBorder="1" applyAlignment="1">
      <alignment vertical="center"/>
    </xf>
    <xf numFmtId="41" fontId="24" fillId="10" borderId="49" xfId="0" applyNumberFormat="1" applyFont="1" applyFill="1" applyBorder="1" applyAlignment="1">
      <alignment horizontal="right" vertical="center" indent="1"/>
    </xf>
    <xf numFmtId="41" fontId="24" fillId="10" borderId="55" xfId="0" applyNumberFormat="1" applyFont="1" applyFill="1" applyBorder="1" applyAlignment="1">
      <alignment horizontal="right" vertical="center" indent="1"/>
    </xf>
    <xf numFmtId="0" fontId="0" fillId="9" borderId="41" xfId="0" applyFill="1" applyBorder="1"/>
    <xf numFmtId="37" fontId="4" fillId="7" borderId="56" xfId="0" applyNumberFormat="1" applyFont="1" applyFill="1" applyBorder="1" applyAlignment="1">
      <alignment horizontal="center"/>
    </xf>
    <xf numFmtId="0" fontId="0" fillId="7" borderId="41" xfId="0" applyFill="1" applyBorder="1"/>
    <xf numFmtId="0" fontId="13" fillId="7" borderId="42" xfId="0" applyFont="1" applyFill="1" applyBorder="1" applyAlignment="1">
      <alignment horizontal="center"/>
    </xf>
    <xf numFmtId="0" fontId="32" fillId="7" borderId="41" xfId="0" applyFont="1" applyFill="1" applyBorder="1"/>
    <xf numFmtId="0" fontId="14" fillId="9" borderId="42" xfId="0" applyFont="1" applyFill="1" applyBorder="1"/>
    <xf numFmtId="41" fontId="4" fillId="8" borderId="42" xfId="0" applyNumberFormat="1" applyFont="1" applyFill="1" applyBorder="1"/>
    <xf numFmtId="41" fontId="4" fillId="8" borderId="41" xfId="0" applyNumberFormat="1" applyFont="1" applyFill="1" applyBorder="1"/>
    <xf numFmtId="37" fontId="15" fillId="3" borderId="57" xfId="0" applyNumberFormat="1" applyFont="1" applyFill="1" applyBorder="1" applyAlignment="1">
      <alignment horizontal="center" vertical="center"/>
    </xf>
    <xf numFmtId="37" fontId="24" fillId="9" borderId="57" xfId="0" applyNumberFormat="1" applyFont="1" applyFill="1" applyBorder="1" applyAlignment="1">
      <alignment horizontal="center" vertical="center"/>
    </xf>
    <xf numFmtId="0" fontId="33" fillId="0" borderId="41" xfId="0" applyFont="1" applyBorder="1"/>
    <xf numFmtId="37" fontId="8" fillId="11" borderId="0" xfId="0" applyNumberFormat="1" applyFont="1" applyFill="1"/>
    <xf numFmtId="37" fontId="8" fillId="5" borderId="42" xfId="0" applyNumberFormat="1" applyFont="1" applyFill="1" applyBorder="1" applyAlignment="1">
      <alignment horizontal="center"/>
    </xf>
    <xf numFmtId="41" fontId="9" fillId="5" borderId="41" xfId="0" applyNumberFormat="1" applyFont="1" applyFill="1" applyBorder="1" applyAlignment="1">
      <alignment horizontal="right"/>
    </xf>
    <xf numFmtId="37" fontId="4" fillId="8" borderId="42" xfId="0" applyNumberFormat="1" applyFont="1" applyFill="1" applyBorder="1" applyAlignment="1">
      <alignment horizontal="center"/>
    </xf>
    <xf numFmtId="37" fontId="24" fillId="9" borderId="43" xfId="0" applyNumberFormat="1" applyFont="1" applyFill="1" applyBorder="1" applyAlignment="1">
      <alignment horizontal="center" vertical="center"/>
    </xf>
    <xf numFmtId="41" fontId="24" fillId="9" borderId="46" xfId="0" applyNumberFormat="1" applyFont="1" applyFill="1" applyBorder="1" applyAlignment="1">
      <alignment horizontal="left" vertical="center" indent="1"/>
    </xf>
    <xf numFmtId="41" fontId="24" fillId="9" borderId="44" xfId="0" applyNumberFormat="1" applyFont="1" applyFill="1" applyBorder="1" applyAlignment="1">
      <alignment vertical="center"/>
    </xf>
    <xf numFmtId="41" fontId="24" fillId="9" borderId="45" xfId="0" applyNumberFormat="1" applyFont="1" applyFill="1" applyBorder="1" applyAlignment="1">
      <alignment vertical="center"/>
    </xf>
    <xf numFmtId="37" fontId="8" fillId="11" borderId="16" xfId="0" applyNumberFormat="1" applyFont="1" applyFill="1" applyBorder="1"/>
    <xf numFmtId="37" fontId="24" fillId="12" borderId="57" xfId="0" applyNumberFormat="1" applyFont="1" applyFill="1" applyBorder="1" applyAlignment="1">
      <alignment horizontal="left" vertical="center"/>
    </xf>
    <xf numFmtId="37" fontId="24" fillId="12" borderId="4" xfId="0" applyNumberFormat="1" applyFont="1" applyFill="1" applyBorder="1" applyAlignment="1">
      <alignment horizontal="left" vertical="center"/>
    </xf>
    <xf numFmtId="37" fontId="24" fillId="12" borderId="5" xfId="0" applyNumberFormat="1" applyFont="1" applyFill="1" applyBorder="1" applyAlignment="1">
      <alignment horizontal="left" vertical="center"/>
    </xf>
    <xf numFmtId="41" fontId="24" fillId="12" borderId="37" xfId="0" applyNumberFormat="1" applyFont="1" applyFill="1" applyBorder="1" applyAlignment="1">
      <alignment horizontal="right" vertical="center" indent="1"/>
    </xf>
    <xf numFmtId="41" fontId="24" fillId="12" borderId="58" xfId="0" applyNumberFormat="1" applyFont="1" applyFill="1" applyBorder="1" applyAlignment="1">
      <alignment horizontal="right" vertical="center" indent="1"/>
    </xf>
    <xf numFmtId="37" fontId="13" fillId="7" borderId="0" xfId="0" applyNumberFormat="1" applyFont="1" applyFill="1" applyAlignment="1">
      <alignment horizontal="centerContinuous"/>
    </xf>
    <xf numFmtId="41" fontId="24" fillId="9" borderId="8" xfId="0" applyNumberFormat="1" applyFont="1" applyFill="1" applyBorder="1" applyAlignment="1">
      <alignment horizontal="center" vertical="center"/>
    </xf>
    <xf numFmtId="37" fontId="8" fillId="0" borderId="16" xfId="0" applyNumberFormat="1" applyFont="1" applyBorder="1"/>
    <xf numFmtId="0" fontId="28" fillId="11" borderId="0" xfId="0" applyFont="1" applyFill="1"/>
    <xf numFmtId="0" fontId="28" fillId="11" borderId="41" xfId="0" applyFont="1" applyFill="1" applyBorder="1"/>
    <xf numFmtId="41" fontId="0" fillId="0" borderId="0" xfId="0" applyNumberFormat="1"/>
    <xf numFmtId="3" fontId="15" fillId="3" borderId="3" xfId="0" applyNumberFormat="1" applyFont="1" applyFill="1" applyBorder="1" applyAlignment="1">
      <alignment horizontal="center" vertical="center"/>
    </xf>
    <xf numFmtId="3" fontId="15" fillId="3" borderId="3" xfId="1" applyNumberFormat="1" applyFont="1" applyFill="1" applyBorder="1" applyAlignment="1" applyProtection="1">
      <alignment horizontal="center" vertical="center"/>
    </xf>
    <xf numFmtId="0" fontId="39" fillId="9" borderId="0" xfId="0" applyFont="1" applyFill="1"/>
    <xf numFmtId="0" fontId="39" fillId="0" borderId="0" xfId="0" applyFont="1"/>
    <xf numFmtId="43" fontId="0" fillId="9" borderId="0" xfId="0" applyNumberFormat="1" applyFill="1"/>
    <xf numFmtId="0" fontId="0" fillId="0" borderId="0" xfId="0" quotePrefix="1"/>
    <xf numFmtId="41" fontId="0" fillId="0" borderId="0" xfId="0" quotePrefix="1" applyNumberFormat="1"/>
    <xf numFmtId="41" fontId="24" fillId="9" borderId="22" xfId="0" applyNumberFormat="1" applyFont="1" applyFill="1" applyBorder="1" applyAlignment="1">
      <alignment horizontal="left" vertical="center" indent="1"/>
    </xf>
    <xf numFmtId="41" fontId="24" fillId="9" borderId="25" xfId="0" applyNumberFormat="1" applyFont="1" applyFill="1" applyBorder="1" applyAlignment="1">
      <alignment horizontal="left" vertical="center" indent="1"/>
    </xf>
    <xf numFmtId="37" fontId="4" fillId="7" borderId="16" xfId="0" applyNumberFormat="1" applyFont="1" applyFill="1" applyBorder="1" applyAlignment="1">
      <alignment horizontal="center"/>
    </xf>
    <xf numFmtId="37" fontId="4" fillId="7" borderId="0" xfId="0" applyNumberFormat="1" applyFont="1" applyFill="1"/>
    <xf numFmtId="37" fontId="13" fillId="7" borderId="0" xfId="0" applyNumberFormat="1" applyFont="1" applyFill="1"/>
    <xf numFmtId="37" fontId="13" fillId="7" borderId="0" xfId="0" applyNumberFormat="1" applyFont="1" applyFill="1" applyAlignment="1">
      <alignment horizontal="center"/>
    </xf>
    <xf numFmtId="37" fontId="13" fillId="7" borderId="19" xfId="0" applyNumberFormat="1" applyFont="1" applyFill="1" applyBorder="1" applyAlignment="1">
      <alignment horizontal="centerContinuous"/>
    </xf>
    <xf numFmtId="41" fontId="24" fillId="9" borderId="32" xfId="0" applyNumberFormat="1" applyFont="1" applyFill="1" applyBorder="1" applyAlignment="1">
      <alignment horizontal="left" vertical="center" indent="1"/>
    </xf>
    <xf numFmtId="41" fontId="24" fillId="9" borderId="7" xfId="0" applyNumberFormat="1" applyFont="1" applyFill="1" applyBorder="1" applyAlignment="1">
      <alignment horizontal="left" vertical="center" indent="1"/>
    </xf>
    <xf numFmtId="0" fontId="40" fillId="9" borderId="59" xfId="0" applyFont="1" applyFill="1" applyBorder="1"/>
    <xf numFmtId="0" fontId="0" fillId="9" borderId="59" xfId="0" applyFill="1" applyBorder="1"/>
    <xf numFmtId="3" fontId="15" fillId="0" borderId="3" xfId="0" applyNumberFormat="1" applyFont="1" applyBorder="1" applyAlignment="1">
      <alignment horizontal="center" vertical="center"/>
    </xf>
    <xf numFmtId="3" fontId="15" fillId="0" borderId="22" xfId="0" applyNumberFormat="1" applyFont="1" applyBorder="1" applyAlignment="1">
      <alignment horizontal="center" vertical="center"/>
    </xf>
    <xf numFmtId="166" fontId="15" fillId="0" borderId="0" xfId="8" applyNumberFormat="1" applyFont="1" applyFill="1" applyBorder="1" applyAlignment="1" applyProtection="1">
      <alignment horizontal="center" vertical="center"/>
    </xf>
    <xf numFmtId="0" fontId="18" fillId="6" borderId="42" xfId="13" applyFont="1" applyFill="1" applyBorder="1">
      <alignment horizontal="centerContinuous"/>
    </xf>
    <xf numFmtId="0" fontId="18" fillId="6" borderId="41" xfId="13" applyFont="1" applyFill="1" applyBorder="1">
      <alignment horizontal="centerContinuous"/>
    </xf>
    <xf numFmtId="41" fontId="32" fillId="12" borderId="41" xfId="0" applyNumberFormat="1" applyFont="1" applyFill="1" applyBorder="1"/>
    <xf numFmtId="41" fontId="24" fillId="12" borderId="60" xfId="0" applyNumberFormat="1" applyFont="1" applyFill="1" applyBorder="1" applyAlignment="1">
      <alignment horizontal="right" vertical="center" indent="1"/>
    </xf>
    <xf numFmtId="41" fontId="24" fillId="12" borderId="61" xfId="0" applyNumberFormat="1" applyFont="1" applyFill="1" applyBorder="1" applyAlignment="1">
      <alignment horizontal="right" vertical="center" indent="1"/>
    </xf>
    <xf numFmtId="0" fontId="42" fillId="0" borderId="0" xfId="0" applyFont="1"/>
    <xf numFmtId="0" fontId="43" fillId="0" borderId="0" xfId="0" applyFont="1"/>
    <xf numFmtId="37" fontId="24" fillId="9" borderId="33" xfId="0" applyNumberFormat="1" applyFont="1" applyFill="1" applyBorder="1" applyAlignment="1">
      <alignment horizontal="center" vertical="center"/>
    </xf>
    <xf numFmtId="37" fontId="24" fillId="9" borderId="4" xfId="0" applyNumberFormat="1" applyFont="1" applyFill="1" applyBorder="1" applyAlignment="1">
      <alignment horizontal="center" vertical="center"/>
    </xf>
    <xf numFmtId="37" fontId="24" fillId="9" borderId="16" xfId="0" applyNumberFormat="1" applyFont="1" applyFill="1" applyBorder="1" applyAlignment="1">
      <alignment horizontal="center" vertical="center"/>
    </xf>
    <xf numFmtId="37" fontId="24" fillId="9" borderId="0" xfId="0" applyNumberFormat="1" applyFont="1" applyFill="1" applyAlignment="1">
      <alignment horizontal="center" vertical="center"/>
    </xf>
    <xf numFmtId="10" fontId="28" fillId="11" borderId="0" xfId="8" applyNumberFormat="1" applyFont="1" applyFill="1" applyBorder="1" applyAlignment="1" applyProtection="1">
      <alignment horizontal="center" vertical="center"/>
    </xf>
    <xf numFmtId="41" fontId="24" fillId="9" borderId="0" xfId="0" applyNumberFormat="1" applyFont="1" applyFill="1" applyAlignment="1">
      <alignment horizontal="right" vertical="center" indent="1"/>
    </xf>
    <xf numFmtId="0" fontId="22" fillId="0" borderId="0" xfId="0" applyFont="1"/>
    <xf numFmtId="168" fontId="15" fillId="3" borderId="3" xfId="0" applyNumberFormat="1" applyFont="1" applyFill="1" applyBorder="1" applyAlignment="1">
      <alignment horizontal="right" vertical="center" indent="1"/>
    </xf>
    <xf numFmtId="168" fontId="15" fillId="3" borderId="18" xfId="0" applyNumberFormat="1" applyFont="1" applyFill="1" applyBorder="1" applyAlignment="1">
      <alignment horizontal="right" vertical="center" indent="1"/>
    </xf>
    <xf numFmtId="168" fontId="24" fillId="9" borderId="3" xfId="0" applyNumberFormat="1" applyFont="1" applyFill="1" applyBorder="1" applyAlignment="1">
      <alignment horizontal="right" vertical="center" indent="1"/>
    </xf>
    <xf numFmtId="168" fontId="24" fillId="0" borderId="3" xfId="0" applyNumberFormat="1" applyFont="1" applyBorder="1" applyAlignment="1">
      <alignment horizontal="right" vertical="center" indent="1"/>
    </xf>
    <xf numFmtId="168" fontId="15" fillId="3" borderId="3" xfId="0" applyNumberFormat="1" applyFont="1" applyFill="1" applyBorder="1" applyAlignment="1">
      <alignment vertical="center"/>
    </xf>
    <xf numFmtId="168" fontId="15" fillId="3" borderId="18" xfId="0" applyNumberFormat="1" applyFont="1" applyFill="1" applyBorder="1" applyAlignment="1">
      <alignment vertical="center"/>
    </xf>
    <xf numFmtId="168" fontId="24" fillId="9" borderId="3" xfId="0" applyNumberFormat="1" applyFont="1" applyFill="1" applyBorder="1" applyAlignment="1">
      <alignment vertical="center"/>
    </xf>
    <xf numFmtId="168" fontId="24" fillId="9" borderId="18" xfId="0" applyNumberFormat="1" applyFont="1" applyFill="1" applyBorder="1" applyAlignment="1">
      <alignment vertical="center"/>
    </xf>
    <xf numFmtId="168" fontId="24" fillId="9" borderId="7" xfId="0" applyNumberFormat="1" applyFont="1" applyFill="1" applyBorder="1" applyAlignment="1">
      <alignment horizontal="right" vertical="center" indent="1"/>
    </xf>
    <xf numFmtId="168" fontId="24" fillId="9" borderId="32" xfId="0" applyNumberFormat="1" applyFont="1" applyFill="1" applyBorder="1" applyAlignment="1">
      <alignment horizontal="right" vertical="center" indent="1"/>
    </xf>
    <xf numFmtId="168" fontId="24" fillId="9" borderId="22" xfId="0" applyNumberFormat="1" applyFont="1" applyFill="1" applyBorder="1" applyAlignment="1">
      <alignment horizontal="right" vertical="center" indent="1"/>
    </xf>
    <xf numFmtId="166" fontId="15" fillId="3" borderId="3" xfId="8" applyNumberFormat="1" applyFont="1" applyFill="1" applyBorder="1" applyAlignment="1" applyProtection="1">
      <alignment horizontal="center" vertical="center"/>
    </xf>
    <xf numFmtId="10" fontId="24" fillId="0" borderId="4" xfId="8" applyNumberFormat="1" applyFont="1" applyFill="1" applyBorder="1" applyAlignment="1" applyProtection="1">
      <alignment horizontal="center" vertical="center"/>
    </xf>
    <xf numFmtId="0" fontId="22" fillId="3" borderId="0" xfId="0" applyFont="1" applyFill="1"/>
    <xf numFmtId="0" fontId="0" fillId="11" borderId="48" xfId="0" applyFill="1" applyBorder="1"/>
    <xf numFmtId="41" fontId="28" fillId="11" borderId="47" xfId="0" applyNumberFormat="1" applyFont="1" applyFill="1" applyBorder="1" applyAlignment="1">
      <alignment horizontal="right" vertical="center" indent="1"/>
    </xf>
    <xf numFmtId="0" fontId="0" fillId="11" borderId="50" xfId="0" applyFill="1" applyBorder="1"/>
    <xf numFmtId="0" fontId="29" fillId="11" borderId="40" xfId="0" applyFont="1" applyFill="1" applyBorder="1"/>
    <xf numFmtId="0" fontId="32" fillId="12" borderId="42" xfId="0" applyFont="1" applyFill="1" applyBorder="1"/>
    <xf numFmtId="41" fontId="28" fillId="0" borderId="0" xfId="0" applyNumberFormat="1" applyFont="1" applyAlignment="1">
      <alignment horizontal="right" vertical="center" indent="1"/>
    </xf>
    <xf numFmtId="41" fontId="28" fillId="0" borderId="0" xfId="0" applyNumberFormat="1" applyFont="1" applyAlignment="1">
      <alignment horizontal="left" vertical="center" indent="1"/>
    </xf>
    <xf numFmtId="37" fontId="15" fillId="13" borderId="42" xfId="0" applyNumberFormat="1" applyFont="1" applyFill="1" applyBorder="1" applyAlignment="1">
      <alignment horizontal="center" vertical="center"/>
    </xf>
    <xf numFmtId="37" fontId="15" fillId="13" borderId="0" xfId="0" applyNumberFormat="1" applyFont="1" applyFill="1" applyAlignment="1">
      <alignment horizontal="left"/>
    </xf>
    <xf numFmtId="0" fontId="37" fillId="13" borderId="0" xfId="0" applyFont="1" applyFill="1" applyAlignment="1">
      <alignment horizontal="center"/>
    </xf>
    <xf numFmtId="37" fontId="15" fillId="13" borderId="0" xfId="0" applyNumberFormat="1" applyFont="1" applyFill="1" applyAlignment="1">
      <alignment vertical="center"/>
    </xf>
    <xf numFmtId="41" fontId="24" fillId="13" borderId="0" xfId="0" applyNumberFormat="1" applyFont="1" applyFill="1" applyAlignment="1">
      <alignment horizontal="right" vertical="center" indent="1"/>
    </xf>
    <xf numFmtId="37" fontId="34" fillId="9" borderId="16" xfId="0" applyNumberFormat="1" applyFont="1" applyFill="1" applyBorder="1"/>
    <xf numFmtId="37" fontId="23" fillId="9" borderId="16" xfId="0" applyNumberFormat="1" applyFont="1" applyFill="1" applyBorder="1"/>
    <xf numFmtId="41" fontId="9" fillId="5" borderId="62" xfId="0" applyNumberFormat="1" applyFont="1" applyFill="1" applyBorder="1" applyAlignment="1">
      <alignment horizontal="right"/>
    </xf>
    <xf numFmtId="37" fontId="4" fillId="8" borderId="63" xfId="0" applyNumberFormat="1" applyFont="1" applyFill="1" applyBorder="1"/>
    <xf numFmtId="37" fontId="15" fillId="13" borderId="0" xfId="0" applyNumberFormat="1" applyFont="1" applyFill="1" applyAlignment="1">
      <alignment horizontal="left" vertical="center"/>
    </xf>
    <xf numFmtId="41" fontId="4" fillId="8" borderId="16" xfId="0" applyNumberFormat="1" applyFont="1" applyFill="1" applyBorder="1"/>
    <xf numFmtId="37" fontId="8" fillId="9" borderId="64" xfId="0" applyNumberFormat="1" applyFont="1" applyFill="1" applyBorder="1"/>
    <xf numFmtId="0" fontId="0" fillId="9" borderId="16" xfId="0" applyFill="1" applyBorder="1"/>
    <xf numFmtId="0" fontId="0" fillId="11" borderId="16" xfId="0" applyFill="1" applyBorder="1"/>
    <xf numFmtId="41" fontId="15" fillId="3" borderId="16" xfId="0" applyNumberFormat="1" applyFont="1" applyFill="1" applyBorder="1" applyAlignment="1">
      <alignment horizontal="left" vertical="center" indent="1"/>
    </xf>
    <xf numFmtId="41" fontId="24" fillId="9" borderId="7" xfId="0" applyNumberFormat="1" applyFont="1" applyFill="1" applyBorder="1" applyAlignment="1">
      <alignment horizontal="right" vertical="center" indent="1"/>
    </xf>
    <xf numFmtId="41" fontId="28" fillId="11" borderId="3" xfId="0" applyNumberFormat="1" applyFont="1" applyFill="1" applyBorder="1" applyAlignment="1">
      <alignment horizontal="right" vertical="center" indent="1"/>
    </xf>
    <xf numFmtId="37" fontId="15" fillId="0" borderId="65" xfId="0" applyNumberFormat="1" applyFont="1" applyBorder="1" applyAlignment="1">
      <alignment horizontal="left"/>
    </xf>
    <xf numFmtId="37" fontId="15" fillId="0" borderId="8" xfId="0" applyNumberFormat="1" applyFont="1" applyBorder="1" applyAlignment="1">
      <alignment vertical="center"/>
    </xf>
    <xf numFmtId="37" fontId="15" fillId="3" borderId="66" xfId="0" applyNumberFormat="1" applyFont="1" applyFill="1" applyBorder="1" applyAlignment="1">
      <alignment horizontal="left"/>
    </xf>
    <xf numFmtId="37" fontId="15" fillId="3" borderId="67" xfId="0" applyNumberFormat="1" applyFont="1" applyFill="1" applyBorder="1" applyAlignment="1">
      <alignment horizontal="center" vertical="center"/>
    </xf>
    <xf numFmtId="39" fontId="15" fillId="3" borderId="10" xfId="0" applyNumberFormat="1" applyFont="1" applyFill="1" applyBorder="1" applyAlignment="1">
      <alignment horizontal="center" vertical="center"/>
    </xf>
    <xf numFmtId="0" fontId="29" fillId="0" borderId="0" xfId="0" applyFont="1" applyAlignment="1">
      <alignment wrapText="1"/>
    </xf>
    <xf numFmtId="0" fontId="1" fillId="9" borderId="0" xfId="0" applyFont="1" applyFill="1"/>
    <xf numFmtId="0" fontId="42" fillId="11" borderId="3" xfId="0" applyFont="1" applyFill="1" applyBorder="1" applyAlignment="1">
      <alignment horizontal="left" vertical="center" indent="1"/>
    </xf>
    <xf numFmtId="39" fontId="24" fillId="9" borderId="7" xfId="0" applyNumberFormat="1" applyFont="1" applyFill="1" applyBorder="1" applyAlignment="1">
      <alignment horizontal="right" vertical="center" indent="1"/>
    </xf>
    <xf numFmtId="41" fontId="15" fillId="3" borderId="7" xfId="0" applyNumberFormat="1" applyFont="1" applyFill="1" applyBorder="1" applyAlignment="1">
      <alignment horizontal="right" vertical="center" indent="1"/>
    </xf>
    <xf numFmtId="41" fontId="24" fillId="9" borderId="10" xfId="0" applyNumberFormat="1" applyFont="1" applyFill="1" applyBorder="1" applyAlignment="1">
      <alignment horizontal="right" vertical="center" indent="1"/>
    </xf>
    <xf numFmtId="37" fontId="24" fillId="9" borderId="7" xfId="0" applyNumberFormat="1" applyFont="1" applyFill="1" applyBorder="1" applyAlignment="1">
      <alignment vertical="center"/>
    </xf>
    <xf numFmtId="37" fontId="24" fillId="9" borderId="8" xfId="0" applyNumberFormat="1" applyFont="1" applyFill="1" applyBorder="1" applyAlignment="1">
      <alignment vertical="center"/>
    </xf>
    <xf numFmtId="37" fontId="24" fillId="9" borderId="9" xfId="0" applyNumberFormat="1" applyFont="1" applyFill="1" applyBorder="1" applyAlignment="1">
      <alignment vertical="center"/>
    </xf>
    <xf numFmtId="37" fontId="15" fillId="3" borderId="10" xfId="0" applyNumberFormat="1" applyFont="1" applyFill="1" applyBorder="1" applyAlignment="1">
      <alignment horizontal="left" vertical="center"/>
    </xf>
    <xf numFmtId="37" fontId="15" fillId="3" borderId="11" xfId="0" applyNumberFormat="1" applyFont="1" applyFill="1" applyBorder="1" applyAlignment="1">
      <alignment horizontal="left" vertical="center"/>
    </xf>
    <xf numFmtId="41" fontId="15" fillId="3" borderId="10" xfId="0" applyNumberFormat="1" applyFont="1" applyFill="1" applyBorder="1" applyAlignment="1">
      <alignment horizontal="right" vertical="center" indent="1"/>
    </xf>
    <xf numFmtId="37" fontId="46" fillId="9" borderId="30" xfId="0" applyNumberFormat="1" applyFont="1" applyFill="1" applyBorder="1" applyAlignment="1">
      <alignment vertical="center" wrapText="1"/>
    </xf>
    <xf numFmtId="37" fontId="46" fillId="9" borderId="16" xfId="0" applyNumberFormat="1" applyFont="1" applyFill="1" applyBorder="1" applyAlignment="1">
      <alignment vertical="center" wrapText="1"/>
    </xf>
    <xf numFmtId="37" fontId="46" fillId="9" borderId="68" xfId="0" applyNumberFormat="1" applyFont="1" applyFill="1" applyBorder="1" applyAlignment="1">
      <alignment vertical="center" wrapText="1"/>
    </xf>
    <xf numFmtId="37" fontId="46" fillId="9" borderId="37" xfId="0" applyNumberFormat="1" applyFont="1" applyFill="1" applyBorder="1" applyAlignment="1">
      <alignment vertical="center" wrapText="1"/>
    </xf>
    <xf numFmtId="37" fontId="46" fillId="9" borderId="69" xfId="0" applyNumberFormat="1" applyFont="1" applyFill="1" applyBorder="1" applyAlignment="1">
      <alignment vertical="center" wrapText="1"/>
    </xf>
    <xf numFmtId="37" fontId="15" fillId="3" borderId="0" xfId="0" applyNumberFormat="1" applyFont="1" applyFill="1" applyAlignment="1">
      <alignment vertical="center"/>
    </xf>
    <xf numFmtId="0" fontId="49" fillId="9" borderId="0" xfId="0" applyFont="1" applyFill="1"/>
    <xf numFmtId="0" fontId="53" fillId="0" borderId="0" xfId="0" applyFont="1" applyAlignment="1">
      <alignment horizontal="right"/>
    </xf>
    <xf numFmtId="0" fontId="53" fillId="0" borderId="0" xfId="0" applyFont="1"/>
    <xf numFmtId="37" fontId="57" fillId="0" borderId="16" xfId="0" applyNumberFormat="1" applyFont="1" applyBorder="1"/>
    <xf numFmtId="168" fontId="24" fillId="0" borderId="3" xfId="1" applyNumberFormat="1" applyFont="1" applyFill="1" applyBorder="1" applyAlignment="1" applyProtection="1">
      <alignment horizontal="left" vertical="center" indent="1"/>
    </xf>
    <xf numFmtId="168" fontId="24" fillId="0" borderId="18" xfId="1" applyNumberFormat="1" applyFont="1" applyFill="1" applyBorder="1" applyAlignment="1" applyProtection="1">
      <alignment horizontal="left" vertical="center" indent="1"/>
    </xf>
    <xf numFmtId="0" fontId="15" fillId="0" borderId="41" xfId="0" applyFont="1" applyBorder="1"/>
    <xf numFmtId="0" fontId="34" fillId="0" borderId="16" xfId="0" applyFont="1" applyBorder="1"/>
    <xf numFmtId="168" fontId="15" fillId="3" borderId="7" xfId="0" applyNumberFormat="1" applyFont="1" applyFill="1" applyBorder="1" applyAlignment="1">
      <alignment horizontal="right" vertical="center" indent="1"/>
    </xf>
    <xf numFmtId="168" fontId="15" fillId="3" borderId="10" xfId="0" applyNumberFormat="1" applyFont="1" applyFill="1" applyBorder="1" applyAlignment="1">
      <alignment horizontal="right" vertical="center" indent="1"/>
    </xf>
    <xf numFmtId="168" fontId="24" fillId="14" borderId="70" xfId="0" applyNumberFormat="1" applyFont="1" applyFill="1" applyBorder="1" applyAlignment="1">
      <alignment horizontal="right" vertical="center" indent="1"/>
    </xf>
    <xf numFmtId="41" fontId="24" fillId="9" borderId="4" xfId="0" applyNumberFormat="1" applyFont="1" applyFill="1" applyBorder="1" applyAlignment="1">
      <alignment horizontal="right" vertical="center" indent="1"/>
    </xf>
    <xf numFmtId="168" fontId="24" fillId="9" borderId="4" xfId="0" applyNumberFormat="1" applyFont="1" applyFill="1" applyBorder="1" applyAlignment="1">
      <alignment vertical="center"/>
    </xf>
    <xf numFmtId="168" fontId="15" fillId="3" borderId="7" xfId="0" applyNumberFormat="1" applyFont="1" applyFill="1" applyBorder="1" applyAlignment="1">
      <alignment vertical="center"/>
    </xf>
    <xf numFmtId="168" fontId="24" fillId="9" borderId="10" xfId="0" applyNumberFormat="1" applyFont="1" applyFill="1" applyBorder="1" applyAlignment="1">
      <alignment vertical="center"/>
    </xf>
    <xf numFmtId="41" fontId="24" fillId="0" borderId="4" xfId="0" applyNumberFormat="1" applyFont="1" applyBorder="1" applyAlignment="1">
      <alignment horizontal="left" vertical="center" indent="1"/>
    </xf>
    <xf numFmtId="10" fontId="15" fillId="3" borderId="11" xfId="0" applyNumberFormat="1" applyFont="1" applyFill="1" applyBorder="1" applyAlignment="1">
      <alignment horizontal="center" vertical="center"/>
    </xf>
    <xf numFmtId="37" fontId="24" fillId="0" borderId="36" xfId="0" applyNumberFormat="1" applyFont="1" applyBorder="1" applyAlignment="1">
      <alignment horizontal="right" vertical="center"/>
    </xf>
    <xf numFmtId="41" fontId="15" fillId="3" borderId="71" xfId="0" applyNumberFormat="1" applyFont="1" applyFill="1" applyBorder="1" applyAlignment="1">
      <alignment horizontal="left" vertical="center" indent="1"/>
    </xf>
    <xf numFmtId="41" fontId="15" fillId="3" borderId="9" xfId="0" applyNumberFormat="1" applyFont="1" applyFill="1" applyBorder="1" applyAlignment="1">
      <alignment vertical="center"/>
    </xf>
    <xf numFmtId="41" fontId="15" fillId="3" borderId="12" xfId="0" applyNumberFormat="1" applyFont="1" applyFill="1" applyBorder="1" applyAlignment="1">
      <alignment vertical="center"/>
    </xf>
    <xf numFmtId="168" fontId="24" fillId="9" borderId="4" xfId="0" applyNumberFormat="1" applyFont="1" applyFill="1" applyBorder="1" applyAlignment="1">
      <alignment horizontal="right" vertical="center" indent="1"/>
    </xf>
    <xf numFmtId="41" fontId="24" fillId="9" borderId="11" xfId="0" applyNumberFormat="1" applyFont="1" applyFill="1" applyBorder="1" applyAlignment="1">
      <alignment horizontal="right" vertical="center" indent="1"/>
    </xf>
    <xf numFmtId="39" fontId="15" fillId="3" borderId="10" xfId="0" applyNumberFormat="1" applyFont="1" applyFill="1" applyBorder="1" applyAlignment="1">
      <alignment horizontal="right" vertical="center" indent="1"/>
    </xf>
    <xf numFmtId="168" fontId="15" fillId="3" borderId="71" xfId="0" applyNumberFormat="1" applyFont="1" applyFill="1" applyBorder="1" applyAlignment="1">
      <alignment horizontal="right" vertical="center" indent="1"/>
    </xf>
    <xf numFmtId="41" fontId="24" fillId="0" borderId="36" xfId="0" applyNumberFormat="1" applyFont="1" applyBorder="1" applyAlignment="1">
      <alignment horizontal="right" vertical="center" indent="1"/>
    </xf>
    <xf numFmtId="41" fontId="15" fillId="3" borderId="32" xfId="0" applyNumberFormat="1" applyFont="1" applyFill="1" applyBorder="1" applyAlignment="1">
      <alignment horizontal="right" vertical="center" indent="1"/>
    </xf>
    <xf numFmtId="41" fontId="24" fillId="0" borderId="4" xfId="0" applyNumberFormat="1" applyFont="1" applyBorder="1" applyAlignment="1">
      <alignment horizontal="right" vertical="center" indent="1"/>
    </xf>
    <xf numFmtId="10" fontId="15" fillId="3" borderId="0" xfId="0" applyNumberFormat="1" applyFont="1" applyFill="1" applyAlignment="1">
      <alignment horizontal="center" vertical="center"/>
    </xf>
    <xf numFmtId="41" fontId="15" fillId="3" borderId="8" xfId="0" applyNumberFormat="1" applyFont="1" applyFill="1" applyBorder="1" applyAlignment="1">
      <alignment vertical="center"/>
    </xf>
    <xf numFmtId="41" fontId="15" fillId="3" borderId="11" xfId="0" applyNumberFormat="1" applyFont="1" applyFill="1" applyBorder="1" applyAlignment="1">
      <alignment vertical="center"/>
    </xf>
    <xf numFmtId="10" fontId="28" fillId="0" borderId="0" xfId="0" applyNumberFormat="1" applyFont="1" applyAlignment="1">
      <alignment horizontal="center" vertical="center"/>
    </xf>
    <xf numFmtId="41" fontId="24" fillId="0" borderId="0" xfId="0" applyNumberFormat="1" applyFont="1" applyAlignment="1">
      <alignment horizontal="left" vertical="center" indent="1"/>
    </xf>
    <xf numFmtId="0" fontId="61" fillId="0" borderId="0" xfId="0" applyFont="1"/>
    <xf numFmtId="41" fontId="24" fillId="9" borderId="72" xfId="0" applyNumberFormat="1" applyFont="1" applyFill="1" applyBorder="1" applyAlignment="1">
      <alignment horizontal="left" vertical="center" indent="1"/>
    </xf>
    <xf numFmtId="41" fontId="9" fillId="5" borderId="42" xfId="0" applyNumberFormat="1" applyFont="1" applyFill="1" applyBorder="1" applyAlignment="1">
      <alignment horizontal="right"/>
    </xf>
    <xf numFmtId="0" fontId="0" fillId="9" borderId="42" xfId="0" applyFill="1" applyBorder="1"/>
    <xf numFmtId="0" fontId="22" fillId="0" borderId="41" xfId="0" applyFont="1" applyBorder="1"/>
    <xf numFmtId="0" fontId="15" fillId="0" borderId="55" xfId="0" applyFont="1" applyBorder="1"/>
    <xf numFmtId="0" fontId="62" fillId="0" borderId="0" xfId="0" applyFont="1"/>
    <xf numFmtId="0" fontId="63" fillId="0" borderId="0" xfId="0" applyFont="1"/>
    <xf numFmtId="0" fontId="61" fillId="9" borderId="0" xfId="0" applyFont="1" applyFill="1"/>
    <xf numFmtId="0" fontId="0" fillId="0" borderId="0" xfId="0" applyAlignment="1">
      <alignment vertical="top" wrapText="1"/>
    </xf>
    <xf numFmtId="0" fontId="64" fillId="0" borderId="0" xfId="0" applyFont="1"/>
    <xf numFmtId="0" fontId="5" fillId="9" borderId="0" xfId="0" applyFont="1" applyFill="1"/>
    <xf numFmtId="167" fontId="61" fillId="9" borderId="0" xfId="0" applyNumberFormat="1" applyFont="1" applyFill="1"/>
    <xf numFmtId="0" fontId="58" fillId="9" borderId="0" xfId="0" applyFont="1" applyFill="1"/>
    <xf numFmtId="37" fontId="13" fillId="7" borderId="73" xfId="0" applyNumberFormat="1" applyFont="1" applyFill="1" applyBorder="1" applyAlignment="1">
      <alignment horizontal="center"/>
    </xf>
    <xf numFmtId="0" fontId="65" fillId="0" borderId="0" xfId="0" applyFont="1"/>
    <xf numFmtId="10" fontId="28" fillId="11" borderId="0" xfId="8" applyNumberFormat="1" applyFont="1" applyFill="1" applyBorder="1" applyAlignment="1" applyProtection="1">
      <alignment horizontal="right" vertical="center" indent="1"/>
    </xf>
    <xf numFmtId="41" fontId="24" fillId="0" borderId="5" xfId="0" applyNumberFormat="1" applyFont="1" applyBorder="1" applyAlignment="1">
      <alignment vertical="center"/>
    </xf>
    <xf numFmtId="41" fontId="65" fillId="3" borderId="3" xfId="0" applyNumberFormat="1" applyFont="1" applyFill="1" applyBorder="1" applyAlignment="1">
      <alignment horizontal="right" vertical="center" indent="1"/>
    </xf>
    <xf numFmtId="37" fontId="15" fillId="0" borderId="74" xfId="0" applyNumberFormat="1" applyFont="1" applyBorder="1" applyAlignment="1">
      <alignment horizontal="center" vertical="center"/>
    </xf>
    <xf numFmtId="168" fontId="24" fillId="0" borderId="4" xfId="0" applyNumberFormat="1" applyFont="1" applyBorder="1" applyAlignment="1">
      <alignment horizontal="right" vertical="center" indent="1"/>
    </xf>
    <xf numFmtId="37" fontId="24" fillId="9" borderId="4" xfId="0" applyNumberFormat="1" applyFont="1" applyFill="1" applyBorder="1" applyAlignment="1">
      <alignment horizontal="left" vertical="center"/>
    </xf>
    <xf numFmtId="37" fontId="24" fillId="9" borderId="5" xfId="0" applyNumberFormat="1" applyFont="1" applyFill="1" applyBorder="1" applyAlignment="1">
      <alignment horizontal="left" vertical="center"/>
    </xf>
    <xf numFmtId="41" fontId="15" fillId="3" borderId="4" xfId="0" applyNumberFormat="1" applyFont="1" applyFill="1" applyBorder="1" applyAlignment="1">
      <alignment horizontal="right" vertical="center" indent="1"/>
    </xf>
    <xf numFmtId="41" fontId="15" fillId="3" borderId="0" xfId="0" applyNumberFormat="1" applyFont="1" applyFill="1" applyAlignment="1">
      <alignment horizontal="right" vertical="center" indent="1"/>
    </xf>
    <xf numFmtId="168" fontId="61" fillId="0" borderId="0" xfId="1" applyNumberFormat="1" applyFont="1"/>
    <xf numFmtId="168" fontId="59" fillId="0" borderId="0" xfId="1" applyNumberFormat="1" applyFont="1"/>
    <xf numFmtId="168" fontId="59" fillId="9" borderId="0" xfId="1" applyNumberFormat="1" applyFont="1" applyFill="1"/>
    <xf numFmtId="37" fontId="24" fillId="12" borderId="42" xfId="0" applyNumberFormat="1" applyFont="1" applyFill="1" applyBorder="1" applyAlignment="1">
      <alignment horizontal="left" vertical="center"/>
    </xf>
    <xf numFmtId="37" fontId="24" fillId="12" borderId="0" xfId="0" applyNumberFormat="1" applyFont="1" applyFill="1" applyAlignment="1">
      <alignment horizontal="left" vertical="center"/>
    </xf>
    <xf numFmtId="168" fontId="24" fillId="9" borderId="10" xfId="0" applyNumberFormat="1" applyFont="1" applyFill="1" applyBorder="1" applyAlignment="1">
      <alignment horizontal="right" vertical="center" indent="1"/>
    </xf>
    <xf numFmtId="41" fontId="24" fillId="12" borderId="75" xfId="0" applyNumberFormat="1" applyFont="1" applyFill="1" applyBorder="1" applyAlignment="1">
      <alignment horizontal="right" vertical="center" indent="1"/>
    </xf>
    <xf numFmtId="0" fontId="0" fillId="5" borderId="0" xfId="0" applyFill="1"/>
    <xf numFmtId="0" fontId="66" fillId="5" borderId="0" xfId="0" applyFont="1" applyFill="1"/>
    <xf numFmtId="0" fontId="22" fillId="3" borderId="73" xfId="0" applyFont="1" applyFill="1" applyBorder="1"/>
    <xf numFmtId="0" fontId="22" fillId="9" borderId="19" xfId="0" applyFont="1" applyFill="1" applyBorder="1"/>
    <xf numFmtId="0" fontId="31" fillId="3" borderId="16" xfId="0" applyFont="1" applyFill="1" applyBorder="1"/>
    <xf numFmtId="0" fontId="22" fillId="3" borderId="19" xfId="0" applyFont="1" applyFill="1" applyBorder="1"/>
    <xf numFmtId="0" fontId="22" fillId="0" borderId="19" xfId="0" applyFont="1" applyBorder="1"/>
    <xf numFmtId="0" fontId="0" fillId="0" borderId="19" xfId="0" applyBorder="1"/>
    <xf numFmtId="0" fontId="0" fillId="9" borderId="19" xfId="0" applyFill="1" applyBorder="1"/>
    <xf numFmtId="0" fontId="67" fillId="3" borderId="19" xfId="0" applyFont="1" applyFill="1" applyBorder="1"/>
    <xf numFmtId="0" fontId="67" fillId="0" borderId="69" xfId="0" applyFont="1" applyBorder="1"/>
    <xf numFmtId="0" fontId="0" fillId="3" borderId="19" xfId="0" applyFill="1" applyBorder="1"/>
    <xf numFmtId="0" fontId="0" fillId="0" borderId="69" xfId="0" applyBorder="1"/>
    <xf numFmtId="0" fontId="0" fillId="8" borderId="19" xfId="0" applyFill="1" applyBorder="1"/>
    <xf numFmtId="0" fontId="0" fillId="8" borderId="69" xfId="0" applyFill="1" applyBorder="1"/>
    <xf numFmtId="0" fontId="12" fillId="6" borderId="16" xfId="13" applyFont="1" applyFill="1" applyBorder="1" applyAlignment="1">
      <alignment horizontal="center"/>
    </xf>
    <xf numFmtId="0" fontId="12" fillId="6" borderId="0" xfId="13" applyFont="1" applyFill="1" applyAlignment="1">
      <alignment horizontal="left"/>
    </xf>
    <xf numFmtId="0" fontId="12" fillId="6" borderId="0" xfId="13" applyFont="1" applyFill="1" applyAlignment="1">
      <alignment horizontal="center"/>
    </xf>
    <xf numFmtId="0" fontId="0" fillId="3" borderId="16" xfId="0" applyFill="1" applyBorder="1"/>
    <xf numFmtId="0" fontId="33" fillId="3" borderId="0" xfId="0" applyFont="1" applyFill="1"/>
    <xf numFmtId="37" fontId="15" fillId="3" borderId="42" xfId="0" applyNumberFormat="1" applyFont="1" applyFill="1" applyBorder="1" applyAlignment="1">
      <alignment horizontal="center" vertical="center"/>
    </xf>
    <xf numFmtId="41" fontId="28" fillId="0" borderId="0" xfId="0" applyNumberFormat="1" applyFont="1" applyAlignment="1">
      <alignment vertical="center"/>
    </xf>
    <xf numFmtId="37" fontId="8" fillId="3" borderId="16" xfId="0" applyNumberFormat="1" applyFont="1" applyFill="1" applyBorder="1"/>
    <xf numFmtId="37" fontId="8" fillId="3" borderId="0" xfId="0" applyNumberFormat="1" applyFont="1" applyFill="1"/>
    <xf numFmtId="0" fontId="33" fillId="3" borderId="19" xfId="0" applyFont="1" applyFill="1" applyBorder="1"/>
    <xf numFmtId="37" fontId="8" fillId="3" borderId="68" xfId="0" applyNumberFormat="1" applyFont="1" applyFill="1" applyBorder="1"/>
    <xf numFmtId="0" fontId="22" fillId="3" borderId="69" xfId="0" applyFont="1" applyFill="1" applyBorder="1"/>
    <xf numFmtId="37" fontId="8" fillId="3" borderId="37" xfId="0" applyNumberFormat="1" applyFont="1" applyFill="1" applyBorder="1"/>
    <xf numFmtId="37" fontId="8" fillId="3" borderId="30" xfId="0" applyNumberFormat="1" applyFont="1" applyFill="1" applyBorder="1"/>
    <xf numFmtId="0" fontId="33" fillId="3" borderId="41" xfId="0" applyFont="1" applyFill="1" applyBorder="1"/>
    <xf numFmtId="0" fontId="22" fillId="3" borderId="41" xfId="0" applyFont="1" applyFill="1" applyBorder="1"/>
    <xf numFmtId="0" fontId="0" fillId="3" borderId="41" xfId="0" applyFill="1" applyBorder="1"/>
    <xf numFmtId="0" fontId="0" fillId="12" borderId="42" xfId="0" applyFill="1" applyBorder="1"/>
    <xf numFmtId="0" fontId="33" fillId="12" borderId="41" xfId="0" applyFont="1" applyFill="1" applyBorder="1"/>
    <xf numFmtId="0" fontId="22" fillId="12" borderId="41" xfId="0" applyFont="1" applyFill="1" applyBorder="1"/>
    <xf numFmtId="0" fontId="0" fillId="12" borderId="48" xfId="0" applyFill="1" applyBorder="1"/>
    <xf numFmtId="0" fontId="22" fillId="12" borderId="55" xfId="0" applyFont="1" applyFill="1" applyBorder="1"/>
    <xf numFmtId="0" fontId="0" fillId="12" borderId="50" xfId="0" applyFill="1" applyBorder="1"/>
    <xf numFmtId="0" fontId="0" fillId="12" borderId="40" xfId="0" applyFill="1" applyBorder="1"/>
    <xf numFmtId="0" fontId="0" fillId="0" borderId="16" xfId="0" applyBorder="1"/>
    <xf numFmtId="37" fontId="4" fillId="8" borderId="30" xfId="0" applyNumberFormat="1" applyFont="1" applyFill="1" applyBorder="1"/>
    <xf numFmtId="0" fontId="33" fillId="0" borderId="19" xfId="0" applyFont="1" applyBorder="1"/>
    <xf numFmtId="37" fontId="8" fillId="0" borderId="68" xfId="0" applyNumberFormat="1" applyFont="1" applyBorder="1"/>
    <xf numFmtId="37" fontId="34" fillId="3" borderId="30" xfId="0" applyNumberFormat="1" applyFont="1" applyFill="1" applyBorder="1"/>
    <xf numFmtId="0" fontId="33" fillId="9" borderId="19" xfId="0" applyFont="1" applyFill="1" applyBorder="1"/>
    <xf numFmtId="0" fontId="22" fillId="0" borderId="69" xfId="0" applyFont="1" applyBorder="1"/>
    <xf numFmtId="41" fontId="15" fillId="5" borderId="76" xfId="0" applyNumberFormat="1" applyFont="1" applyFill="1" applyBorder="1" applyAlignment="1">
      <alignment horizontal="left" vertical="center" indent="1"/>
    </xf>
    <xf numFmtId="0" fontId="33" fillId="3" borderId="16" xfId="0" applyFont="1" applyFill="1" applyBorder="1"/>
    <xf numFmtId="37" fontId="44" fillId="11" borderId="16" xfId="0" applyNumberFormat="1" applyFont="1" applyFill="1" applyBorder="1"/>
    <xf numFmtId="0" fontId="45" fillId="9" borderId="16" xfId="0" applyFont="1" applyFill="1" applyBorder="1"/>
    <xf numFmtId="41" fontId="28" fillId="0" borderId="16" xfId="0" applyNumberFormat="1" applyFont="1" applyBorder="1" applyAlignment="1">
      <alignment vertical="center"/>
    </xf>
    <xf numFmtId="2" fontId="15" fillId="3" borderId="4" xfId="8" applyNumberFormat="1" applyFont="1" applyFill="1" applyBorder="1" applyAlignment="1" applyProtection="1">
      <alignment horizontal="center" vertical="center"/>
    </xf>
    <xf numFmtId="10" fontId="15" fillId="3" borderId="5" xfId="0" applyNumberFormat="1" applyFont="1" applyFill="1" applyBorder="1" applyAlignment="1">
      <alignment horizontal="center" vertical="center"/>
    </xf>
    <xf numFmtId="10" fontId="24" fillId="3" borderId="11" xfId="8" applyNumberFormat="1" applyFont="1" applyFill="1" applyBorder="1" applyAlignment="1" applyProtection="1">
      <alignment horizontal="center" vertical="center"/>
    </xf>
    <xf numFmtId="10" fontId="24" fillId="3" borderId="4" xfId="8" applyNumberFormat="1" applyFont="1" applyFill="1" applyBorder="1" applyAlignment="1" applyProtection="1">
      <alignment horizontal="center" vertical="center"/>
    </xf>
    <xf numFmtId="37" fontId="16" fillId="3" borderId="0" xfId="0" applyNumberFormat="1" applyFont="1" applyFill="1" applyAlignment="1">
      <alignment horizontal="left"/>
    </xf>
    <xf numFmtId="37" fontId="17" fillId="3" borderId="0" xfId="0" applyNumberFormat="1" applyFont="1" applyFill="1" applyAlignment="1">
      <alignment horizontal="left"/>
    </xf>
    <xf numFmtId="168" fontId="15" fillId="3" borderId="77" xfId="0" applyNumberFormat="1" applyFont="1" applyFill="1" applyBorder="1" applyAlignment="1">
      <alignment horizontal="right" vertical="center" indent="1"/>
    </xf>
    <xf numFmtId="37" fontId="16" fillId="3" borderId="11" xfId="0" applyNumberFormat="1" applyFont="1" applyFill="1" applyBorder="1"/>
    <xf numFmtId="37" fontId="4" fillId="8" borderId="11" xfId="0" applyNumberFormat="1" applyFont="1" applyFill="1" applyBorder="1" applyAlignment="1">
      <alignment horizontal="right"/>
    </xf>
    <xf numFmtId="37" fontId="4" fillId="8" borderId="16" xfId="0" applyNumberFormat="1" applyFont="1" applyFill="1" applyBorder="1" applyAlignment="1">
      <alignment horizontal="right"/>
    </xf>
    <xf numFmtId="0" fontId="0" fillId="9" borderId="68" xfId="0" applyFill="1" applyBorder="1"/>
    <xf numFmtId="3" fontId="24" fillId="9" borderId="10" xfId="0" applyNumberFormat="1" applyFont="1" applyFill="1" applyBorder="1" applyAlignment="1">
      <alignment horizontal="right" vertical="center" indent="1"/>
    </xf>
    <xf numFmtId="0" fontId="30" fillId="9" borderId="42" xfId="0" applyFont="1" applyFill="1" applyBorder="1"/>
    <xf numFmtId="10" fontId="31" fillId="9" borderId="42" xfId="0" applyNumberFormat="1" applyFont="1" applyFill="1" applyBorder="1"/>
    <xf numFmtId="0" fontId="0" fillId="0" borderId="42" xfId="0" applyBorder="1"/>
    <xf numFmtId="170" fontId="68" fillId="0" borderId="42" xfId="1" applyNumberFormat="1" applyFont="1" applyBorder="1"/>
    <xf numFmtId="2" fontId="0" fillId="0" borderId="0" xfId="0" applyNumberFormat="1"/>
    <xf numFmtId="2" fontId="0" fillId="0" borderId="41" xfId="0" applyNumberFormat="1" applyBorder="1"/>
    <xf numFmtId="10" fontId="68" fillId="9" borderId="41" xfId="8" applyNumberFormat="1" applyFont="1" applyFill="1" applyBorder="1"/>
    <xf numFmtId="168" fontId="31" fillId="0" borderId="42" xfId="0" applyNumberFormat="1" applyFont="1" applyBorder="1"/>
    <xf numFmtId="10" fontId="68" fillId="9" borderId="55" xfId="8" applyNumberFormat="1" applyFont="1" applyFill="1" applyBorder="1"/>
    <xf numFmtId="43" fontId="68" fillId="0" borderId="0" xfId="1" applyFont="1" applyBorder="1"/>
    <xf numFmtId="43" fontId="68" fillId="9" borderId="41" xfId="1" applyFont="1" applyFill="1" applyBorder="1"/>
    <xf numFmtId="10" fontId="31" fillId="9" borderId="54" xfId="0" applyNumberFormat="1" applyFont="1" applyFill="1" applyBorder="1"/>
    <xf numFmtId="43" fontId="68" fillId="9" borderId="37" xfId="1" applyFont="1" applyFill="1" applyBorder="1"/>
    <xf numFmtId="43" fontId="68" fillId="9" borderId="58" xfId="1" applyFont="1" applyFill="1" applyBorder="1"/>
    <xf numFmtId="0" fontId="0" fillId="0" borderId="0" xfId="0" applyAlignment="1">
      <alignment horizontal="right"/>
    </xf>
    <xf numFmtId="168" fontId="0" fillId="9" borderId="48" xfId="0" applyNumberFormat="1" applyFill="1" applyBorder="1"/>
    <xf numFmtId="0" fontId="0" fillId="9" borderId="0" xfId="0" applyFill="1" applyAlignment="1">
      <alignment horizontal="right"/>
    </xf>
    <xf numFmtId="0" fontId="70" fillId="9" borderId="0" xfId="0" applyFont="1" applyFill="1"/>
    <xf numFmtId="0" fontId="0" fillId="0" borderId="0" xfId="0" applyAlignment="1">
      <alignment horizontal="center"/>
    </xf>
    <xf numFmtId="0" fontId="0" fillId="9" borderId="41" xfId="0" applyFill="1" applyBorder="1" applyAlignment="1">
      <alignment horizontal="center"/>
    </xf>
    <xf numFmtId="0" fontId="0" fillId="9" borderId="50" xfId="0" applyFill="1" applyBorder="1"/>
    <xf numFmtId="0" fontId="31" fillId="9" borderId="54" xfId="0" applyFont="1" applyFill="1" applyBorder="1" applyAlignment="1">
      <alignment horizontal="right"/>
    </xf>
    <xf numFmtId="169" fontId="24" fillId="0" borderId="0" xfId="8" applyNumberFormat="1" applyFont="1" applyFill="1" applyBorder="1" applyAlignment="1" applyProtection="1">
      <alignment horizontal="right" vertical="center" indent="1"/>
    </xf>
    <xf numFmtId="169" fontId="28" fillId="11" borderId="0" xfId="8" applyNumberFormat="1" applyFont="1" applyFill="1" applyBorder="1" applyAlignment="1" applyProtection="1">
      <alignment horizontal="right" vertical="center" indent="1"/>
    </xf>
    <xf numFmtId="10" fontId="68" fillId="9" borderId="49" xfId="8" applyNumberFormat="1" applyFont="1" applyFill="1" applyBorder="1"/>
    <xf numFmtId="168" fontId="31" fillId="0" borderId="0" xfId="0" applyNumberFormat="1" applyFont="1"/>
    <xf numFmtId="168" fontId="0" fillId="0" borderId="0" xfId="0" applyNumberFormat="1"/>
    <xf numFmtId="0" fontId="22" fillId="3" borderId="62" xfId="0" applyFont="1" applyFill="1" applyBorder="1"/>
    <xf numFmtId="0" fontId="22" fillId="0" borderId="62" xfId="0" applyFont="1" applyBorder="1"/>
    <xf numFmtId="0" fontId="0" fillId="9" borderId="62" xfId="0" applyFill="1" applyBorder="1"/>
    <xf numFmtId="0" fontId="22" fillId="9" borderId="62" xfId="0" applyFont="1" applyFill="1" applyBorder="1"/>
    <xf numFmtId="37" fontId="4" fillId="8" borderId="62" xfId="0" applyNumberFormat="1" applyFont="1" applyFill="1" applyBorder="1" applyAlignment="1">
      <alignment horizontal="right"/>
    </xf>
    <xf numFmtId="37" fontId="34" fillId="3" borderId="62" xfId="0" applyNumberFormat="1" applyFont="1" applyFill="1" applyBorder="1"/>
    <xf numFmtId="37" fontId="34" fillId="0" borderId="62" xfId="0" applyNumberFormat="1" applyFont="1" applyBorder="1"/>
    <xf numFmtId="0" fontId="71" fillId="15" borderId="62" xfId="0" applyFont="1" applyFill="1" applyBorder="1"/>
    <xf numFmtId="0" fontId="71" fillId="9" borderId="62" xfId="0" applyFont="1" applyFill="1" applyBorder="1"/>
    <xf numFmtId="37" fontId="15" fillId="3" borderId="62" xfId="0" applyNumberFormat="1" applyFont="1" applyFill="1" applyBorder="1"/>
    <xf numFmtId="0" fontId="22" fillId="9" borderId="79" xfId="0" applyFont="1" applyFill="1" applyBorder="1"/>
    <xf numFmtId="0" fontId="61" fillId="9" borderId="16" xfId="0" applyFont="1" applyFill="1" applyBorder="1"/>
    <xf numFmtId="0" fontId="0" fillId="3" borderId="30" xfId="0" applyFill="1" applyBorder="1"/>
    <xf numFmtId="0" fontId="0" fillId="3" borderId="68" xfId="0" applyFill="1" applyBorder="1"/>
    <xf numFmtId="0" fontId="33" fillId="3" borderId="73" xfId="0" applyFont="1" applyFill="1" applyBorder="1"/>
    <xf numFmtId="0" fontId="33" fillId="0" borderId="69" xfId="0" applyFont="1" applyBorder="1"/>
    <xf numFmtId="0" fontId="28" fillId="11" borderId="19" xfId="0" applyFont="1" applyFill="1" applyBorder="1"/>
    <xf numFmtId="37" fontId="34" fillId="3" borderId="73" xfId="0" applyNumberFormat="1" applyFont="1" applyFill="1" applyBorder="1"/>
    <xf numFmtId="37" fontId="34" fillId="0" borderId="69" xfId="0" applyNumberFormat="1" applyFont="1" applyBorder="1"/>
    <xf numFmtId="0" fontId="22" fillId="9" borderId="69" xfId="0" applyFont="1" applyFill="1" applyBorder="1"/>
    <xf numFmtId="0" fontId="33" fillId="9" borderId="69" xfId="0" applyFont="1" applyFill="1" applyBorder="1"/>
    <xf numFmtId="0" fontId="41" fillId="11" borderId="19" xfId="0" applyFont="1" applyFill="1" applyBorder="1"/>
    <xf numFmtId="0" fontId="0" fillId="11" borderId="68" xfId="0" applyFill="1" applyBorder="1"/>
    <xf numFmtId="0" fontId="41" fillId="11" borderId="69" xfId="0" applyFont="1" applyFill="1" applyBorder="1"/>
    <xf numFmtId="41" fontId="72" fillId="16" borderId="88" xfId="0" applyNumberFormat="1" applyFont="1" applyFill="1" applyBorder="1" applyAlignment="1">
      <alignment horizontal="left" vertical="center" indent="1"/>
    </xf>
    <xf numFmtId="41" fontId="72" fillId="16" borderId="88" xfId="0" applyNumberFormat="1" applyFont="1" applyFill="1" applyBorder="1" applyAlignment="1">
      <alignment horizontal="right" vertical="center" indent="1"/>
    </xf>
    <xf numFmtId="41" fontId="72" fillId="16" borderId="89" xfId="0" applyNumberFormat="1" applyFont="1" applyFill="1" applyBorder="1" applyAlignment="1">
      <alignment horizontal="left" vertical="center" indent="1"/>
    </xf>
    <xf numFmtId="0" fontId="73" fillId="0" borderId="0" xfId="0" applyFont="1"/>
    <xf numFmtId="0" fontId="74" fillId="0" borderId="0" xfId="0" applyFont="1"/>
    <xf numFmtId="0" fontId="0" fillId="9" borderId="69" xfId="0" applyFill="1" applyBorder="1"/>
    <xf numFmtId="0" fontId="32" fillId="8" borderId="19" xfId="0" applyFont="1" applyFill="1" applyBorder="1"/>
    <xf numFmtId="0" fontId="0" fillId="11" borderId="0" xfId="0" applyFill="1"/>
    <xf numFmtId="37" fontId="24" fillId="10" borderId="84" xfId="0" applyNumberFormat="1" applyFont="1" applyFill="1" applyBorder="1" applyAlignment="1">
      <alignment horizontal="center" vertical="center"/>
    </xf>
    <xf numFmtId="37" fontId="15" fillId="9" borderId="3" xfId="0" applyNumberFormat="1" applyFont="1" applyFill="1" applyBorder="1" applyAlignment="1">
      <alignment vertical="center"/>
    </xf>
    <xf numFmtId="41" fontId="15" fillId="15" borderId="3" xfId="0" applyNumberFormat="1" applyFont="1" applyFill="1" applyBorder="1" applyAlignment="1">
      <alignment horizontal="left" vertical="center" indent="1"/>
    </xf>
    <xf numFmtId="37" fontId="15" fillId="15" borderId="3" xfId="0" applyNumberFormat="1" applyFont="1" applyFill="1" applyBorder="1" applyAlignment="1">
      <alignment vertical="center"/>
    </xf>
    <xf numFmtId="37" fontId="24" fillId="15" borderId="4" xfId="0" applyNumberFormat="1" applyFont="1" applyFill="1" applyBorder="1" applyAlignment="1">
      <alignment horizontal="center" vertical="center"/>
    </xf>
    <xf numFmtId="37" fontId="24" fillId="15" borderId="4" xfId="0" applyNumberFormat="1" applyFont="1" applyFill="1" applyBorder="1" applyAlignment="1">
      <alignment vertical="center"/>
    </xf>
    <xf numFmtId="37" fontId="24" fillId="15" borderId="5" xfId="0" applyNumberFormat="1" applyFont="1" applyFill="1" applyBorder="1" applyAlignment="1">
      <alignment vertical="center"/>
    </xf>
    <xf numFmtId="37" fontId="24" fillId="0" borderId="5" xfId="0" applyNumberFormat="1" applyFont="1" applyBorder="1" applyAlignment="1">
      <alignment vertical="center"/>
    </xf>
    <xf numFmtId="37" fontId="24" fillId="0" borderId="4" xfId="0" applyNumberFormat="1" applyFont="1" applyBorder="1" applyAlignment="1">
      <alignment vertical="center"/>
    </xf>
    <xf numFmtId="0" fontId="22" fillId="9" borderId="19" xfId="0" applyFont="1" applyFill="1" applyBorder="1" applyAlignment="1">
      <alignment vertical="top"/>
    </xf>
    <xf numFmtId="39" fontId="24" fillId="9" borderId="0" xfId="0" applyNumberFormat="1" applyFont="1" applyFill="1" applyAlignment="1">
      <alignment horizontal="right" vertical="center" indent="1"/>
    </xf>
    <xf numFmtId="0" fontId="0" fillId="15" borderId="16" xfId="0" applyFill="1" applyBorder="1"/>
    <xf numFmtId="0" fontId="71" fillId="3" borderId="19" xfId="0" applyFont="1" applyFill="1" applyBorder="1"/>
    <xf numFmtId="0" fontId="22" fillId="0" borderId="78" xfId="0" applyFont="1" applyBorder="1"/>
    <xf numFmtId="41" fontId="75" fillId="0" borderId="0" xfId="0" applyNumberFormat="1" applyFont="1" applyAlignment="1">
      <alignment horizontal="right"/>
    </xf>
    <xf numFmtId="0" fontId="71" fillId="9" borderId="19" xfId="0" applyFont="1" applyFill="1" applyBorder="1"/>
    <xf numFmtId="41" fontId="24" fillId="0" borderId="18" xfId="0" applyNumberFormat="1" applyFont="1" applyBorder="1" applyAlignment="1">
      <alignment horizontal="right" vertical="center" indent="1"/>
    </xf>
    <xf numFmtId="37" fontId="15" fillId="3" borderId="8" xfId="0" applyNumberFormat="1" applyFont="1" applyFill="1" applyBorder="1" applyAlignment="1">
      <alignment horizontal="left" vertical="center"/>
    </xf>
    <xf numFmtId="37" fontId="15" fillId="0" borderId="0" xfId="0" applyNumberFormat="1" applyFont="1" applyAlignment="1">
      <alignment horizontal="left" vertical="center"/>
    </xf>
    <xf numFmtId="0" fontId="31" fillId="3" borderId="20" xfId="0" applyFont="1" applyFill="1" applyBorder="1"/>
    <xf numFmtId="0" fontId="31" fillId="3" borderId="0" xfId="0" applyFont="1" applyFill="1"/>
    <xf numFmtId="0" fontId="49" fillId="9" borderId="50" xfId="0" applyFont="1" applyFill="1" applyBorder="1" applyAlignment="1">
      <alignment horizontal="center"/>
    </xf>
    <xf numFmtId="0" fontId="49" fillId="9" borderId="39" xfId="0" applyFont="1" applyFill="1" applyBorder="1" applyAlignment="1">
      <alignment horizontal="center"/>
    </xf>
    <xf numFmtId="37" fontId="13" fillId="7" borderId="39" xfId="0" applyNumberFormat="1" applyFont="1" applyFill="1" applyBorder="1" applyAlignment="1">
      <alignment horizontal="center"/>
    </xf>
    <xf numFmtId="0" fontId="49" fillId="9" borderId="40" xfId="0" applyFont="1" applyFill="1" applyBorder="1" applyAlignment="1">
      <alignment horizontal="center"/>
    </xf>
    <xf numFmtId="1" fontId="19" fillId="5" borderId="91" xfId="7" applyNumberFormat="1" applyFont="1" applyFill="1" applyBorder="1" applyAlignment="1">
      <alignment horizontal="center" vertical="top" wrapText="1"/>
    </xf>
    <xf numFmtId="37" fontId="4" fillId="8" borderId="41" xfId="0" applyNumberFormat="1" applyFont="1" applyFill="1" applyBorder="1" applyAlignment="1">
      <alignment horizontal="centerContinuous"/>
    </xf>
    <xf numFmtId="37" fontId="15" fillId="3" borderId="75" xfId="0" applyNumberFormat="1" applyFont="1" applyFill="1" applyBorder="1" applyAlignment="1">
      <alignment horizontal="center" vertical="center"/>
    </xf>
    <xf numFmtId="37" fontId="15" fillId="0" borderId="75" xfId="0" applyNumberFormat="1" applyFont="1" applyBorder="1" applyAlignment="1">
      <alignment horizontal="center" vertical="center"/>
    </xf>
    <xf numFmtId="3" fontId="15" fillId="3" borderId="75" xfId="0" applyNumberFormat="1" applyFont="1" applyFill="1" applyBorder="1" applyAlignment="1">
      <alignment horizontal="center" vertical="center"/>
    </xf>
    <xf numFmtId="3" fontId="15" fillId="3" borderId="75" xfId="1" applyNumberFormat="1" applyFont="1" applyFill="1" applyBorder="1" applyAlignment="1" applyProtection="1">
      <alignment horizontal="center" vertical="center"/>
    </xf>
    <xf numFmtId="3" fontId="15" fillId="0" borderId="75" xfId="0" applyNumberFormat="1" applyFont="1" applyBorder="1" applyAlignment="1">
      <alignment horizontal="center" vertical="center"/>
    </xf>
    <xf numFmtId="3" fontId="15" fillId="0" borderId="92" xfId="0" applyNumberFormat="1" applyFont="1" applyBorder="1" applyAlignment="1">
      <alignment horizontal="center" vertical="center"/>
    </xf>
    <xf numFmtId="41" fontId="24" fillId="13" borderId="41" xfId="0" applyNumberFormat="1" applyFont="1" applyFill="1" applyBorder="1" applyAlignment="1">
      <alignment horizontal="right" vertical="center" indent="1"/>
    </xf>
    <xf numFmtId="0" fontId="20" fillId="4" borderId="41" xfId="7" applyFont="1" applyFill="1" applyBorder="1"/>
    <xf numFmtId="37" fontId="4" fillId="8" borderId="41" xfId="0" applyNumberFormat="1" applyFont="1" applyFill="1" applyBorder="1"/>
    <xf numFmtId="39" fontId="15" fillId="3" borderId="75" xfId="0" applyNumberFormat="1" applyFont="1" applyFill="1" applyBorder="1" applyAlignment="1">
      <alignment horizontal="center" vertical="center"/>
    </xf>
    <xf numFmtId="39" fontId="15" fillId="0" borderId="75" xfId="0" applyNumberFormat="1" applyFont="1" applyBorder="1" applyAlignment="1">
      <alignment horizontal="center" vertical="center"/>
    </xf>
    <xf numFmtId="0" fontId="37" fillId="13" borderId="41" xfId="0" applyFont="1" applyFill="1" applyBorder="1" applyAlignment="1">
      <alignment horizontal="center"/>
    </xf>
    <xf numFmtId="39" fontId="15" fillId="3" borderId="93" xfId="0" applyNumberFormat="1" applyFont="1" applyFill="1" applyBorder="1" applyAlignment="1">
      <alignment horizontal="center" vertical="center"/>
    </xf>
    <xf numFmtId="39" fontId="15" fillId="0" borderId="41" xfId="0" applyNumberFormat="1" applyFont="1" applyBorder="1" applyAlignment="1">
      <alignment horizontal="center" vertical="center"/>
    </xf>
    <xf numFmtId="0" fontId="61" fillId="3" borderId="0" xfId="0" applyFont="1" applyFill="1"/>
    <xf numFmtId="0" fontId="61" fillId="0" borderId="37" xfId="0" applyFont="1" applyBorder="1"/>
    <xf numFmtId="0" fontId="0" fillId="8" borderId="37" xfId="0" applyFill="1" applyBorder="1"/>
    <xf numFmtId="166" fontId="15" fillId="3" borderId="75" xfId="8" applyNumberFormat="1" applyFont="1" applyFill="1" applyBorder="1" applyAlignment="1" applyProtection="1">
      <alignment horizontal="center" vertical="center"/>
    </xf>
    <xf numFmtId="166" fontId="15" fillId="3" borderId="94" xfId="8" applyNumberFormat="1" applyFont="1" applyFill="1" applyBorder="1" applyAlignment="1" applyProtection="1">
      <alignment horizontal="center" vertical="center"/>
    </xf>
    <xf numFmtId="166" fontId="15" fillId="0" borderId="41" xfId="8" applyNumberFormat="1" applyFont="1" applyFill="1" applyBorder="1" applyAlignment="1" applyProtection="1">
      <alignment horizontal="center" vertical="center"/>
    </xf>
    <xf numFmtId="0" fontId="20" fillId="4" borderId="48" xfId="7" applyFont="1" applyFill="1" applyBorder="1"/>
    <xf numFmtId="0" fontId="20" fillId="4" borderId="49" xfId="7" applyFont="1" applyFill="1" applyBorder="1" applyAlignment="1">
      <alignment horizontal="left"/>
    </xf>
    <xf numFmtId="0" fontId="20" fillId="4" borderId="49" xfId="7" applyFont="1" applyFill="1" applyBorder="1"/>
    <xf numFmtId="0" fontId="20" fillId="4" borderId="55" xfId="7" applyFont="1" applyFill="1" applyBorder="1"/>
    <xf numFmtId="0" fontId="0" fillId="3" borderId="0" xfId="0" applyFill="1"/>
    <xf numFmtId="0" fontId="31" fillId="0" borderId="0" xfId="0" applyFont="1"/>
    <xf numFmtId="0" fontId="0" fillId="0" borderId="37" xfId="0" applyBorder="1"/>
    <xf numFmtId="0" fontId="0" fillId="0" borderId="41" xfId="0" applyBorder="1"/>
    <xf numFmtId="0" fontId="74" fillId="0" borderId="41" xfId="0" applyFont="1" applyBorder="1"/>
    <xf numFmtId="0" fontId="71" fillId="0" borderId="0" xfId="0" applyFont="1"/>
    <xf numFmtId="0" fontId="74" fillId="0" borderId="0" xfId="0" applyFont="1" applyAlignment="1">
      <alignment vertical="center"/>
    </xf>
    <xf numFmtId="0" fontId="74" fillId="0" borderId="41" xfId="0" applyFont="1" applyBorder="1" applyAlignment="1">
      <alignment vertical="center"/>
    </xf>
    <xf numFmtId="37" fontId="15" fillId="3" borderId="96" xfId="0" applyNumberFormat="1" applyFont="1" applyFill="1" applyBorder="1" applyAlignment="1">
      <alignment horizontal="center"/>
    </xf>
    <xf numFmtId="0" fontId="22" fillId="0" borderId="0" xfId="0" applyFont="1" applyAlignment="1">
      <alignment horizontal="right"/>
    </xf>
    <xf numFmtId="37" fontId="22" fillId="0" borderId="0" xfId="0" applyNumberFormat="1" applyFont="1"/>
    <xf numFmtId="37" fontId="22" fillId="0" borderId="41" xfId="0" applyNumberFormat="1" applyFont="1" applyBorder="1"/>
    <xf numFmtId="37" fontId="15" fillId="3" borderId="97" xfId="0" applyNumberFormat="1" applyFont="1" applyFill="1" applyBorder="1" applyAlignment="1">
      <alignment horizontal="center"/>
    </xf>
    <xf numFmtId="37" fontId="15" fillId="0" borderId="97" xfId="0" applyNumberFormat="1" applyFont="1" applyBorder="1" applyAlignment="1">
      <alignment horizontal="center"/>
    </xf>
    <xf numFmtId="37" fontId="15" fillId="0" borderId="98" xfId="0" applyNumberFormat="1" applyFont="1" applyBorder="1" applyAlignment="1">
      <alignment horizontal="center"/>
    </xf>
    <xf numFmtId="0" fontId="0" fillId="0" borderId="48" xfId="0" applyBorder="1"/>
    <xf numFmtId="0" fontId="0" fillId="0" borderId="49" xfId="0" applyBorder="1"/>
    <xf numFmtId="0" fontId="0" fillId="0" borderId="55" xfId="0" applyBorder="1"/>
    <xf numFmtId="41" fontId="24" fillId="0" borderId="18" xfId="0" applyNumberFormat="1" applyFont="1" applyBorder="1" applyAlignment="1">
      <alignment horizontal="left" vertical="center" indent="1"/>
    </xf>
    <xf numFmtId="41" fontId="76" fillId="15" borderId="89" xfId="0" applyNumberFormat="1" applyFont="1" applyFill="1" applyBorder="1" applyAlignment="1">
      <alignment horizontal="left" vertical="center" indent="1"/>
    </xf>
    <xf numFmtId="41" fontId="76" fillId="0" borderId="89" xfId="0" applyNumberFormat="1" applyFont="1" applyBorder="1" applyAlignment="1">
      <alignment horizontal="left" vertical="center" indent="1"/>
    </xf>
    <xf numFmtId="171" fontId="28" fillId="11" borderId="4" xfId="8" applyNumberFormat="1" applyFont="1" applyFill="1" applyBorder="1" applyAlignment="1" applyProtection="1">
      <alignment horizontal="center" vertical="center"/>
    </xf>
    <xf numFmtId="0" fontId="0" fillId="9" borderId="39" xfId="0" applyFill="1" applyBorder="1"/>
    <xf numFmtId="0" fontId="0" fillId="9" borderId="40" xfId="0" applyFill="1" applyBorder="1"/>
    <xf numFmtId="37" fontId="24" fillId="10" borderId="42" xfId="0" applyNumberFormat="1" applyFont="1" applyFill="1" applyBorder="1" applyAlignment="1">
      <alignment horizontal="center" vertical="center"/>
    </xf>
    <xf numFmtId="41" fontId="24" fillId="10" borderId="41" xfId="0" applyNumberFormat="1" applyFont="1" applyFill="1" applyBorder="1" applyAlignment="1">
      <alignment horizontal="right" vertical="center" indent="1"/>
    </xf>
    <xf numFmtId="37" fontId="8" fillId="9" borderId="42" xfId="0" applyNumberFormat="1" applyFont="1" applyFill="1" applyBorder="1" applyAlignment="1">
      <alignment horizontal="center"/>
    </xf>
    <xf numFmtId="0" fontId="74" fillId="0" borderId="0" xfId="0" quotePrefix="1" applyFont="1"/>
    <xf numFmtId="165" fontId="23" fillId="9" borderId="0" xfId="0" applyNumberFormat="1" applyFont="1" applyFill="1"/>
    <xf numFmtId="0" fontId="74" fillId="0" borderId="0" xfId="0" applyFont="1" applyAlignment="1">
      <alignment horizontal="left" indent="1"/>
    </xf>
    <xf numFmtId="37" fontId="8" fillId="9" borderId="42" xfId="0" applyNumberFormat="1" applyFont="1" applyFill="1" applyBorder="1"/>
    <xf numFmtId="37" fontId="8" fillId="9" borderId="48" xfId="0" applyNumberFormat="1" applyFont="1" applyFill="1" applyBorder="1"/>
    <xf numFmtId="0" fontId="74" fillId="0" borderId="49" xfId="0" quotePrefix="1" applyFont="1" applyBorder="1"/>
    <xf numFmtId="37" fontId="8" fillId="9" borderId="49" xfId="0" applyNumberFormat="1" applyFont="1" applyFill="1" applyBorder="1"/>
    <xf numFmtId="0" fontId="0" fillId="9" borderId="49" xfId="0" applyFill="1" applyBorder="1"/>
    <xf numFmtId="0" fontId="0" fillId="9" borderId="55" xfId="0" applyFill="1" applyBorder="1"/>
    <xf numFmtId="37" fontId="4" fillId="8" borderId="99" xfId="0" applyNumberFormat="1" applyFont="1" applyFill="1" applyBorder="1"/>
    <xf numFmtId="37" fontId="24" fillId="9" borderId="83" xfId="0" applyNumberFormat="1" applyFont="1" applyFill="1" applyBorder="1" applyAlignment="1">
      <alignment horizontal="center" vertical="center"/>
    </xf>
    <xf numFmtId="37" fontId="24" fillId="0" borderId="42" xfId="0" applyNumberFormat="1" applyFont="1" applyBorder="1" applyAlignment="1">
      <alignment horizontal="center" vertical="center"/>
    </xf>
    <xf numFmtId="37" fontId="21" fillId="0" borderId="42" xfId="0" applyNumberFormat="1" applyFont="1" applyBorder="1"/>
    <xf numFmtId="0" fontId="71" fillId="0" borderId="41" xfId="0" applyFont="1" applyBorder="1"/>
    <xf numFmtId="0" fontId="65" fillId="0" borderId="0" xfId="0" applyFont="1" applyAlignment="1">
      <alignment horizontal="left" indent="2"/>
    </xf>
    <xf numFmtId="0" fontId="15" fillId="0" borderId="0" xfId="0" applyFont="1" applyAlignment="1">
      <alignment horizontal="left" indent="2"/>
    </xf>
    <xf numFmtId="0" fontId="15" fillId="0" borderId="0" xfId="0" applyFont="1" applyAlignment="1">
      <alignment horizontal="left" indent="3"/>
    </xf>
    <xf numFmtId="0" fontId="15" fillId="0" borderId="49" xfId="6" applyFont="1" applyBorder="1"/>
    <xf numFmtId="37" fontId="7" fillId="9" borderId="49" xfId="0" applyNumberFormat="1" applyFont="1" applyFill="1" applyBorder="1"/>
    <xf numFmtId="37" fontId="15" fillId="8" borderId="57" xfId="0" applyNumberFormat="1" applyFont="1" applyFill="1" applyBorder="1" applyAlignment="1">
      <alignment horizontal="center" vertical="center"/>
    </xf>
    <xf numFmtId="37" fontId="15" fillId="5" borderId="100" xfId="0" applyNumberFormat="1" applyFont="1" applyFill="1" applyBorder="1" applyAlignment="1">
      <alignment horizontal="left" vertical="center"/>
    </xf>
    <xf numFmtId="41" fontId="15" fillId="5" borderId="75" xfId="0" applyNumberFormat="1" applyFont="1" applyFill="1" applyBorder="1" applyAlignment="1">
      <alignment horizontal="left" vertical="center" indent="1"/>
    </xf>
    <xf numFmtId="37" fontId="65" fillId="0" borderId="0" xfId="0" applyNumberFormat="1" applyFont="1" applyAlignment="1">
      <alignment horizontal="left" indent="1"/>
    </xf>
    <xf numFmtId="0" fontId="15" fillId="0" borderId="0" xfId="0" applyFont="1" applyAlignment="1">
      <alignment horizontal="left" indent="1"/>
    </xf>
    <xf numFmtId="0" fontId="65" fillId="0" borderId="0" xfId="0" quotePrefix="1" applyFont="1" applyAlignment="1">
      <alignment horizontal="left" indent="1"/>
    </xf>
    <xf numFmtId="0" fontId="15" fillId="0" borderId="0" xfId="6" quotePrefix="1" applyFont="1" applyAlignment="1">
      <alignment horizontal="left" indent="1"/>
    </xf>
    <xf numFmtId="37" fontId="4" fillId="7" borderId="42" xfId="0" applyNumberFormat="1" applyFont="1" applyFill="1" applyBorder="1" applyAlignment="1">
      <alignment horizontal="center"/>
    </xf>
    <xf numFmtId="37" fontId="34" fillId="9" borderId="0" xfId="0" applyNumberFormat="1" applyFont="1" applyFill="1"/>
    <xf numFmtId="37" fontId="15" fillId="3" borderId="72" xfId="0" applyNumberFormat="1" applyFont="1" applyFill="1" applyBorder="1" applyAlignment="1">
      <alignment horizontal="center" vertical="center"/>
    </xf>
    <xf numFmtId="37" fontId="15" fillId="3" borderId="101" xfId="0" applyNumberFormat="1" applyFont="1" applyFill="1" applyBorder="1" applyAlignment="1">
      <alignment horizontal="center" vertical="center"/>
    </xf>
    <xf numFmtId="37" fontId="24" fillId="9" borderId="102" xfId="0" applyNumberFormat="1" applyFont="1" applyFill="1" applyBorder="1" applyAlignment="1">
      <alignment horizontal="center" vertical="center"/>
    </xf>
    <xf numFmtId="0" fontId="22" fillId="3" borderId="91" xfId="0" applyFont="1" applyFill="1" applyBorder="1"/>
    <xf numFmtId="0" fontId="22" fillId="9" borderId="41" xfId="0" applyFont="1" applyFill="1" applyBorder="1"/>
    <xf numFmtId="37" fontId="4" fillId="8" borderId="91" xfId="0" applyNumberFormat="1" applyFont="1" applyFill="1" applyBorder="1"/>
    <xf numFmtId="0" fontId="15" fillId="3" borderId="41" xfId="0" applyFont="1" applyFill="1" applyBorder="1"/>
    <xf numFmtId="0" fontId="15" fillId="0" borderId="58" xfId="0" applyFont="1" applyBorder="1"/>
    <xf numFmtId="0" fontId="22" fillId="3" borderId="58" xfId="0" applyFont="1" applyFill="1" applyBorder="1"/>
    <xf numFmtId="0" fontId="33" fillId="3" borderId="58" xfId="0" applyFont="1" applyFill="1" applyBorder="1"/>
    <xf numFmtId="37" fontId="15" fillId="9" borderId="48" xfId="0" applyNumberFormat="1" applyFont="1" applyFill="1" applyBorder="1" applyAlignment="1">
      <alignment horizontal="center" vertical="center"/>
    </xf>
    <xf numFmtId="37" fontId="15" fillId="9" borderId="49" xfId="0" applyNumberFormat="1" applyFont="1" applyFill="1" applyBorder="1" applyAlignment="1">
      <alignment horizontal="left" vertical="center"/>
    </xf>
    <xf numFmtId="0" fontId="37" fillId="9" borderId="49" xfId="0" applyFont="1" applyFill="1" applyBorder="1" applyAlignment="1">
      <alignment horizontal="center"/>
    </xf>
    <xf numFmtId="0" fontId="37" fillId="9" borderId="55" xfId="0" applyFont="1" applyFill="1" applyBorder="1" applyAlignment="1">
      <alignment horizontal="center"/>
    </xf>
    <xf numFmtId="0" fontId="55" fillId="0" borderId="0" xfId="0" applyFont="1" applyAlignment="1">
      <alignment horizontal="left" wrapText="1"/>
    </xf>
    <xf numFmtId="0" fontId="52" fillId="11" borderId="0" xfId="0" applyFont="1" applyFill="1" applyAlignment="1">
      <alignment horizontal="left"/>
    </xf>
    <xf numFmtId="0" fontId="52" fillId="11" borderId="0" xfId="0" applyFont="1" applyFill="1" applyAlignment="1">
      <alignment horizontal="center"/>
    </xf>
    <xf numFmtId="0" fontId="56" fillId="0" borderId="0" xfId="0" applyFont="1" applyAlignment="1">
      <alignment horizontal="center"/>
    </xf>
    <xf numFmtId="0" fontId="0" fillId="0" borderId="59" xfId="0" applyBorder="1" applyAlignment="1">
      <alignment horizontal="center"/>
    </xf>
    <xf numFmtId="0" fontId="0" fillId="0" borderId="85" xfId="0" applyBorder="1" applyAlignment="1">
      <alignment horizontal="center"/>
    </xf>
    <xf numFmtId="37" fontId="15" fillId="3" borderId="3" xfId="0" applyNumberFormat="1" applyFont="1" applyFill="1" applyBorder="1" applyAlignment="1">
      <alignment horizontal="left" vertical="center"/>
    </xf>
    <xf numFmtId="37" fontId="15" fillId="3" borderId="4" xfId="0" applyNumberFormat="1" applyFont="1" applyFill="1" applyBorder="1" applyAlignment="1">
      <alignment horizontal="left" vertical="center"/>
    </xf>
    <xf numFmtId="37" fontId="15" fillId="3" borderId="5" xfId="0" applyNumberFormat="1" applyFont="1" applyFill="1" applyBorder="1" applyAlignment="1">
      <alignment horizontal="left" vertical="center"/>
    </xf>
    <xf numFmtId="37" fontId="24" fillId="9" borderId="3" xfId="0" applyNumberFormat="1" applyFont="1" applyFill="1" applyBorder="1" applyAlignment="1">
      <alignment horizontal="left" vertical="center"/>
    </xf>
    <xf numFmtId="37" fontId="24" fillId="9" borderId="4" xfId="0" applyNumberFormat="1" applyFont="1" applyFill="1" applyBorder="1" applyAlignment="1">
      <alignment horizontal="left" vertical="center"/>
    </xf>
    <xf numFmtId="37" fontId="24" fillId="9" borderId="5" xfId="0" applyNumberFormat="1" applyFont="1" applyFill="1" applyBorder="1" applyAlignment="1">
      <alignment horizontal="left" vertical="center"/>
    </xf>
    <xf numFmtId="37" fontId="24" fillId="0" borderId="3" xfId="0" applyNumberFormat="1" applyFont="1" applyBorder="1" applyAlignment="1">
      <alignment horizontal="left" vertical="center"/>
    </xf>
    <xf numFmtId="37" fontId="24" fillId="0" borderId="4" xfId="0" applyNumberFormat="1" applyFont="1" applyBorder="1" applyAlignment="1">
      <alignment horizontal="left" vertical="center"/>
    </xf>
    <xf numFmtId="37" fontId="24" fillId="0" borderId="5" xfId="0" applyNumberFormat="1" applyFont="1" applyBorder="1" applyAlignment="1">
      <alignment horizontal="left" vertical="center"/>
    </xf>
    <xf numFmtId="37" fontId="46" fillId="0" borderId="30" xfId="0" applyNumberFormat="1" applyFont="1" applyBorder="1" applyAlignment="1">
      <alignment horizontal="left" vertical="center" wrapText="1"/>
    </xf>
    <xf numFmtId="37" fontId="46" fillId="0" borderId="20" xfId="0" applyNumberFormat="1" applyFont="1" applyBorder="1" applyAlignment="1">
      <alignment horizontal="left" vertical="center" wrapText="1"/>
    </xf>
    <xf numFmtId="37" fontId="46" fillId="0" borderId="73" xfId="0" applyNumberFormat="1" applyFont="1" applyBorder="1" applyAlignment="1">
      <alignment horizontal="left" vertical="center" wrapText="1"/>
    </xf>
    <xf numFmtId="37" fontId="46" fillId="0" borderId="16" xfId="0" applyNumberFormat="1" applyFont="1" applyBorder="1" applyAlignment="1">
      <alignment horizontal="left" vertical="center" wrapText="1"/>
    </xf>
    <xf numFmtId="37" fontId="46" fillId="0" borderId="0" xfId="0" applyNumberFormat="1" applyFont="1" applyAlignment="1">
      <alignment horizontal="left" vertical="center" wrapText="1"/>
    </xf>
    <xf numFmtId="37" fontId="46" fillId="0" borderId="19" xfId="0" applyNumberFormat="1" applyFont="1" applyBorder="1" applyAlignment="1">
      <alignment horizontal="left" vertical="center" wrapText="1"/>
    </xf>
    <xf numFmtId="37" fontId="46" fillId="0" borderId="68" xfId="0" applyNumberFormat="1" applyFont="1" applyBorder="1" applyAlignment="1">
      <alignment horizontal="left" vertical="center" wrapText="1"/>
    </xf>
    <xf numFmtId="37" fontId="46" fillId="0" borderId="37" xfId="0" applyNumberFormat="1" applyFont="1" applyBorder="1" applyAlignment="1">
      <alignment horizontal="left" vertical="center" wrapText="1"/>
    </xf>
    <xf numFmtId="37" fontId="46" fillId="0" borderId="69" xfId="0" applyNumberFormat="1" applyFont="1" applyBorder="1" applyAlignment="1">
      <alignment horizontal="left" vertical="center" wrapText="1"/>
    </xf>
    <xf numFmtId="0" fontId="46" fillId="9" borderId="30" xfId="0" applyFont="1" applyFill="1" applyBorder="1" applyAlignment="1">
      <alignment horizontal="left" vertical="center" wrapText="1"/>
    </xf>
    <xf numFmtId="0" fontId="46" fillId="9" borderId="20" xfId="0" applyFont="1" applyFill="1" applyBorder="1" applyAlignment="1">
      <alignment horizontal="left" vertical="center" wrapText="1"/>
    </xf>
    <xf numFmtId="0" fontId="46" fillId="9" borderId="73" xfId="0" applyFont="1" applyFill="1" applyBorder="1" applyAlignment="1">
      <alignment horizontal="left" vertical="center" wrapText="1"/>
    </xf>
    <xf numFmtId="0" fontId="46" fillId="9" borderId="16" xfId="0" applyFont="1" applyFill="1" applyBorder="1" applyAlignment="1">
      <alignment horizontal="left" vertical="center" wrapText="1"/>
    </xf>
    <xf numFmtId="0" fontId="46" fillId="9" borderId="0" xfId="0" applyFont="1" applyFill="1" applyAlignment="1">
      <alignment horizontal="left" vertical="center" wrapText="1"/>
    </xf>
    <xf numFmtId="0" fontId="46" fillId="9" borderId="19" xfId="0" applyFont="1" applyFill="1" applyBorder="1" applyAlignment="1">
      <alignment horizontal="left" vertical="center" wrapText="1"/>
    </xf>
    <xf numFmtId="0" fontId="46" fillId="9" borderId="68" xfId="0" applyFont="1" applyFill="1" applyBorder="1" applyAlignment="1">
      <alignment horizontal="left" vertical="center" wrapText="1"/>
    </xf>
    <xf numFmtId="0" fontId="46" fillId="9" borderId="37" xfId="0" applyFont="1" applyFill="1" applyBorder="1" applyAlignment="1">
      <alignment horizontal="left" vertical="center" wrapText="1"/>
    </xf>
    <xf numFmtId="0" fontId="46" fillId="9" borderId="69" xfId="0" applyFont="1" applyFill="1" applyBorder="1" applyAlignment="1">
      <alignment horizontal="left" vertical="center" wrapText="1"/>
    </xf>
    <xf numFmtId="37" fontId="15" fillId="0" borderId="3" xfId="0" applyNumberFormat="1" applyFont="1" applyBorder="1" applyAlignment="1">
      <alignment horizontal="left" vertical="center"/>
    </xf>
    <xf numFmtId="37" fontId="15" fillId="0" borderId="4" xfId="0" applyNumberFormat="1" applyFont="1" applyBorder="1" applyAlignment="1">
      <alignment horizontal="left" vertical="center"/>
    </xf>
    <xf numFmtId="37" fontId="15" fillId="0" borderId="5" xfId="0" applyNumberFormat="1" applyFont="1" applyBorder="1" applyAlignment="1">
      <alignment horizontal="left" vertical="center"/>
    </xf>
    <xf numFmtId="37" fontId="15" fillId="3" borderId="7" xfId="0" applyNumberFormat="1" applyFont="1" applyFill="1" applyBorder="1" applyAlignment="1">
      <alignment horizontal="left" vertical="center"/>
    </xf>
    <xf numFmtId="37" fontId="15" fillId="3" borderId="8" xfId="0" applyNumberFormat="1" applyFont="1" applyFill="1" applyBorder="1" applyAlignment="1">
      <alignment horizontal="left" vertical="center"/>
    </xf>
    <xf numFmtId="37" fontId="15" fillId="3" borderId="9" xfId="0" applyNumberFormat="1" applyFont="1" applyFill="1" applyBorder="1" applyAlignment="1">
      <alignment horizontal="left" vertical="center"/>
    </xf>
    <xf numFmtId="37" fontId="15" fillId="9" borderId="3" xfId="0" applyNumberFormat="1" applyFont="1" applyFill="1" applyBorder="1" applyAlignment="1">
      <alignment horizontal="left" vertical="center"/>
    </xf>
    <xf numFmtId="37" fontId="15" fillId="9" borderId="4" xfId="0" applyNumberFormat="1" applyFont="1" applyFill="1" applyBorder="1" applyAlignment="1">
      <alignment horizontal="left" vertical="center"/>
    </xf>
    <xf numFmtId="37" fontId="15" fillId="9" borderId="5" xfId="0" applyNumberFormat="1" applyFont="1" applyFill="1" applyBorder="1" applyAlignment="1">
      <alignment horizontal="left" vertical="center"/>
    </xf>
    <xf numFmtId="0" fontId="12" fillId="6" borderId="16" xfId="13" applyFont="1" applyFill="1" applyBorder="1" applyAlignment="1">
      <alignment horizontal="center"/>
    </xf>
    <xf numFmtId="0" fontId="12" fillId="6" borderId="0" xfId="13" applyFont="1" applyFill="1" applyAlignment="1">
      <alignment horizontal="left"/>
    </xf>
    <xf numFmtId="0" fontId="12" fillId="6" borderId="68" xfId="13" quotePrefix="1" applyFont="1" applyFill="1" applyBorder="1" applyAlignment="1">
      <alignment horizontal="center"/>
    </xf>
    <xf numFmtId="0" fontId="12" fillId="6" borderId="37" xfId="13" quotePrefix="1" applyFont="1" applyFill="1" applyBorder="1" applyAlignment="1">
      <alignment horizontal="center"/>
    </xf>
    <xf numFmtId="0" fontId="51" fillId="9" borderId="84" xfId="0" applyFont="1" applyFill="1" applyBorder="1" applyAlignment="1">
      <alignment horizontal="center"/>
    </xf>
    <xf numFmtId="0" fontId="51" fillId="9" borderId="63" xfId="0" applyFont="1" applyFill="1" applyBorder="1" applyAlignment="1">
      <alignment horizontal="center"/>
    </xf>
    <xf numFmtId="37" fontId="24" fillId="9" borderId="7" xfId="0" applyNumberFormat="1" applyFont="1" applyFill="1" applyBorder="1" applyAlignment="1">
      <alignment horizontal="left" vertical="center"/>
    </xf>
    <xf numFmtId="37" fontId="24" fillId="9" borderId="8" xfId="0" applyNumberFormat="1" applyFont="1" applyFill="1" applyBorder="1" applyAlignment="1">
      <alignment horizontal="left" vertical="center"/>
    </xf>
    <xf numFmtId="37" fontId="24" fillId="9" borderId="9" xfId="0" applyNumberFormat="1" applyFont="1" applyFill="1" applyBorder="1" applyAlignment="1">
      <alignment horizontal="left" vertical="center"/>
    </xf>
    <xf numFmtId="37" fontId="24" fillId="0" borderId="10" xfId="0" applyNumberFormat="1" applyFont="1" applyBorder="1" applyAlignment="1">
      <alignment horizontal="left" vertical="center"/>
    </xf>
    <xf numFmtId="37" fontId="24" fillId="0" borderId="11" xfId="0" applyNumberFormat="1" applyFont="1" applyBorder="1" applyAlignment="1">
      <alignment horizontal="left" vertical="center"/>
    </xf>
    <xf numFmtId="37" fontId="24" fillId="0" borderId="12" xfId="0" applyNumberFormat="1" applyFont="1" applyBorder="1" applyAlignment="1">
      <alignment horizontal="left" vertical="center"/>
    </xf>
    <xf numFmtId="37" fontId="24" fillId="9" borderId="22" xfId="0" applyNumberFormat="1" applyFont="1" applyFill="1" applyBorder="1" applyAlignment="1">
      <alignment horizontal="left" vertical="center"/>
    </xf>
    <xf numFmtId="37" fontId="24" fillId="9" borderId="23" xfId="0" applyNumberFormat="1" applyFont="1" applyFill="1" applyBorder="1" applyAlignment="1">
      <alignment horizontal="left" vertical="center"/>
    </xf>
    <xf numFmtId="37" fontId="24" fillId="9" borderId="24" xfId="0" applyNumberFormat="1" applyFont="1" applyFill="1" applyBorder="1" applyAlignment="1">
      <alignment horizontal="left" vertical="center"/>
    </xf>
    <xf numFmtId="37" fontId="24" fillId="12" borderId="57" xfId="0" applyNumberFormat="1" applyFont="1" applyFill="1" applyBorder="1" applyAlignment="1">
      <alignment horizontal="left" vertical="center"/>
    </xf>
    <xf numFmtId="37" fontId="24" fillId="12" borderId="4" xfId="0" applyNumberFormat="1" applyFont="1" applyFill="1" applyBorder="1" applyAlignment="1">
      <alignment horizontal="left" vertical="center"/>
    </xf>
    <xf numFmtId="37" fontId="24" fillId="12" borderId="5" xfId="0" applyNumberFormat="1" applyFont="1" applyFill="1" applyBorder="1" applyAlignment="1">
      <alignment horizontal="left" vertical="center"/>
    </xf>
    <xf numFmtId="37" fontId="24" fillId="12" borderId="80" xfId="0" applyNumberFormat="1" applyFont="1" applyFill="1" applyBorder="1" applyAlignment="1">
      <alignment horizontal="left" vertical="center"/>
    </xf>
    <xf numFmtId="37" fontId="24" fillId="12" borderId="81" xfId="0" applyNumberFormat="1" applyFont="1" applyFill="1" applyBorder="1" applyAlignment="1">
      <alignment horizontal="left" vertical="center"/>
    </xf>
    <xf numFmtId="37" fontId="24" fillId="12" borderId="82" xfId="0" applyNumberFormat="1" applyFont="1" applyFill="1" applyBorder="1" applyAlignment="1">
      <alignment horizontal="left" vertical="center"/>
    </xf>
    <xf numFmtId="37" fontId="24" fillId="12" borderId="83" xfId="0" applyNumberFormat="1" applyFont="1" applyFill="1" applyBorder="1" applyAlignment="1">
      <alignment horizontal="left" vertical="center"/>
    </xf>
    <xf numFmtId="37" fontId="24" fillId="12" borderId="23" xfId="0" applyNumberFormat="1" applyFont="1" applyFill="1" applyBorder="1" applyAlignment="1">
      <alignment horizontal="left" vertical="center"/>
    </xf>
    <xf numFmtId="37" fontId="24" fillId="12" borderId="24" xfId="0" applyNumberFormat="1" applyFont="1" applyFill="1" applyBorder="1" applyAlignment="1">
      <alignment horizontal="left" vertical="center"/>
    </xf>
    <xf numFmtId="37" fontId="46" fillId="9" borderId="30" xfId="0" applyNumberFormat="1" applyFont="1" applyFill="1" applyBorder="1" applyAlignment="1">
      <alignment horizontal="left" vertical="center" wrapText="1"/>
    </xf>
    <xf numFmtId="37" fontId="46" fillId="9" borderId="20" xfId="0" applyNumberFormat="1" applyFont="1" applyFill="1" applyBorder="1" applyAlignment="1">
      <alignment horizontal="left" vertical="center" wrapText="1"/>
    </xf>
    <xf numFmtId="37" fontId="46" fillId="9" borderId="73" xfId="0" applyNumberFormat="1" applyFont="1" applyFill="1" applyBorder="1" applyAlignment="1">
      <alignment horizontal="left" vertical="center" wrapText="1"/>
    </xf>
    <xf numFmtId="37" fontId="46" fillId="9" borderId="16" xfId="0" applyNumberFormat="1" applyFont="1" applyFill="1" applyBorder="1" applyAlignment="1">
      <alignment horizontal="left" vertical="center" wrapText="1"/>
    </xf>
    <xf numFmtId="37" fontId="46" fillId="9" borderId="0" xfId="0" applyNumberFormat="1" applyFont="1" applyFill="1" applyAlignment="1">
      <alignment horizontal="left" vertical="center" wrapText="1"/>
    </xf>
    <xf numFmtId="37" fontId="46" fillId="9" borderId="19" xfId="0" applyNumberFormat="1" applyFont="1" applyFill="1" applyBorder="1" applyAlignment="1">
      <alignment horizontal="left" vertical="center" wrapText="1"/>
    </xf>
    <xf numFmtId="37" fontId="46" fillId="9" borderId="68" xfId="0" applyNumberFormat="1" applyFont="1" applyFill="1" applyBorder="1" applyAlignment="1">
      <alignment horizontal="left" vertical="center" wrapText="1"/>
    </xf>
    <xf numFmtId="37" fontId="46" fillId="9" borderId="37" xfId="0" applyNumberFormat="1" applyFont="1" applyFill="1" applyBorder="1" applyAlignment="1">
      <alignment horizontal="left" vertical="center" wrapText="1"/>
    </xf>
    <xf numFmtId="37" fontId="46" fillId="9" borderId="69" xfId="0" applyNumberFormat="1" applyFont="1" applyFill="1" applyBorder="1" applyAlignment="1">
      <alignment horizontal="left" vertical="center" wrapText="1"/>
    </xf>
    <xf numFmtId="0" fontId="50" fillId="9" borderId="84" xfId="0" applyFont="1" applyFill="1" applyBorder="1" applyAlignment="1">
      <alignment horizontal="center"/>
    </xf>
    <xf numFmtId="0" fontId="50" fillId="9" borderId="63" xfId="0" applyFont="1" applyFill="1" applyBorder="1" applyAlignment="1">
      <alignment horizontal="center"/>
    </xf>
    <xf numFmtId="0" fontId="12" fillId="6" borderId="0" xfId="13" applyFont="1" applyFill="1" applyAlignment="1">
      <alignment horizontal="center"/>
    </xf>
    <xf numFmtId="41" fontId="28" fillId="11" borderId="71" xfId="0" applyNumberFormat="1" applyFont="1" applyFill="1" applyBorder="1" applyAlignment="1">
      <alignment vertical="center" wrapText="1"/>
    </xf>
    <xf numFmtId="0" fontId="0" fillId="0" borderId="0" xfId="0" applyAlignment="1">
      <alignment vertical="center" wrapText="1"/>
    </xf>
    <xf numFmtId="0" fontId="50" fillId="9" borderId="84" xfId="0" applyFont="1" applyFill="1" applyBorder="1" applyAlignment="1">
      <alignment horizontal="center" wrapText="1"/>
    </xf>
    <xf numFmtId="0" fontId="50" fillId="9" borderId="63" xfId="0" applyFont="1" applyFill="1" applyBorder="1" applyAlignment="1">
      <alignment horizontal="center" wrapText="1"/>
    </xf>
    <xf numFmtId="0" fontId="50" fillId="9" borderId="90" xfId="0" applyFont="1" applyFill="1" applyBorder="1" applyAlignment="1">
      <alignment horizontal="center" wrapText="1"/>
    </xf>
    <xf numFmtId="0" fontId="12" fillId="6" borderId="19" xfId="13" applyFont="1" applyFill="1" applyBorder="1" applyAlignment="1">
      <alignment horizontal="center"/>
    </xf>
    <xf numFmtId="0" fontId="12" fillId="6" borderId="69" xfId="13" quotePrefix="1" applyFont="1" applyFill="1" applyBorder="1" applyAlignment="1">
      <alignment horizontal="center"/>
    </xf>
    <xf numFmtId="0" fontId="12" fillId="6" borderId="50" xfId="13" applyFont="1" applyFill="1" applyBorder="1" applyAlignment="1">
      <alignment horizontal="center"/>
    </xf>
    <xf numFmtId="0" fontId="12" fillId="6" borderId="39" xfId="13" applyFont="1" applyFill="1" applyBorder="1" applyAlignment="1">
      <alignment horizontal="center"/>
    </xf>
    <xf numFmtId="0" fontId="12" fillId="6" borderId="40" xfId="13" applyFont="1" applyFill="1" applyBorder="1" applyAlignment="1">
      <alignment horizontal="center"/>
    </xf>
    <xf numFmtId="0" fontId="12" fillId="6" borderId="42" xfId="13" quotePrefix="1" applyFont="1" applyFill="1" applyBorder="1" applyAlignment="1">
      <alignment horizontal="center"/>
    </xf>
    <xf numFmtId="0" fontId="12" fillId="6" borderId="0" xfId="13" quotePrefix="1" applyFont="1" applyFill="1" applyAlignment="1">
      <alignment horizontal="center"/>
    </xf>
    <xf numFmtId="0" fontId="12" fillId="6" borderId="41" xfId="13" quotePrefix="1" applyFont="1" applyFill="1" applyBorder="1" applyAlignment="1">
      <alignment horizontal="center"/>
    </xf>
    <xf numFmtId="0" fontId="49" fillId="9" borderId="42" xfId="0" applyFont="1" applyFill="1" applyBorder="1" applyAlignment="1">
      <alignment horizontal="center"/>
    </xf>
    <xf numFmtId="0" fontId="49" fillId="9" borderId="0" xfId="0" applyFont="1" applyFill="1" applyAlignment="1">
      <alignment horizontal="center"/>
    </xf>
    <xf numFmtId="0" fontId="49" fillId="9" borderId="41" xfId="0" applyFont="1" applyFill="1" applyBorder="1" applyAlignment="1">
      <alignment horizontal="center"/>
    </xf>
    <xf numFmtId="0" fontId="12" fillId="6" borderId="42" xfId="13" applyFont="1" applyFill="1" applyBorder="1" applyAlignment="1">
      <alignment horizontal="center" wrapText="1"/>
    </xf>
    <xf numFmtId="0" fontId="12" fillId="6" borderId="0" xfId="13" applyFont="1" applyFill="1" applyAlignment="1">
      <alignment horizontal="center" wrapText="1"/>
    </xf>
    <xf numFmtId="0" fontId="12" fillId="6" borderId="41" xfId="13" applyFont="1" applyFill="1" applyBorder="1" applyAlignment="1">
      <alignment horizontal="center" wrapText="1"/>
    </xf>
    <xf numFmtId="37" fontId="46" fillId="9" borderId="56" xfId="0" applyNumberFormat="1" applyFont="1" applyFill="1" applyBorder="1" applyAlignment="1">
      <alignment horizontal="left" vertical="center" wrapText="1"/>
    </xf>
    <xf numFmtId="37" fontId="46" fillId="9" borderId="91" xfId="0" applyNumberFormat="1" applyFont="1" applyFill="1" applyBorder="1" applyAlignment="1">
      <alignment horizontal="left" vertical="center" wrapText="1"/>
    </xf>
    <xf numFmtId="37" fontId="46" fillId="9" borderId="42" xfId="0" applyNumberFormat="1" applyFont="1" applyFill="1" applyBorder="1" applyAlignment="1">
      <alignment horizontal="left" vertical="center" wrapText="1"/>
    </xf>
    <xf numFmtId="37" fontId="46" fillId="9" borderId="41" xfId="0" applyNumberFormat="1" applyFont="1" applyFill="1" applyBorder="1" applyAlignment="1">
      <alignment horizontal="left" vertical="center" wrapText="1"/>
    </xf>
    <xf numFmtId="37" fontId="46" fillId="9" borderId="54" xfId="0" applyNumberFormat="1" applyFont="1" applyFill="1" applyBorder="1" applyAlignment="1">
      <alignment horizontal="left" vertical="center" wrapText="1"/>
    </xf>
    <xf numFmtId="37" fontId="46" fillId="9" borderId="58" xfId="0" applyNumberFormat="1" applyFont="1" applyFill="1" applyBorder="1" applyAlignment="1">
      <alignment horizontal="left" vertical="center" wrapText="1"/>
    </xf>
    <xf numFmtId="0" fontId="49" fillId="9" borderId="50" xfId="0" applyFont="1" applyFill="1" applyBorder="1" applyAlignment="1">
      <alignment horizontal="center"/>
    </xf>
    <xf numFmtId="0" fontId="49" fillId="9" borderId="39" xfId="0" applyFont="1" applyFill="1" applyBorder="1" applyAlignment="1">
      <alignment horizontal="center"/>
    </xf>
    <xf numFmtId="0" fontId="49" fillId="9" borderId="40" xfId="0" applyFont="1" applyFill="1" applyBorder="1" applyAlignment="1">
      <alignment horizontal="center"/>
    </xf>
    <xf numFmtId="0" fontId="22" fillId="9" borderId="42" xfId="0" applyFont="1" applyFill="1" applyBorder="1" applyAlignment="1">
      <alignment horizontal="center"/>
    </xf>
    <xf numFmtId="0" fontId="48" fillId="9" borderId="0" xfId="0" applyFont="1" applyFill="1" applyAlignment="1">
      <alignment horizontal="center"/>
    </xf>
    <xf numFmtId="37" fontId="15" fillId="0" borderId="6" xfId="0" applyNumberFormat="1" applyFont="1" applyBorder="1" applyAlignment="1">
      <alignment horizontal="left" vertical="center"/>
    </xf>
    <xf numFmtId="0" fontId="19" fillId="5" borderId="87" xfId="7" applyFont="1" applyFill="1" applyBorder="1" applyAlignment="1">
      <alignment horizontal="center" vertical="top"/>
    </xf>
    <xf numFmtId="0" fontId="19" fillId="5" borderId="20" xfId="7" applyFont="1" applyFill="1" applyBorder="1" applyAlignment="1">
      <alignment horizontal="center" vertical="top"/>
    </xf>
    <xf numFmtId="0" fontId="19" fillId="5" borderId="38" xfId="7" applyFont="1" applyFill="1" applyBorder="1" applyAlignment="1">
      <alignment horizontal="center" vertical="top"/>
    </xf>
    <xf numFmtId="37" fontId="15" fillId="3" borderId="86" xfId="0" applyNumberFormat="1" applyFont="1" applyFill="1" applyBorder="1" applyAlignment="1">
      <alignment horizontal="left" vertical="center"/>
    </xf>
    <xf numFmtId="37" fontId="24" fillId="0" borderId="22" xfId="0" applyNumberFormat="1" applyFont="1" applyBorder="1" applyAlignment="1">
      <alignment horizontal="left" vertical="center" wrapText="1"/>
    </xf>
    <xf numFmtId="37" fontId="24" fillId="0" borderId="23" xfId="0" applyNumberFormat="1" applyFont="1" applyBorder="1" applyAlignment="1">
      <alignment horizontal="left" vertical="center" wrapText="1"/>
    </xf>
    <xf numFmtId="37" fontId="24" fillId="0" borderId="24" xfId="0" applyNumberFormat="1" applyFont="1" applyBorder="1" applyAlignment="1">
      <alignment horizontal="left" vertical="center" wrapText="1"/>
    </xf>
    <xf numFmtId="37" fontId="15" fillId="3" borderId="3" xfId="0" applyNumberFormat="1" applyFont="1" applyFill="1" applyBorder="1" applyAlignment="1">
      <alignment horizontal="left" vertical="center" wrapText="1"/>
    </xf>
    <xf numFmtId="37" fontId="15" fillId="3" borderId="4" xfId="0" applyNumberFormat="1" applyFont="1" applyFill="1" applyBorder="1" applyAlignment="1">
      <alignment horizontal="left" vertical="center" wrapText="1"/>
    </xf>
    <xf numFmtId="37" fontId="15" fillId="3" borderId="86" xfId="0" applyNumberFormat="1" applyFont="1" applyFill="1" applyBorder="1" applyAlignment="1">
      <alignment horizontal="left" vertical="center" wrapText="1"/>
    </xf>
    <xf numFmtId="37" fontId="15" fillId="13" borderId="20" xfId="0" applyNumberFormat="1" applyFont="1" applyFill="1" applyBorder="1" applyAlignment="1">
      <alignment horizontal="left" vertical="center" wrapText="1"/>
    </xf>
    <xf numFmtId="0" fontId="27" fillId="13" borderId="20" xfId="0" applyFont="1" applyFill="1" applyBorder="1" applyAlignment="1">
      <alignment horizontal="left" vertical="center" wrapText="1"/>
    </xf>
    <xf numFmtId="37" fontId="24" fillId="0" borderId="10" xfId="0" applyNumberFormat="1" applyFont="1" applyBorder="1" applyAlignment="1">
      <alignment horizontal="left" vertical="center" wrapText="1"/>
    </xf>
    <xf numFmtId="37" fontId="24" fillId="0" borderId="11" xfId="0" applyNumberFormat="1" applyFont="1" applyBorder="1" applyAlignment="1">
      <alignment horizontal="left" vertical="center" wrapText="1"/>
    </xf>
    <xf numFmtId="37" fontId="24" fillId="0" borderId="12" xfId="0" applyNumberFormat="1" applyFont="1" applyBorder="1" applyAlignment="1">
      <alignment horizontal="left" vertical="center" wrapText="1"/>
    </xf>
    <xf numFmtId="37" fontId="15" fillId="0" borderId="0" xfId="0" applyNumberFormat="1" applyFont="1" applyAlignment="1">
      <alignment horizontal="left" vertical="center"/>
    </xf>
    <xf numFmtId="37" fontId="15" fillId="3" borderId="6" xfId="0" applyNumberFormat="1" applyFont="1" applyFill="1" applyBorder="1" applyAlignment="1">
      <alignment horizontal="left" vertical="center"/>
    </xf>
    <xf numFmtId="0" fontId="20" fillId="9" borderId="95" xfId="7" applyFont="1" applyFill="1" applyBorder="1" applyAlignment="1">
      <alignment horizontal="center"/>
    </xf>
    <xf numFmtId="0" fontId="20" fillId="9" borderId="59" xfId="7" applyFont="1" applyFill="1" applyBorder="1" applyAlignment="1">
      <alignment horizontal="center"/>
    </xf>
    <xf numFmtId="0" fontId="20" fillId="9" borderId="85" xfId="7" applyFont="1" applyFill="1" applyBorder="1" applyAlignment="1">
      <alignment horizontal="center"/>
    </xf>
    <xf numFmtId="0" fontId="74" fillId="0" borderId="0" xfId="0" applyFont="1" applyAlignment="1">
      <alignment horizontal="left" vertical="center" wrapText="1"/>
    </xf>
    <xf numFmtId="0" fontId="74" fillId="0" borderId="41" xfId="0" applyFont="1" applyBorder="1" applyAlignment="1">
      <alignment horizontal="left" vertical="center" wrapText="1"/>
    </xf>
  </cellXfs>
  <cellStyles count="14">
    <cellStyle name="Comma" xfId="1" builtinId="3"/>
    <cellStyle name="Currency 15" xfId="2" xr:uid="{00000000-0005-0000-0000-000001000000}"/>
    <cellStyle name="Hyperlink 4" xfId="3" xr:uid="{00000000-0005-0000-0000-000002000000}"/>
    <cellStyle name="Normal" xfId="0" builtinId="0"/>
    <cellStyle name="Normal 10" xfId="4" xr:uid="{00000000-0005-0000-0000-000004000000}"/>
    <cellStyle name="Normal 10 12" xfId="5" xr:uid="{00000000-0005-0000-0000-000005000000}"/>
    <cellStyle name="Normal 2" xfId="6" xr:uid="{00000000-0005-0000-0000-000006000000}"/>
    <cellStyle name="Normal 6" xfId="7" xr:uid="{00000000-0005-0000-0000-000007000000}"/>
    <cellStyle name="Percent" xfId="8" builtinId="5"/>
    <cellStyle name="Percent 100" xfId="9" xr:uid="{00000000-0005-0000-0000-000009000000}"/>
    <cellStyle name="Percent 2" xfId="10" xr:uid="{00000000-0005-0000-0000-00000A000000}"/>
    <cellStyle name="Range Header 10" xfId="11" xr:uid="{00000000-0005-0000-0000-00000B000000}"/>
    <cellStyle name="Range Header 2" xfId="12" xr:uid="{00000000-0005-0000-0000-00000C000000}"/>
    <cellStyle name="Titles" xfId="13" xr:uid="{00000000-0005-0000-0000-00000D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AppData\Local\Temp\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C_Model_Pro"/>
      <sheetName val="Home"/>
      <sheetName val="O&amp;M (R)"/>
      <sheetName val="Inputs"/>
      <sheetName val="CIP (R)"/>
      <sheetName val="Rev"/>
      <sheetName val="O&amp;M"/>
      <sheetName val="CIP"/>
      <sheetName val="Debt"/>
      <sheetName val="Cashflow"/>
      <sheetName val="Dashboard"/>
      <sheetName val="COS"/>
      <sheetName val="Rates"/>
      <sheetName val="Summary"/>
      <sheetName val="Report"/>
      <sheetName val="UsageFreq"/>
      <sheetName val="launch values"/>
      <sheetName val="About"/>
      <sheetName val="Cash Flow"/>
      <sheetName val="Capital Program"/>
      <sheetName val="Affordability"/>
      <sheetName val="Output"/>
      <sheetName val="Assumption #s"/>
      <sheetName val="Assumptions Tables"/>
      <sheetName val="ML-5"/>
      <sheetName val="Model User Input"/>
      <sheetName val="Customer"/>
      <sheetName val="Bill Tab"/>
      <sheetName val="Bill Impacts"/>
      <sheetName val="Combined Dashboard"/>
      <sheetName val="Water Dashboard"/>
      <sheetName val="Wastewater Dashboard"/>
      <sheetName val="Other Revenue"/>
      <sheetName val="Index"/>
      <sheetName val="Direct O&amp;M"/>
      <sheetName val="Other Dept O&amp;M"/>
      <sheetName val="O&amp;M Adjustments"/>
      <sheetName val="DS"/>
      <sheetName val="Capital Projects"/>
      <sheetName val="TY Rate CF Data"/>
      <sheetName val="Finplan CF Data"/>
      <sheetName val="Funds"/>
      <sheetName val="PFM_Stormwater"/>
      <sheetName val="BV_E1_C_Tables"/>
      <sheetName val="BV_E1_C_Comparison"/>
      <sheetName val="BV_E1_C_Comparison 2"/>
      <sheetName val="BV_E1_W_Tables"/>
      <sheetName val="BV_E1_WW_Tables"/>
      <sheetName val="BVE3_Testimony Tables"/>
      <sheetName val="Rate Board Model OM Tables"/>
      <sheetName val="Rate Study Tables"/>
      <sheetName val="Rate Study Tables DETAIL"/>
      <sheetName val="Report Tables"/>
      <sheetName val="Report Tables (2)"/>
      <sheetName val="Report Tables Original"/>
      <sheetName val="BVE3_Report Tables"/>
      <sheetName val="Council Request"/>
      <sheetName val="Bond Report Tables"/>
      <sheetName val="Bond Report Tables (2)"/>
      <sheetName val="Capital Projects - Scen 1"/>
      <sheetName val="Capital Projects - Scen 2"/>
      <sheetName val="Capital Projects - Scen 3"/>
      <sheetName val="Capital Projects - Scen 4"/>
      <sheetName val="Capital Projects - Scen 5"/>
      <sheetName val="Cost of Service"/>
      <sheetName val="Dashboard Data"/>
      <sheetName val="Dashboard Storage"/>
      <sheetName val="Link"/>
      <sheetName val="Issues Log"/>
      <sheetName val="Graphs"/>
      <sheetName val="Chart1"/>
      <sheetName val="Actual to Budget Charts"/>
      <sheetName val="Assumptions"/>
      <sheetName val="O&amp;M Allocations"/>
      <sheetName val="CF Data"/>
      <sheetName val="Rate Study Tables (2)"/>
      <sheetName val="COS Tables"/>
      <sheetName val="Rate Board Tbls"/>
      <sheetName val="EPA"/>
      <sheetName val="Cash Flow Results"/>
      <sheetName val="Cash Flow Results (OLD)"/>
      <sheetName val="L4 Model User Inputs"/>
      <sheetName val="L4 Output-Graphics"/>
      <sheetName val="Exec Summary"/>
      <sheetName val="Tutorial"/>
      <sheetName val="Chart4"/>
    </sheetNames>
    <sheetDataSet>
      <sheetData sheetId="0"/>
      <sheetData sheetId="1">
        <row r="4">
          <cell r="A4">
            <v>2017</v>
          </cell>
        </row>
        <row r="5">
          <cell r="A5">
            <v>2019</v>
          </cell>
        </row>
      </sheetData>
      <sheetData sheetId="2"/>
      <sheetData sheetId="3"/>
      <sheetData sheetId="4"/>
      <sheetData sheetId="5"/>
      <sheetData sheetId="6"/>
      <sheetData sheetId="7"/>
      <sheetData sheetId="8"/>
      <sheetData sheetId="9"/>
      <sheetData sheetId="10">
        <row r="14">
          <cell r="G14">
            <v>5</v>
          </cell>
        </row>
        <row r="18">
          <cell r="D18">
            <v>130</v>
          </cell>
        </row>
        <row r="21">
          <cell r="D21">
            <v>0</v>
          </cell>
        </row>
        <row r="24">
          <cell r="D24">
            <v>0</v>
          </cell>
        </row>
        <row r="35">
          <cell r="D35">
            <v>7.9</v>
          </cell>
        </row>
        <row r="57">
          <cell r="D57">
            <v>0</v>
          </cell>
        </row>
        <row r="61">
          <cell r="D61">
            <v>14.7</v>
          </cell>
        </row>
        <row r="114">
          <cell r="BA114" t="str">
            <v>Water System</v>
          </cell>
        </row>
        <row r="115">
          <cell r="BA115" t="str">
            <v>Wastewater System</v>
          </cell>
        </row>
        <row r="116">
          <cell r="BA116" t="str">
            <v>Combined System</v>
          </cell>
        </row>
      </sheetData>
      <sheetData sheetId="11"/>
      <sheetData sheetId="12"/>
      <sheetData sheetId="13"/>
      <sheetData sheetId="14"/>
      <sheetData sheetId="15"/>
      <sheetData sheetId="16"/>
      <sheetData sheetId="17"/>
      <sheetData sheetId="18"/>
      <sheetData sheetId="19"/>
      <sheetData sheetId="20"/>
      <sheetData sheetId="21"/>
      <sheetData sheetId="22">
        <row r="13">
          <cell r="C13">
            <v>2017</v>
          </cell>
          <cell r="D13">
            <v>2018</v>
          </cell>
          <cell r="E13">
            <v>2019</v>
          </cell>
          <cell r="F13">
            <v>2020</v>
          </cell>
          <cell r="G13">
            <v>2021</v>
          </cell>
          <cell r="H13">
            <v>2022</v>
          </cell>
          <cell r="I13">
            <v>2023</v>
          </cell>
          <cell r="J13">
            <v>2024</v>
          </cell>
          <cell r="K13">
            <v>2025</v>
          </cell>
          <cell r="L13">
            <v>2026</v>
          </cell>
          <cell r="M13">
            <v>2027</v>
          </cell>
          <cell r="N13">
            <v>2028</v>
          </cell>
          <cell r="O13">
            <v>2029</v>
          </cell>
          <cell r="P13">
            <v>2030</v>
          </cell>
          <cell r="Q13">
            <v>2031</v>
          </cell>
          <cell r="R13">
            <v>2032</v>
          </cell>
        </row>
        <row r="14">
          <cell r="C14">
            <v>3</v>
          </cell>
          <cell r="D14">
            <v>4</v>
          </cell>
          <cell r="E14">
            <v>5</v>
          </cell>
          <cell r="F14">
            <v>6</v>
          </cell>
          <cell r="G14">
            <v>7</v>
          </cell>
          <cell r="H14">
            <v>8</v>
          </cell>
          <cell r="I14">
            <v>9</v>
          </cell>
          <cell r="J14">
            <v>10</v>
          </cell>
          <cell r="K14">
            <v>11</v>
          </cell>
          <cell r="L14">
            <v>12</v>
          </cell>
          <cell r="M14">
            <v>13</v>
          </cell>
          <cell r="N14">
            <v>14</v>
          </cell>
          <cell r="O14">
            <v>15</v>
          </cell>
          <cell r="P14">
            <v>16</v>
          </cell>
          <cell r="Q14">
            <v>17</v>
          </cell>
          <cell r="R14">
            <v>18</v>
          </cell>
        </row>
        <row r="15">
          <cell r="A15" t="str">
            <v>Account - Small Decrease</v>
          </cell>
          <cell r="B15" t="str">
            <v>Account - Small Decrease</v>
          </cell>
          <cell r="C15">
            <v>-2.3657886390715088E-2</v>
          </cell>
          <cell r="D15">
            <v>-2.4231144043616037E-2</v>
          </cell>
          <cell r="E15">
            <v>-2.4832872965458885E-2</v>
          </cell>
          <cell r="F15">
            <v>-2.5465248240037597E-2</v>
          </cell>
          <cell r="G15">
            <v>-2.6130672296753588E-2</v>
          </cell>
          <cell r="H15">
            <v>-2.6831805411080767E-2</v>
          </cell>
          <cell r="I15">
            <v>0</v>
          </cell>
          <cell r="J15">
            <v>0</v>
          </cell>
          <cell r="K15">
            <v>0</v>
          </cell>
          <cell r="L15">
            <v>0</v>
          </cell>
          <cell r="M15">
            <v>0</v>
          </cell>
          <cell r="N15">
            <v>0</v>
          </cell>
          <cell r="O15">
            <v>0</v>
          </cell>
          <cell r="P15">
            <v>0</v>
          </cell>
          <cell r="Q15">
            <v>0</v>
          </cell>
          <cell r="R15">
            <v>0</v>
          </cell>
          <cell r="S15">
            <v>0</v>
          </cell>
        </row>
        <row r="16">
          <cell r="A16" t="str">
            <v>Account - Small Growth</v>
          </cell>
          <cell r="B16" t="str">
            <v>Account - Small Growth</v>
          </cell>
          <cell r="C16">
            <v>5.0556941495538688E-4</v>
          </cell>
          <cell r="D16">
            <v>5.0531394368058535E-4</v>
          </cell>
          <cell r="E16">
            <v>5.0505873046158278E-4</v>
          </cell>
          <cell r="F16">
            <v>5.0480377490802475E-4</v>
          </cell>
          <cell r="G16">
            <v>5.0454907662955684E-4</v>
          </cell>
          <cell r="H16">
            <v>5.0429463523693485E-4</v>
          </cell>
          <cell r="I16">
            <v>0</v>
          </cell>
          <cell r="J16">
            <v>0</v>
          </cell>
          <cell r="K16">
            <v>0</v>
          </cell>
          <cell r="L16">
            <v>0</v>
          </cell>
          <cell r="M16">
            <v>0</v>
          </cell>
          <cell r="N16">
            <v>0</v>
          </cell>
          <cell r="O16">
            <v>0</v>
          </cell>
          <cell r="P16">
            <v>0</v>
          </cell>
          <cell r="Q16">
            <v>0</v>
          </cell>
          <cell r="R16">
            <v>0</v>
          </cell>
          <cell r="S16">
            <v>0</v>
          </cell>
        </row>
        <row r="17">
          <cell r="A17" t="str">
            <v>Account - Med Growth</v>
          </cell>
          <cell r="B17" t="str">
            <v>Account - Med Growth</v>
          </cell>
          <cell r="C17">
            <v>0.02</v>
          </cell>
          <cell r="D17">
            <v>0.02</v>
          </cell>
          <cell r="E17">
            <v>0.02</v>
          </cell>
          <cell r="F17">
            <v>0.02</v>
          </cell>
          <cell r="G17">
            <v>0.02</v>
          </cell>
          <cell r="H17">
            <v>0.02</v>
          </cell>
          <cell r="I17">
            <v>0.02</v>
          </cell>
          <cell r="J17">
            <v>0.02</v>
          </cell>
          <cell r="K17">
            <v>0.02</v>
          </cell>
          <cell r="L17">
            <v>0.02</v>
          </cell>
          <cell r="M17">
            <v>0.02</v>
          </cell>
          <cell r="N17">
            <v>0.02</v>
          </cell>
          <cell r="O17">
            <v>0.02</v>
          </cell>
          <cell r="P17">
            <v>0.02</v>
          </cell>
          <cell r="Q17">
            <v>0.02</v>
          </cell>
          <cell r="R17">
            <v>0.02</v>
          </cell>
          <cell r="S17">
            <v>0.02</v>
          </cell>
        </row>
        <row r="18">
          <cell r="A18" t="str">
            <v>Account - Large Growth</v>
          </cell>
          <cell r="B18" t="str">
            <v>Account - Large Growth</v>
          </cell>
          <cell r="C18">
            <v>0.05</v>
          </cell>
          <cell r="D18">
            <v>0.05</v>
          </cell>
          <cell r="E18">
            <v>0.05</v>
          </cell>
          <cell r="F18">
            <v>0.05</v>
          </cell>
          <cell r="G18">
            <v>0.05</v>
          </cell>
          <cell r="H18">
            <v>0.05</v>
          </cell>
          <cell r="I18">
            <v>0.05</v>
          </cell>
          <cell r="J18">
            <v>0.05</v>
          </cell>
          <cell r="K18">
            <v>0.05</v>
          </cell>
          <cell r="L18">
            <v>0.05</v>
          </cell>
          <cell r="M18">
            <v>0.05</v>
          </cell>
          <cell r="N18">
            <v>0.05</v>
          </cell>
          <cell r="O18">
            <v>0.05</v>
          </cell>
          <cell r="P18">
            <v>0.05</v>
          </cell>
          <cell r="Q18">
            <v>0.05</v>
          </cell>
          <cell r="R18">
            <v>0.05</v>
          </cell>
          <cell r="S18">
            <v>0.05</v>
          </cell>
        </row>
        <row r="19">
          <cell r="A19" t="str">
            <v>Account - No Growth</v>
          </cell>
          <cell r="B19" t="str">
            <v>Account - No Growth</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5">
          <cell r="A25" t="str">
            <v>Volume - Small Decrease (SC)</v>
          </cell>
          <cell r="B25" t="str">
            <v>Volume - Small Decrease (SC)</v>
          </cell>
          <cell r="C25">
            <v>-1.7500000000000002E-2</v>
          </cell>
          <cell r="D25">
            <v>-1.7500000000000002E-2</v>
          </cell>
          <cell r="E25">
            <v>-1.7500000000000002E-2</v>
          </cell>
          <cell r="F25">
            <v>-1.7500000000000002E-2</v>
          </cell>
          <cell r="G25">
            <v>-1.7500000000000002E-2</v>
          </cell>
          <cell r="H25">
            <v>-1.7500000000000002E-2</v>
          </cell>
          <cell r="I25">
            <v>-1.7500000000000002E-2</v>
          </cell>
          <cell r="J25">
            <v>-1.7500000000000002E-2</v>
          </cell>
          <cell r="K25">
            <v>-1.7500000000000002E-2</v>
          </cell>
          <cell r="L25">
            <v>-1.7500000000000002E-2</v>
          </cell>
          <cell r="M25">
            <v>-1.7500000000000002E-2</v>
          </cell>
          <cell r="N25">
            <v>-1.7500000000000002E-2</v>
          </cell>
          <cell r="O25">
            <v>-1.7500000000000002E-2</v>
          </cell>
          <cell r="P25">
            <v>-1.7500000000000002E-2</v>
          </cell>
          <cell r="Q25">
            <v>-1.7500000000000002E-2</v>
          </cell>
          <cell r="R25">
            <v>-1.7500000000000002E-2</v>
          </cell>
        </row>
        <row r="26">
          <cell r="A26" t="str">
            <v>Volume - Small Decrease</v>
          </cell>
          <cell r="B26" t="str">
            <v>Volume - Small Decrease</v>
          </cell>
          <cell r="C26">
            <v>-1.7500000000000002E-2</v>
          </cell>
          <cell r="D26">
            <v>-1.7500000000000002E-2</v>
          </cell>
          <cell r="E26">
            <v>-1.7500000000000002E-2</v>
          </cell>
          <cell r="F26">
            <v>-1.7500000000000002E-2</v>
          </cell>
          <cell r="G26">
            <v>-1.7500000000000002E-2</v>
          </cell>
          <cell r="H26">
            <v>-1.7500000000000002E-2</v>
          </cell>
          <cell r="I26">
            <v>-1.7500000000000002E-2</v>
          </cell>
          <cell r="J26">
            <v>-1.7500000000000002E-2</v>
          </cell>
          <cell r="K26">
            <v>-1.7500000000000002E-2</v>
          </cell>
          <cell r="L26">
            <v>-1.7500000000000002E-2</v>
          </cell>
          <cell r="M26">
            <v>-1.7500000000000002E-2</v>
          </cell>
          <cell r="N26">
            <v>-1.7500000000000002E-2</v>
          </cell>
          <cell r="O26">
            <v>-1.7500000000000002E-2</v>
          </cell>
          <cell r="P26">
            <v>-1.7500000000000002E-2</v>
          </cell>
          <cell r="Q26">
            <v>-1.7500000000000002E-2</v>
          </cell>
          <cell r="R26">
            <v>-1.7500000000000002E-2</v>
          </cell>
        </row>
        <row r="27">
          <cell r="A27" t="str">
            <v>Volume - Small Decrease with Adjustment</v>
          </cell>
          <cell r="B27" t="str">
            <v>Volume - Small Decrease with Adjustment</v>
          </cell>
          <cell r="C27">
            <v>-1.7500000000000002E-2</v>
          </cell>
          <cell r="D27">
            <v>-1.7500000000000002E-2</v>
          </cell>
          <cell r="E27">
            <v>-1.7500000000000002E-2</v>
          </cell>
          <cell r="F27">
            <v>-1.7500000000000002E-2</v>
          </cell>
          <cell r="G27">
            <v>-1.7500000000000002E-2</v>
          </cell>
          <cell r="H27">
            <v>-1.7500000000000002E-2</v>
          </cell>
          <cell r="I27">
            <v>-1.7500000000000002E-2</v>
          </cell>
          <cell r="J27">
            <v>-1.7500000000000002E-2</v>
          </cell>
          <cell r="K27">
            <v>-1.7500000000000002E-2</v>
          </cell>
          <cell r="L27">
            <v>-1.7500000000000002E-2</v>
          </cell>
          <cell r="M27">
            <v>-1.7500000000000002E-2</v>
          </cell>
          <cell r="N27">
            <v>-1.7500000000000002E-2</v>
          </cell>
          <cell r="O27">
            <v>-1.7500000000000002E-2</v>
          </cell>
          <cell r="P27">
            <v>-1.7500000000000002E-2</v>
          </cell>
          <cell r="Q27">
            <v>-1.7500000000000002E-2</v>
          </cell>
          <cell r="R27">
            <v>-1.7500000000000002E-2</v>
          </cell>
        </row>
        <row r="28">
          <cell r="A28" t="str">
            <v>Volume - Small Growth</v>
          </cell>
          <cell r="B28" t="str">
            <v>Volume - PHA</v>
          </cell>
          <cell r="C28">
            <v>0.01</v>
          </cell>
          <cell r="D28">
            <v>0.01</v>
          </cell>
          <cell r="E28">
            <v>0.01</v>
          </cell>
          <cell r="F28">
            <v>0.01</v>
          </cell>
          <cell r="G28">
            <v>0.01</v>
          </cell>
          <cell r="H28">
            <v>0.01</v>
          </cell>
          <cell r="I28">
            <v>0.01</v>
          </cell>
          <cell r="J28">
            <v>0.01</v>
          </cell>
          <cell r="K28">
            <v>0.01</v>
          </cell>
          <cell r="L28">
            <v>0.01</v>
          </cell>
          <cell r="M28">
            <v>0.01</v>
          </cell>
          <cell r="N28">
            <v>0.01</v>
          </cell>
          <cell r="O28">
            <v>0.01</v>
          </cell>
          <cell r="P28">
            <v>0.01</v>
          </cell>
          <cell r="Q28">
            <v>0.01</v>
          </cell>
          <cell r="R28">
            <v>0.01</v>
          </cell>
        </row>
        <row r="29">
          <cell r="A29" t="str">
            <v>Volume - Med Growth</v>
          </cell>
          <cell r="B29" t="str">
            <v>Volume - Charities/Schools</v>
          </cell>
          <cell r="C29">
            <v>0.02</v>
          </cell>
          <cell r="D29">
            <v>0.02</v>
          </cell>
          <cell r="E29">
            <v>0.02</v>
          </cell>
          <cell r="F29">
            <v>0.02</v>
          </cell>
          <cell r="G29">
            <v>0.02</v>
          </cell>
          <cell r="H29">
            <v>0.02</v>
          </cell>
          <cell r="I29">
            <v>0.02</v>
          </cell>
          <cell r="J29">
            <v>0.02</v>
          </cell>
          <cell r="K29">
            <v>0.02</v>
          </cell>
          <cell r="L29">
            <v>0.02</v>
          </cell>
          <cell r="M29">
            <v>0.02</v>
          </cell>
          <cell r="N29">
            <v>0.02</v>
          </cell>
          <cell r="O29">
            <v>0.02</v>
          </cell>
          <cell r="P29">
            <v>0.02</v>
          </cell>
          <cell r="Q29">
            <v>0.02</v>
          </cell>
          <cell r="R29">
            <v>0.02</v>
          </cell>
        </row>
        <row r="30">
          <cell r="A30" t="str">
            <v>Volume - No Growth</v>
          </cell>
          <cell r="B30" t="str">
            <v>Volume - Hospital/Universities</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Volume - No Growth with Adjustment</v>
          </cell>
          <cell r="B31" t="str">
            <v>Volume - Hand Billed</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B32" t="str">
            <v>Volume - Fire Service</v>
          </cell>
          <cell r="C32">
            <v>0</v>
          </cell>
          <cell r="D32">
            <v>0.112</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485">
          <cell r="A485" t="str">
            <v xml:space="preserve">Constant </v>
          </cell>
        </row>
        <row r="486">
          <cell r="A486" t="str">
            <v>Labor</v>
          </cell>
        </row>
        <row r="487">
          <cell r="A487" t="str">
            <v>Other Benefits</v>
          </cell>
        </row>
        <row r="488">
          <cell r="A488" t="str">
            <v>Pension</v>
          </cell>
        </row>
        <row r="489">
          <cell r="A489" t="str">
            <v>Pension Obligations</v>
          </cell>
        </row>
        <row r="490">
          <cell r="A490" t="str">
            <v>General</v>
          </cell>
        </row>
        <row r="491">
          <cell r="A491" t="str">
            <v>Property Leases</v>
          </cell>
        </row>
        <row r="492">
          <cell r="A492" t="str">
            <v>Other 200</v>
          </cell>
        </row>
        <row r="493">
          <cell r="A493" t="str">
            <v>Other 300</v>
          </cell>
        </row>
        <row r="494">
          <cell r="A494" t="str">
            <v>Other 400</v>
          </cell>
        </row>
        <row r="495">
          <cell r="A495" t="str">
            <v>Energy</v>
          </cell>
        </row>
        <row r="496">
          <cell r="A496" t="str">
            <v>Gas</v>
          </cell>
        </row>
        <row r="497">
          <cell r="A497" t="str">
            <v>Chemicals</v>
          </cell>
        </row>
        <row r="498">
          <cell r="A498" t="str">
            <v>Transfers</v>
          </cell>
        </row>
        <row r="503">
          <cell r="A503">
            <v>0</v>
          </cell>
        </row>
        <row r="504">
          <cell r="A504">
            <v>1</v>
          </cell>
        </row>
        <row r="505">
          <cell r="A505">
            <v>2</v>
          </cell>
        </row>
        <row r="506">
          <cell r="A506">
            <v>3</v>
          </cell>
        </row>
        <row r="507">
          <cell r="A507">
            <v>4</v>
          </cell>
        </row>
        <row r="508">
          <cell r="A508">
            <v>5</v>
          </cell>
        </row>
        <row r="524">
          <cell r="A524" t="str">
            <v>Small Residential</v>
          </cell>
        </row>
        <row r="525">
          <cell r="A525" t="str">
            <v>Large Residential</v>
          </cell>
        </row>
        <row r="526">
          <cell r="A526" t="str">
            <v>Commercial</v>
          </cell>
        </row>
        <row r="527">
          <cell r="A527" t="str">
            <v>Industrial</v>
          </cell>
        </row>
        <row r="528">
          <cell r="A528" t="str">
            <v>Other 1</v>
          </cell>
        </row>
        <row r="529">
          <cell r="A529" t="str">
            <v>Other 2</v>
          </cell>
        </row>
        <row r="548">
          <cell r="A548" t="str">
            <v>5/8"</v>
          </cell>
        </row>
        <row r="549">
          <cell r="A549" t="str">
            <v>3/4"</v>
          </cell>
        </row>
        <row r="550">
          <cell r="A550" t="str">
            <v>1"</v>
          </cell>
        </row>
        <row r="551">
          <cell r="A551" t="str">
            <v>1 1/4"</v>
          </cell>
        </row>
        <row r="552">
          <cell r="A552" t="str">
            <v>1 1/2"</v>
          </cell>
        </row>
        <row r="553">
          <cell r="A553" t="str">
            <v>2"</v>
          </cell>
        </row>
        <row r="554">
          <cell r="A554" t="str">
            <v>3"</v>
          </cell>
        </row>
        <row r="555">
          <cell r="A555" t="str">
            <v>4"</v>
          </cell>
        </row>
        <row r="556">
          <cell r="A556" t="str">
            <v>6"</v>
          </cell>
        </row>
        <row r="557">
          <cell r="A557" t="str">
            <v>8"</v>
          </cell>
        </row>
        <row r="558">
          <cell r="A558" t="str">
            <v>10"</v>
          </cell>
        </row>
        <row r="559">
          <cell r="A559" t="str">
            <v>12"</v>
          </cell>
        </row>
        <row r="1496">
          <cell r="A1496" t="str">
            <v>Low</v>
          </cell>
          <cell r="B1496">
            <v>0</v>
          </cell>
        </row>
        <row r="1497">
          <cell r="A1497" t="str">
            <v>Medium</v>
          </cell>
          <cell r="B1497">
            <v>2.5000000000000001E-2</v>
          </cell>
        </row>
        <row r="1498">
          <cell r="A1498" t="str">
            <v>High</v>
          </cell>
          <cell r="B1498">
            <v>2.5000000000000001E-2</v>
          </cell>
        </row>
      </sheetData>
      <sheetData sheetId="23"/>
      <sheetData sheetId="24"/>
      <sheetData sheetId="25"/>
      <sheetData sheetId="26"/>
      <sheetData sheetId="27"/>
      <sheetData sheetId="28"/>
      <sheetData sheetId="29"/>
      <sheetData sheetId="30"/>
      <sheetData sheetId="31"/>
      <sheetData sheetId="32"/>
      <sheetData sheetId="33"/>
      <sheetData sheetId="34">
        <row r="15">
          <cell r="AG15" t="str">
            <v>Water Utility</v>
          </cell>
        </row>
        <row r="16">
          <cell r="AG16" t="str">
            <v>Wastewater Utility</v>
          </cell>
        </row>
        <row r="17">
          <cell r="AG17" t="str">
            <v>Combined Utility</v>
          </cell>
        </row>
        <row r="522">
          <cell r="K522">
            <v>0.84734855184879909</v>
          </cell>
        </row>
      </sheetData>
      <sheetData sheetId="35"/>
      <sheetData sheetId="36">
        <row r="11">
          <cell r="A11" t="b">
            <v>1</v>
          </cell>
        </row>
        <row r="12">
          <cell r="A12" t="b">
            <v>1</v>
          </cell>
        </row>
        <row r="13">
          <cell r="A13" t="b">
            <v>1</v>
          </cell>
        </row>
        <row r="14">
          <cell r="A14" t="b">
            <v>1</v>
          </cell>
        </row>
        <row r="15">
          <cell r="A15" t="b">
            <v>1</v>
          </cell>
        </row>
        <row r="16">
          <cell r="A16" t="b">
            <v>1</v>
          </cell>
        </row>
        <row r="17">
          <cell r="A17" t="b">
            <v>1</v>
          </cell>
        </row>
        <row r="18">
          <cell r="A18" t="b">
            <v>1</v>
          </cell>
        </row>
        <row r="19">
          <cell r="A19" t="b">
            <v>1</v>
          </cell>
        </row>
        <row r="20">
          <cell r="A20" t="b">
            <v>1</v>
          </cell>
        </row>
        <row r="21">
          <cell r="A21" t="b">
            <v>1</v>
          </cell>
        </row>
      </sheetData>
      <sheetData sheetId="37"/>
      <sheetData sheetId="38">
        <row r="12">
          <cell r="Y12">
            <v>1</v>
          </cell>
        </row>
        <row r="13">
          <cell r="Y13">
            <v>2</v>
          </cell>
        </row>
        <row r="14">
          <cell r="Y14">
            <v>3</v>
          </cell>
        </row>
        <row r="15">
          <cell r="Y15">
            <v>4</v>
          </cell>
        </row>
        <row r="16">
          <cell r="Y16">
            <v>5</v>
          </cell>
        </row>
      </sheetData>
      <sheetData sheetId="39"/>
      <sheetData sheetId="40"/>
      <sheetData sheetId="41">
        <row r="348">
          <cell r="B348" t="str">
            <v>Construction Fund</v>
          </cell>
        </row>
        <row r="349">
          <cell r="B349" t="str">
            <v>Rate Stabilization</v>
          </cell>
        </row>
        <row r="350">
          <cell r="B350" t="str">
            <v>Debt Service Reserve</v>
          </cell>
        </row>
        <row r="351">
          <cell r="B351" t="str">
            <v>Residual Fund</v>
          </cell>
        </row>
        <row r="352">
          <cell r="B352" t="str">
            <v>Rate Stabilization and Residual (120 Days)</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309">
          <cell r="K309">
            <v>2</v>
          </cell>
        </row>
      </sheetData>
      <sheetData sheetId="66">
        <row r="680">
          <cell r="B680" t="str">
            <v>Scenario 1  - Exclude AMI</v>
          </cell>
        </row>
      </sheetData>
      <sheetData sheetId="67"/>
      <sheetData sheetId="68"/>
      <sheetData sheetId="69"/>
      <sheetData sheetId="70" refreshError="1"/>
      <sheetData sheetId="71"/>
      <sheetData sheetId="72"/>
      <sheetData sheetId="73"/>
      <sheetData sheetId="74">
        <row r="314">
          <cell r="A314">
            <v>3</v>
          </cell>
        </row>
      </sheetData>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FF00"/>
  </sheetPr>
  <dimension ref="A1:O4"/>
  <sheetViews>
    <sheetView workbookViewId="0">
      <selection activeCell="A2" sqref="A2:M2"/>
    </sheetView>
  </sheetViews>
  <sheetFormatPr defaultColWidth="8.796875" defaultRowHeight="15.6"/>
  <cols>
    <col min="1" max="6" width="8.796875" customWidth="1"/>
    <col min="7" max="7" width="10.09765625" customWidth="1"/>
    <col min="8" max="10" width="8.796875" customWidth="1"/>
    <col min="11" max="11" width="5.09765625" customWidth="1"/>
  </cols>
  <sheetData>
    <row r="1" spans="1:15" ht="21">
      <c r="A1" s="651" t="s">
        <v>274</v>
      </c>
      <c r="B1" s="651"/>
      <c r="C1" s="651"/>
      <c r="D1" s="651"/>
      <c r="E1" s="651"/>
      <c r="F1" s="651"/>
      <c r="G1" s="651"/>
      <c r="H1" s="651"/>
      <c r="I1" s="651"/>
      <c r="J1" s="651"/>
      <c r="K1" s="651"/>
      <c r="L1" s="651"/>
      <c r="M1" s="651"/>
    </row>
    <row r="2" spans="1:15" ht="198" customHeight="1">
      <c r="A2" s="648" t="s">
        <v>399</v>
      </c>
      <c r="B2" s="648"/>
      <c r="C2" s="648"/>
      <c r="D2" s="648"/>
      <c r="E2" s="648"/>
      <c r="F2" s="648"/>
      <c r="G2" s="648"/>
      <c r="H2" s="648"/>
      <c r="I2" s="648"/>
      <c r="J2" s="648"/>
      <c r="K2" s="648"/>
      <c r="L2" s="648"/>
      <c r="M2" s="648"/>
      <c r="N2" s="323"/>
      <c r="O2" s="323"/>
    </row>
    <row r="4" spans="1:15" ht="18">
      <c r="C4" s="342" t="s">
        <v>273</v>
      </c>
      <c r="D4" s="650" t="s">
        <v>270</v>
      </c>
      <c r="E4" s="650"/>
      <c r="F4" s="650"/>
      <c r="G4" s="650"/>
      <c r="H4" s="343" t="s">
        <v>271</v>
      </c>
      <c r="L4" s="649" t="s">
        <v>272</v>
      </c>
      <c r="M4" s="649"/>
    </row>
  </sheetData>
  <mergeCells count="4">
    <mergeCell ref="A2:M2"/>
    <mergeCell ref="L4:M4"/>
    <mergeCell ref="D4:G4"/>
    <mergeCell ref="A1:M1"/>
  </mergeCells>
  <phoneticPr fontId="25" type="noConversion"/>
  <pageMargins left="0.25" right="0.25" top="1" bottom="1" header="0.5" footer="0.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9">
    <tabColor rgb="FF00FF00"/>
  </sheetPr>
  <dimension ref="B1:U156"/>
  <sheetViews>
    <sheetView showGridLines="0" tabSelected="1" zoomScaleNormal="100" zoomScaleSheetLayoutView="90" workbookViewId="0">
      <selection activeCell="O2" sqref="O1:O1048576"/>
    </sheetView>
  </sheetViews>
  <sheetFormatPr defaultColWidth="9" defaultRowHeight="15.6"/>
  <cols>
    <col min="1" max="1" width="2.09765625" style="32" customWidth="1"/>
    <col min="2" max="2" width="6.59765625" style="32" customWidth="1"/>
    <col min="3" max="3" width="8.59765625" style="32" customWidth="1"/>
    <col min="4" max="4" width="9.59765625" style="32" customWidth="1"/>
    <col min="5" max="5" width="6.09765625" style="32" customWidth="1"/>
    <col min="6" max="6" width="2.09765625" style="32" customWidth="1"/>
    <col min="7" max="7" width="3.09765625" style="32" customWidth="1"/>
    <col min="8" max="13" width="12.09765625" style="32" customWidth="1"/>
    <col min="14" max="15" width="1.09765625" style="32" hidden="1" customWidth="1"/>
    <col min="16" max="16" width="25.09765625" style="32" hidden="1" customWidth="1"/>
    <col min="17" max="17" width="13.59765625" style="32" customWidth="1"/>
    <col min="18" max="18" width="8.796875" style="32" customWidth="1"/>
    <col min="19" max="19" width="12.796875" style="32" customWidth="1"/>
    <col min="20" max="21" width="11.59765625" style="32" customWidth="1"/>
    <col min="22" max="256" width="11" style="32" customWidth="1"/>
    <col min="257" max="16384" width="9" style="32"/>
  </cols>
  <sheetData>
    <row r="1" spans="2:19" ht="17.399999999999999">
      <c r="B1" s="690" t="s">
        <v>333</v>
      </c>
      <c r="C1" s="691"/>
      <c r="D1" s="691"/>
      <c r="E1" s="691"/>
      <c r="F1" s="691"/>
      <c r="G1" s="691"/>
      <c r="H1" s="691"/>
      <c r="I1" s="691"/>
      <c r="J1" s="691"/>
      <c r="K1" s="691"/>
      <c r="L1" s="691"/>
      <c r="M1" s="691"/>
      <c r="N1" s="691"/>
      <c r="O1" s="691"/>
      <c r="P1" s="691"/>
    </row>
    <row r="2" spans="2:19" ht="17.399999999999999">
      <c r="B2" s="421"/>
      <c r="C2" s="422"/>
      <c r="D2" s="422"/>
      <c r="E2" s="422"/>
      <c r="F2" s="422"/>
      <c r="G2" s="422"/>
      <c r="H2" s="422"/>
      <c r="I2" s="422"/>
      <c r="J2" s="423" t="s">
        <v>334</v>
      </c>
      <c r="K2" s="422"/>
      <c r="L2" s="422"/>
      <c r="M2" s="422"/>
      <c r="N2" s="422"/>
      <c r="O2" s="422"/>
      <c r="P2" s="422"/>
    </row>
    <row r="3" spans="2:19" ht="17.399999999999999">
      <c r="B3" s="692" t="s">
        <v>5</v>
      </c>
      <c r="C3" s="693"/>
      <c r="D3" s="693"/>
      <c r="E3" s="693"/>
      <c r="F3" s="693"/>
      <c r="G3" s="693"/>
      <c r="H3" s="693"/>
      <c r="I3" s="693"/>
      <c r="J3" s="693"/>
      <c r="K3" s="693"/>
      <c r="L3" s="693"/>
      <c r="M3" s="693"/>
      <c r="N3" s="693"/>
      <c r="O3" s="693"/>
      <c r="P3" s="693"/>
    </row>
    <row r="4" spans="2:19" s="324" customFormat="1" ht="18.75" hidden="1" customHeight="1">
      <c r="B4" s="694" t="s">
        <v>269</v>
      </c>
      <c r="C4" s="695"/>
      <c r="D4" s="695"/>
      <c r="E4" s="695"/>
      <c r="F4" s="695"/>
      <c r="G4" s="695"/>
      <c r="H4" s="695"/>
      <c r="I4" s="695"/>
      <c r="J4" s="695"/>
      <c r="K4" s="695"/>
      <c r="L4" s="695"/>
      <c r="M4" s="695"/>
      <c r="N4" s="695"/>
      <c r="O4" s="695"/>
      <c r="P4" s="695"/>
      <c r="Q4" s="385"/>
    </row>
    <row r="5" spans="2:19" ht="3.75" customHeight="1">
      <c r="B5" s="254"/>
      <c r="C5" s="255"/>
      <c r="D5" s="255"/>
      <c r="E5" s="255"/>
      <c r="F5" s="256"/>
      <c r="G5" s="257"/>
      <c r="H5" s="239"/>
      <c r="I5" s="239"/>
      <c r="J5" s="258"/>
      <c r="K5" s="239"/>
      <c r="L5" s="239"/>
      <c r="M5" s="239"/>
      <c r="N5" s="258"/>
      <c r="O5" s="156"/>
      <c r="P5" s="156"/>
    </row>
    <row r="6" spans="2:19" ht="17.399999999999999">
      <c r="B6" s="94" t="s">
        <v>213</v>
      </c>
      <c r="C6" s="18" t="s">
        <v>0</v>
      </c>
      <c r="D6" s="18"/>
      <c r="E6" s="18"/>
      <c r="F6" s="18"/>
      <c r="G6" s="18"/>
      <c r="H6" s="95">
        <v>2025</v>
      </c>
      <c r="I6" s="95">
        <v>2026</v>
      </c>
      <c r="J6" s="95">
        <v>2027</v>
      </c>
      <c r="K6" s="95">
        <v>2028</v>
      </c>
      <c r="L6" s="95">
        <v>2029</v>
      </c>
      <c r="M6" s="95">
        <v>2030</v>
      </c>
      <c r="N6" s="96">
        <v>2025</v>
      </c>
      <c r="O6" s="156"/>
      <c r="P6" s="158" t="s">
        <v>186</v>
      </c>
    </row>
    <row r="7" spans="2:19" ht="7.5" customHeight="1">
      <c r="B7" s="97"/>
      <c r="C7" s="34"/>
      <c r="D7" s="34"/>
      <c r="E7" s="34"/>
      <c r="F7" s="35"/>
      <c r="H7" s="35"/>
      <c r="I7" s="35"/>
      <c r="J7" s="35"/>
      <c r="K7" s="35"/>
      <c r="L7" s="35"/>
      <c r="M7" s="35"/>
      <c r="N7" s="104"/>
    </row>
    <row r="8" spans="2:19" ht="15.75" customHeight="1">
      <c r="B8" s="113"/>
      <c r="C8" s="112" t="s">
        <v>8</v>
      </c>
      <c r="D8" s="112"/>
      <c r="E8" s="112"/>
      <c r="F8" s="112"/>
      <c r="G8" s="112"/>
      <c r="H8" s="112"/>
      <c r="I8" s="112"/>
      <c r="J8" s="112"/>
      <c r="K8" s="48"/>
      <c r="L8" s="48"/>
      <c r="M8" s="48"/>
      <c r="N8" s="114"/>
      <c r="O8" s="112"/>
      <c r="P8" s="112"/>
    </row>
    <row r="9" spans="2:19" ht="15.75" customHeight="1">
      <c r="B9" s="49">
        <v>1</v>
      </c>
      <c r="C9" s="654" t="s">
        <v>9</v>
      </c>
      <c r="D9" s="655"/>
      <c r="E9" s="655"/>
      <c r="F9" s="655"/>
      <c r="G9" s="656"/>
      <c r="H9" s="2">
        <f>'C-3 Receipts Existing Rates'!H7</f>
        <v>360384.18899218203</v>
      </c>
      <c r="I9" s="2">
        <f>'C-3 Receipts Existing Rates'!I7</f>
        <v>365313.49927950918</v>
      </c>
      <c r="J9" s="2">
        <f>'C-3 Receipts Existing Rates'!J7</f>
        <v>362872.90320397832</v>
      </c>
      <c r="K9" s="2">
        <f>'C-3 Receipts Existing Rates'!K7</f>
        <v>359609.44793872786</v>
      </c>
      <c r="L9" s="2">
        <f>'C-3 Receipts Existing Rates'!L7</f>
        <v>357814.95007477875</v>
      </c>
      <c r="M9" s="2">
        <f>'C-3 Receipts Existing Rates'!M7</f>
        <v>356224.96033883764</v>
      </c>
      <c r="N9" s="2">
        <f>'C-3 Receipts Existing Rates'!M7</f>
        <v>356224.96033883764</v>
      </c>
      <c r="O9" s="508"/>
      <c r="P9" s="510" t="s">
        <v>264</v>
      </c>
      <c r="Q9" s="374"/>
    </row>
    <row r="10" spans="2:19" ht="15.75" customHeight="1">
      <c r="B10" s="51" t="s">
        <v>120</v>
      </c>
      <c r="C10" s="657" t="s">
        <v>9</v>
      </c>
      <c r="D10" s="658"/>
      <c r="E10" s="658"/>
      <c r="F10" s="658"/>
      <c r="G10" s="659"/>
      <c r="H10" s="37">
        <f>'C-3 Receipts Existing Rates'!H8</f>
        <v>360384.18899218203</v>
      </c>
      <c r="I10" s="37">
        <f>'C-3 Receipts Existing Rates'!I8</f>
        <v>365728</v>
      </c>
      <c r="J10" s="37">
        <f>'C-3 Receipts Existing Rates'!J8</f>
        <v>363517</v>
      </c>
      <c r="K10" s="37">
        <f>'C-3 Receipts Existing Rates'!K8</f>
        <v>360502</v>
      </c>
      <c r="L10" s="37">
        <f>'C-3 Receipts Existing Rates'!L8</f>
        <v>357815</v>
      </c>
      <c r="M10" s="37">
        <f>'C-3 Receipts Existing Rates'!M8</f>
        <v>357156</v>
      </c>
      <c r="N10" s="37">
        <f>'C-3 Receipts Existing Rates'!M8</f>
        <v>357156</v>
      </c>
      <c r="O10" s="313"/>
      <c r="P10" s="450" t="s">
        <v>264</v>
      </c>
      <c r="Q10" s="374"/>
    </row>
    <row r="11" spans="2:19" ht="14.25" customHeight="1">
      <c r="B11" s="49">
        <v>2</v>
      </c>
      <c r="C11" s="654" t="s">
        <v>10</v>
      </c>
      <c r="D11" s="655"/>
      <c r="E11" s="655"/>
      <c r="F11" s="655"/>
      <c r="G11" s="656"/>
      <c r="H11" s="2">
        <f>'C-3 Receipts Existing Rates'!H15</f>
        <v>529333.19000000006</v>
      </c>
      <c r="I11" s="2">
        <f>'C-3 Receipts Existing Rates'!I15</f>
        <v>538148.85000000009</v>
      </c>
      <c r="J11" s="2">
        <f>'C-3 Receipts Existing Rates'!J15</f>
        <v>536503.74</v>
      </c>
      <c r="K11" s="2">
        <f>'C-3 Receipts Existing Rates'!K15</f>
        <v>533635.14</v>
      </c>
      <c r="L11" s="2">
        <f>'C-3 Receipts Existing Rates'!L15</f>
        <v>520326.37</v>
      </c>
      <c r="M11" s="2">
        <f>'C-3 Receipts Existing Rates'!M15</f>
        <v>518523.15</v>
      </c>
      <c r="N11" s="2">
        <f>'C-3 Receipts Existing Rates'!M15</f>
        <v>518523.15</v>
      </c>
      <c r="O11" s="424"/>
      <c r="P11" s="430" t="s">
        <v>264</v>
      </c>
      <c r="Q11" s="374"/>
    </row>
    <row r="12" spans="2:19" ht="15.75" customHeight="1">
      <c r="B12" s="53" t="s">
        <v>121</v>
      </c>
      <c r="C12" s="660" t="s">
        <v>10</v>
      </c>
      <c r="D12" s="661"/>
      <c r="E12" s="661"/>
      <c r="F12" s="661"/>
      <c r="G12" s="662"/>
      <c r="H12" s="38">
        <f>'C-3 Receipts Existing Rates'!H16</f>
        <v>532421</v>
      </c>
      <c r="I12" s="38">
        <f>'C-3 Receipts Existing Rates'!I16</f>
        <v>541449</v>
      </c>
      <c r="J12" s="38">
        <f>'C-3 Receipts Existing Rates'!J16</f>
        <v>539971</v>
      </c>
      <c r="K12" s="38">
        <f>'C-3 Receipts Existing Rates'!K16</f>
        <v>537280.75</v>
      </c>
      <c r="L12" s="38">
        <f>'C-3 Receipts Existing Rates'!L16</f>
        <v>523241</v>
      </c>
      <c r="M12" s="38">
        <f>'C-3 Receipts Existing Rates'!M16</f>
        <v>521442</v>
      </c>
      <c r="N12" s="38">
        <f>'C-3 Receipts Existing Rates'!M16</f>
        <v>521442</v>
      </c>
      <c r="O12" s="313"/>
      <c r="P12" s="450" t="s">
        <v>264</v>
      </c>
      <c r="Q12" s="374"/>
    </row>
    <row r="13" spans="2:19" ht="3" customHeight="1">
      <c r="B13" s="54"/>
      <c r="C13" s="55"/>
      <c r="D13" s="55"/>
      <c r="E13" s="55"/>
      <c r="F13" s="55"/>
      <c r="G13" s="55"/>
      <c r="H13" s="56"/>
      <c r="I13" s="56"/>
      <c r="J13" s="56"/>
      <c r="K13" s="56"/>
      <c r="L13" s="56"/>
      <c r="M13" s="56"/>
      <c r="N13" s="56"/>
      <c r="O13" s="313"/>
      <c r="P13" s="414"/>
      <c r="Q13" s="374"/>
    </row>
    <row r="14" spans="2:19" ht="15.75" customHeight="1">
      <c r="B14" s="49">
        <v>3</v>
      </c>
      <c r="C14" s="654" t="s">
        <v>11</v>
      </c>
      <c r="D14" s="655"/>
      <c r="E14" s="655"/>
      <c r="F14" s="655"/>
      <c r="G14" s="656"/>
      <c r="H14" s="280">
        <f t="shared" ref="H14:J15" si="0">H9+H11</f>
        <v>889717.37899218209</v>
      </c>
      <c r="I14" s="280">
        <f t="shared" si="0"/>
        <v>903462.34927950928</v>
      </c>
      <c r="J14" s="280">
        <f t="shared" si="0"/>
        <v>899376.64320397831</v>
      </c>
      <c r="K14" s="280">
        <f t="shared" ref="K14:M15" si="1">K9+K11</f>
        <v>893244.58793872781</v>
      </c>
      <c r="L14" s="280">
        <f t="shared" si="1"/>
        <v>878141.32007477875</v>
      </c>
      <c r="M14" s="280">
        <f t="shared" si="1"/>
        <v>874748.11033883761</v>
      </c>
      <c r="N14" s="2">
        <f>N9+N11</f>
        <v>874748.11033883761</v>
      </c>
      <c r="O14" s="424"/>
      <c r="P14" s="430" t="s">
        <v>172</v>
      </c>
      <c r="Q14" s="374"/>
    </row>
    <row r="15" spans="2:19" ht="15.75" customHeight="1">
      <c r="B15" s="51" t="s">
        <v>122</v>
      </c>
      <c r="C15" s="657" t="s">
        <v>11</v>
      </c>
      <c r="D15" s="658"/>
      <c r="E15" s="658"/>
      <c r="F15" s="658"/>
      <c r="G15" s="659"/>
      <c r="H15" s="282">
        <f t="shared" si="0"/>
        <v>892805.18899218203</v>
      </c>
      <c r="I15" s="282">
        <f t="shared" si="0"/>
        <v>907177</v>
      </c>
      <c r="J15" s="282">
        <f t="shared" si="0"/>
        <v>903488</v>
      </c>
      <c r="K15" s="282">
        <f t="shared" si="1"/>
        <v>897782.75</v>
      </c>
      <c r="L15" s="282">
        <f t="shared" si="1"/>
        <v>881056</v>
      </c>
      <c r="M15" s="282">
        <f t="shared" si="1"/>
        <v>878598</v>
      </c>
      <c r="N15" s="37">
        <f>N10+N12</f>
        <v>878598</v>
      </c>
      <c r="O15" s="467"/>
      <c r="P15" s="516" t="s">
        <v>173</v>
      </c>
      <c r="Q15" s="374"/>
      <c r="S15" s="249"/>
    </row>
    <row r="16" spans="2:19" ht="15.75" hidden="1" customHeight="1">
      <c r="B16" s="66"/>
      <c r="C16" s="687"/>
      <c r="D16" s="688"/>
      <c r="E16" s="688"/>
      <c r="F16" s="688"/>
      <c r="G16" s="689"/>
      <c r="H16" s="67"/>
      <c r="I16" s="67"/>
      <c r="J16" s="68"/>
      <c r="K16" s="68"/>
      <c r="L16" s="68"/>
      <c r="M16" s="68"/>
      <c r="N16" s="68"/>
    </row>
    <row r="17" spans="2:21" ht="15.75" customHeight="1" thickBot="1">
      <c r="B17" s="58"/>
      <c r="C17" s="59"/>
      <c r="D17" s="60" t="s">
        <v>163</v>
      </c>
      <c r="E17" s="461" t="s">
        <v>12</v>
      </c>
      <c r="F17" s="129"/>
      <c r="G17" s="129"/>
      <c r="H17" s="59"/>
      <c r="I17" s="59"/>
      <c r="J17" s="59"/>
      <c r="K17" s="59"/>
      <c r="L17" s="59"/>
      <c r="M17" s="59"/>
      <c r="N17" s="61"/>
      <c r="O17" s="155"/>
      <c r="P17" s="161"/>
      <c r="S17" s="486" t="s">
        <v>357</v>
      </c>
      <c r="T17"/>
    </row>
    <row r="18" spans="2:21" ht="15.75" customHeight="1">
      <c r="B18" s="58"/>
      <c r="C18" s="62" t="s">
        <v>13</v>
      </c>
      <c r="D18" s="62" t="s">
        <v>14</v>
      </c>
      <c r="E18" s="462" t="s">
        <v>15</v>
      </c>
      <c r="F18" s="62"/>
      <c r="G18" s="128"/>
      <c r="H18" s="59"/>
      <c r="I18" s="59"/>
      <c r="J18" s="59"/>
      <c r="K18" s="59"/>
      <c r="L18" s="59"/>
      <c r="M18" s="464"/>
      <c r="N18" s="61"/>
      <c r="O18" s="155"/>
      <c r="P18" s="162"/>
      <c r="S18" s="489"/>
      <c r="T18" s="652" t="s">
        <v>352</v>
      </c>
      <c r="U18" s="653"/>
    </row>
    <row r="19" spans="2:21" ht="15.75" customHeight="1">
      <c r="B19" s="49"/>
      <c r="C19" s="1" t="s">
        <v>209</v>
      </c>
      <c r="D19" s="460"/>
      <c r="E19" s="457"/>
      <c r="F19" s="127"/>
      <c r="G19" s="458"/>
      <c r="H19" s="463"/>
      <c r="I19" s="463"/>
      <c r="J19" s="463"/>
      <c r="K19" s="463"/>
      <c r="L19" s="463"/>
      <c r="M19" s="365"/>
      <c r="N19" s="31">
        <v>52585.363923780118</v>
      </c>
      <c r="O19" s="434"/>
      <c r="P19" s="510" t="s">
        <v>187</v>
      </c>
      <c r="Q19"/>
      <c r="R19"/>
      <c r="S19" s="490" t="s">
        <v>358</v>
      </c>
      <c r="T19" s="487" t="s">
        <v>350</v>
      </c>
      <c r="U19" s="488" t="s">
        <v>351</v>
      </c>
    </row>
    <row r="20" spans="2:21" ht="15.75" customHeight="1">
      <c r="B20" s="51"/>
      <c r="C20" s="36" t="s">
        <v>209</v>
      </c>
      <c r="D20" s="282"/>
      <c r="E20" s="600">
        <v>9.7797000000000001</v>
      </c>
      <c r="F20" s="150"/>
      <c r="G20" s="150"/>
      <c r="H20" s="282"/>
      <c r="I20" s="282"/>
      <c r="J20" s="282"/>
      <c r="K20" s="282"/>
      <c r="L20" s="282"/>
      <c r="M20" s="282"/>
      <c r="N20" s="352" t="e">
        <f>(N15+#REF!+#REF!)*$D20</f>
        <v>#REF!</v>
      </c>
      <c r="O20" s="314"/>
      <c r="P20" s="512" t="s">
        <v>405</v>
      </c>
      <c r="Q20" s="374"/>
      <c r="R20"/>
      <c r="S20" s="469"/>
      <c r="T20" s="478">
        <v>100</v>
      </c>
      <c r="U20" s="479">
        <v>100</v>
      </c>
    </row>
    <row r="21" spans="2:21" ht="15.75" customHeight="1" thickBot="1">
      <c r="B21" s="49">
        <v>4</v>
      </c>
      <c r="C21" s="1" t="s">
        <v>377</v>
      </c>
      <c r="D21" s="459">
        <v>0.1</v>
      </c>
      <c r="E21" s="457"/>
      <c r="F21" s="127"/>
      <c r="G21" s="458"/>
      <c r="H21" s="350"/>
      <c r="I21" s="350">
        <v>73630.017138928495</v>
      </c>
      <c r="J21" s="350">
        <v>89937.664494638098</v>
      </c>
      <c r="K21" s="350">
        <v>89324.458946281025</v>
      </c>
      <c r="L21" s="350">
        <v>87814.131708231464</v>
      </c>
      <c r="M21" s="350">
        <v>87474.811568668694</v>
      </c>
      <c r="N21" s="31">
        <v>56134.875988635278</v>
      </c>
      <c r="O21" s="428"/>
      <c r="P21" s="430" t="s">
        <v>187</v>
      </c>
      <c r="Q21" s="374"/>
      <c r="R21"/>
      <c r="S21" s="470">
        <f>1+D21</f>
        <v>1.1000000000000001</v>
      </c>
      <c r="T21" s="478">
        <f>T20*S21</f>
        <v>110.00000000000001</v>
      </c>
      <c r="U21" s="479"/>
    </row>
    <row r="22" spans="2:21" ht="15.75" customHeight="1" thickBot="1">
      <c r="B22" s="51" t="s">
        <v>123</v>
      </c>
      <c r="C22" s="36" t="s">
        <v>377</v>
      </c>
      <c r="D22" s="292">
        <f>(((I$33-I20)/E22*12)/(I$15+I20))</f>
        <v>7.2762245788755772E-2</v>
      </c>
      <c r="E22" s="600">
        <f>E20</f>
        <v>9.7797000000000001</v>
      </c>
      <c r="F22" s="150"/>
      <c r="G22" s="150"/>
      <c r="H22" s="282"/>
      <c r="I22" s="351">
        <f>($I15+$I20)*$D22*($E22/12)</f>
        <v>53795.062010147267</v>
      </c>
      <c r="J22" s="351">
        <f>($J15+$J20)*$D22</f>
        <v>65739.815923191374</v>
      </c>
      <c r="K22" s="351">
        <f>($K15+$K20)*$D22</f>
        <v>65324.689120405077</v>
      </c>
      <c r="L22" s="351">
        <f>($L15+$L20)*$D22</f>
        <v>64107.613225658002</v>
      </c>
      <c r="M22" s="351">
        <f>($M15+$M20)*$D22</f>
        <v>63928.763625509244</v>
      </c>
      <c r="N22" s="37" t="e">
        <f>D22*(N15+#REF!+#REF!+N20)</f>
        <v>#REF!</v>
      </c>
      <c r="O22" s="314"/>
      <c r="P22" s="517" t="s">
        <v>277</v>
      </c>
      <c r="Q22" s="382"/>
      <c r="R22"/>
      <c r="S22" s="470">
        <f t="shared" ref="S22:S30" si="2">1+D22</f>
        <v>1.0727622457887558</v>
      </c>
      <c r="T22" s="478"/>
      <c r="U22" s="479">
        <f>S22*U20</f>
        <v>107.27622457887558</v>
      </c>
    </row>
    <row r="23" spans="2:21" ht="15.75" customHeight="1" thickBot="1">
      <c r="B23" s="49">
        <v>5</v>
      </c>
      <c r="C23" s="1" t="s">
        <v>378</v>
      </c>
      <c r="D23" s="460">
        <v>7.2999999999999995E-2</v>
      </c>
      <c r="E23" s="457"/>
      <c r="F23" s="127"/>
      <c r="G23" s="458"/>
      <c r="H23" s="280"/>
      <c r="I23" s="280">
        <v>0</v>
      </c>
      <c r="J23" s="280">
        <v>58857.524729924044</v>
      </c>
      <c r="K23" s="280">
        <v>71727.540533863648</v>
      </c>
      <c r="L23" s="280">
        <v>70514.747761709863</v>
      </c>
      <c r="M23" s="280">
        <v>70242.273689640962</v>
      </c>
      <c r="N23" s="31">
        <v>49020.632008248671</v>
      </c>
      <c r="O23" s="428"/>
      <c r="P23" s="430" t="s">
        <v>187</v>
      </c>
      <c r="Q23" s="374"/>
      <c r="R23"/>
      <c r="S23" s="470">
        <f t="shared" si="2"/>
        <v>1.073</v>
      </c>
      <c r="T23" s="478">
        <f>T21*S23</f>
        <v>118.03000000000002</v>
      </c>
      <c r="U23" s="479"/>
    </row>
    <row r="24" spans="2:21" ht="15.75" customHeight="1" thickBot="1">
      <c r="B24" s="51" t="s">
        <v>124</v>
      </c>
      <c r="C24" s="36" t="s">
        <v>378</v>
      </c>
      <c r="D24" s="292">
        <f>(((J$33-J22)/E24*12)/(J$15+J22))</f>
        <v>6.2382856669842966E-2</v>
      </c>
      <c r="E24" s="600">
        <f>E22</f>
        <v>9.7797000000000001</v>
      </c>
      <c r="F24" s="150"/>
      <c r="G24" s="150"/>
      <c r="H24" s="282"/>
      <c r="I24" s="282"/>
      <c r="J24" s="351">
        <f>($J15+$J22)*$D24*($E24/12)</f>
        <v>49275.996355748503</v>
      </c>
      <c r="K24" s="351">
        <f>($K15+$K22)*$D24</f>
        <v>60081.393332307744</v>
      </c>
      <c r="L24" s="351">
        <f>($L15+$L22)*$D24</f>
        <v>58962.006213407112</v>
      </c>
      <c r="M24" s="351">
        <f>($M15+$M22)*$D24</f>
        <v>58797.512002741103</v>
      </c>
      <c r="N24" s="37" t="e">
        <f>D24*(E24/12)*(N15+#REF!+#REF!+N20+N22)</f>
        <v>#REF!</v>
      </c>
      <c r="O24" s="314"/>
      <c r="P24" s="517" t="s">
        <v>277</v>
      </c>
      <c r="Q24" s="382"/>
      <c r="R24"/>
      <c r="S24" s="470">
        <f t="shared" si="2"/>
        <v>1.062382856669843</v>
      </c>
      <c r="T24" s="478"/>
      <c r="U24" s="479">
        <f>S24*U22</f>
        <v>113.96842192086147</v>
      </c>
    </row>
    <row r="25" spans="2:21" ht="15.75" customHeight="1" thickBot="1">
      <c r="B25" s="49">
        <v>6</v>
      </c>
      <c r="C25" s="1" t="s">
        <v>379</v>
      </c>
      <c r="D25" s="460">
        <v>6.8280435393549138E-2</v>
      </c>
      <c r="E25" s="457"/>
      <c r="F25" s="127"/>
      <c r="G25" s="458"/>
      <c r="H25" s="280"/>
      <c r="I25" s="280"/>
      <c r="J25" s="280"/>
      <c r="K25" s="280">
        <v>58668.357003765806</v>
      </c>
      <c r="L25" s="280">
        <v>70770.636293025484</v>
      </c>
      <c r="M25" s="280">
        <v>70497.173449212569</v>
      </c>
      <c r="N25" s="31"/>
      <c r="O25" s="428"/>
      <c r="P25" s="430" t="s">
        <v>187</v>
      </c>
      <c r="Q25" s="374"/>
      <c r="R25"/>
      <c r="S25" s="470">
        <f t="shared" si="2"/>
        <v>1.0682804353935491</v>
      </c>
      <c r="T25" s="478">
        <f>T23*S25</f>
        <v>126.08913978950062</v>
      </c>
      <c r="U25" s="479"/>
    </row>
    <row r="26" spans="2:21" ht="15.75" customHeight="1" thickBot="1">
      <c r="B26" s="275" t="s">
        <v>139</v>
      </c>
      <c r="C26" s="276" t="s">
        <v>379</v>
      </c>
      <c r="D26" s="292">
        <f>(((K$33-K24-K22)/E26*12)/(K$15+K22+K24))</f>
        <v>9.3815112441406306E-2</v>
      </c>
      <c r="E26" s="600">
        <f>E24</f>
        <v>9.7797000000000001</v>
      </c>
      <c r="F26" s="277"/>
      <c r="G26" s="277"/>
      <c r="H26" s="278"/>
      <c r="I26" s="278"/>
      <c r="J26" s="278"/>
      <c r="K26" s="351">
        <f>($K15+$K22+$K24)*$D26*($E26/12)</f>
        <v>78229.919158370001</v>
      </c>
      <c r="L26" s="351">
        <f>($L15+$L22+$L24)*$D26</f>
        <v>94202.157892972653</v>
      </c>
      <c r="M26" s="351">
        <f>($M15+$M22+$M24)*$D26</f>
        <v>93939.349508374027</v>
      </c>
      <c r="N26" s="278"/>
      <c r="O26" s="314"/>
      <c r="P26" s="517" t="s">
        <v>277</v>
      </c>
      <c r="R26"/>
      <c r="S26" s="470">
        <f t="shared" si="2"/>
        <v>1.0938151124414064</v>
      </c>
      <c r="T26" s="478"/>
      <c r="U26" s="479">
        <f>S26*U24</f>
        <v>124.66038223813673</v>
      </c>
    </row>
    <row r="27" spans="2:21" ht="15.75" customHeight="1" thickBot="1">
      <c r="B27" s="49">
        <v>7</v>
      </c>
      <c r="C27" s="1" t="s">
        <v>380</v>
      </c>
      <c r="D27" s="460">
        <v>9.2592744609233793E-2</v>
      </c>
      <c r="E27" s="457"/>
      <c r="F27" s="127"/>
      <c r="G27" s="458"/>
      <c r="H27" s="280"/>
      <c r="I27" s="280"/>
      <c r="J27" s="280"/>
      <c r="K27" s="280"/>
      <c r="L27" s="280">
        <v>83553.355098690736</v>
      </c>
      <c r="M27" s="280">
        <v>102126.31344587711</v>
      </c>
      <c r="N27" s="31"/>
      <c r="O27" s="428"/>
      <c r="P27" s="430" t="s">
        <v>187</v>
      </c>
      <c r="Q27" s="382"/>
      <c r="R27"/>
      <c r="S27" s="470">
        <f t="shared" si="2"/>
        <v>1.0925927446092338</v>
      </c>
      <c r="T27" s="478">
        <f>T25*S27</f>
        <v>137.76407930802785</v>
      </c>
      <c r="U27" s="479"/>
    </row>
    <row r="28" spans="2:21" ht="15.75" customHeight="1" thickBot="1">
      <c r="B28" s="275" t="s">
        <v>140</v>
      </c>
      <c r="C28" s="276" t="s">
        <v>380</v>
      </c>
      <c r="D28" s="292">
        <f>(((L$33-L26-L24-L22)/E28*12)/(L$15+L22+L24+L26))</f>
        <v>9.3541020971998012E-2</v>
      </c>
      <c r="E28" s="600">
        <f>E26</f>
        <v>9.7797000000000001</v>
      </c>
      <c r="F28" s="277"/>
      <c r="G28" s="277"/>
      <c r="H28" s="278"/>
      <c r="I28" s="278"/>
      <c r="J28" s="278"/>
      <c r="K28" s="278"/>
      <c r="L28" s="351">
        <f>($L15+$L22+$L24+$L26)*$D28*($E28/12)</f>
        <v>83729.473380097115</v>
      </c>
      <c r="M28" s="351">
        <f>($M15+$M22+$M24+$M26)*$D28</f>
        <v>102452.07772877155</v>
      </c>
      <c r="N28" s="278"/>
      <c r="O28" s="314"/>
      <c r="P28" s="517" t="s">
        <v>277</v>
      </c>
      <c r="Q28" s="382"/>
      <c r="R28"/>
      <c r="S28" s="470">
        <f t="shared" si="2"/>
        <v>1.093541020971998</v>
      </c>
      <c r="T28" s="478"/>
      <c r="U28" s="479">
        <f>S28*U26</f>
        <v>136.32124166745157</v>
      </c>
    </row>
    <row r="29" spans="2:21" ht="15.75" customHeight="1" thickBot="1">
      <c r="B29" s="49">
        <v>8</v>
      </c>
      <c r="C29" s="1" t="s">
        <v>381</v>
      </c>
      <c r="D29" s="460">
        <v>7.9943967760378459E-2</v>
      </c>
      <c r="E29" s="457"/>
      <c r="F29" s="127"/>
      <c r="G29" s="458"/>
      <c r="H29" s="280"/>
      <c r="I29" s="280"/>
      <c r="J29" s="280"/>
      <c r="K29" s="280"/>
      <c r="L29" s="280"/>
      <c r="M29" s="280">
        <v>78514.442612261075</v>
      </c>
      <c r="N29" s="31"/>
      <c r="O29" s="428"/>
      <c r="P29" s="430" t="s">
        <v>187</v>
      </c>
      <c r="Q29" s="382"/>
      <c r="R29"/>
      <c r="S29" s="470">
        <f t="shared" si="2"/>
        <v>1.0799439677603784</v>
      </c>
      <c r="T29" s="478">
        <f>T27*S29</f>
        <v>148.77748642276703</v>
      </c>
      <c r="U29" s="479"/>
    </row>
    <row r="30" spans="2:21" ht="16.2" thickBot="1">
      <c r="B30" s="275" t="s">
        <v>141</v>
      </c>
      <c r="C30" s="276" t="s">
        <v>381</v>
      </c>
      <c r="D30" s="292">
        <f>(((M$33-M28-M26-M24-M22)/E30*12)/(M$15+M22+M24+M26+M28))</f>
        <v>7.8339893368848904E-2</v>
      </c>
      <c r="E30" s="600">
        <f>E28</f>
        <v>9.7797000000000001</v>
      </c>
      <c r="F30" s="277"/>
      <c r="G30" s="277"/>
      <c r="H30" s="278"/>
      <c r="I30" s="278"/>
      <c r="J30" s="278"/>
      <c r="K30" s="278"/>
      <c r="L30" s="278"/>
      <c r="M30" s="351">
        <f>($M15+$M22+$M24+$M26+$M28)*$D30*($E30/12)</f>
        <v>76468.224442655672</v>
      </c>
      <c r="N30" s="278"/>
      <c r="O30" s="518"/>
      <c r="P30" s="519" t="s">
        <v>277</v>
      </c>
      <c r="Q30" s="382"/>
      <c r="S30" s="480">
        <f t="shared" si="2"/>
        <v>1.0783398933688488</v>
      </c>
      <c r="T30" s="481"/>
      <c r="U30" s="482">
        <f>S30*U28</f>
        <v>147.00063320358879</v>
      </c>
    </row>
    <row r="31" spans="2:21" ht="3" customHeight="1">
      <c r="B31" s="54"/>
      <c r="C31" s="55"/>
      <c r="D31" s="55"/>
      <c r="E31" s="55"/>
      <c r="F31" s="55"/>
      <c r="G31" s="55"/>
      <c r="H31" s="56"/>
      <c r="I31" s="56"/>
      <c r="J31" s="57"/>
      <c r="K31" s="57"/>
      <c r="L31" s="57"/>
      <c r="M31" s="57"/>
      <c r="N31" s="56"/>
      <c r="O31" s="308"/>
      <c r="P31" s="57"/>
      <c r="Q31" s="382"/>
      <c r="R31"/>
      <c r="S31" s="471"/>
      <c r="T31"/>
      <c r="U31" s="214"/>
    </row>
    <row r="32" spans="2:21" ht="15.75" customHeight="1">
      <c r="B32" s="49">
        <v>9</v>
      </c>
      <c r="C32" s="654" t="s">
        <v>16</v>
      </c>
      <c r="D32" s="655"/>
      <c r="E32" s="655"/>
      <c r="F32" s="655"/>
      <c r="G32" s="656"/>
      <c r="H32" s="280">
        <f t="shared" ref="H32:M32" si="3">ROUND(H19,2)+ROUND(H21,2)+ROUND(H23,2)+ROUND(H25,2)+ROUND(H27,2)+ROUND(H29,2)</f>
        <v>0</v>
      </c>
      <c r="I32" s="280">
        <f>ROUND(I19,2)+ROUND(I21,2)+ROUND(I23,2)+ROUND(I25,2)+ROUND(I27,2)+ROUND(I29,2)</f>
        <v>73630.02</v>
      </c>
      <c r="J32" s="280">
        <f t="shared" si="3"/>
        <v>148795.18</v>
      </c>
      <c r="K32" s="280">
        <f t="shared" si="3"/>
        <v>219720.36</v>
      </c>
      <c r="L32" s="280">
        <f>ROUND(L19,2)+ROUND(L21,2)+ROUND(L23,2)+ROUND(L25,2)+ROUND(L27,2)+ROUND(L29,2)</f>
        <v>312652.88</v>
      </c>
      <c r="M32" s="280">
        <f t="shared" si="3"/>
        <v>408855</v>
      </c>
      <c r="N32" s="2" t="e">
        <f>#REF!+#REF!+N19+N21+N23</f>
        <v>#REF!</v>
      </c>
      <c r="O32" s="508"/>
      <c r="P32" s="408" t="s">
        <v>434</v>
      </c>
      <c r="Q32" s="382"/>
      <c r="R32" s="483" t="s">
        <v>353</v>
      </c>
      <c r="S32" s="472">
        <f>S21*S23*S25*S27*S29</f>
        <v>1.4877748642276702</v>
      </c>
      <c r="T32" s="473">
        <f>SUM(T21:T30)</f>
        <v>640.66070552029555</v>
      </c>
      <c r="U32" s="214"/>
    </row>
    <row r="33" spans="2:21" ht="15.75" customHeight="1">
      <c r="B33" s="51" t="s">
        <v>142</v>
      </c>
      <c r="C33" s="657" t="s">
        <v>16</v>
      </c>
      <c r="D33" s="658"/>
      <c r="E33" s="658"/>
      <c r="F33" s="658"/>
      <c r="G33" s="659"/>
      <c r="H33" s="283">
        <v>0</v>
      </c>
      <c r="I33" s="283">
        <f>I145</f>
        <v>53795.06201014726</v>
      </c>
      <c r="J33" s="283">
        <f>J145</f>
        <v>115015.81227893988</v>
      </c>
      <c r="K33" s="283">
        <f>K145</f>
        <v>203636.00161108281</v>
      </c>
      <c r="L33" s="283">
        <f>L145</f>
        <v>301001.25071213488</v>
      </c>
      <c r="M33" s="283">
        <f>M145</f>
        <v>395585.92730805161</v>
      </c>
      <c r="N33" s="38" t="e">
        <f>N$145</f>
        <v>#REF!</v>
      </c>
      <c r="O33" s="445"/>
      <c r="P33" s="412" t="s">
        <v>201</v>
      </c>
      <c r="Q33" s="382"/>
      <c r="R33" s="483" t="s">
        <v>354</v>
      </c>
      <c r="S33" s="472">
        <f>S22*S24*S26*S28*S30</f>
        <v>1.4700063320358878</v>
      </c>
      <c r="T33"/>
      <c r="U33" s="474">
        <f>SUM(U21:U30)</f>
        <v>629.2269036089142</v>
      </c>
    </row>
    <row r="34" spans="2:21" ht="15.75" customHeight="1">
      <c r="B34" s="49">
        <v>10</v>
      </c>
      <c r="C34" s="654" t="s">
        <v>242</v>
      </c>
      <c r="D34" s="655"/>
      <c r="E34" s="655"/>
      <c r="F34" s="655"/>
      <c r="G34" s="656"/>
      <c r="H34" s="350">
        <f>$H14+$H32</f>
        <v>889717.37899218209</v>
      </c>
      <c r="I34" s="280">
        <f t="shared" ref="I34:N34" si="4">I14+I32</f>
        <v>977092.36927950929</v>
      </c>
      <c r="J34" s="280">
        <f t="shared" si="4"/>
        <v>1048171.8232039784</v>
      </c>
      <c r="K34" s="280">
        <f t="shared" si="4"/>
        <v>1112964.9479387277</v>
      </c>
      <c r="L34" s="280">
        <f t="shared" si="4"/>
        <v>1190794.2000747789</v>
      </c>
      <c r="M34" s="280">
        <f t="shared" si="4"/>
        <v>1283603.1103388376</v>
      </c>
      <c r="N34" s="2" t="e">
        <f t="shared" si="4"/>
        <v>#REF!</v>
      </c>
      <c r="O34" s="424"/>
      <c r="P34" s="411" t="s">
        <v>435</v>
      </c>
      <c r="Q34" s="386"/>
      <c r="R34" s="483" t="s">
        <v>356</v>
      </c>
      <c r="S34" s="471"/>
      <c r="T34"/>
      <c r="U34" s="475">
        <f>(U33-T32)/T32</f>
        <v>-1.7846891206002236E-2</v>
      </c>
    </row>
    <row r="35" spans="2:21" ht="15.75" customHeight="1">
      <c r="B35" s="49" t="s">
        <v>436</v>
      </c>
      <c r="C35" s="654" t="s">
        <v>256</v>
      </c>
      <c r="D35" s="655"/>
      <c r="E35" s="655"/>
      <c r="F35" s="655"/>
      <c r="G35" s="656"/>
      <c r="H35" s="354"/>
      <c r="I35" s="284"/>
      <c r="J35" s="285"/>
      <c r="K35" s="285"/>
      <c r="L35" s="285"/>
      <c r="M35" s="285"/>
      <c r="N35" s="3"/>
      <c r="O35" s="424"/>
      <c r="P35" s="411" t="s">
        <v>253</v>
      </c>
      <c r="Q35" s="382"/>
      <c r="R35" s="485"/>
      <c r="S35" s="377"/>
      <c r="U35" s="214"/>
    </row>
    <row r="36" spans="2:21" ht="15.75" customHeight="1">
      <c r="B36" s="51" t="s">
        <v>143</v>
      </c>
      <c r="C36" s="657" t="s">
        <v>17</v>
      </c>
      <c r="D36" s="658"/>
      <c r="E36" s="658"/>
      <c r="F36" s="658"/>
      <c r="G36" s="659"/>
      <c r="H36" s="353">
        <f>$H15+$H33</f>
        <v>892805.18899218203</v>
      </c>
      <c r="I36" s="353">
        <f t="shared" ref="I36:N36" si="5">I15+I33</f>
        <v>960972.06201014726</v>
      </c>
      <c r="J36" s="353">
        <f t="shared" si="5"/>
        <v>1018503.8122789399</v>
      </c>
      <c r="K36" s="353">
        <f t="shared" si="5"/>
        <v>1101418.7516110828</v>
      </c>
      <c r="L36" s="353">
        <f t="shared" si="5"/>
        <v>1182057.2507121349</v>
      </c>
      <c r="M36" s="353">
        <f t="shared" si="5"/>
        <v>1274183.9273080516</v>
      </c>
      <c r="N36" s="40" t="e">
        <f t="shared" si="5"/>
        <v>#REF!</v>
      </c>
      <c r="O36" s="313"/>
      <c r="P36" s="409" t="s">
        <v>438</v>
      </c>
      <c r="Q36" s="386"/>
      <c r="R36" s="483" t="s">
        <v>492</v>
      </c>
      <c r="S36" s="476">
        <f>SUM(I32:M32)</f>
        <v>1163653.44</v>
      </c>
      <c r="T36" s="494">
        <f>SUM(I34:M34)</f>
        <v>5612626.4508358324</v>
      </c>
      <c r="U36" s="214"/>
    </row>
    <row r="37" spans="2:21" ht="15.75" customHeight="1">
      <c r="B37" s="66" t="s">
        <v>437</v>
      </c>
      <c r="C37" s="657" t="s">
        <v>256</v>
      </c>
      <c r="D37" s="658"/>
      <c r="E37" s="658"/>
      <c r="F37" s="658"/>
      <c r="G37" s="659"/>
      <c r="H37" s="355"/>
      <c r="I37" s="286"/>
      <c r="J37" s="287"/>
      <c r="K37" s="287"/>
      <c r="L37" s="287"/>
      <c r="M37" s="287"/>
      <c r="N37" s="40"/>
      <c r="O37" s="313"/>
      <c r="P37" s="537" t="s">
        <v>253</v>
      </c>
      <c r="Q37" s="382"/>
      <c r="R37" s="483" t="s">
        <v>493</v>
      </c>
      <c r="S37" s="476">
        <f>SUM(I33:M33)</f>
        <v>1069034.0539203566</v>
      </c>
      <c r="T37" s="495">
        <f>SUM(I36:M36)</f>
        <v>5537135.8039203566</v>
      </c>
      <c r="U37" s="214"/>
    </row>
    <row r="38" spans="2:21" ht="15.75" customHeight="1" thickBot="1">
      <c r="B38" s="49">
        <v>11</v>
      </c>
      <c r="C38" s="654" t="s">
        <v>18</v>
      </c>
      <c r="D38" s="655"/>
      <c r="E38" s="655"/>
      <c r="F38" s="655"/>
      <c r="G38" s="656"/>
      <c r="H38" s="2">
        <f>'C-3 Receipts Existing Rates'!H44</f>
        <v>29643.724000000002</v>
      </c>
      <c r="I38" s="2">
        <f>'C-3 Receipts Existing Rates'!I44</f>
        <v>29726.103999999999</v>
      </c>
      <c r="J38" s="2">
        <f>'C-3 Receipts Existing Rates'!J44</f>
        <v>29624.286</v>
      </c>
      <c r="K38" s="2">
        <f>'C-3 Receipts Existing Rates'!K44</f>
        <v>29533.476999999999</v>
      </c>
      <c r="L38" s="2">
        <f>'C-3 Receipts Existing Rates'!L44</f>
        <v>29485.591999999997</v>
      </c>
      <c r="M38" s="2">
        <f>'C-3 Receipts Existing Rates'!M44</f>
        <v>29437.879000000001</v>
      </c>
      <c r="N38" s="2">
        <f>'C-3 Receipts Existing Rates'!M44</f>
        <v>29437.879000000001</v>
      </c>
      <c r="O38" s="424"/>
      <c r="P38" s="430" t="s">
        <v>264</v>
      </c>
      <c r="Q38" s="374"/>
      <c r="R38" s="483" t="s">
        <v>355</v>
      </c>
      <c r="S38" s="484">
        <f>S37-S36</f>
        <v>-94619.386079643387</v>
      </c>
      <c r="T38" s="493">
        <f>S38/T36</f>
        <v>-1.6858308121601905E-2</v>
      </c>
      <c r="U38" s="477">
        <f>(S37-S36)/S36</f>
        <v>-8.131234165357977E-2</v>
      </c>
    </row>
    <row r="39" spans="2:21" ht="15.75" customHeight="1">
      <c r="B39" s="51" t="s">
        <v>144</v>
      </c>
      <c r="C39" s="660" t="s">
        <v>18</v>
      </c>
      <c r="D39" s="661"/>
      <c r="E39" s="661"/>
      <c r="F39" s="661"/>
      <c r="G39" s="662"/>
      <c r="H39" s="37">
        <f>H38</f>
        <v>29643.724000000002</v>
      </c>
      <c r="I39" s="37">
        <f>'C-3 Receipts Existing Rates'!I45</f>
        <v>39773.55999999999</v>
      </c>
      <c r="J39" s="37">
        <f>'C-3 Receipts Existing Rates'!J45</f>
        <v>39941.74</v>
      </c>
      <c r="K39" s="37">
        <f>'C-3 Receipts Existing Rates'!K45</f>
        <v>30401.929999999997</v>
      </c>
      <c r="L39" s="37">
        <f>'C-3 Receipts Existing Rates'!L45</f>
        <v>30354.039999999997</v>
      </c>
      <c r="M39" s="37">
        <f>'C-3 Receipts Existing Rates'!M45</f>
        <v>30306.329999999998</v>
      </c>
      <c r="N39" s="37">
        <f>'C-3 Receipts Existing Rates'!M45</f>
        <v>30306.329999999998</v>
      </c>
      <c r="O39" s="313"/>
      <c r="P39" s="450" t="s">
        <v>264</v>
      </c>
      <c r="Q39" s="374"/>
      <c r="T39"/>
    </row>
    <row r="40" spans="2:21" ht="15.75" customHeight="1">
      <c r="B40" s="49">
        <v>12</v>
      </c>
      <c r="C40" s="654" t="s">
        <v>439</v>
      </c>
      <c r="D40" s="655"/>
      <c r="E40" s="655"/>
      <c r="F40" s="655"/>
      <c r="G40" s="656"/>
      <c r="H40" s="2">
        <f>'C-3 Receipts Existing Rates'!H47</f>
        <v>81.972999999999999</v>
      </c>
      <c r="I40" s="2">
        <f>'C-3 Receipts Existing Rates'!I47</f>
        <v>394.21199999999999</v>
      </c>
      <c r="J40" s="2">
        <f>'C-3 Receipts Existing Rates'!J47</f>
        <v>930.36199999999997</v>
      </c>
      <c r="K40" s="2">
        <f>'C-3 Receipts Existing Rates'!K47</f>
        <v>1992.925</v>
      </c>
      <c r="L40" s="2">
        <f>'C-3 Receipts Existing Rates'!L47</f>
        <v>3405.866</v>
      </c>
      <c r="M40" s="2">
        <f>'C-3 Receipts Existing Rates'!M47</f>
        <v>4718.8389999999999</v>
      </c>
      <c r="N40" s="2">
        <f>'C-3 Receipts Existing Rates'!M47</f>
        <v>4718.8389999999999</v>
      </c>
      <c r="O40" s="424"/>
      <c r="P40" s="430" t="s">
        <v>264</v>
      </c>
      <c r="Q40" s="374"/>
      <c r="T40"/>
    </row>
    <row r="41" spans="2:21" ht="15.75" customHeight="1">
      <c r="B41" s="51" t="s">
        <v>145</v>
      </c>
      <c r="C41" s="660" t="s">
        <v>439</v>
      </c>
      <c r="D41" s="661"/>
      <c r="E41" s="661"/>
      <c r="F41" s="661"/>
      <c r="G41" s="662"/>
      <c r="H41" s="37">
        <f>'C-3 Receipts Existing Rates'!H48</f>
        <v>81.97</v>
      </c>
      <c r="I41" s="37">
        <f>'C-3 Receipts Existing Rates'!I48</f>
        <v>394.21</v>
      </c>
      <c r="J41" s="37">
        <f>'C-3 Receipts Existing Rates'!J48</f>
        <v>930.36</v>
      </c>
      <c r="K41" s="37">
        <f>'C-3 Receipts Existing Rates'!K48</f>
        <v>1992.93</v>
      </c>
      <c r="L41" s="37">
        <f>'C-3 Receipts Existing Rates'!L48</f>
        <v>3405.87</v>
      </c>
      <c r="M41" s="37">
        <f>'C-3 Receipts Existing Rates'!M48</f>
        <v>4718.84</v>
      </c>
      <c r="N41" s="37">
        <f>'C-3 Receipts Existing Rates'!M48</f>
        <v>4718.84</v>
      </c>
      <c r="O41" s="313"/>
      <c r="P41" s="450" t="s">
        <v>264</v>
      </c>
      <c r="Q41" s="374"/>
      <c r="T41"/>
    </row>
    <row r="42" spans="2:21" ht="15.75" customHeight="1">
      <c r="B42" s="100">
        <v>13</v>
      </c>
      <c r="C42" s="684" t="s">
        <v>19</v>
      </c>
      <c r="D42" s="685"/>
      <c r="E42" s="685"/>
      <c r="F42" s="685"/>
      <c r="G42" s="686"/>
      <c r="H42" s="327">
        <f>ROUND('C-3 Receipts Existing Rates'!H49,2)</f>
        <v>3649.67</v>
      </c>
      <c r="I42" s="327">
        <f>ROUND('C-3 Receipts Existing Rates'!I49,2)</f>
        <v>3925.97</v>
      </c>
      <c r="J42" s="327">
        <f>ROUND('C-3 Receipts Existing Rates'!J49,2)</f>
        <v>4043.14</v>
      </c>
      <c r="K42" s="327">
        <f>ROUND('C-3 Receipts Existing Rates'!K49,2)</f>
        <v>4131.84</v>
      </c>
      <c r="L42" s="327">
        <f>ROUND('C-3 Receipts Existing Rates'!L49,2)</f>
        <v>4241.91</v>
      </c>
      <c r="M42" s="327">
        <f>ROUND('C-3 Receipts Existing Rates'!M49,2)</f>
        <v>4375.82</v>
      </c>
      <c r="N42" s="327">
        <f>'C-3 Receipts Existing Rates'!M49</f>
        <v>4375.8220000000001</v>
      </c>
      <c r="O42" s="424"/>
      <c r="P42" s="430" t="s">
        <v>264</v>
      </c>
      <c r="Q42" s="374"/>
      <c r="T42"/>
    </row>
    <row r="43" spans="2:21" ht="15.75" customHeight="1">
      <c r="B43" s="273" t="s">
        <v>146</v>
      </c>
      <c r="C43" s="699" t="s">
        <v>19</v>
      </c>
      <c r="D43" s="700"/>
      <c r="E43" s="700"/>
      <c r="F43" s="700"/>
      <c r="G43" s="701"/>
      <c r="H43" s="363">
        <f>'C-3 Receipts Existing Rates'!H50</f>
        <v>3649.67</v>
      </c>
      <c r="I43" s="363">
        <f>'C-3 Receipts Existing Rates'!I50</f>
        <v>3925.97</v>
      </c>
      <c r="J43" s="363">
        <f>'C-3 Receipts Existing Rates'!J50</f>
        <v>4043.14</v>
      </c>
      <c r="K43" s="363">
        <f>'C-3 Receipts Existing Rates'!K50</f>
        <v>4131.84</v>
      </c>
      <c r="L43" s="363">
        <f>'C-3 Receipts Existing Rates'!L50</f>
        <v>4241.91</v>
      </c>
      <c r="M43" s="363">
        <f>'C-3 Receipts Existing Rates'!M50</f>
        <v>4375.82</v>
      </c>
      <c r="N43" s="328">
        <f>'C-3 Receipts Existing Rates'!M50</f>
        <v>4375.82</v>
      </c>
      <c r="O43" s="467"/>
      <c r="P43" s="516" t="s">
        <v>264</v>
      </c>
      <c r="Q43" s="374"/>
      <c r="T43"/>
    </row>
    <row r="44" spans="2:21" hidden="1">
      <c r="B44" s="663" t="s">
        <v>388</v>
      </c>
      <c r="C44" s="664"/>
      <c r="D44" s="664"/>
      <c r="E44" s="664"/>
      <c r="F44" s="664"/>
      <c r="G44" s="664"/>
      <c r="H44" s="664"/>
      <c r="I44" s="664"/>
      <c r="J44" s="664"/>
      <c r="K44" s="664"/>
      <c r="L44" s="664"/>
      <c r="M44" s="664"/>
      <c r="N44" s="664"/>
      <c r="O44" s="664"/>
      <c r="P44" s="665"/>
      <c r="Q44"/>
      <c r="T44"/>
    </row>
    <row r="45" spans="2:21" hidden="1">
      <c r="B45" s="666"/>
      <c r="C45" s="667"/>
      <c r="D45" s="667"/>
      <c r="E45" s="667"/>
      <c r="F45" s="667"/>
      <c r="G45" s="667"/>
      <c r="H45" s="667"/>
      <c r="I45" s="667"/>
      <c r="J45" s="667"/>
      <c r="K45" s="667"/>
      <c r="L45" s="667"/>
      <c r="M45" s="667"/>
      <c r="N45" s="667"/>
      <c r="O45" s="667"/>
      <c r="P45" s="668"/>
      <c r="Q45"/>
      <c r="T45"/>
    </row>
    <row r="46" spans="2:21" hidden="1">
      <c r="B46" s="666"/>
      <c r="C46" s="667"/>
      <c r="D46" s="667"/>
      <c r="E46" s="667"/>
      <c r="F46" s="667"/>
      <c r="G46" s="667"/>
      <c r="H46" s="667"/>
      <c r="I46" s="667"/>
      <c r="J46" s="667"/>
      <c r="K46" s="667"/>
      <c r="L46" s="667"/>
      <c r="M46" s="667"/>
      <c r="N46" s="667"/>
      <c r="O46" s="667"/>
      <c r="P46" s="668"/>
      <c r="Q46"/>
      <c r="T46"/>
    </row>
    <row r="47" spans="2:21" ht="35.549999999999997" hidden="1" customHeight="1">
      <c r="B47" s="669"/>
      <c r="C47" s="670"/>
      <c r="D47" s="670"/>
      <c r="E47" s="670"/>
      <c r="F47" s="670"/>
      <c r="G47" s="670"/>
      <c r="H47" s="670"/>
      <c r="I47" s="670"/>
      <c r="J47" s="670"/>
      <c r="K47" s="670"/>
      <c r="L47" s="670"/>
      <c r="M47" s="670"/>
      <c r="N47" s="670"/>
      <c r="O47" s="670"/>
      <c r="P47" s="671"/>
      <c r="Q47"/>
      <c r="T47"/>
    </row>
    <row r="48" spans="2:21" ht="15.75" customHeight="1">
      <c r="B48" s="49">
        <v>14</v>
      </c>
      <c r="C48" s="654" t="s">
        <v>20</v>
      </c>
      <c r="D48" s="655"/>
      <c r="E48" s="655"/>
      <c r="F48" s="655"/>
      <c r="G48" s="656"/>
      <c r="H48" s="2">
        <f>ROUND('C-3 Receipts Existing Rates'!H51,2)</f>
        <v>2618.7600000000002</v>
      </c>
      <c r="I48" s="2">
        <f>ROUND('C-3 Receipts Existing Rates'!I51,2)</f>
        <v>2658.76</v>
      </c>
      <c r="J48" s="2">
        <f>ROUND('C-3 Receipts Existing Rates'!J51,2)</f>
        <v>2771.76</v>
      </c>
      <c r="K48" s="2">
        <f>ROUND('C-3 Receipts Existing Rates'!K51,2)</f>
        <v>2869.76</v>
      </c>
      <c r="L48" s="2">
        <f>ROUND('C-3 Receipts Existing Rates'!L51,2)</f>
        <v>2986.76</v>
      </c>
      <c r="M48" s="2">
        <f>ROUND('C-3 Receipts Existing Rates'!M51,2)</f>
        <v>3104.76</v>
      </c>
      <c r="N48" s="2">
        <f>'C-3 Receipts Existing Rates'!M51</f>
        <v>3104.76</v>
      </c>
      <c r="O48" s="508"/>
      <c r="P48" s="510" t="s">
        <v>264</v>
      </c>
      <c r="Q48"/>
      <c r="T48"/>
    </row>
    <row r="49" spans="2:20" ht="15.75" customHeight="1">
      <c r="B49" s="51" t="s">
        <v>135</v>
      </c>
      <c r="C49" s="660" t="s">
        <v>20</v>
      </c>
      <c r="D49" s="661"/>
      <c r="E49" s="661"/>
      <c r="F49" s="661"/>
      <c r="G49" s="662"/>
      <c r="H49" s="352">
        <f>'C-3 Receipts Existing Rates'!H52</f>
        <v>2618.7600000000002</v>
      </c>
      <c r="I49" s="352">
        <f>'C-3 Receipts Existing Rates'!I52</f>
        <v>2658.76</v>
      </c>
      <c r="J49" s="352">
        <f>'C-3 Receipts Existing Rates'!J52</f>
        <v>2771.76</v>
      </c>
      <c r="K49" s="352">
        <f>'C-3 Receipts Existing Rates'!K52</f>
        <v>2869.76</v>
      </c>
      <c r="L49" s="352">
        <f>'C-3 Receipts Existing Rates'!L52</f>
        <v>2986.76</v>
      </c>
      <c r="M49" s="352">
        <f>'C-3 Receipts Existing Rates'!M52</f>
        <v>3104.76</v>
      </c>
      <c r="N49" s="37">
        <f>'C-3 Receipts Existing Rates'!M52</f>
        <v>3104.76</v>
      </c>
      <c r="O49" s="467"/>
      <c r="P49" s="516" t="s">
        <v>264</v>
      </c>
      <c r="Q49" s="374"/>
      <c r="T49"/>
    </row>
    <row r="50" spans="2:20" ht="3" customHeight="1">
      <c r="B50" s="54"/>
      <c r="C50" s="132"/>
      <c r="D50" s="132"/>
      <c r="E50" s="132"/>
      <c r="F50" s="132"/>
      <c r="G50" s="132"/>
      <c r="H50" s="56"/>
      <c r="I50" s="56"/>
      <c r="J50" s="57"/>
      <c r="K50" s="57"/>
      <c r="L50" s="57"/>
      <c r="M50" s="57"/>
      <c r="N50" s="56"/>
      <c r="O50" s="57"/>
      <c r="P50" s="57"/>
      <c r="T50"/>
    </row>
    <row r="51" spans="2:20">
      <c r="B51" s="49">
        <v>15</v>
      </c>
      <c r="C51" s="654" t="s">
        <v>21</v>
      </c>
      <c r="D51" s="655"/>
      <c r="E51" s="655"/>
      <c r="F51" s="655"/>
      <c r="G51" s="656"/>
      <c r="H51" s="280">
        <f>$H34+$H35+$H38+$H40+$H42+$H48</f>
        <v>925711.50599218218</v>
      </c>
      <c r="I51" s="280">
        <f>$I34+$I35+$I38+$I40+$I42+$I48</f>
        <v>1013797.4152795094</v>
      </c>
      <c r="J51" s="281">
        <f>$J34+$J35+$J38+$J40+$J42+$J48</f>
        <v>1085541.3712039783</v>
      </c>
      <c r="K51" s="281">
        <f>$K34+$K35+$K38+$K40+$K42+$K48</f>
        <v>1151492.9499387278</v>
      </c>
      <c r="L51" s="281">
        <f>$L34+$L35+$L38+$L40+$L42+$L48</f>
        <v>1230914.3280747787</v>
      </c>
      <c r="M51" s="281">
        <f>$M34+$M35+$M38+$M40+$M42+$M48</f>
        <v>1325240.4083388376</v>
      </c>
      <c r="N51" s="2" t="e">
        <f>N34+N35+N38+N40+N42+N48</f>
        <v>#REF!</v>
      </c>
      <c r="O51" s="508"/>
      <c r="P51" s="408" t="s">
        <v>463</v>
      </c>
      <c r="Q51" s="382"/>
      <c r="T51"/>
    </row>
    <row r="52" spans="2:20">
      <c r="B52" s="109" t="s">
        <v>131</v>
      </c>
      <c r="C52" s="657" t="s">
        <v>21</v>
      </c>
      <c r="D52" s="658"/>
      <c r="E52" s="658"/>
      <c r="F52" s="658"/>
      <c r="G52" s="659"/>
      <c r="H52" s="288">
        <f>$H37+$H36+$H39+$H41+$H43+$H49</f>
        <v>928799.31299218209</v>
      </c>
      <c r="I52" s="288">
        <f>$I37+$I36+$I39+$I41+$I43+$I49</f>
        <v>1007724.5620101471</v>
      </c>
      <c r="J52" s="289">
        <f>$J37+$J36+$J39+$J41+$J43+$J49</f>
        <v>1066190.8122789399</v>
      </c>
      <c r="K52" s="289">
        <f>$K37+$K36+$K39+$K41+$K43+$K49</f>
        <v>1140815.2116110828</v>
      </c>
      <c r="L52" s="289">
        <f>$L37+$L36+$L39+$L41+$L43+$L49</f>
        <v>1223045.8307121349</v>
      </c>
      <c r="M52" s="289">
        <f>$M37+$M36+$M39+$M41+$M43+$M49</f>
        <v>1316689.6773080518</v>
      </c>
      <c r="N52" s="316" t="e">
        <f>N37+N36+N39+N41+N43+N49</f>
        <v>#REF!</v>
      </c>
      <c r="O52" s="467"/>
      <c r="P52" s="515" t="s">
        <v>464</v>
      </c>
      <c r="Q52" s="382"/>
      <c r="T52"/>
    </row>
    <row r="53" spans="2:20">
      <c r="B53" s="115"/>
      <c r="C53" s="110" t="s">
        <v>22</v>
      </c>
      <c r="D53" s="110"/>
      <c r="E53" s="110"/>
      <c r="F53" s="110"/>
      <c r="G53" s="110"/>
      <c r="H53" s="111"/>
      <c r="I53" s="111"/>
      <c r="J53" s="111"/>
      <c r="K53" s="64"/>
      <c r="L53" s="64"/>
      <c r="M53" s="116"/>
      <c r="N53" s="116"/>
      <c r="O53" s="465"/>
      <c r="P53" s="64"/>
      <c r="T53"/>
    </row>
    <row r="54" spans="2:20" ht="3" customHeight="1">
      <c r="B54" s="54"/>
      <c r="C54" s="55"/>
      <c r="D54" s="55"/>
      <c r="E54" s="55"/>
      <c r="F54" s="55"/>
      <c r="G54" s="55"/>
      <c r="H54" s="56"/>
      <c r="I54" s="56"/>
      <c r="J54" s="56"/>
      <c r="K54" s="56"/>
      <c r="L54" s="56"/>
      <c r="M54" s="57"/>
      <c r="N54" s="57"/>
      <c r="O54" s="57"/>
      <c r="P54" s="57"/>
      <c r="T54"/>
    </row>
    <row r="55" spans="2:20">
      <c r="B55" s="49">
        <v>16</v>
      </c>
      <c r="C55" s="654" t="s">
        <v>23</v>
      </c>
      <c r="D55" s="655"/>
      <c r="E55" s="655"/>
      <c r="F55" s="655"/>
      <c r="G55" s="656"/>
      <c r="H55" s="2">
        <f>-'Table C-6 O&amp;M Expense'!G48</f>
        <v>-638474.57999999996</v>
      </c>
      <c r="I55" s="2">
        <f>-'Table C-6 O&amp;M Expense'!$H48</f>
        <v>-678706.54000000015</v>
      </c>
      <c r="J55" s="2">
        <f>-'Table C-6 O&amp;M Expense'!$I48</f>
        <v>-713788.96999999986</v>
      </c>
      <c r="K55" s="398">
        <f>-'Table C-6 O&amp;M Expense'!$J48</f>
        <v>-739978.33</v>
      </c>
      <c r="L55" s="398">
        <f>-'Table C-6 O&amp;M Expense'!$K48</f>
        <v>-767409.4</v>
      </c>
      <c r="M55" s="397">
        <f>-'Table C-6 O&amp;M Expense'!$L48</f>
        <v>-795503.63</v>
      </c>
      <c r="N55" s="2" t="e">
        <f>-'Table C-6 O&amp;M Expense'!#REF!</f>
        <v>#REF!</v>
      </c>
      <c r="O55" s="508"/>
      <c r="P55" s="513" t="s">
        <v>202</v>
      </c>
      <c r="Q55" s="382"/>
      <c r="T55"/>
    </row>
    <row r="56" spans="2:20">
      <c r="B56" s="51" t="s">
        <v>130</v>
      </c>
      <c r="C56" s="660" t="s">
        <v>23</v>
      </c>
      <c r="D56" s="661"/>
      <c r="E56" s="661"/>
      <c r="F56" s="661"/>
      <c r="G56" s="662"/>
      <c r="H56" s="37">
        <f>-'Table C-6 O&amp;M Expense'!G49</f>
        <v>-635827.59</v>
      </c>
      <c r="I56" s="37">
        <f>-'Table C-6 O&amp;M Expense'!$H49</f>
        <v>-672633.45</v>
      </c>
      <c r="J56" s="37">
        <f>-'Table C-6 O&amp;M Expense'!$I49</f>
        <v>-694438.56</v>
      </c>
      <c r="K56" s="278">
        <f>-'Table C-6 O&amp;M Expense'!$J49</f>
        <v>-729300.85</v>
      </c>
      <c r="L56" s="278">
        <f>-'Table C-6 O&amp;M Expense'!$K49</f>
        <v>-759540.79</v>
      </c>
      <c r="M56" s="352">
        <f>-'Table C-6 O&amp;M Expense'!$L49</f>
        <v>-786953.34</v>
      </c>
      <c r="N56" s="37" t="e">
        <f>-'Table C-6 O&amp;M Expense'!#REF!</f>
        <v>#REF!</v>
      </c>
      <c r="O56" s="467"/>
      <c r="P56" s="514" t="s">
        <v>182</v>
      </c>
      <c r="Q56" s="382"/>
      <c r="T56"/>
    </row>
    <row r="57" spans="2:20">
      <c r="B57" s="47"/>
      <c r="C57" s="48" t="s">
        <v>24</v>
      </c>
      <c r="D57" s="48"/>
      <c r="E57" s="48"/>
      <c r="F57" s="48"/>
      <c r="G57" s="48"/>
      <c r="H57" s="64"/>
      <c r="I57" s="64"/>
      <c r="J57" s="64"/>
      <c r="K57" s="64"/>
      <c r="L57" s="64"/>
      <c r="M57" s="65"/>
      <c r="N57" s="65"/>
      <c r="O57" s="64"/>
      <c r="P57" s="64"/>
      <c r="T57"/>
    </row>
    <row r="58" spans="2:20">
      <c r="B58" s="49">
        <v>17</v>
      </c>
      <c r="C58" s="654" t="s">
        <v>25</v>
      </c>
      <c r="D58" s="655"/>
      <c r="E58" s="655"/>
      <c r="F58" s="655"/>
      <c r="G58" s="656"/>
      <c r="H58" s="392">
        <v>3000</v>
      </c>
      <c r="I58" s="280">
        <v>-7000</v>
      </c>
      <c r="J58" s="280">
        <v>-4300</v>
      </c>
      <c r="K58" s="350">
        <v>-5500</v>
      </c>
      <c r="L58" s="350">
        <v>-6200</v>
      </c>
      <c r="M58" s="280">
        <v>-5600</v>
      </c>
      <c r="N58" s="2">
        <v>7700</v>
      </c>
      <c r="O58" s="434"/>
      <c r="P58" s="510" t="s">
        <v>187</v>
      </c>
      <c r="Q58" s="382"/>
      <c r="T58"/>
    </row>
    <row r="59" spans="2:20">
      <c r="B59" s="51" t="s">
        <v>147</v>
      </c>
      <c r="C59" s="660" t="s">
        <v>25</v>
      </c>
      <c r="D59" s="661"/>
      <c r="E59" s="661"/>
      <c r="F59" s="661"/>
      <c r="G59" s="662"/>
      <c r="H59" s="521">
        <v>3000</v>
      </c>
      <c r="I59" s="521">
        <v>-7000</v>
      </c>
      <c r="J59" s="521">
        <v>-4300</v>
      </c>
      <c r="K59" s="521">
        <v>-5500</v>
      </c>
      <c r="L59" s="521">
        <v>-6200</v>
      </c>
      <c r="M59" s="521">
        <v>-5600</v>
      </c>
      <c r="N59" s="317">
        <f>N58</f>
        <v>7700</v>
      </c>
      <c r="O59" s="314"/>
      <c r="P59" s="512" t="s">
        <v>138</v>
      </c>
      <c r="T59"/>
    </row>
    <row r="60" spans="2:20">
      <c r="B60" s="49">
        <v>18</v>
      </c>
      <c r="C60" s="654" t="s">
        <v>26</v>
      </c>
      <c r="D60" s="655"/>
      <c r="E60" s="655"/>
      <c r="F60" s="655"/>
      <c r="G60" s="656"/>
      <c r="H60" s="365">
        <f t="shared" ref="H60:N60" si="6">H51+H55+H58</f>
        <v>290236.92599218222</v>
      </c>
      <c r="I60" s="280">
        <f t="shared" si="6"/>
        <v>328090.87527950923</v>
      </c>
      <c r="J60" s="280">
        <f t="shared" si="6"/>
        <v>367452.40120397846</v>
      </c>
      <c r="K60" s="280">
        <f>K51+K55+K58</f>
        <v>406014.61993872782</v>
      </c>
      <c r="L60" s="280">
        <f>L51+L55+L58</f>
        <v>457304.92807477864</v>
      </c>
      <c r="M60" s="280">
        <f>M51+M55+M58</f>
        <v>524136.77833883755</v>
      </c>
      <c r="N60" s="2" t="e">
        <f t="shared" si="6"/>
        <v>#REF!</v>
      </c>
      <c r="O60" s="424"/>
      <c r="P60" s="411" t="s">
        <v>465</v>
      </c>
      <c r="Q60" s="382"/>
      <c r="T60"/>
    </row>
    <row r="61" spans="2:20">
      <c r="B61" s="51" t="s">
        <v>129</v>
      </c>
      <c r="C61" s="660" t="s">
        <v>26</v>
      </c>
      <c r="D61" s="661"/>
      <c r="E61" s="661"/>
      <c r="F61" s="661"/>
      <c r="G61" s="661"/>
      <c r="H61" s="282">
        <f t="shared" ref="H61:M61" si="7">H$52+H$56+H$59</f>
        <v>295971.72299218213</v>
      </c>
      <c r="I61" s="362">
        <f t="shared" si="7"/>
        <v>328091.11201014719</v>
      </c>
      <c r="J61" s="282">
        <f t="shared" si="7"/>
        <v>367452.25227893982</v>
      </c>
      <c r="K61" s="282">
        <f t="shared" si="7"/>
        <v>406014.3616110828</v>
      </c>
      <c r="L61" s="282">
        <f t="shared" si="7"/>
        <v>457305.04071213491</v>
      </c>
      <c r="M61" s="282">
        <f t="shared" si="7"/>
        <v>524136.33730805188</v>
      </c>
      <c r="N61" s="37" t="e">
        <f>N52+N56+N59</f>
        <v>#REF!</v>
      </c>
      <c r="O61" s="467"/>
      <c r="P61" s="451" t="s">
        <v>466</v>
      </c>
      <c r="Q61" s="382"/>
      <c r="T61"/>
    </row>
    <row r="62" spans="2:20">
      <c r="B62" s="47"/>
      <c r="C62" s="48" t="s">
        <v>27</v>
      </c>
      <c r="D62" s="48"/>
      <c r="E62" s="48"/>
      <c r="F62" s="48"/>
      <c r="G62" s="48"/>
      <c r="H62" s="64"/>
      <c r="I62" s="64"/>
      <c r="J62" s="64"/>
      <c r="K62" s="64"/>
      <c r="L62" s="64"/>
      <c r="M62" s="65"/>
      <c r="N62" s="65"/>
      <c r="O62" s="466"/>
      <c r="P62" s="64"/>
      <c r="Q62" s="374"/>
      <c r="T62"/>
    </row>
    <row r="63" spans="2:20">
      <c r="B63" s="49">
        <v>19</v>
      </c>
      <c r="C63" s="654" t="s">
        <v>28</v>
      </c>
      <c r="D63" s="655"/>
      <c r="E63" s="655"/>
      <c r="F63" s="655"/>
      <c r="G63" s="656"/>
      <c r="H63" s="2">
        <f>-'C-7,8,9 CIP - Debt Service'!H156</f>
        <v>-220302.92561000003</v>
      </c>
      <c r="I63" s="2">
        <f>-'C-7,8,9 CIP - Debt Service'!I156</f>
        <v>-231843.39396000002</v>
      </c>
      <c r="J63" s="2">
        <f>-'C-7,8,9 CIP - Debt Service'!J156</f>
        <v>-231844.05021000004</v>
      </c>
      <c r="K63" s="2">
        <f>-'C-7,8,9 CIP - Debt Service'!K156</f>
        <v>-218498.63011000003</v>
      </c>
      <c r="L63" s="2">
        <f>-'C-7,8,9 CIP - Debt Service'!L156</f>
        <v>-209623.39526000002</v>
      </c>
      <c r="M63" s="2">
        <f>-'C-7,8,9 CIP - Debt Service'!M156</f>
        <v>-210973.73841000005</v>
      </c>
      <c r="N63" s="50">
        <f>-'C-7,8,9 CIP - Debt Service'!M156</f>
        <v>-210973.73841000005</v>
      </c>
      <c r="O63" s="508"/>
      <c r="P63" s="510" t="s">
        <v>340</v>
      </c>
      <c r="T63"/>
    </row>
    <row r="64" spans="2:20">
      <c r="B64" s="51" t="s">
        <v>125</v>
      </c>
      <c r="C64" s="660" t="s">
        <v>28</v>
      </c>
      <c r="D64" s="661"/>
      <c r="E64" s="661"/>
      <c r="F64" s="661"/>
      <c r="G64" s="662"/>
      <c r="H64" s="37">
        <f>H63</f>
        <v>-220302.92561000003</v>
      </c>
      <c r="I64" s="37">
        <f>-'C-7,8,9 CIP - Debt Service'!I157</f>
        <v>-231843.39396000002</v>
      </c>
      <c r="J64" s="37">
        <f>-'C-7,8,9 CIP - Debt Service'!J157</f>
        <v>-231844.05021000004</v>
      </c>
      <c r="K64" s="37">
        <f>-'C-7,8,9 CIP - Debt Service'!K157</f>
        <v>-218498.63011000003</v>
      </c>
      <c r="L64" s="37">
        <f>-'C-7,8,9 CIP - Debt Service'!L157</f>
        <v>-209623.39526000002</v>
      </c>
      <c r="M64" s="37">
        <f>-'C-7,8,9 CIP - Debt Service'!M157</f>
        <v>-210973.73841000005</v>
      </c>
      <c r="N64" s="52">
        <f>-'C-7,8,9 CIP - Debt Service'!M157</f>
        <v>-210973.73841000005</v>
      </c>
      <c r="O64" s="313"/>
      <c r="P64" s="447" t="s">
        <v>340</v>
      </c>
      <c r="T64"/>
    </row>
    <row r="65" spans="2:20">
      <c r="B65" s="49">
        <v>20</v>
      </c>
      <c r="C65" s="654" t="s">
        <v>431</v>
      </c>
      <c r="D65" s="655"/>
      <c r="E65" s="655"/>
      <c r="F65" s="655"/>
      <c r="G65" s="656"/>
      <c r="H65" s="2">
        <f>-'C-7,8,9 CIP - Debt Service'!H178</f>
        <v>-16412.376145002087</v>
      </c>
      <c r="I65" s="2">
        <f>-'C-7,8,9 CIP - Debt Service'!I178</f>
        <v>-24506.22777902845</v>
      </c>
      <c r="J65" s="2">
        <f>-'C-7,8,9 CIP - Debt Service'!J178</f>
        <v>-31321.334299168921</v>
      </c>
      <c r="K65" s="2">
        <f>-'C-7,8,9 CIP - Debt Service'!K178</f>
        <v>-36294.215711748169</v>
      </c>
      <c r="L65" s="2">
        <f>-'C-7,8,9 CIP - Debt Service'!L178</f>
        <v>-39100.403366091472</v>
      </c>
      <c r="M65" s="2">
        <f>-'C-7,8,9 CIP - Debt Service'!M178</f>
        <v>-40437.403299351383</v>
      </c>
      <c r="N65" s="50">
        <f>-'C-7,8,9 CIP - Debt Service'!M178</f>
        <v>-40437.403299351383</v>
      </c>
      <c r="O65" s="424"/>
      <c r="P65" s="430" t="s">
        <v>340</v>
      </c>
      <c r="T65"/>
    </row>
    <row r="66" spans="2:20">
      <c r="B66" s="51" t="s">
        <v>126</v>
      </c>
      <c r="C66" s="660" t="s">
        <v>431</v>
      </c>
      <c r="D66" s="661"/>
      <c r="E66" s="661"/>
      <c r="F66" s="661"/>
      <c r="G66" s="662"/>
      <c r="H66" s="37">
        <f>H65</f>
        <v>-16412.376145002087</v>
      </c>
      <c r="I66" s="37">
        <f>-'C-7,8,9 CIP - Debt Service'!I179</f>
        <v>-24506.23</v>
      </c>
      <c r="J66" s="37">
        <f>-'C-7,8,9 CIP - Debt Service'!J179</f>
        <v>-31321.33</v>
      </c>
      <c r="K66" s="37">
        <f>-'C-7,8,9 CIP - Debt Service'!K179</f>
        <v>-36294.22</v>
      </c>
      <c r="L66" s="37">
        <f>-'C-7,8,9 CIP - Debt Service'!L179</f>
        <v>-39100.400000000001</v>
      </c>
      <c r="M66" s="37">
        <f>-'C-7,8,9 CIP - Debt Service'!M179</f>
        <v>-40437.4</v>
      </c>
      <c r="N66" s="52">
        <f>-'C-7,8,9 CIP - Debt Service'!M179</f>
        <v>-40437.4</v>
      </c>
      <c r="O66" s="313"/>
      <c r="P66" s="447" t="s">
        <v>340</v>
      </c>
      <c r="T66"/>
    </row>
    <row r="67" spans="2:20">
      <c r="B67" s="49">
        <v>21</v>
      </c>
      <c r="C67" s="654" t="s">
        <v>29</v>
      </c>
      <c r="D67" s="655"/>
      <c r="E67" s="655"/>
      <c r="F67" s="655"/>
      <c r="G67" s="656"/>
      <c r="H67" s="2">
        <f>-'C-7,8,9 CIP - Debt Service'!H172</f>
        <v>0</v>
      </c>
      <c r="I67" s="2">
        <f>-'C-7,8,9 CIP - Debt Service'!I172</f>
        <v>0</v>
      </c>
      <c r="J67" s="2">
        <f>-'C-7,8,9 CIP - Debt Service'!J172</f>
        <v>-16666.666666666668</v>
      </c>
      <c r="K67" s="2">
        <f>-'C-7,8,9 CIP - Debt Service'!K172</f>
        <v>-54770.574032110628</v>
      </c>
      <c r="L67" s="2">
        <f>-'C-7,8,9 CIP - Debt Service'!L172</f>
        <v>-100293.69813888779</v>
      </c>
      <c r="M67" s="2">
        <f>-'C-7,8,9 CIP - Debt Service'!M172</f>
        <v>-149015.49060741847</v>
      </c>
      <c r="N67" s="50">
        <f>-'C-7,8,9 CIP - Debt Service'!M172</f>
        <v>-149015.49060741847</v>
      </c>
      <c r="O67" s="424"/>
      <c r="P67" s="430" t="s">
        <v>340</v>
      </c>
      <c r="T67"/>
    </row>
    <row r="68" spans="2:20">
      <c r="B68" s="51" t="s">
        <v>127</v>
      </c>
      <c r="C68" s="660" t="s">
        <v>29</v>
      </c>
      <c r="D68" s="661"/>
      <c r="E68" s="661"/>
      <c r="F68" s="661"/>
      <c r="G68" s="662"/>
      <c r="H68" s="368">
        <f>H67</f>
        <v>0</v>
      </c>
      <c r="I68" s="368">
        <f>-'C-7,8,9 CIP - Debt Service'!I173</f>
        <v>-2.0833333333333337E-3</v>
      </c>
      <c r="J68" s="368">
        <f>-'C-7,8,9 CIP - Debt Service'!J173</f>
        <v>-16666.670335905092</v>
      </c>
      <c r="K68" s="368">
        <f>-'C-7,8,9 CIP - Debt Service'!K173</f>
        <v>-54770.58293519674</v>
      </c>
      <c r="L68" s="368">
        <f>-'C-7,8,9 CIP - Debt Service'!L173</f>
        <v>-100293.70880686505</v>
      </c>
      <c r="M68" s="368">
        <f>-'C-7,8,9 CIP - Debt Service'!M173</f>
        <v>-149015.50404890662</v>
      </c>
      <c r="N68" s="52">
        <f>-'C-7,8,9 CIP - Debt Service'!M173</f>
        <v>-149015.50404890662</v>
      </c>
      <c r="O68" s="313"/>
      <c r="P68" s="447" t="s">
        <v>340</v>
      </c>
      <c r="Q68" s="382"/>
      <c r="T68"/>
    </row>
    <row r="69" spans="2:20">
      <c r="B69" s="49">
        <v>22</v>
      </c>
      <c r="C69" s="654" t="s">
        <v>223</v>
      </c>
      <c r="D69" s="655"/>
      <c r="E69" s="655"/>
      <c r="F69" s="655"/>
      <c r="G69" s="656"/>
      <c r="H69" s="2">
        <f>-'C-7,8,9 CIP - Debt Service'!H181</f>
        <v>-1349</v>
      </c>
      <c r="I69" s="2">
        <f>-'C-7,8,9 CIP - Debt Service'!I181</f>
        <v>-1349</v>
      </c>
      <c r="J69" s="2">
        <f>-'C-7,8,9 CIP - Debt Service'!J181</f>
        <v>-1349</v>
      </c>
      <c r="K69" s="2">
        <f>-'C-7,8,9 CIP - Debt Service'!K181</f>
        <v>-1349</v>
      </c>
      <c r="L69" s="2">
        <f>-'C-7,8,9 CIP - Debt Service'!L181</f>
        <v>-1349</v>
      </c>
      <c r="M69" s="2">
        <f>-'C-7,8,9 CIP - Debt Service'!M181</f>
        <v>-1348.9999999999995</v>
      </c>
      <c r="N69" s="50">
        <f>-'C-7,8,9 CIP - Debt Service'!M174</f>
        <v>0</v>
      </c>
      <c r="O69" s="424"/>
      <c r="P69" s="430" t="s">
        <v>340</v>
      </c>
      <c r="Q69" s="374"/>
      <c r="T69"/>
    </row>
    <row r="70" spans="2:20">
      <c r="B70" s="51" t="s">
        <v>128</v>
      </c>
      <c r="C70" s="660" t="s">
        <v>223</v>
      </c>
      <c r="D70" s="661"/>
      <c r="E70" s="661"/>
      <c r="F70" s="661"/>
      <c r="G70" s="662"/>
      <c r="H70" s="37">
        <f>-'C-7,8,9 CIP - Debt Service'!H182</f>
        <v>-1349</v>
      </c>
      <c r="I70" s="37">
        <f>-'C-7,8,9 CIP - Debt Service'!I182</f>
        <v>-1349</v>
      </c>
      <c r="J70" s="37">
        <f>-'C-7,8,9 CIP - Debt Service'!J182</f>
        <v>-1349</v>
      </c>
      <c r="K70" s="37">
        <f>-'C-7,8,9 CIP - Debt Service'!K182</f>
        <v>-1349</v>
      </c>
      <c r="L70" s="37">
        <f>-'C-7,8,9 CIP - Debt Service'!L182</f>
        <v>-1349</v>
      </c>
      <c r="M70" s="37">
        <f>-'C-7,8,9 CIP - Debt Service'!M182</f>
        <v>-1349</v>
      </c>
      <c r="N70" s="52">
        <f>-'C-7,8,9 CIP - Debt Service'!M175</f>
        <v>-359989.23060741846</v>
      </c>
      <c r="O70" s="313"/>
      <c r="P70" s="447" t="s">
        <v>340</v>
      </c>
      <c r="T70"/>
    </row>
    <row r="71" spans="2:20">
      <c r="B71" s="49">
        <v>23</v>
      </c>
      <c r="C71" s="654" t="s">
        <v>290</v>
      </c>
      <c r="D71" s="655"/>
      <c r="E71" s="655"/>
      <c r="F71" s="655"/>
      <c r="G71" s="656"/>
      <c r="H71" s="2">
        <f>-'C-7,8,9 CIP - Debt Service'!H184</f>
        <v>-355.91480999999993</v>
      </c>
      <c r="I71" s="2">
        <f>-'C-7,8,9 CIP - Debt Service'!I184</f>
        <v>-593.19137000000001</v>
      </c>
      <c r="J71" s="2">
        <f>-'C-7,8,9 CIP - Debt Service'!J184</f>
        <v>-1406.5136599999998</v>
      </c>
      <c r="K71" s="2">
        <f>-'C-7,8,9 CIP - Debt Service'!K184</f>
        <v>-1406.5136500000001</v>
      </c>
      <c r="L71" s="2">
        <f>-'C-7,8,9 CIP - Debt Service'!L184</f>
        <v>-1406.5136599999998</v>
      </c>
      <c r="M71" s="2">
        <f>-'C-7,8,9 CIP - Debt Service'!M184</f>
        <v>-1406.5136500000001</v>
      </c>
      <c r="N71" s="50"/>
      <c r="O71" s="424"/>
      <c r="P71" s="430" t="s">
        <v>340</v>
      </c>
      <c r="Q71" s="382"/>
      <c r="T71"/>
    </row>
    <row r="72" spans="2:20">
      <c r="B72" s="51" t="s">
        <v>133</v>
      </c>
      <c r="C72" s="660" t="s">
        <v>290</v>
      </c>
      <c r="D72" s="661"/>
      <c r="E72" s="661"/>
      <c r="F72" s="661"/>
      <c r="G72" s="662"/>
      <c r="H72" s="37">
        <f>-'C-7,8,9 CIP - Debt Service'!H185</f>
        <v>-355.91</v>
      </c>
      <c r="I72" s="37">
        <f>-'C-7,8,9 CIP - Debt Service'!I185</f>
        <v>-593.19000000000005</v>
      </c>
      <c r="J72" s="37">
        <f>-'C-7,8,9 CIP - Debt Service'!J185</f>
        <v>-1406.51</v>
      </c>
      <c r="K72" s="37">
        <f>-'C-7,8,9 CIP - Debt Service'!K185</f>
        <v>-1406.51</v>
      </c>
      <c r="L72" s="37">
        <f>-'C-7,8,9 CIP - Debt Service'!L185</f>
        <v>-1406.51</v>
      </c>
      <c r="M72" s="37">
        <f>-'C-7,8,9 CIP - Debt Service'!M185</f>
        <v>-1406.51</v>
      </c>
      <c r="N72" s="52"/>
      <c r="O72" s="467"/>
      <c r="P72" s="511" t="s">
        <v>340</v>
      </c>
      <c r="Q72" s="382"/>
    </row>
    <row r="73" spans="2:20" ht="3" customHeight="1">
      <c r="B73" s="54"/>
      <c r="C73" s="132"/>
      <c r="D73" s="132"/>
      <c r="E73" s="132"/>
      <c r="F73" s="132"/>
      <c r="G73" s="132"/>
      <c r="H73" s="56"/>
      <c r="I73" s="56"/>
      <c r="J73" s="57"/>
      <c r="K73" s="57"/>
      <c r="L73" s="57"/>
      <c r="M73" s="57"/>
      <c r="N73" s="57"/>
      <c r="O73" s="308"/>
      <c r="P73" s="57"/>
      <c r="T73"/>
    </row>
    <row r="74" spans="2:20">
      <c r="B74" s="49">
        <v>24</v>
      </c>
      <c r="C74" s="654" t="s">
        <v>30</v>
      </c>
      <c r="D74" s="655"/>
      <c r="E74" s="655"/>
      <c r="F74" s="655"/>
      <c r="G74" s="656"/>
      <c r="H74" s="349">
        <f t="shared" ref="H74:M74" si="8">H63+H65+H67+H69+H71</f>
        <v>-238420.21656500211</v>
      </c>
      <c r="I74" s="280">
        <f t="shared" si="8"/>
        <v>-258291.81310902844</v>
      </c>
      <c r="J74" s="280">
        <f t="shared" si="8"/>
        <v>-282587.56483583566</v>
      </c>
      <c r="K74" s="280">
        <f t="shared" si="8"/>
        <v>-312318.9335038588</v>
      </c>
      <c r="L74" s="280">
        <f t="shared" si="8"/>
        <v>-351773.01042497932</v>
      </c>
      <c r="M74" s="280">
        <f t="shared" si="8"/>
        <v>-403182.14596676989</v>
      </c>
      <c r="N74" s="50">
        <f>N63+N65+N67</f>
        <v>-400426.63231676992</v>
      </c>
      <c r="O74" s="508"/>
      <c r="P74" s="408" t="s">
        <v>442</v>
      </c>
      <c r="Q74" s="382"/>
      <c r="T74"/>
    </row>
    <row r="75" spans="2:20">
      <c r="B75" s="51" t="s">
        <v>148</v>
      </c>
      <c r="C75" s="660" t="s">
        <v>30</v>
      </c>
      <c r="D75" s="661"/>
      <c r="E75" s="661"/>
      <c r="F75" s="661"/>
      <c r="G75" s="662"/>
      <c r="H75" s="362">
        <f t="shared" ref="H75:M75" si="9">H64+H66+H68+H70+H72</f>
        <v>-238420.21175500212</v>
      </c>
      <c r="I75" s="362">
        <f t="shared" si="9"/>
        <v>-258291.81604333335</v>
      </c>
      <c r="J75" s="362">
        <f t="shared" si="9"/>
        <v>-282587.56054590514</v>
      </c>
      <c r="K75" s="362">
        <f t="shared" si="9"/>
        <v>-312318.94304519676</v>
      </c>
      <c r="L75" s="362">
        <f t="shared" si="9"/>
        <v>-351773.01406686509</v>
      </c>
      <c r="M75" s="362">
        <f t="shared" si="9"/>
        <v>-403182.15245890664</v>
      </c>
      <c r="N75" s="52">
        <f>N64+N66+N68</f>
        <v>-400426.64245890663</v>
      </c>
      <c r="O75" s="313"/>
      <c r="P75" s="412" t="s">
        <v>443</v>
      </c>
      <c r="Q75" s="382"/>
      <c r="T75"/>
    </row>
    <row r="76" spans="2:20">
      <c r="B76" s="49">
        <v>25</v>
      </c>
      <c r="C76" s="654" t="s">
        <v>341</v>
      </c>
      <c r="D76" s="655"/>
      <c r="E76" s="655"/>
      <c r="F76" s="655"/>
      <c r="G76" s="656"/>
      <c r="H76" s="364">
        <f>$H60/(-$H74)</f>
        <v>1.2173335389662856</v>
      </c>
      <c r="I76" s="364">
        <f>$I60/(-$I74)</f>
        <v>1.2702333509154533</v>
      </c>
      <c r="J76" s="364">
        <f>$J60/(-$J74)</f>
        <v>1.3003134140649237</v>
      </c>
      <c r="K76" s="364">
        <f>$K60/(-$K74)</f>
        <v>1.3000000204397195</v>
      </c>
      <c r="L76" s="364">
        <f>$L60/(-$L74)</f>
        <v>1.3000000412831716</v>
      </c>
      <c r="M76" s="364">
        <f>$M60/(-$M74)</f>
        <v>1.2999999716803845</v>
      </c>
      <c r="N76" s="130" t="e">
        <f>N60/(-N74)</f>
        <v>#REF!</v>
      </c>
      <c r="O76" s="424"/>
      <c r="P76" s="411" t="s">
        <v>440</v>
      </c>
      <c r="Q76" s="382"/>
      <c r="T76"/>
    </row>
    <row r="77" spans="2:20">
      <c r="B77" s="51" t="s">
        <v>134</v>
      </c>
      <c r="C77" s="657" t="s">
        <v>342</v>
      </c>
      <c r="D77" s="658"/>
      <c r="E77" s="658"/>
      <c r="F77" s="658"/>
      <c r="G77" s="659"/>
      <c r="H77" s="69">
        <f>$H61/(-$H75)</f>
        <v>1.2413868808082398</v>
      </c>
      <c r="I77" s="69">
        <f>$I61/(-$I75)</f>
        <v>1.2702342530090216</v>
      </c>
      <c r="J77" s="69">
        <f>$J61/(-$J75)</f>
        <v>1.3003129067999042</v>
      </c>
      <c r="K77" s="69">
        <f>$K61/(-$K75)</f>
        <v>1.2999991535970556</v>
      </c>
      <c r="L77" s="69">
        <f>$L61/(-$L75)</f>
        <v>1.3000003480233144</v>
      </c>
      <c r="M77" s="69">
        <f>$M61/(-$M75)</f>
        <v>1.2999988568726966</v>
      </c>
      <c r="N77" s="70" t="e">
        <f>N61/(-N75)</f>
        <v>#REF!</v>
      </c>
      <c r="O77" s="313"/>
      <c r="P77" s="409" t="s">
        <v>441</v>
      </c>
      <c r="T77"/>
    </row>
    <row r="78" spans="2:20">
      <c r="B78" s="49">
        <v>26</v>
      </c>
      <c r="C78" s="654" t="s">
        <v>31</v>
      </c>
      <c r="D78" s="655"/>
      <c r="E78" s="655"/>
      <c r="F78" s="655"/>
      <c r="G78" s="656"/>
      <c r="H78" s="2">
        <v>0</v>
      </c>
      <c r="I78" s="2">
        <v>0</v>
      </c>
      <c r="J78" s="50">
        <v>0</v>
      </c>
      <c r="K78" s="50">
        <v>0</v>
      </c>
      <c r="L78" s="50">
        <v>0</v>
      </c>
      <c r="M78" s="50">
        <v>0</v>
      </c>
      <c r="N78" s="50">
        <v>0</v>
      </c>
      <c r="O78" s="428"/>
      <c r="P78" s="430" t="s">
        <v>187</v>
      </c>
      <c r="Q78"/>
      <c r="T78"/>
    </row>
    <row r="79" spans="2:20">
      <c r="B79" s="51" t="s">
        <v>149</v>
      </c>
      <c r="C79" s="660" t="s">
        <v>31</v>
      </c>
      <c r="D79" s="661"/>
      <c r="E79" s="661"/>
      <c r="F79" s="661"/>
      <c r="G79" s="662"/>
      <c r="H79" s="37">
        <f>$H78</f>
        <v>0</v>
      </c>
      <c r="I79" s="37">
        <f>$I78</f>
        <v>0</v>
      </c>
      <c r="J79" s="37">
        <f>$J78</f>
        <v>0</v>
      </c>
      <c r="K79" s="37">
        <f>$K78</f>
        <v>0</v>
      </c>
      <c r="L79" s="37">
        <f>$L78</f>
        <v>0</v>
      </c>
      <c r="M79" s="37">
        <f>$M78</f>
        <v>0</v>
      </c>
      <c r="N79" s="52">
        <f>N78</f>
        <v>0</v>
      </c>
      <c r="O79" s="163"/>
      <c r="P79" s="447" t="s">
        <v>188</v>
      </c>
      <c r="T79"/>
    </row>
    <row r="80" spans="2:20">
      <c r="B80" s="49">
        <v>27</v>
      </c>
      <c r="C80" s="654" t="s">
        <v>32</v>
      </c>
      <c r="D80" s="655"/>
      <c r="E80" s="655"/>
      <c r="F80" s="655"/>
      <c r="G80" s="656"/>
      <c r="H80" s="2">
        <v>0</v>
      </c>
      <c r="I80" s="2">
        <v>0</v>
      </c>
      <c r="J80" s="50">
        <v>0</v>
      </c>
      <c r="K80" s="50">
        <v>0</v>
      </c>
      <c r="L80" s="50">
        <v>0</v>
      </c>
      <c r="M80" s="50">
        <v>0</v>
      </c>
      <c r="N80" s="50">
        <v>0</v>
      </c>
      <c r="O80" s="424"/>
      <c r="P80" s="430" t="s">
        <v>187</v>
      </c>
      <c r="T80"/>
    </row>
    <row r="81" spans="2:20">
      <c r="B81" s="51" t="s">
        <v>150</v>
      </c>
      <c r="C81" s="660" t="s">
        <v>32</v>
      </c>
      <c r="D81" s="661"/>
      <c r="E81" s="661"/>
      <c r="F81" s="661"/>
      <c r="G81" s="662"/>
      <c r="H81" s="52">
        <f>$H80</f>
        <v>0</v>
      </c>
      <c r="I81" s="52">
        <f>$I80</f>
        <v>0</v>
      </c>
      <c r="J81" s="52">
        <f>$J80</f>
        <v>0</v>
      </c>
      <c r="K81" s="52">
        <f>$K80</f>
        <v>0</v>
      </c>
      <c r="L81" s="52">
        <f>$L80</f>
        <v>0</v>
      </c>
      <c r="M81" s="52">
        <f>$M80</f>
        <v>0</v>
      </c>
      <c r="N81" s="52">
        <f>N80</f>
        <v>0</v>
      </c>
      <c r="O81" s="467"/>
      <c r="P81" s="511" t="s">
        <v>188</v>
      </c>
      <c r="T81"/>
    </row>
    <row r="82" spans="2:20" ht="3" customHeight="1">
      <c r="B82" s="54"/>
      <c r="C82" s="132"/>
      <c r="D82" s="132"/>
      <c r="E82" s="132"/>
      <c r="F82" s="132"/>
      <c r="G82" s="132"/>
      <c r="H82" s="56"/>
      <c r="I82" s="56"/>
      <c r="J82" s="57"/>
      <c r="K82" s="57"/>
      <c r="L82" s="57"/>
      <c r="M82" s="57"/>
      <c r="N82" s="57"/>
      <c r="O82" s="313"/>
      <c r="T82"/>
    </row>
    <row r="83" spans="2:20">
      <c r="B83" s="49">
        <v>28</v>
      </c>
      <c r="C83" s="654" t="s">
        <v>33</v>
      </c>
      <c r="D83" s="655"/>
      <c r="E83" s="655"/>
      <c r="F83" s="655"/>
      <c r="G83" s="656"/>
      <c r="H83" s="327">
        <f>$H74+$H78+$H80</f>
        <v>-238420.21656500211</v>
      </c>
      <c r="I83" s="2">
        <f>$I74+$I78+$I80</f>
        <v>-258291.81310902844</v>
      </c>
      <c r="J83" s="50">
        <f>$J74+$J78+$J80</f>
        <v>-282587.56483583566</v>
      </c>
      <c r="K83" s="50">
        <f>$K74+$K78+$K80</f>
        <v>-312318.9335038588</v>
      </c>
      <c r="L83" s="50">
        <f>$L74+$L78+$L80</f>
        <v>-351773.01042497932</v>
      </c>
      <c r="M83" s="50">
        <f>$M74+$M78+$M80</f>
        <v>-403182.14596676989</v>
      </c>
      <c r="N83" s="50">
        <f>N74+N78+N80</f>
        <v>-400426.63231676992</v>
      </c>
      <c r="O83" s="508"/>
      <c r="P83" s="408" t="s">
        <v>444</v>
      </c>
      <c r="T83"/>
    </row>
    <row r="84" spans="2:20">
      <c r="B84" s="51" t="s">
        <v>161</v>
      </c>
      <c r="C84" s="660" t="s">
        <v>33</v>
      </c>
      <c r="D84" s="661"/>
      <c r="E84" s="661"/>
      <c r="F84" s="661"/>
      <c r="G84" s="662"/>
      <c r="H84" s="52">
        <f>$H75+$H79+$H81</f>
        <v>-238420.21175500212</v>
      </c>
      <c r="I84" s="52">
        <f>$I75+$I79+$I81</f>
        <v>-258291.81604333335</v>
      </c>
      <c r="J84" s="52">
        <f>$J75+$J79+$J81</f>
        <v>-282587.56054590514</v>
      </c>
      <c r="K84" s="52">
        <f>$K75+$K79+$K81</f>
        <v>-312318.94304519676</v>
      </c>
      <c r="L84" s="52">
        <f>$L75+$L79+$L81</f>
        <v>-351773.01406686509</v>
      </c>
      <c r="M84" s="52">
        <f>$M75+$M79+$M81</f>
        <v>-403182.15245890664</v>
      </c>
      <c r="N84" s="52">
        <f>N75+N79+N81</f>
        <v>-400426.64245890663</v>
      </c>
      <c r="O84" s="313"/>
      <c r="P84" s="412" t="s">
        <v>445</v>
      </c>
      <c r="Q84" s="382"/>
      <c r="T84"/>
    </row>
    <row r="85" spans="2:20">
      <c r="B85" s="49">
        <v>29</v>
      </c>
      <c r="C85" s="654" t="s">
        <v>34</v>
      </c>
      <c r="D85" s="655"/>
      <c r="E85" s="655"/>
      <c r="F85" s="655"/>
      <c r="G85" s="656"/>
      <c r="H85" s="334">
        <f>-'C-7,8,9 CIP - Debt Service'!H82</f>
        <v>-34361.78</v>
      </c>
      <c r="I85" s="334">
        <f>-'C-7,8,9 CIP - Debt Service'!I82</f>
        <v>-36290.006018026819</v>
      </c>
      <c r="J85" s="334">
        <f>-'C-7,8,9 CIP - Debt Service'!J82</f>
        <v>-38326.435265822161</v>
      </c>
      <c r="K85" s="334">
        <f>-'C-7,8,9 CIP - Debt Service'!K82</f>
        <v>-40477.139614018881</v>
      </c>
      <c r="L85" s="334">
        <f>-'C-7,8,9 CIP - Debt Service'!L82</f>
        <v>-42748.531658873821</v>
      </c>
      <c r="M85" s="334">
        <f>-'C-7,8,9 CIP - Debt Service'!M82</f>
        <v>-45147.383842232288</v>
      </c>
      <c r="N85" s="50">
        <f>-'C-7,8,9 CIP - Debt Service'!M78</f>
        <v>-12816.895466666665</v>
      </c>
      <c r="O85" s="424"/>
      <c r="P85" s="430" t="s">
        <v>343</v>
      </c>
      <c r="Q85" s="382"/>
      <c r="T85"/>
    </row>
    <row r="86" spans="2:20">
      <c r="B86" s="51" t="s">
        <v>152</v>
      </c>
      <c r="C86" s="660" t="s">
        <v>34</v>
      </c>
      <c r="D86" s="661"/>
      <c r="E86" s="661"/>
      <c r="F86" s="661"/>
      <c r="G86" s="662"/>
      <c r="H86" s="37">
        <f>-'C-7,8,9 CIP - Debt Service'!H83</f>
        <v>-34361.78</v>
      </c>
      <c r="I86" s="37">
        <f>-'C-7,8,9 CIP - Debt Service'!I83</f>
        <v>-36290.01</v>
      </c>
      <c r="J86" s="37">
        <f>-'C-7,8,9 CIP - Debt Service'!J83</f>
        <v>-38326.44</v>
      </c>
      <c r="K86" s="37">
        <f>-'C-7,8,9 CIP - Debt Service'!K83</f>
        <v>-40477.14</v>
      </c>
      <c r="L86" s="37">
        <f>-'C-7,8,9 CIP - Debt Service'!L83</f>
        <v>-42748.53</v>
      </c>
      <c r="M86" s="37">
        <f>-'C-7,8,9 CIP - Debt Service'!M83</f>
        <v>-45147.38</v>
      </c>
      <c r="N86" s="52">
        <f>-'C-7,8,9 CIP - Debt Service'!M79</f>
        <v>-12816.9</v>
      </c>
      <c r="O86" s="313"/>
      <c r="P86" s="447" t="s">
        <v>343</v>
      </c>
      <c r="Q86" s="382"/>
      <c r="T86"/>
    </row>
    <row r="87" spans="2:20">
      <c r="B87" s="49">
        <v>30</v>
      </c>
      <c r="C87" s="654" t="s">
        <v>448</v>
      </c>
      <c r="D87" s="655"/>
      <c r="E87" s="655"/>
      <c r="F87" s="655"/>
      <c r="G87" s="656"/>
      <c r="H87" s="30">
        <f>-$H60/($H74+$H78+$H85)</f>
        <v>1.0639885683328838</v>
      </c>
      <c r="I87" s="30">
        <f>-$I60/($I74+$I78+$I85)</f>
        <v>1.1137512703660823</v>
      </c>
      <c r="J87" s="30">
        <f>-$J60/($J74+$J78+$J85)</f>
        <v>1.1450182948938918</v>
      </c>
      <c r="K87" s="30">
        <f>-$K60/($K74+$K78+$K85)</f>
        <v>1.1508479001779266</v>
      </c>
      <c r="L87" s="30">
        <f>-$L60/($L74+$L78+$L85)</f>
        <v>1.1591380426511191</v>
      </c>
      <c r="M87" s="30">
        <f>-$M60/($M74+$M78+$M85)</f>
        <v>1.1690882341882116</v>
      </c>
      <c r="N87" s="130" t="e">
        <f>-N60/(N74+N78+N85)</f>
        <v>#REF!</v>
      </c>
      <c r="O87" s="424"/>
      <c r="P87" s="411" t="s">
        <v>446</v>
      </c>
      <c r="Q87" s="382"/>
      <c r="T87"/>
    </row>
    <row r="88" spans="2:20">
      <c r="B88" s="109" t="s">
        <v>151</v>
      </c>
      <c r="C88" s="696" t="s">
        <v>449</v>
      </c>
      <c r="D88" s="697"/>
      <c r="E88" s="697"/>
      <c r="F88" s="697"/>
      <c r="G88" s="698"/>
      <c r="H88" s="326">
        <f>-$H61/($H75+$H79+$H86)</f>
        <v>1.0850119580401325</v>
      </c>
      <c r="I88" s="326">
        <f>-$I61/($I75+$I79+$I86)</f>
        <v>1.1137520478330003</v>
      </c>
      <c r="J88" s="326">
        <f>-$J61/($J75+$J79+$J86)</f>
        <v>1.1450178292435627</v>
      </c>
      <c r="K88" s="326">
        <f>-$K61/($K75+$K79+$K86)</f>
        <v>1.1508471355649044</v>
      </c>
      <c r="L88" s="326">
        <f>-$L61/($L75+$L79+$L86)</f>
        <v>1.1591383223285494</v>
      </c>
      <c r="M88" s="326">
        <f>-$M61/($M75+$M79+$M86)</f>
        <v>1.1690872435580486</v>
      </c>
      <c r="N88" s="326">
        <f>-$H61/($H75+$H79+$H86)</f>
        <v>1.0850119580401325</v>
      </c>
      <c r="O88" s="313"/>
      <c r="P88" s="409" t="s">
        <v>447</v>
      </c>
      <c r="Q88" s="382"/>
      <c r="T88"/>
    </row>
    <row r="89" spans="2:20">
      <c r="B89" s="49">
        <v>31</v>
      </c>
      <c r="C89" s="654" t="s">
        <v>39</v>
      </c>
      <c r="D89" s="655"/>
      <c r="E89" s="655"/>
      <c r="F89" s="655"/>
      <c r="G89" s="656"/>
      <c r="H89" s="334">
        <f>H98</f>
        <v>17454.929427180119</v>
      </c>
      <c r="I89" s="334">
        <f t="shared" ref="I89:M89" si="10">I98</f>
        <v>33509.056152453966</v>
      </c>
      <c r="J89" s="334">
        <f t="shared" si="10"/>
        <v>46538.40110232064</v>
      </c>
      <c r="K89" s="334">
        <f t="shared" si="10"/>
        <v>53218.546820850133</v>
      </c>
      <c r="L89" s="334">
        <f t="shared" si="10"/>
        <v>62783.385990925497</v>
      </c>
      <c r="M89" s="334">
        <f t="shared" si="10"/>
        <v>75807.248529835371</v>
      </c>
      <c r="N89" s="538"/>
      <c r="O89" s="539"/>
      <c r="P89" s="411" t="s">
        <v>451</v>
      </c>
      <c r="Q89" s="382"/>
      <c r="T89"/>
    </row>
    <row r="90" spans="2:20">
      <c r="B90" s="51" t="s">
        <v>153</v>
      </c>
      <c r="C90" s="657" t="s">
        <v>39</v>
      </c>
      <c r="D90" s="658"/>
      <c r="E90" s="658"/>
      <c r="F90" s="658"/>
      <c r="G90" s="659"/>
      <c r="H90" s="37">
        <f>H99</f>
        <v>17454.929427180119</v>
      </c>
      <c r="I90" s="37">
        <f t="shared" ref="I90:M90" si="11">I99</f>
        <v>33509.056152453966</v>
      </c>
      <c r="J90" s="37">
        <f t="shared" si="11"/>
        <v>46538.40110232064</v>
      </c>
      <c r="K90" s="37">
        <f t="shared" si="11"/>
        <v>53218.546820850133</v>
      </c>
      <c r="L90" s="37">
        <f t="shared" si="11"/>
        <v>62783.385990925497</v>
      </c>
      <c r="M90" s="37">
        <f t="shared" si="11"/>
        <v>75807.248529835371</v>
      </c>
      <c r="N90" s="538"/>
      <c r="O90" s="313"/>
      <c r="P90" s="412" t="s">
        <v>452</v>
      </c>
      <c r="Q90" s="382"/>
      <c r="T90"/>
    </row>
    <row r="91" spans="2:20" ht="15.75" customHeight="1">
      <c r="B91" s="47"/>
      <c r="C91" s="122" t="s">
        <v>35</v>
      </c>
      <c r="D91" s="122"/>
      <c r="E91" s="122"/>
      <c r="F91" s="122"/>
      <c r="G91" s="122"/>
      <c r="H91" s="64"/>
      <c r="I91" s="64"/>
      <c r="J91" s="64"/>
      <c r="K91" s="64"/>
      <c r="L91" s="64"/>
      <c r="M91" s="65"/>
      <c r="N91" s="65"/>
      <c r="O91" s="466"/>
      <c r="P91" s="65"/>
      <c r="T91"/>
    </row>
    <row r="92" spans="2:20">
      <c r="B92" s="49">
        <v>32</v>
      </c>
      <c r="C92" s="654" t="s">
        <v>36</v>
      </c>
      <c r="D92" s="655"/>
      <c r="E92" s="655"/>
      <c r="F92" s="655"/>
      <c r="G92" s="656"/>
      <c r="H92" s="2">
        <v>30847</v>
      </c>
      <c r="I92" s="2">
        <f t="shared" ref="I92:N92" si="12">H116</f>
        <v>15017.832694514926</v>
      </c>
      <c r="J92" s="2">
        <f>I116</f>
        <v>15030.548629574476</v>
      </c>
      <c r="K92" s="334">
        <f t="shared" si="12"/>
        <v>15051.690366591924</v>
      </c>
      <c r="L92" s="334">
        <f t="shared" si="12"/>
        <v>15095.849545832716</v>
      </c>
      <c r="M92" s="2">
        <f t="shared" si="12"/>
        <v>15071.739608079321</v>
      </c>
      <c r="N92" s="2">
        <f t="shared" si="12"/>
        <v>15040.128484826404</v>
      </c>
      <c r="O92" s="424"/>
      <c r="P92" s="430" t="s">
        <v>254</v>
      </c>
      <c r="Q92" s="382"/>
      <c r="T92"/>
    </row>
    <row r="93" spans="2:20">
      <c r="B93" s="51" t="s">
        <v>154</v>
      </c>
      <c r="C93" s="657" t="s">
        <v>36</v>
      </c>
      <c r="D93" s="658"/>
      <c r="E93" s="658"/>
      <c r="F93" s="658"/>
      <c r="G93" s="659"/>
      <c r="H93" s="37">
        <f>H92</f>
        <v>30847</v>
      </c>
      <c r="I93" s="37">
        <f>$H117</f>
        <v>15018.000000000002</v>
      </c>
      <c r="J93" s="37">
        <f>$I117</f>
        <v>15030.999999999998</v>
      </c>
      <c r="K93" s="37">
        <f>$J117</f>
        <v>15052</v>
      </c>
      <c r="L93" s="37">
        <f>$K117</f>
        <v>15095.999999999993</v>
      </c>
      <c r="M93" s="37">
        <f>$L117</f>
        <v>15071.999999999995</v>
      </c>
      <c r="N93" s="37">
        <f>M117</f>
        <v>15040</v>
      </c>
      <c r="O93" s="313"/>
      <c r="P93" s="447" t="s">
        <v>254</v>
      </c>
      <c r="T93"/>
    </row>
    <row r="94" spans="2:20">
      <c r="B94" s="49">
        <v>33</v>
      </c>
      <c r="C94" s="654" t="s">
        <v>37</v>
      </c>
      <c r="D94" s="655"/>
      <c r="E94" s="655"/>
      <c r="F94" s="655"/>
      <c r="G94" s="656"/>
      <c r="H94" s="2">
        <v>454.11026733480742</v>
      </c>
      <c r="I94" s="2">
        <v>297.511782605581</v>
      </c>
      <c r="J94" s="50">
        <v>297.84715483726933</v>
      </c>
      <c r="K94" s="50">
        <v>298.4937709699152</v>
      </c>
      <c r="L94" s="50">
        <v>298.69207132110716</v>
      </c>
      <c r="M94" s="50">
        <v>298.14034691171605</v>
      </c>
      <c r="N94" s="2">
        <v>149.30358520747251</v>
      </c>
      <c r="O94" s="424"/>
      <c r="P94" s="430" t="s">
        <v>187</v>
      </c>
      <c r="Q94" s="374"/>
      <c r="T94"/>
    </row>
    <row r="95" spans="2:20">
      <c r="B95" s="49" t="s">
        <v>335</v>
      </c>
      <c r="C95" s="654" t="s">
        <v>38</v>
      </c>
      <c r="D95" s="655"/>
      <c r="E95" s="655"/>
      <c r="F95" s="655"/>
      <c r="G95" s="656"/>
      <c r="H95" s="2"/>
      <c r="I95" s="2"/>
      <c r="J95" s="50"/>
      <c r="K95" s="50"/>
      <c r="L95" s="50"/>
      <c r="M95" s="50"/>
      <c r="N95" s="2"/>
      <c r="O95" s="424"/>
      <c r="P95" s="430" t="s">
        <v>255</v>
      </c>
      <c r="Q95" s="374"/>
      <c r="T95"/>
    </row>
    <row r="96" spans="2:20">
      <c r="B96" s="51" t="s">
        <v>155</v>
      </c>
      <c r="C96" s="660" t="s">
        <v>37</v>
      </c>
      <c r="D96" s="661"/>
      <c r="E96" s="661"/>
      <c r="F96" s="661"/>
      <c r="G96" s="662"/>
      <c r="H96" s="37">
        <f t="shared" ref="H96:N96" si="13">H94</f>
        <v>454.11026733480742</v>
      </c>
      <c r="I96" s="37">
        <f t="shared" si="13"/>
        <v>297.511782605581</v>
      </c>
      <c r="J96" s="37">
        <f t="shared" si="13"/>
        <v>297.84715483726933</v>
      </c>
      <c r="K96" s="37">
        <f t="shared" si="13"/>
        <v>298.4937709699152</v>
      </c>
      <c r="L96" s="37">
        <f t="shared" si="13"/>
        <v>298.69207132110716</v>
      </c>
      <c r="M96" s="37">
        <f t="shared" si="13"/>
        <v>298.14034691171605</v>
      </c>
      <c r="N96" s="37">
        <f t="shared" si="13"/>
        <v>149.30358520747251</v>
      </c>
      <c r="O96" s="445"/>
      <c r="P96" s="412" t="s">
        <v>467</v>
      </c>
      <c r="Q96" s="374"/>
      <c r="S96" s="248"/>
      <c r="T96"/>
    </row>
    <row r="97" spans="2:20">
      <c r="B97" s="51" t="s">
        <v>336</v>
      </c>
      <c r="C97" s="660" t="s">
        <v>38</v>
      </c>
      <c r="D97" s="661"/>
      <c r="E97" s="661"/>
      <c r="F97" s="661"/>
      <c r="G97" s="662"/>
      <c r="H97" s="37"/>
      <c r="I97" s="37"/>
      <c r="J97" s="37"/>
      <c r="K97" s="37"/>
      <c r="L97" s="37"/>
      <c r="M97" s="37"/>
      <c r="N97" s="37"/>
      <c r="O97" s="313"/>
      <c r="P97" s="412" t="s">
        <v>468</v>
      </c>
      <c r="Q97" s="374"/>
      <c r="R97" s="151"/>
      <c r="S97" s="248"/>
      <c r="T97"/>
    </row>
    <row r="98" spans="2:20">
      <c r="B98" s="49">
        <v>34</v>
      </c>
      <c r="C98" s="654" t="s">
        <v>39</v>
      </c>
      <c r="D98" s="655"/>
      <c r="E98" s="655"/>
      <c r="F98" s="655"/>
      <c r="G98" s="656"/>
      <c r="H98" s="280">
        <f>H60+H83+H85</f>
        <v>17454.929427180119</v>
      </c>
      <c r="I98" s="280">
        <f>I60+I83+I85</f>
        <v>33509.056152453966</v>
      </c>
      <c r="J98" s="281">
        <f>$J60+$J83+$J85</f>
        <v>46538.40110232064</v>
      </c>
      <c r="K98" s="281">
        <f>$K60+$K83+$K85</f>
        <v>53218.546820850133</v>
      </c>
      <c r="L98" s="281">
        <f>$L60+$L83+$L85</f>
        <v>62783.385990925497</v>
      </c>
      <c r="M98" s="281">
        <f>$M60+$M83+$M85</f>
        <v>75807.248529835371</v>
      </c>
      <c r="N98" s="2" t="e">
        <f>N60+N83+N85</f>
        <v>#REF!</v>
      </c>
      <c r="O98" s="424"/>
      <c r="P98" s="411" t="s">
        <v>450</v>
      </c>
      <c r="Q98" s="382"/>
      <c r="R98" s="151"/>
      <c r="T98"/>
    </row>
    <row r="99" spans="2:20">
      <c r="B99" s="51" t="s">
        <v>156</v>
      </c>
      <c r="C99" s="657" t="s">
        <v>39</v>
      </c>
      <c r="D99" s="658"/>
      <c r="E99" s="658"/>
      <c r="F99" s="658"/>
      <c r="G99" s="659"/>
      <c r="H99" s="282">
        <f t="shared" ref="H99:N99" si="14">H98</f>
        <v>17454.929427180119</v>
      </c>
      <c r="I99" s="394">
        <f t="shared" si="14"/>
        <v>33509.056152453966</v>
      </c>
      <c r="J99" s="394">
        <f t="shared" si="14"/>
        <v>46538.40110232064</v>
      </c>
      <c r="K99" s="394">
        <f t="shared" si="14"/>
        <v>53218.546820850133</v>
      </c>
      <c r="L99" s="394">
        <f t="shared" si="14"/>
        <v>62783.385990925497</v>
      </c>
      <c r="M99" s="394">
        <f t="shared" si="14"/>
        <v>75807.248529835371</v>
      </c>
      <c r="N99" s="37" t="e">
        <f t="shared" si="14"/>
        <v>#REF!</v>
      </c>
      <c r="O99" s="313"/>
      <c r="P99" s="447" t="s">
        <v>188</v>
      </c>
      <c r="Q99" s="382"/>
      <c r="S99" s="247"/>
      <c r="T99"/>
    </row>
    <row r="100" spans="2:20">
      <c r="B100" s="51" t="s">
        <v>337</v>
      </c>
      <c r="C100" s="124" t="s">
        <v>315</v>
      </c>
      <c r="D100" s="395"/>
      <c r="E100" s="395"/>
      <c r="F100" s="395"/>
      <c r="G100" s="396"/>
      <c r="H100" s="468">
        <f>15018-(H93+H96+H97+H99+H103+H104+H110+H112+H114)</f>
        <v>0.1673054850743938</v>
      </c>
      <c r="I100" s="404">
        <f>15031-(I93+I96+I97+I99+I103+I104+I110+I112+I114)</f>
        <v>0.22981435995643551</v>
      </c>
      <c r="J100" s="404">
        <f>15052-(J93+J96+J97+J99+J103+J104+J110+J112+J114)</f>
        <v>-0.14936928614042699</v>
      </c>
      <c r="K100" s="404">
        <f>15096-(K93+K96+K97+K99+K103+K104+K110+K112+K114)</f>
        <v>-0.26825496399396798</v>
      </c>
      <c r="L100" s="404">
        <f>15072-(L93+L96+L97+L99+L103+L104+L110+L112+L114)</f>
        <v>0.11065434410375019</v>
      </c>
      <c r="M100" s="404">
        <f>15040-(M93+M96+M97+M99+M103+M104+M110+M112+M114)</f>
        <v>-0.44368069007759914</v>
      </c>
      <c r="N100" s="37"/>
      <c r="O100" s="313"/>
      <c r="P100" s="412" t="s">
        <v>316</v>
      </c>
      <c r="Q100" s="382"/>
      <c r="S100" s="247"/>
      <c r="T100"/>
    </row>
    <row r="101" spans="2:20">
      <c r="B101" s="49">
        <v>35</v>
      </c>
      <c r="C101" s="654" t="s">
        <v>245</v>
      </c>
      <c r="D101" s="655"/>
      <c r="E101" s="655"/>
      <c r="F101" s="655"/>
      <c r="G101" s="656"/>
      <c r="H101" s="350">
        <v>4994</v>
      </c>
      <c r="I101" s="350">
        <v>4994</v>
      </c>
      <c r="J101" s="350">
        <v>4994</v>
      </c>
      <c r="K101" s="350">
        <v>4994</v>
      </c>
      <c r="L101" s="350">
        <v>4994</v>
      </c>
      <c r="M101" s="350">
        <v>4994</v>
      </c>
      <c r="N101" s="2">
        <v>2976.5224024859408</v>
      </c>
      <c r="O101" s="424"/>
      <c r="P101" s="430" t="s">
        <v>187</v>
      </c>
      <c r="Q101" s="384"/>
      <c r="T101"/>
    </row>
    <row r="102" spans="2:20">
      <c r="B102" s="49" t="s">
        <v>294</v>
      </c>
      <c r="C102" s="654" t="s">
        <v>40</v>
      </c>
      <c r="D102" s="655"/>
      <c r="E102" s="655"/>
      <c r="F102" s="655"/>
      <c r="G102" s="656"/>
      <c r="H102" s="280"/>
      <c r="I102" s="280"/>
      <c r="J102" s="280"/>
      <c r="K102" s="280"/>
      <c r="L102" s="280"/>
      <c r="M102" s="280"/>
      <c r="N102" s="2"/>
      <c r="O102" s="424"/>
      <c r="P102" s="540" t="s">
        <v>453</v>
      </c>
      <c r="Q102" s="374"/>
      <c r="T102"/>
    </row>
    <row r="103" spans="2:20">
      <c r="B103" s="51" t="s">
        <v>157</v>
      </c>
      <c r="C103" s="660" t="s">
        <v>245</v>
      </c>
      <c r="D103" s="661"/>
      <c r="E103" s="661"/>
      <c r="F103" s="661"/>
      <c r="G103" s="662"/>
      <c r="H103" s="282">
        <f t="shared" ref="H103:N103" si="15">H101</f>
        <v>4994</v>
      </c>
      <c r="I103" s="282">
        <f t="shared" si="15"/>
        <v>4994</v>
      </c>
      <c r="J103" s="282">
        <f t="shared" si="15"/>
        <v>4994</v>
      </c>
      <c r="K103" s="282">
        <f>K101</f>
        <v>4994</v>
      </c>
      <c r="L103" s="282">
        <f>L101</f>
        <v>4994</v>
      </c>
      <c r="M103" s="282">
        <f>M101</f>
        <v>4994</v>
      </c>
      <c r="N103" s="37">
        <f t="shared" si="15"/>
        <v>2976.5224024859408</v>
      </c>
      <c r="O103" s="445"/>
      <c r="P103" s="412" t="s">
        <v>296</v>
      </c>
      <c r="Q103" s="374"/>
      <c r="S103" s="248"/>
      <c r="T103"/>
    </row>
    <row r="104" spans="2:20">
      <c r="B104" s="53" t="s">
        <v>338</v>
      </c>
      <c r="C104" s="660" t="s">
        <v>40</v>
      </c>
      <c r="D104" s="661"/>
      <c r="E104" s="661"/>
      <c r="F104" s="661"/>
      <c r="G104" s="662"/>
      <c r="H104" s="38"/>
      <c r="I104" s="38"/>
      <c r="J104" s="544"/>
      <c r="K104" s="544"/>
      <c r="L104" s="544"/>
      <c r="M104" s="544"/>
      <c r="N104" s="37"/>
      <c r="O104" s="313"/>
      <c r="P104" s="543" t="s">
        <v>453</v>
      </c>
      <c r="S104" s="248"/>
      <c r="T104"/>
    </row>
    <row r="105" spans="2:20">
      <c r="B105" s="100">
        <v>36</v>
      </c>
      <c r="C105" s="684" t="s">
        <v>41</v>
      </c>
      <c r="D105" s="685"/>
      <c r="E105" s="685"/>
      <c r="F105" s="685"/>
      <c r="G105" s="686"/>
      <c r="H105" s="327">
        <f>-'C-7,8,9 CIP - Debt Service'!H84</f>
        <v>-29300</v>
      </c>
      <c r="I105" s="327">
        <f>-'C-7,8,9 CIP - Debt Service'!I84</f>
        <v>-25700</v>
      </c>
      <c r="J105" s="327">
        <f>-'C-7,8,9 CIP - Debt Service'!J84</f>
        <v>-40000</v>
      </c>
      <c r="K105" s="327">
        <f>-'C-7,8,9 CIP - Debt Service'!K84</f>
        <v>-48500</v>
      </c>
      <c r="L105" s="327">
        <f>-'C-7,8,9 CIP - Debt Service'!L84</f>
        <v>-60300</v>
      </c>
      <c r="M105" s="327">
        <f>-'C-7,8,9 CIP - Debt Service'!M84</f>
        <v>-74800</v>
      </c>
      <c r="N105" s="327">
        <f>-'C-7,8,9 CIP - Debt Service'!M84</f>
        <v>-74800</v>
      </c>
      <c r="O105" s="509"/>
      <c r="P105" s="432" t="s">
        <v>454</v>
      </c>
      <c r="Q105" s="374"/>
      <c r="T105"/>
    </row>
    <row r="106" spans="2:20" hidden="1">
      <c r="B106" s="663" t="s">
        <v>388</v>
      </c>
      <c r="C106" s="664"/>
      <c r="D106" s="664"/>
      <c r="E106" s="664"/>
      <c r="F106" s="664"/>
      <c r="G106" s="664"/>
      <c r="H106" s="664"/>
      <c r="I106" s="664"/>
      <c r="J106" s="664"/>
      <c r="K106" s="664"/>
      <c r="L106" s="664"/>
      <c r="M106" s="664"/>
      <c r="N106" s="664"/>
      <c r="O106" s="664"/>
      <c r="P106" s="665"/>
      <c r="Q106"/>
      <c r="T106"/>
    </row>
    <row r="107" spans="2:20" hidden="1">
      <c r="B107" s="666"/>
      <c r="C107" s="667"/>
      <c r="D107" s="667"/>
      <c r="E107" s="667"/>
      <c r="F107" s="667"/>
      <c r="G107" s="667"/>
      <c r="H107" s="667"/>
      <c r="I107" s="667"/>
      <c r="J107" s="667"/>
      <c r="K107" s="667"/>
      <c r="L107" s="667"/>
      <c r="M107" s="667"/>
      <c r="N107" s="667"/>
      <c r="O107" s="667"/>
      <c r="P107" s="668"/>
      <c r="Q107"/>
      <c r="T107"/>
    </row>
    <row r="108" spans="2:20" hidden="1">
      <c r="B108" s="666"/>
      <c r="C108" s="667"/>
      <c r="D108" s="667"/>
      <c r="E108" s="667"/>
      <c r="F108" s="667"/>
      <c r="G108" s="667"/>
      <c r="H108" s="667"/>
      <c r="I108" s="667"/>
      <c r="J108" s="667"/>
      <c r="K108" s="667"/>
      <c r="L108" s="667"/>
      <c r="M108" s="667"/>
      <c r="N108" s="667"/>
      <c r="O108" s="667"/>
      <c r="P108" s="668"/>
      <c r="Q108"/>
      <c r="T108"/>
    </row>
    <row r="109" spans="2:20" ht="35.549999999999997" hidden="1" customHeight="1">
      <c r="B109" s="669"/>
      <c r="C109" s="670"/>
      <c r="D109" s="670"/>
      <c r="E109" s="670"/>
      <c r="F109" s="670"/>
      <c r="G109" s="670"/>
      <c r="H109" s="670"/>
      <c r="I109" s="670"/>
      <c r="J109" s="670"/>
      <c r="K109" s="670"/>
      <c r="L109" s="670"/>
      <c r="M109" s="670"/>
      <c r="N109" s="670"/>
      <c r="O109" s="670"/>
      <c r="P109" s="671"/>
      <c r="Q109"/>
      <c r="T109"/>
    </row>
    <row r="110" spans="2:20">
      <c r="B110" s="273" t="s">
        <v>132</v>
      </c>
      <c r="C110" s="699" t="s">
        <v>41</v>
      </c>
      <c r="D110" s="700"/>
      <c r="E110" s="700"/>
      <c r="F110" s="700"/>
      <c r="G110" s="701"/>
      <c r="H110" s="328">
        <f>H105</f>
        <v>-29300</v>
      </c>
      <c r="I110" s="328">
        <f>-'C-7,8,9 CIP - Debt Service'!I85</f>
        <v>-25699.945749419501</v>
      </c>
      <c r="J110" s="328">
        <f>-'C-7,8,9 CIP - Debt Service'!J85</f>
        <v>-39999.992367731305</v>
      </c>
      <c r="K110" s="328">
        <f>-'C-7,8,9 CIP - Debt Service'!K85</f>
        <v>-48499.890924276813</v>
      </c>
      <c r="L110" s="328">
        <f>-'C-7,8,9 CIP - Debt Service'!L85</f>
        <v>-60300.000716590701</v>
      </c>
      <c r="M110" s="328">
        <f>-'C-7,8,9 CIP - Debt Service'!M85</f>
        <v>-74799.945196057</v>
      </c>
      <c r="N110" s="328">
        <f>-'C-7,8,9 CIP - Debt Service'!M85</f>
        <v>-74799.945196057</v>
      </c>
      <c r="O110" s="313"/>
      <c r="P110" s="541" t="s">
        <v>455</v>
      </c>
      <c r="Q110" s="374"/>
      <c r="T110"/>
    </row>
    <row r="111" spans="2:20">
      <c r="B111" s="49">
        <v>37</v>
      </c>
      <c r="C111" s="654" t="s">
        <v>42</v>
      </c>
      <c r="D111" s="655"/>
      <c r="E111" s="655"/>
      <c r="F111" s="655"/>
      <c r="G111" s="656"/>
      <c r="H111" s="280">
        <f t="shared" ref="H111:M111" si="16">ROUND(-H101,2)</f>
        <v>-4994</v>
      </c>
      <c r="I111" s="280">
        <f>ROUND(-I101,2)</f>
        <v>-4994</v>
      </c>
      <c r="J111" s="280">
        <f t="shared" si="16"/>
        <v>-4994</v>
      </c>
      <c r="K111" s="280">
        <f t="shared" si="16"/>
        <v>-4994</v>
      </c>
      <c r="L111" s="280">
        <f t="shared" si="16"/>
        <v>-4994</v>
      </c>
      <c r="M111" s="280">
        <f t="shared" si="16"/>
        <v>-4994</v>
      </c>
      <c r="N111" s="2">
        <f>-N101</f>
        <v>-2976.5224024859408</v>
      </c>
      <c r="O111" s="424"/>
      <c r="P111" s="496" t="s">
        <v>344</v>
      </c>
      <c r="Q111"/>
      <c r="T111"/>
    </row>
    <row r="112" spans="2:20">
      <c r="B112" s="51" t="s">
        <v>159</v>
      </c>
      <c r="C112" s="660" t="s">
        <v>42</v>
      </c>
      <c r="D112" s="661"/>
      <c r="E112" s="661"/>
      <c r="F112" s="661"/>
      <c r="G112" s="662"/>
      <c r="H112" s="282">
        <f t="shared" ref="H112:M112" si="17">H111</f>
        <v>-4994</v>
      </c>
      <c r="I112" s="282">
        <f t="shared" si="17"/>
        <v>-4994</v>
      </c>
      <c r="J112" s="282">
        <f t="shared" si="17"/>
        <v>-4994</v>
      </c>
      <c r="K112" s="282">
        <f t="shared" si="17"/>
        <v>-4994</v>
      </c>
      <c r="L112" s="282">
        <f t="shared" si="17"/>
        <v>-4994</v>
      </c>
      <c r="M112" s="282">
        <f t="shared" si="17"/>
        <v>-4994</v>
      </c>
      <c r="N112" s="37">
        <f>-N103</f>
        <v>-2976.5224024859408</v>
      </c>
      <c r="O112" s="313"/>
      <c r="P112" s="497" t="s">
        <v>345</v>
      </c>
      <c r="Q112"/>
      <c r="T112"/>
    </row>
    <row r="113" spans="2:20">
      <c r="B113" s="49">
        <v>38</v>
      </c>
      <c r="C113" s="654" t="s">
        <v>469</v>
      </c>
      <c r="D113" s="655"/>
      <c r="E113" s="655"/>
      <c r="F113" s="655"/>
      <c r="G113" s="656"/>
      <c r="H113" s="2">
        <f>-'C-7,8,9 CIP - Debt Service'!H116</f>
        <v>-4438.2070000000003</v>
      </c>
      <c r="I113" s="2">
        <f>-'C-7,8,9 CIP - Debt Service'!I116</f>
        <v>-8093.8520000000008</v>
      </c>
      <c r="J113" s="2">
        <f>-'C-7,8,9 CIP - Debt Service'!J116</f>
        <v>-6815.1065201404708</v>
      </c>
      <c r="K113" s="2">
        <f>-'C-7,8,9 CIP - Debt Service'!K116</f>
        <v>-4972.8814125792496</v>
      </c>
      <c r="L113" s="2">
        <f>-'C-7,8,9 CIP - Debt Service'!L116</f>
        <v>-2806.1880000000001</v>
      </c>
      <c r="M113" s="2">
        <f>-'C-7,8,9 CIP - Debt Service'!M116</f>
        <v>-1337</v>
      </c>
      <c r="N113" s="2">
        <v>0</v>
      </c>
      <c r="O113" s="428"/>
      <c r="P113" s="496" t="s">
        <v>477</v>
      </c>
      <c r="Q113"/>
      <c r="T113"/>
    </row>
    <row r="114" spans="2:20">
      <c r="B114" s="51" t="s">
        <v>158</v>
      </c>
      <c r="C114" s="657" t="s">
        <v>469</v>
      </c>
      <c r="D114" s="658"/>
      <c r="E114" s="658"/>
      <c r="F114" s="658"/>
      <c r="G114" s="659"/>
      <c r="H114" s="37">
        <f t="shared" ref="H114:N114" si="18">H113</f>
        <v>-4438.2070000000003</v>
      </c>
      <c r="I114" s="37">
        <f t="shared" si="18"/>
        <v>-8093.8520000000008</v>
      </c>
      <c r="J114" s="37">
        <f t="shared" si="18"/>
        <v>-6815.1065201404708</v>
      </c>
      <c r="K114" s="37">
        <f>K113</f>
        <v>-4972.8814125792496</v>
      </c>
      <c r="L114" s="37">
        <f>L113</f>
        <v>-2806.1880000000001</v>
      </c>
      <c r="M114" s="37">
        <f>M113</f>
        <v>-1337</v>
      </c>
      <c r="N114" s="52">
        <f t="shared" si="18"/>
        <v>0</v>
      </c>
      <c r="O114" s="241"/>
      <c r="P114" s="497" t="s">
        <v>367</v>
      </c>
    </row>
    <row r="115" spans="2:20" ht="3" customHeight="1">
      <c r="B115" s="54"/>
      <c r="C115" s="132"/>
      <c r="D115" s="132"/>
      <c r="E115" s="132"/>
      <c r="F115" s="132"/>
      <c r="G115" s="132"/>
      <c r="H115" s="56"/>
      <c r="I115" s="56"/>
      <c r="J115" s="57"/>
      <c r="K115" s="57"/>
      <c r="L115" s="57"/>
      <c r="M115" s="57"/>
      <c r="N115" s="57"/>
      <c r="O115" s="313"/>
      <c r="P115" s="498"/>
    </row>
    <row r="116" spans="2:20">
      <c r="B116" s="49">
        <v>39</v>
      </c>
      <c r="C116" s="654" t="s">
        <v>43</v>
      </c>
      <c r="D116" s="655"/>
      <c r="E116" s="655"/>
      <c r="F116" s="655"/>
      <c r="G116" s="656"/>
      <c r="H116" s="367">
        <f t="shared" ref="H116:M116" si="19">H92+H94+H95+H98+H101+H102+H105+H111+H113</f>
        <v>15017.832694514926</v>
      </c>
      <c r="I116" s="367">
        <f t="shared" si="19"/>
        <v>15030.548629574476</v>
      </c>
      <c r="J116" s="367">
        <f t="shared" si="19"/>
        <v>15051.690366591924</v>
      </c>
      <c r="K116" s="367">
        <f t="shared" si="19"/>
        <v>15095.849545832716</v>
      </c>
      <c r="L116" s="367">
        <f t="shared" si="19"/>
        <v>15071.739608079321</v>
      </c>
      <c r="M116" s="50">
        <f t="shared" si="19"/>
        <v>15040.128484826404</v>
      </c>
      <c r="N116" s="50" t="e">
        <f>N92+N94+N98+N101+N105+N111+N113+N95+N102</f>
        <v>#REF!</v>
      </c>
      <c r="O116" s="424"/>
      <c r="P116" s="496" t="s">
        <v>368</v>
      </c>
      <c r="Q116" s="382"/>
    </row>
    <row r="117" spans="2:20">
      <c r="B117" s="51" t="s">
        <v>160</v>
      </c>
      <c r="C117" s="657" t="s">
        <v>43</v>
      </c>
      <c r="D117" s="658"/>
      <c r="E117" s="658"/>
      <c r="F117" s="658"/>
      <c r="G117" s="659"/>
      <c r="H117" s="368">
        <f t="shared" ref="H117:M117" si="20">H93+H96+H97+H99+H100+H103+H104+H110+H112+H114</f>
        <v>15018.000000000002</v>
      </c>
      <c r="I117" s="133">
        <f t="shared" si="20"/>
        <v>15030.999999999998</v>
      </c>
      <c r="J117" s="133">
        <f t="shared" si="20"/>
        <v>15052</v>
      </c>
      <c r="K117" s="133">
        <f t="shared" si="20"/>
        <v>15095.999999999993</v>
      </c>
      <c r="L117" s="133">
        <f t="shared" si="20"/>
        <v>15071.999999999995</v>
      </c>
      <c r="M117" s="366">
        <f t="shared" si="20"/>
        <v>15040</v>
      </c>
      <c r="N117" s="164" t="e">
        <f>N93+N96+N97+N99+N103+N104+N110+N112+N114</f>
        <v>#REF!</v>
      </c>
      <c r="O117" s="313"/>
      <c r="P117" s="499" t="s">
        <v>369</v>
      </c>
      <c r="Q117" s="382"/>
    </row>
    <row r="118" spans="2:20">
      <c r="B118" s="47"/>
      <c r="C118" s="122" t="s">
        <v>44</v>
      </c>
      <c r="D118" s="122"/>
      <c r="E118" s="122"/>
      <c r="F118" s="122"/>
      <c r="G118" s="122"/>
      <c r="H118" s="64"/>
      <c r="I118" s="64"/>
      <c r="J118" s="64"/>
      <c r="K118" s="64"/>
      <c r="L118" s="64"/>
      <c r="M118" s="65"/>
      <c r="N118" s="64"/>
      <c r="O118" s="466"/>
      <c r="P118" s="500"/>
    </row>
    <row r="119" spans="2:20">
      <c r="B119" s="49">
        <v>40</v>
      </c>
      <c r="C119" s="654" t="s">
        <v>246</v>
      </c>
      <c r="D119" s="655"/>
      <c r="E119" s="655"/>
      <c r="F119" s="655"/>
      <c r="G119" s="656"/>
      <c r="H119" s="280">
        <v>132438</v>
      </c>
      <c r="I119" s="280">
        <f>H$126</f>
        <v>120245</v>
      </c>
      <c r="J119" s="280">
        <f>I$126</f>
        <v>133657</v>
      </c>
      <c r="K119" s="350">
        <f>J$126</f>
        <v>137745</v>
      </c>
      <c r="L119" s="350">
        <f>K$126</f>
        <v>142781</v>
      </c>
      <c r="M119" s="280">
        <f>L$126</f>
        <v>148301</v>
      </c>
      <c r="N119" s="50">
        <f>M126</f>
        <v>153032</v>
      </c>
      <c r="O119" s="453"/>
      <c r="P119" s="501" t="s">
        <v>203</v>
      </c>
      <c r="Q119" s="507"/>
    </row>
    <row r="120" spans="2:20">
      <c r="B120" s="51" t="s">
        <v>243</v>
      </c>
      <c r="C120" s="657" t="s">
        <v>246</v>
      </c>
      <c r="D120" s="658"/>
      <c r="E120" s="658"/>
      <c r="F120" s="658"/>
      <c r="G120" s="659"/>
      <c r="H120" s="282">
        <f>H119</f>
        <v>132438</v>
      </c>
      <c r="I120" s="282">
        <f>H127</f>
        <v>120245</v>
      </c>
      <c r="J120" s="282">
        <f>I127</f>
        <v>133657</v>
      </c>
      <c r="K120" s="282">
        <f>J127</f>
        <v>137745</v>
      </c>
      <c r="L120" s="282">
        <f>K127</f>
        <v>142781</v>
      </c>
      <c r="M120" s="282">
        <f>L127</f>
        <v>148301</v>
      </c>
      <c r="N120" s="52">
        <f>M127</f>
        <v>153032</v>
      </c>
      <c r="O120" s="313"/>
      <c r="P120" s="502" t="s">
        <v>203</v>
      </c>
      <c r="Q120" s="313"/>
    </row>
    <row r="121" spans="2:20">
      <c r="B121" s="49">
        <v>41</v>
      </c>
      <c r="C121" s="654" t="s">
        <v>45</v>
      </c>
      <c r="D121" s="655"/>
      <c r="E121" s="655"/>
      <c r="F121" s="655"/>
      <c r="G121" s="656"/>
      <c r="H121" s="327">
        <f t="shared" ref="H121:M121" si="21">ROUND(-H58,2)</f>
        <v>-3000</v>
      </c>
      <c r="I121" s="2">
        <f t="shared" si="21"/>
        <v>7000</v>
      </c>
      <c r="J121" s="50">
        <f t="shared" si="21"/>
        <v>4300</v>
      </c>
      <c r="K121" s="50">
        <f t="shared" si="21"/>
        <v>5500</v>
      </c>
      <c r="L121" s="50">
        <f t="shared" si="21"/>
        <v>6200</v>
      </c>
      <c r="M121" s="50">
        <f t="shared" si="21"/>
        <v>5600</v>
      </c>
      <c r="N121" s="50">
        <f>-N58</f>
        <v>-7700</v>
      </c>
      <c r="O121" s="428"/>
      <c r="P121" s="496" t="s">
        <v>456</v>
      </c>
    </row>
    <row r="122" spans="2:20">
      <c r="B122" s="51" t="s">
        <v>244</v>
      </c>
      <c r="C122" s="657" t="s">
        <v>45</v>
      </c>
      <c r="D122" s="658"/>
      <c r="E122" s="658"/>
      <c r="F122" s="658"/>
      <c r="G122" s="659"/>
      <c r="H122" s="37">
        <f t="shared" ref="H122:M122" si="22">-H$59</f>
        <v>-3000</v>
      </c>
      <c r="I122" s="37">
        <f t="shared" si="22"/>
        <v>7000</v>
      </c>
      <c r="J122" s="37">
        <f t="shared" si="22"/>
        <v>4300</v>
      </c>
      <c r="K122" s="37">
        <f t="shared" si="22"/>
        <v>5500</v>
      </c>
      <c r="L122" s="37">
        <f t="shared" si="22"/>
        <v>6200</v>
      </c>
      <c r="M122" s="37">
        <f t="shared" si="22"/>
        <v>5600</v>
      </c>
      <c r="N122" s="52">
        <f>-N59</f>
        <v>-7700</v>
      </c>
      <c r="O122" s="163"/>
      <c r="P122" s="497" t="s">
        <v>457</v>
      </c>
    </row>
    <row r="123" spans="2:20" ht="3" customHeight="1">
      <c r="B123" s="54"/>
      <c r="C123" s="132"/>
      <c r="D123" s="132"/>
      <c r="E123" s="132"/>
      <c r="F123" s="132"/>
      <c r="G123" s="132"/>
      <c r="H123" s="56"/>
      <c r="I123" s="56"/>
      <c r="J123" s="57"/>
      <c r="K123" s="57"/>
      <c r="L123" s="57"/>
      <c r="M123" s="57"/>
      <c r="N123" s="57"/>
      <c r="O123" s="313"/>
      <c r="P123" s="498"/>
    </row>
    <row r="124" spans="2:20" ht="15.6" customHeight="1">
      <c r="B124" s="49">
        <v>42</v>
      </c>
      <c r="C124" s="654" t="s">
        <v>360</v>
      </c>
      <c r="D124" s="655"/>
      <c r="E124" s="655"/>
      <c r="F124" s="655"/>
      <c r="G124" s="656"/>
      <c r="H124" s="280">
        <f>-9193</f>
        <v>-9193</v>
      </c>
      <c r="I124" s="280">
        <v>6412</v>
      </c>
      <c r="J124" s="280">
        <f>-212</f>
        <v>-212</v>
      </c>
      <c r="K124" s="350">
        <f>-464</f>
        <v>-464</v>
      </c>
      <c r="L124" s="350">
        <f>-680</f>
        <v>-680</v>
      </c>
      <c r="M124" s="280">
        <f>-869</f>
        <v>-869</v>
      </c>
      <c r="N124" s="57"/>
      <c r="O124" s="313"/>
      <c r="P124" s="503" t="s">
        <v>476</v>
      </c>
    </row>
    <row r="125" spans="2:20" ht="15.6" customHeight="1">
      <c r="B125" s="51" t="s">
        <v>295</v>
      </c>
      <c r="C125" s="681" t="s">
        <v>360</v>
      </c>
      <c r="D125" s="682"/>
      <c r="E125" s="682"/>
      <c r="F125" s="682"/>
      <c r="G125" s="683"/>
      <c r="H125" s="542">
        <f t="shared" ref="H125:M125" si="23">H124</f>
        <v>-9193</v>
      </c>
      <c r="I125" s="542">
        <f t="shared" si="23"/>
        <v>6412</v>
      </c>
      <c r="J125" s="542">
        <f t="shared" si="23"/>
        <v>-212</v>
      </c>
      <c r="K125" s="542">
        <f t="shared" si="23"/>
        <v>-464</v>
      </c>
      <c r="L125" s="542">
        <f t="shared" si="23"/>
        <v>-680</v>
      </c>
      <c r="M125" s="542">
        <f t="shared" si="23"/>
        <v>-869</v>
      </c>
      <c r="N125" s="57"/>
      <c r="O125" s="313"/>
      <c r="P125" s="504" t="s">
        <v>361</v>
      </c>
    </row>
    <row r="126" spans="2:20" ht="15.6" customHeight="1">
      <c r="B126" s="49">
        <v>43</v>
      </c>
      <c r="C126" s="654" t="s">
        <v>43</v>
      </c>
      <c r="D126" s="655"/>
      <c r="E126" s="655"/>
      <c r="F126" s="655"/>
      <c r="G126" s="656"/>
      <c r="H126" s="349">
        <f t="shared" ref="H126:M126" si="24">H119+H121+H124</f>
        <v>120245</v>
      </c>
      <c r="I126" s="349">
        <f t="shared" si="24"/>
        <v>133657</v>
      </c>
      <c r="J126" s="349">
        <f t="shared" si="24"/>
        <v>137745</v>
      </c>
      <c r="K126" s="349">
        <f t="shared" si="24"/>
        <v>142781</v>
      </c>
      <c r="L126" s="349">
        <f t="shared" si="24"/>
        <v>148301</v>
      </c>
      <c r="M126" s="349">
        <f t="shared" si="24"/>
        <v>153032</v>
      </c>
      <c r="N126" s="50">
        <f>N119+N121</f>
        <v>145332</v>
      </c>
      <c r="O126" s="424"/>
      <c r="P126" s="505" t="s">
        <v>363</v>
      </c>
      <c r="Q126" s="382"/>
    </row>
    <row r="127" spans="2:20">
      <c r="B127" s="73" t="s">
        <v>362</v>
      </c>
      <c r="C127" s="702" t="s">
        <v>43</v>
      </c>
      <c r="D127" s="703"/>
      <c r="E127" s="703"/>
      <c r="F127" s="703"/>
      <c r="G127" s="704"/>
      <c r="H127" s="290">
        <f t="shared" ref="H127:M127" si="25">H$120+H$122+H125</f>
        <v>120245</v>
      </c>
      <c r="I127" s="290">
        <f t="shared" si="25"/>
        <v>133657</v>
      </c>
      <c r="J127" s="290">
        <f t="shared" si="25"/>
        <v>137745</v>
      </c>
      <c r="K127" s="290">
        <f t="shared" si="25"/>
        <v>142781</v>
      </c>
      <c r="L127" s="290">
        <f t="shared" si="25"/>
        <v>148301</v>
      </c>
      <c r="M127" s="290">
        <f t="shared" si="25"/>
        <v>153032</v>
      </c>
      <c r="N127" s="78">
        <f>N120+N122</f>
        <v>145332</v>
      </c>
      <c r="O127" s="467"/>
      <c r="P127" s="506" t="s">
        <v>364</v>
      </c>
      <c r="Q127" s="382"/>
    </row>
    <row r="128" spans="2:20" ht="7.5" customHeight="1">
      <c r="B128" s="118"/>
      <c r="C128" s="119"/>
      <c r="D128" s="119"/>
      <c r="E128" s="119"/>
      <c r="F128" s="119"/>
      <c r="G128" s="119"/>
      <c r="H128" s="120"/>
      <c r="I128" s="120"/>
      <c r="J128" s="120"/>
      <c r="K128" s="120"/>
      <c r="L128" s="120"/>
      <c r="M128" s="120"/>
      <c r="N128" s="131"/>
    </row>
    <row r="129" spans="2:21" ht="15" customHeight="1">
      <c r="B129" s="143"/>
      <c r="C129" s="144"/>
      <c r="D129" s="144"/>
      <c r="E129" s="144"/>
      <c r="F129" s="144"/>
      <c r="G129" s="144"/>
      <c r="H129" s="133"/>
      <c r="I129" s="133"/>
      <c r="J129" s="133"/>
      <c r="K129" s="133"/>
      <c r="L129" s="133"/>
      <c r="M129" s="133"/>
      <c r="N129" s="133"/>
    </row>
    <row r="130" spans="2:21" ht="15" customHeight="1" thickBot="1">
      <c r="B130" s="165" t="s">
        <v>204</v>
      </c>
      <c r="C130" s="144"/>
      <c r="D130" s="144"/>
      <c r="E130" s="144"/>
      <c r="F130" s="144"/>
      <c r="G130" s="144"/>
      <c r="H130" s="133"/>
      <c r="I130" s="133"/>
      <c r="J130" s="133"/>
      <c r="K130" s="133"/>
      <c r="L130" s="133"/>
      <c r="M130" s="133"/>
      <c r="N130" s="133"/>
      <c r="P130" s="325" t="s">
        <v>265</v>
      </c>
    </row>
    <row r="131" spans="2:21" ht="15" customHeight="1">
      <c r="B131" s="143"/>
      <c r="C131" s="708" t="s">
        <v>370</v>
      </c>
      <c r="D131" s="709"/>
      <c r="E131" s="709"/>
      <c r="F131" s="709"/>
      <c r="G131" s="710"/>
      <c r="H131" s="166">
        <f>-$H56</f>
        <v>635827.59</v>
      </c>
      <c r="I131" s="166">
        <f>-$I56</f>
        <v>672633.45</v>
      </c>
      <c r="J131" s="166">
        <f>-J56</f>
        <v>694438.56</v>
      </c>
      <c r="K131" s="166">
        <f>-K56</f>
        <v>729300.85</v>
      </c>
      <c r="L131" s="166">
        <f>-L56</f>
        <v>759540.79</v>
      </c>
      <c r="M131" s="167">
        <f>-M56</f>
        <v>786953.34</v>
      </c>
      <c r="N131" s="167" t="e">
        <f>-N56</f>
        <v>#REF!</v>
      </c>
      <c r="P131" s="325" t="s">
        <v>266</v>
      </c>
      <c r="Q131" s="400"/>
      <c r="R131"/>
      <c r="S131"/>
      <c r="T131"/>
    </row>
    <row r="132" spans="2:21" ht="15" customHeight="1">
      <c r="B132" s="143"/>
      <c r="C132" s="705" t="s">
        <v>371</v>
      </c>
      <c r="D132" s="706"/>
      <c r="E132" s="706"/>
      <c r="F132" s="706"/>
      <c r="G132" s="707"/>
      <c r="H132" s="168">
        <f>-$H75</f>
        <v>238420.21175500212</v>
      </c>
      <c r="I132" s="168">
        <f>-$I75</f>
        <v>258291.81604333335</v>
      </c>
      <c r="J132" s="168">
        <f>-J75</f>
        <v>282587.56054590514</v>
      </c>
      <c r="K132" s="168">
        <f>-K75</f>
        <v>312318.94304519676</v>
      </c>
      <c r="L132" s="168">
        <f>-L75</f>
        <v>351773.01406686509</v>
      </c>
      <c r="M132" s="169">
        <f>-M75</f>
        <v>403182.15245890664</v>
      </c>
      <c r="N132" s="169">
        <f>-N75</f>
        <v>400426.64245890663</v>
      </c>
      <c r="P132" s="325" t="s">
        <v>267</v>
      </c>
      <c r="Q132" s="399"/>
      <c r="R132" s="244"/>
      <c r="S132"/>
      <c r="T132"/>
    </row>
    <row r="133" spans="2:21" ht="15" customHeight="1">
      <c r="B133" s="143"/>
      <c r="C133" s="705" t="s">
        <v>372</v>
      </c>
      <c r="D133" s="706"/>
      <c r="E133" s="706"/>
      <c r="F133" s="706"/>
      <c r="G133" s="707"/>
      <c r="H133" s="168">
        <f>-$H86</f>
        <v>34361.78</v>
      </c>
      <c r="I133" s="168">
        <f>-$I86</f>
        <v>36290.01</v>
      </c>
      <c r="J133" s="168">
        <f>-J86</f>
        <v>38326.44</v>
      </c>
      <c r="K133" s="168">
        <f>-K86</f>
        <v>40477.14</v>
      </c>
      <c r="L133" s="168">
        <f>-L86</f>
        <v>42748.53</v>
      </c>
      <c r="M133" s="169">
        <f>-M86</f>
        <v>45147.38</v>
      </c>
      <c r="N133" s="169">
        <f>-N86</f>
        <v>12816.9</v>
      </c>
      <c r="P133" s="250"/>
      <c r="Q133" s="400"/>
      <c r="R133"/>
      <c r="S133"/>
      <c r="T133"/>
    </row>
    <row r="134" spans="2:21" ht="15" customHeight="1">
      <c r="B134" s="143"/>
      <c r="C134" s="705" t="s">
        <v>373</v>
      </c>
      <c r="D134" s="706"/>
      <c r="E134" s="706"/>
      <c r="F134" s="706"/>
      <c r="G134" s="707"/>
      <c r="H134" s="168">
        <f>-$H110</f>
        <v>29300</v>
      </c>
      <c r="I134" s="168">
        <f>-$I110</f>
        <v>25699.945749419501</v>
      </c>
      <c r="J134" s="168">
        <f>-J110</f>
        <v>39999.992367731305</v>
      </c>
      <c r="K134" s="168">
        <f>-K110</f>
        <v>48499.890924276813</v>
      </c>
      <c r="L134" s="168">
        <f>-L110</f>
        <v>60300.000716590701</v>
      </c>
      <c r="M134" s="169">
        <f>-M110</f>
        <v>74799.945196057</v>
      </c>
      <c r="N134" s="169">
        <f>-N110</f>
        <v>74799.945196057</v>
      </c>
      <c r="P134"/>
      <c r="Q134" s="399"/>
      <c r="R134" s="244"/>
      <c r="S134"/>
      <c r="T134"/>
    </row>
    <row r="135" spans="2:21" ht="15" customHeight="1">
      <c r="B135" s="143"/>
      <c r="C135" s="705" t="s">
        <v>374</v>
      </c>
      <c r="D135" s="706"/>
      <c r="E135" s="706"/>
      <c r="F135" s="706"/>
      <c r="G135" s="707"/>
      <c r="H135" s="168">
        <f>-$H81</f>
        <v>0</v>
      </c>
      <c r="I135" s="168">
        <f>-$I81</f>
        <v>0</v>
      </c>
      <c r="J135" s="168">
        <f>-J81</f>
        <v>0</v>
      </c>
      <c r="K135" s="168">
        <f>-K81</f>
        <v>0</v>
      </c>
      <c r="L135" s="168">
        <f>-L81</f>
        <v>0</v>
      </c>
      <c r="M135" s="169">
        <f>-M81</f>
        <v>0</v>
      </c>
      <c r="N135" s="169">
        <f>-N81</f>
        <v>0</v>
      </c>
      <c r="P135" s="244"/>
      <c r="Q135" s="400"/>
      <c r="R135"/>
      <c r="S135"/>
      <c r="T135"/>
    </row>
    <row r="136" spans="2:21" ht="15" customHeight="1">
      <c r="B136" s="143"/>
      <c r="C136" s="402" t="s">
        <v>212</v>
      </c>
      <c r="D136" s="403"/>
      <c r="E136" s="403"/>
      <c r="F136" s="403"/>
      <c r="G136" s="403"/>
      <c r="H136" s="168">
        <f t="shared" ref="H136:N136" si="26">H99+H110</f>
        <v>-11845.070572819881</v>
      </c>
      <c r="I136" s="168">
        <f t="shared" si="26"/>
        <v>7809.110403034465</v>
      </c>
      <c r="J136" s="168">
        <f t="shared" si="26"/>
        <v>6538.4087345893349</v>
      </c>
      <c r="K136" s="168">
        <f t="shared" si="26"/>
        <v>4718.6558965733202</v>
      </c>
      <c r="L136" s="168">
        <f t="shared" si="26"/>
        <v>2483.3852743347961</v>
      </c>
      <c r="M136" s="169">
        <f t="shared" si="26"/>
        <v>1007.3033337783709</v>
      </c>
      <c r="N136" s="169" t="e">
        <f t="shared" si="26"/>
        <v>#REF!</v>
      </c>
      <c r="P136" s="244"/>
      <c r="Q136" s="399"/>
      <c r="R136" s="244"/>
      <c r="S136" s="244"/>
      <c r="T136" s="244"/>
      <c r="U136" s="244"/>
    </row>
    <row r="137" spans="2:21" ht="15" customHeight="1">
      <c r="B137" s="143"/>
      <c r="C137" s="402" t="s">
        <v>317</v>
      </c>
      <c r="D137" s="403"/>
      <c r="E137" s="403"/>
      <c r="F137" s="403"/>
      <c r="G137" s="403"/>
      <c r="H137" s="237">
        <f t="shared" ref="H137:M137" si="27">H100</f>
        <v>0.1673054850743938</v>
      </c>
      <c r="I137" s="237">
        <f t="shared" si="27"/>
        <v>0.22981435995643551</v>
      </c>
      <c r="J137" s="237">
        <f t="shared" si="27"/>
        <v>-0.14936928614042699</v>
      </c>
      <c r="K137" s="237">
        <f t="shared" si="27"/>
        <v>-0.26825496399396798</v>
      </c>
      <c r="L137" s="237">
        <f t="shared" si="27"/>
        <v>0.11065434410375019</v>
      </c>
      <c r="M137" s="238">
        <f t="shared" si="27"/>
        <v>-0.44368069007759914</v>
      </c>
      <c r="N137" s="169"/>
      <c r="P137" s="244"/>
      <c r="Q137" s="399"/>
      <c r="R137" s="244"/>
      <c r="S137" s="244"/>
      <c r="T137" s="244"/>
      <c r="U137" s="244"/>
    </row>
    <row r="138" spans="2:21" ht="15" customHeight="1">
      <c r="B138" s="143"/>
      <c r="C138" s="298" t="s">
        <v>183</v>
      </c>
      <c r="D138" s="170"/>
      <c r="E138" s="170"/>
      <c r="F138" s="170"/>
      <c r="G138" s="170"/>
      <c r="H138" s="168">
        <f t="shared" ref="H138:M138" si="28">SUM(H131:H137)</f>
        <v>926064.67848766735</v>
      </c>
      <c r="I138" s="168">
        <f t="shared" si="28"/>
        <v>1000724.5620101473</v>
      </c>
      <c r="J138" s="168">
        <f t="shared" si="28"/>
        <v>1061890.8122789399</v>
      </c>
      <c r="K138" s="168">
        <f t="shared" si="28"/>
        <v>1135315.2116110828</v>
      </c>
      <c r="L138" s="168">
        <f t="shared" si="28"/>
        <v>1216845.8307121349</v>
      </c>
      <c r="M138" s="169">
        <f t="shared" si="28"/>
        <v>1311089.6773080516</v>
      </c>
      <c r="N138" s="169" t="e">
        <f>SUM(N131:N136)</f>
        <v>#REF!</v>
      </c>
      <c r="P138" s="251"/>
      <c r="Q138" s="400"/>
      <c r="R138" s="244"/>
      <c r="S138"/>
      <c r="T138"/>
    </row>
    <row r="139" spans="2:21" ht="15" customHeight="1">
      <c r="B139" s="143"/>
      <c r="C139" s="705" t="s">
        <v>375</v>
      </c>
      <c r="D139" s="706"/>
      <c r="E139" s="706"/>
      <c r="F139" s="706"/>
      <c r="G139" s="707"/>
      <c r="H139" s="171">
        <f>$H122</f>
        <v>-3000</v>
      </c>
      <c r="I139" s="171">
        <f>$I122</f>
        <v>7000</v>
      </c>
      <c r="J139" s="171">
        <f>J122</f>
        <v>4300</v>
      </c>
      <c r="K139" s="171">
        <f>K122</f>
        <v>5500</v>
      </c>
      <c r="L139" s="171">
        <f>L122</f>
        <v>6200</v>
      </c>
      <c r="M139" s="268">
        <f>M122</f>
        <v>5600</v>
      </c>
      <c r="N139" s="268">
        <f>N122</f>
        <v>-7700</v>
      </c>
      <c r="P139"/>
      <c r="Q139" s="400"/>
      <c r="R139"/>
      <c r="S139"/>
      <c r="T139"/>
    </row>
    <row r="140" spans="2:21" ht="15" customHeight="1">
      <c r="B140" s="143"/>
      <c r="C140" s="711" t="s">
        <v>184</v>
      </c>
      <c r="D140" s="712"/>
      <c r="E140" s="712"/>
      <c r="F140" s="712"/>
      <c r="G140" s="713"/>
      <c r="H140" s="237">
        <f>-($H39+$H41+$H43+$H49)</f>
        <v>-35994.124000000003</v>
      </c>
      <c r="I140" s="237">
        <f>-($I39+$I41+$I43+$I49)</f>
        <v>-46752.499999999993</v>
      </c>
      <c r="J140" s="237">
        <f>-(J39+J41+J43+J49)</f>
        <v>-47687</v>
      </c>
      <c r="K140" s="237">
        <f>-(K39+K41+K43+K49)</f>
        <v>-39396.46</v>
      </c>
      <c r="L140" s="237">
        <f>-(L39+L41+L43+L49)</f>
        <v>-40988.579999999994</v>
      </c>
      <c r="M140" s="238">
        <f>-(M39+M41+M43+M49)</f>
        <v>-42505.75</v>
      </c>
      <c r="N140" s="169">
        <f>-(N39+N41+N43+N49)</f>
        <v>-42505.75</v>
      </c>
      <c r="P140"/>
      <c r="Q140" s="400"/>
      <c r="R140"/>
      <c r="S140"/>
      <c r="T140"/>
    </row>
    <row r="141" spans="2:21" ht="15" customHeight="1">
      <c r="B141" s="143"/>
      <c r="C141" s="298" t="s">
        <v>185</v>
      </c>
      <c r="D141" s="170"/>
      <c r="E141" s="170"/>
      <c r="F141" s="170"/>
      <c r="G141" s="170"/>
      <c r="H141" s="168">
        <f>SUM($H138:$H140)</f>
        <v>887070.5544876674</v>
      </c>
      <c r="I141" s="168">
        <f>SUM($I138:$I140)</f>
        <v>960972.06201014726</v>
      </c>
      <c r="J141" s="168">
        <f>SUM($J138:$J140)</f>
        <v>1018503.8122789399</v>
      </c>
      <c r="K141" s="168">
        <f>SUM($K138:$K140)</f>
        <v>1101418.7516110828</v>
      </c>
      <c r="L141" s="168">
        <f>SUM($L138:$L140)</f>
        <v>1182057.2507121349</v>
      </c>
      <c r="M141" s="169">
        <f>SUM($M138:$M140)</f>
        <v>1274183.9273080516</v>
      </c>
      <c r="N141" s="169" t="e">
        <f>SUM(N138:N140)</f>
        <v>#REF!</v>
      </c>
      <c r="P141"/>
      <c r="Q141" s="400"/>
      <c r="R141"/>
      <c r="S141"/>
      <c r="T141"/>
    </row>
    <row r="142" spans="2:21" ht="15" customHeight="1">
      <c r="B142" s="143"/>
      <c r="C142" s="705" t="s">
        <v>11</v>
      </c>
      <c r="D142" s="706"/>
      <c r="E142" s="706"/>
      <c r="F142" s="706"/>
      <c r="G142" s="707"/>
      <c r="H142" s="237">
        <f t="shared" ref="H142:N142" si="29">H15</f>
        <v>892805.18899218203</v>
      </c>
      <c r="I142" s="237">
        <f t="shared" si="29"/>
        <v>907177</v>
      </c>
      <c r="J142" s="237">
        <f t="shared" si="29"/>
        <v>903488</v>
      </c>
      <c r="K142" s="237">
        <f t="shared" si="29"/>
        <v>897782.75</v>
      </c>
      <c r="L142" s="237">
        <f t="shared" si="29"/>
        <v>881056</v>
      </c>
      <c r="M142" s="238">
        <f t="shared" si="29"/>
        <v>878598</v>
      </c>
      <c r="N142" s="238">
        <f t="shared" si="29"/>
        <v>878598</v>
      </c>
      <c r="P142" s="251"/>
      <c r="Q142" s="400"/>
      <c r="R142"/>
      <c r="S142"/>
      <c r="T142"/>
    </row>
    <row r="143" spans="2:21" ht="15" customHeight="1">
      <c r="B143" s="143"/>
      <c r="C143" s="705" t="s">
        <v>16</v>
      </c>
      <c r="D143" s="706"/>
      <c r="E143" s="706"/>
      <c r="F143" s="706"/>
      <c r="G143" s="707"/>
      <c r="H143" s="168">
        <f>$H141-$H142</f>
        <v>-5734.63450451463</v>
      </c>
      <c r="I143" s="168">
        <f>$I141-$I142</f>
        <v>53795.06201014726</v>
      </c>
      <c r="J143" s="168">
        <f>J141-J142</f>
        <v>115015.81227893988</v>
      </c>
      <c r="K143" s="168">
        <f>K141-K142</f>
        <v>203636.00161108281</v>
      </c>
      <c r="L143" s="168">
        <f>L141-L142</f>
        <v>301001.25071213488</v>
      </c>
      <c r="M143" s="169">
        <f>M141-M142</f>
        <v>395585.92730805161</v>
      </c>
      <c r="N143" s="169" t="e">
        <f>N141-N142</f>
        <v>#REF!</v>
      </c>
      <c r="P143"/>
      <c r="Q143" s="400"/>
      <c r="R143"/>
      <c r="S143"/>
      <c r="T143"/>
    </row>
    <row r="144" spans="2:21" ht="15" customHeight="1">
      <c r="B144" s="143"/>
      <c r="C144" s="172"/>
      <c r="D144" s="173"/>
      <c r="E144" s="173"/>
      <c r="F144" s="173"/>
      <c r="G144" s="173"/>
      <c r="H144" s="168"/>
      <c r="I144" s="168"/>
      <c r="J144" s="168"/>
      <c r="K144" s="168"/>
      <c r="L144" s="168"/>
      <c r="M144" s="169"/>
      <c r="N144" s="169"/>
      <c r="Q144" s="401"/>
    </row>
    <row r="145" spans="2:18" ht="15" customHeight="1">
      <c r="B145" s="143"/>
      <c r="C145" s="234" t="s">
        <v>164</v>
      </c>
      <c r="D145" s="235"/>
      <c r="E145" s="235"/>
      <c r="F145" s="235"/>
      <c r="G145" s="236"/>
      <c r="H145" s="174">
        <f t="shared" ref="H145:N145" si="30">H143</f>
        <v>-5734.63450451463</v>
      </c>
      <c r="I145" s="174">
        <f t="shared" si="30"/>
        <v>53795.06201014726</v>
      </c>
      <c r="J145" s="174">
        <f t="shared" si="30"/>
        <v>115015.81227893988</v>
      </c>
      <c r="K145" s="174">
        <f t="shared" si="30"/>
        <v>203636.00161108281</v>
      </c>
      <c r="L145" s="174">
        <f t="shared" si="30"/>
        <v>301001.25071213488</v>
      </c>
      <c r="M145" s="405">
        <f t="shared" si="30"/>
        <v>395585.92730805161</v>
      </c>
      <c r="N145" s="269" t="e">
        <f t="shared" si="30"/>
        <v>#REF!</v>
      </c>
      <c r="Q145" s="401"/>
      <c r="R145" s="244"/>
    </row>
    <row r="146" spans="2:18" ht="15" customHeight="1" thickBot="1">
      <c r="B146" s="143"/>
      <c r="C146" s="175"/>
      <c r="D146" s="176"/>
      <c r="E146" s="176"/>
      <c r="F146" s="176"/>
      <c r="G146" s="177"/>
      <c r="H146" s="178"/>
      <c r="I146" s="178"/>
      <c r="J146" s="179"/>
      <c r="K146" s="179"/>
      <c r="L146" s="179"/>
      <c r="M146" s="179"/>
      <c r="N146" s="270"/>
    </row>
    <row r="147" spans="2:18" ht="4.5" customHeight="1">
      <c r="B147" s="143"/>
      <c r="C147" s="147"/>
      <c r="D147" s="148"/>
      <c r="E147" s="148"/>
      <c r="F147" s="148"/>
      <c r="G147" s="149"/>
      <c r="H147" s="134"/>
      <c r="I147" s="134"/>
      <c r="J147" s="134"/>
      <c r="K147" s="133"/>
      <c r="L147" s="133"/>
    </row>
    <row r="148" spans="2:18">
      <c r="B148" s="524" t="s">
        <v>389</v>
      </c>
      <c r="C148" s="35"/>
      <c r="D148" s="35"/>
      <c r="E148" s="35"/>
      <c r="F148" s="35"/>
      <c r="H148" s="72"/>
      <c r="I148" s="72"/>
      <c r="J148" s="72"/>
      <c r="K148" s="72"/>
      <c r="L148" s="72"/>
    </row>
    <row r="149" spans="2:18">
      <c r="B149" s="389" t="s">
        <v>309</v>
      </c>
      <c r="C149" s="35"/>
      <c r="D149" s="35"/>
      <c r="E149" s="35"/>
      <c r="F149" s="35"/>
      <c r="H149" s="72"/>
      <c r="I149" s="72"/>
      <c r="J149" s="72"/>
      <c r="K149" s="72"/>
      <c r="L149" s="72"/>
    </row>
    <row r="150" spans="2:18">
      <c r="B150" s="389" t="s">
        <v>310</v>
      </c>
      <c r="D150" s="35"/>
      <c r="E150" s="35"/>
      <c r="F150" s="35"/>
      <c r="H150" s="35"/>
      <c r="I150" s="35"/>
      <c r="J150" s="35"/>
      <c r="K150" s="35"/>
      <c r="L150" s="35"/>
    </row>
    <row r="151" spans="2:18">
      <c r="B151" s="389" t="s">
        <v>311</v>
      </c>
      <c r="D151" s="35"/>
      <c r="E151" s="35"/>
      <c r="F151" s="35"/>
      <c r="H151" s="35"/>
      <c r="I151" s="35"/>
      <c r="J151" s="35"/>
      <c r="K151" s="35"/>
      <c r="L151" s="35"/>
    </row>
    <row r="152" spans="2:18">
      <c r="B152" s="524" t="s">
        <v>390</v>
      </c>
      <c r="D152" s="35"/>
      <c r="E152" s="35"/>
      <c r="F152" s="35"/>
      <c r="H152" s="35"/>
      <c r="I152" s="35"/>
      <c r="J152" s="35"/>
      <c r="K152" s="35"/>
      <c r="L152" s="35"/>
    </row>
    <row r="153" spans="2:18" hidden="1">
      <c r="B153" s="672" t="s">
        <v>383</v>
      </c>
      <c r="C153" s="673"/>
      <c r="D153" s="673"/>
      <c r="E153" s="673"/>
      <c r="F153" s="673"/>
      <c r="G153" s="673"/>
      <c r="H153" s="673"/>
      <c r="I153" s="673"/>
      <c r="J153" s="673"/>
      <c r="K153" s="673"/>
      <c r="L153" s="673"/>
      <c r="M153" s="673"/>
      <c r="N153" s="673"/>
      <c r="O153" s="673"/>
      <c r="P153" s="674"/>
    </row>
    <row r="154" spans="2:18" hidden="1">
      <c r="B154" s="675"/>
      <c r="C154" s="676"/>
      <c r="D154" s="676"/>
      <c r="E154" s="676"/>
      <c r="F154" s="676"/>
      <c r="G154" s="676"/>
      <c r="H154" s="676"/>
      <c r="I154" s="676"/>
      <c r="J154" s="676"/>
      <c r="K154" s="676"/>
      <c r="L154" s="676"/>
      <c r="M154" s="676"/>
      <c r="N154" s="676"/>
      <c r="O154" s="676"/>
      <c r="P154" s="677"/>
    </row>
    <row r="155" spans="2:18" ht="56.1" hidden="1" customHeight="1">
      <c r="B155" s="678"/>
      <c r="C155" s="679"/>
      <c r="D155" s="679"/>
      <c r="E155" s="679"/>
      <c r="F155" s="679"/>
      <c r="G155" s="679"/>
      <c r="H155" s="679"/>
      <c r="I155" s="679"/>
      <c r="J155" s="679"/>
      <c r="K155" s="679"/>
      <c r="L155" s="679"/>
      <c r="M155" s="679"/>
      <c r="N155" s="679"/>
      <c r="O155" s="679"/>
      <c r="P155" s="680"/>
    </row>
    <row r="156" spans="2:18">
      <c r="B156" s="71"/>
      <c r="D156" s="35"/>
      <c r="E156" s="35"/>
      <c r="F156" s="35"/>
      <c r="H156" s="35"/>
      <c r="I156" s="35"/>
      <c r="J156" s="35"/>
      <c r="K156" s="35"/>
      <c r="L156" s="35"/>
    </row>
  </sheetData>
  <mergeCells count="99">
    <mergeCell ref="C143:G143"/>
    <mergeCell ref="C131:G131"/>
    <mergeCell ref="C132:G132"/>
    <mergeCell ref="C133:G133"/>
    <mergeCell ref="C134:G134"/>
    <mergeCell ref="C135:G135"/>
    <mergeCell ref="C139:G139"/>
    <mergeCell ref="C142:G142"/>
    <mergeCell ref="C140:G140"/>
    <mergeCell ref="C110:G110"/>
    <mergeCell ref="C111:G111"/>
    <mergeCell ref="C101:G101"/>
    <mergeCell ref="C127:G127"/>
    <mergeCell ref="C117:G117"/>
    <mergeCell ref="C119:G119"/>
    <mergeCell ref="C124:G124"/>
    <mergeCell ref="B106:P109"/>
    <mergeCell ref="C120:G120"/>
    <mergeCell ref="C121:G121"/>
    <mergeCell ref="C112:G112"/>
    <mergeCell ref="C122:G122"/>
    <mergeCell ref="C126:G126"/>
    <mergeCell ref="C113:G113"/>
    <mergeCell ref="C114:G114"/>
    <mergeCell ref="C116:G116"/>
    <mergeCell ref="C84:G84"/>
    <mergeCell ref="C39:G39"/>
    <mergeCell ref="C40:G40"/>
    <mergeCell ref="C43:G43"/>
    <mergeCell ref="C63:G63"/>
    <mergeCell ref="C41:G41"/>
    <mergeCell ref="C42:G42"/>
    <mergeCell ref="C81:G81"/>
    <mergeCell ref="C83:G83"/>
    <mergeCell ref="C68:G68"/>
    <mergeCell ref="C61:G61"/>
    <mergeCell ref="C56:G56"/>
    <mergeCell ref="C65:G65"/>
    <mergeCell ref="C66:G66"/>
    <mergeCell ref="C80:G80"/>
    <mergeCell ref="C69:G69"/>
    <mergeCell ref="C102:G102"/>
    <mergeCell ref="C104:G104"/>
    <mergeCell ref="C94:G94"/>
    <mergeCell ref="C103:G103"/>
    <mergeCell ref="C98:G98"/>
    <mergeCell ref="C95:G95"/>
    <mergeCell ref="C96:G96"/>
    <mergeCell ref="C99:G99"/>
    <mergeCell ref="C97:G97"/>
    <mergeCell ref="C86:G86"/>
    <mergeCell ref="C92:G92"/>
    <mergeCell ref="C87:G87"/>
    <mergeCell ref="C88:G88"/>
    <mergeCell ref="C93:G93"/>
    <mergeCell ref="C89:G89"/>
    <mergeCell ref="C90:G90"/>
    <mergeCell ref="B1:P1"/>
    <mergeCell ref="B3:P3"/>
    <mergeCell ref="C9:G9"/>
    <mergeCell ref="C11:G11"/>
    <mergeCell ref="C10:G10"/>
    <mergeCell ref="B4:P4"/>
    <mergeCell ref="C12:G12"/>
    <mergeCell ref="C51:G51"/>
    <mergeCell ref="C58:G58"/>
    <mergeCell ref="C49:G49"/>
    <mergeCell ref="C14:G14"/>
    <mergeCell ref="C15:G15"/>
    <mergeCell ref="C38:G38"/>
    <mergeCell ref="C33:G33"/>
    <mergeCell ref="C16:G16"/>
    <mergeCell ref="B153:P155"/>
    <mergeCell ref="C52:G52"/>
    <mergeCell ref="C55:G55"/>
    <mergeCell ref="C67:G67"/>
    <mergeCell ref="C79:G79"/>
    <mergeCell ref="C75:G75"/>
    <mergeCell ref="C76:G76"/>
    <mergeCell ref="C71:G71"/>
    <mergeCell ref="C72:G72"/>
    <mergeCell ref="C85:G85"/>
    <mergeCell ref="C125:G125"/>
    <mergeCell ref="C78:G78"/>
    <mergeCell ref="C74:G74"/>
    <mergeCell ref="C70:G70"/>
    <mergeCell ref="C77:G77"/>
    <mergeCell ref="C105:G105"/>
    <mergeCell ref="T18:U18"/>
    <mergeCell ref="C32:G32"/>
    <mergeCell ref="C34:G34"/>
    <mergeCell ref="C36:G36"/>
    <mergeCell ref="C64:G64"/>
    <mergeCell ref="B44:P47"/>
    <mergeCell ref="C60:G60"/>
    <mergeCell ref="C48:G48"/>
    <mergeCell ref="C59:G59"/>
    <mergeCell ref="C37:G37"/>
    <mergeCell ref="C35:G35"/>
  </mergeCells>
  <phoneticPr fontId="25" type="noConversion"/>
  <printOptions horizontalCentered="1"/>
  <pageMargins left="0" right="0" top="0.25" bottom="0.25" header="0.3" footer="0.3"/>
  <pageSetup scale="81" fitToHeight="5" orientation="landscape" r:id="rId1"/>
  <rowBreaks count="2" manualBreakCount="2">
    <brk id="42" min="1" max="15" man="1"/>
    <brk id="109"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FF00"/>
    <pageSetUpPr fitToPage="1"/>
  </sheetPr>
  <dimension ref="A1:S68"/>
  <sheetViews>
    <sheetView zoomScale="110" zoomScaleNormal="110" zoomScaleSheetLayoutView="90" workbookViewId="0">
      <selection activeCell="L60" sqref="L60:O60"/>
    </sheetView>
  </sheetViews>
  <sheetFormatPr defaultColWidth="9" defaultRowHeight="15.6"/>
  <cols>
    <col min="1" max="1" width="2.09765625" style="32" customWidth="1"/>
    <col min="2" max="2" width="8.09765625" style="32" customWidth="1"/>
    <col min="3" max="5" width="9.09765625" style="32" customWidth="1"/>
    <col min="6" max="6" width="4.5" style="32" customWidth="1"/>
    <col min="7" max="7" width="4.09765625" style="32" customWidth="1"/>
    <col min="8" max="13" width="9.59765625" style="32" customWidth="1"/>
    <col min="14" max="14" width="2.09765625" style="32" hidden="1" customWidth="1"/>
    <col min="15" max="15" width="17.59765625" style="32" hidden="1" customWidth="1"/>
    <col min="16" max="256" width="11" style="32" customWidth="1"/>
    <col min="257" max="16384" width="9" style="32"/>
  </cols>
  <sheetData>
    <row r="1" spans="1:16" ht="17.399999999999999">
      <c r="B1" s="690" t="s">
        <v>2</v>
      </c>
      <c r="C1" s="725"/>
      <c r="D1" s="725"/>
      <c r="E1" s="725"/>
      <c r="F1" s="725"/>
      <c r="G1" s="725"/>
      <c r="H1" s="725"/>
      <c r="I1" s="725"/>
      <c r="J1" s="725"/>
      <c r="K1" s="725"/>
      <c r="L1" s="725"/>
      <c r="M1" s="725"/>
      <c r="N1" s="725"/>
      <c r="O1" s="725"/>
      <c r="P1" s="445"/>
    </row>
    <row r="2" spans="1:16" ht="17.399999999999999">
      <c r="B2" s="692" t="s">
        <v>5</v>
      </c>
      <c r="C2" s="693"/>
      <c r="D2" s="693"/>
      <c r="E2" s="693"/>
      <c r="F2" s="693"/>
      <c r="G2" s="693"/>
      <c r="H2" s="693"/>
      <c r="I2" s="693"/>
      <c r="J2" s="693"/>
      <c r="K2" s="693"/>
      <c r="L2" s="693"/>
      <c r="M2" s="693"/>
      <c r="N2" s="693"/>
      <c r="O2" s="693"/>
      <c r="P2" s="445"/>
    </row>
    <row r="3" spans="1:16" s="324" customFormat="1" ht="19.5" hidden="1" customHeight="1">
      <c r="B3" s="723" t="s">
        <v>269</v>
      </c>
      <c r="C3" s="724"/>
      <c r="D3" s="724"/>
      <c r="E3" s="724"/>
      <c r="F3" s="724"/>
      <c r="G3" s="724"/>
      <c r="H3" s="724"/>
      <c r="I3" s="724"/>
      <c r="J3" s="724"/>
      <c r="K3" s="724"/>
      <c r="L3" s="724"/>
      <c r="M3" s="724"/>
      <c r="N3" s="724"/>
      <c r="O3" s="724"/>
      <c r="P3" s="455"/>
    </row>
    <row r="4" spans="1:16" ht="17.399999999999999">
      <c r="B4" s="254" t="s">
        <v>6</v>
      </c>
      <c r="C4" s="255"/>
      <c r="D4" s="255"/>
      <c r="E4" s="255"/>
      <c r="F4" s="256"/>
      <c r="G4" s="257"/>
      <c r="H4" s="93" t="s">
        <v>301</v>
      </c>
      <c r="I4" s="257"/>
      <c r="J4" s="257"/>
      <c r="K4" s="257"/>
      <c r="L4" s="257"/>
      <c r="M4" s="257"/>
      <c r="N4" s="156"/>
      <c r="O4" s="156"/>
      <c r="P4" s="445"/>
    </row>
    <row r="5" spans="1:16" ht="17.399999999999999">
      <c r="B5" s="94" t="s">
        <v>7</v>
      </c>
      <c r="C5" s="18" t="s">
        <v>0</v>
      </c>
      <c r="D5" s="18"/>
      <c r="E5" s="18"/>
      <c r="F5" s="18"/>
      <c r="G5" s="18"/>
      <c r="H5" s="95">
        <v>2025</v>
      </c>
      <c r="I5" s="95">
        <v>2026</v>
      </c>
      <c r="J5" s="95">
        <v>2027</v>
      </c>
      <c r="K5" s="95">
        <v>2028</v>
      </c>
      <c r="L5" s="95">
        <v>2029</v>
      </c>
      <c r="M5" s="95">
        <v>2030</v>
      </c>
      <c r="N5" s="156"/>
      <c r="O5" s="158" t="s">
        <v>186</v>
      </c>
      <c r="P5" s="445"/>
    </row>
    <row r="6" spans="1:16" ht="8.25" customHeight="1">
      <c r="A6" s="33"/>
      <c r="B6" s="97"/>
      <c r="C6" s="34"/>
      <c r="D6" s="34"/>
      <c r="E6" s="34"/>
      <c r="F6" s="34"/>
      <c r="G6" s="34"/>
      <c r="H6" s="34"/>
      <c r="I6" s="34"/>
      <c r="J6" s="34"/>
      <c r="K6" s="34"/>
      <c r="L6" s="34"/>
      <c r="M6" s="34"/>
      <c r="N6" s="33"/>
      <c r="P6" s="445"/>
    </row>
    <row r="7" spans="1:16" ht="15.75" customHeight="1">
      <c r="A7" s="33"/>
      <c r="B7" s="79">
        <v>1</v>
      </c>
      <c r="C7" s="80" t="s">
        <v>52</v>
      </c>
      <c r="D7" s="81"/>
      <c r="E7" s="81"/>
      <c r="F7" s="81"/>
      <c r="G7" s="82"/>
      <c r="H7" s="83">
        <v>360384.18899218203</v>
      </c>
      <c r="I7" s="83">
        <v>365313.49927950918</v>
      </c>
      <c r="J7" s="83">
        <v>362872.90320397832</v>
      </c>
      <c r="K7" s="83">
        <v>359609.44793872786</v>
      </c>
      <c r="L7" s="83">
        <v>357814.95007477875</v>
      </c>
      <c r="M7" s="83">
        <v>356224.96033883764</v>
      </c>
      <c r="N7" s="424"/>
      <c r="O7" s="425" t="s">
        <v>187</v>
      </c>
      <c r="P7" s="445"/>
    </row>
    <row r="8" spans="1:16" ht="15.75" customHeight="1">
      <c r="A8" s="33"/>
      <c r="B8" s="51" t="s">
        <v>120</v>
      </c>
      <c r="C8" s="40" t="s">
        <v>52</v>
      </c>
      <c r="D8" s="41"/>
      <c r="E8" s="41"/>
      <c r="F8" s="41"/>
      <c r="G8" s="41"/>
      <c r="H8" s="520">
        <v>360384.18899218203</v>
      </c>
      <c r="I8" s="520">
        <v>365728</v>
      </c>
      <c r="J8" s="520">
        <v>363517</v>
      </c>
      <c r="K8" s="520">
        <v>360502</v>
      </c>
      <c r="L8" s="520">
        <v>357815</v>
      </c>
      <c r="M8" s="520">
        <v>357156</v>
      </c>
      <c r="N8" s="314"/>
      <c r="O8" s="242" t="s">
        <v>138</v>
      </c>
      <c r="P8" s="445"/>
    </row>
    <row r="9" spans="1:16" ht="15.75" customHeight="1">
      <c r="B9" s="102"/>
      <c r="C9" s="13" t="s">
        <v>53</v>
      </c>
      <c r="D9" s="27"/>
      <c r="E9" s="27"/>
      <c r="F9" s="27"/>
      <c r="G9" s="27"/>
      <c r="H9" s="29"/>
      <c r="I9" s="10"/>
      <c r="J9" s="10"/>
      <c r="K9" s="10"/>
      <c r="L9" s="10"/>
      <c r="M9" s="10"/>
      <c r="N9" s="315"/>
      <c r="O9" s="160"/>
      <c r="P9" s="445"/>
    </row>
    <row r="10" spans="1:16" ht="15.75" customHeight="1">
      <c r="B10" s="49">
        <v>2</v>
      </c>
      <c r="C10" s="3" t="s">
        <v>54</v>
      </c>
      <c r="D10" s="4"/>
      <c r="E10" s="4"/>
      <c r="F10" s="4"/>
      <c r="G10" s="5"/>
      <c r="H10" s="10">
        <v>317115.64547733054</v>
      </c>
      <c r="I10" s="10">
        <v>320948.45603032171</v>
      </c>
      <c r="J10" s="10">
        <v>319227.17310824926</v>
      </c>
      <c r="K10" s="10">
        <v>316958.39084549085</v>
      </c>
      <c r="L10" s="10">
        <v>304420.66692553443</v>
      </c>
      <c r="M10" s="10">
        <v>303382.4240538943</v>
      </c>
      <c r="N10" s="424"/>
      <c r="O10" s="425" t="s">
        <v>187</v>
      </c>
      <c r="P10" s="445"/>
    </row>
    <row r="11" spans="1:16" ht="15.75" customHeight="1">
      <c r="B11" s="51" t="s">
        <v>121</v>
      </c>
      <c r="C11" s="40" t="s">
        <v>54</v>
      </c>
      <c r="D11" s="41"/>
      <c r="E11" s="41"/>
      <c r="F11" s="41"/>
      <c r="G11" s="41"/>
      <c r="H11" s="520">
        <v>320203</v>
      </c>
      <c r="I11" s="520">
        <v>324249</v>
      </c>
      <c r="J11" s="520">
        <v>322694</v>
      </c>
      <c r="K11" s="520">
        <v>320604</v>
      </c>
      <c r="L11" s="520">
        <v>307335</v>
      </c>
      <c r="M11" s="520">
        <v>306301</v>
      </c>
      <c r="N11" s="314"/>
      <c r="O11" s="242" t="s">
        <v>138</v>
      </c>
      <c r="P11" s="445"/>
    </row>
    <row r="12" spans="1:16" ht="15.75" customHeight="1">
      <c r="B12" s="49">
        <v>3</v>
      </c>
      <c r="C12" s="3" t="s">
        <v>55</v>
      </c>
      <c r="D12" s="4"/>
      <c r="E12" s="4"/>
      <c r="F12" s="4"/>
      <c r="G12" s="5"/>
      <c r="H12" s="10">
        <v>212217.53512214933</v>
      </c>
      <c r="I12" s="10">
        <v>217200.39419861246</v>
      </c>
      <c r="J12" s="10">
        <v>217276.56863415311</v>
      </c>
      <c r="K12" s="10">
        <v>216676.75067859134</v>
      </c>
      <c r="L12" s="10">
        <v>215905.70008200139</v>
      </c>
      <c r="M12" s="10">
        <v>215140.73129395497</v>
      </c>
      <c r="N12" s="424"/>
      <c r="O12" s="425" t="s">
        <v>187</v>
      </c>
      <c r="P12" s="445"/>
    </row>
    <row r="13" spans="1:16" ht="15.75" customHeight="1">
      <c r="B13" s="51" t="s">
        <v>122</v>
      </c>
      <c r="C13" s="40" t="s">
        <v>55</v>
      </c>
      <c r="D13" s="41"/>
      <c r="E13" s="41"/>
      <c r="F13" s="41"/>
      <c r="G13" s="41"/>
      <c r="H13" s="520">
        <v>212218</v>
      </c>
      <c r="I13" s="520">
        <v>217200</v>
      </c>
      <c r="J13" s="520">
        <v>217277</v>
      </c>
      <c r="K13" s="520">
        <v>216676.75067859134</v>
      </c>
      <c r="L13" s="520">
        <v>215906</v>
      </c>
      <c r="M13" s="520">
        <v>215141</v>
      </c>
      <c r="N13" s="314"/>
      <c r="O13" s="242" t="s">
        <v>138</v>
      </c>
      <c r="P13" s="445"/>
    </row>
    <row r="14" spans="1:16" ht="3" customHeight="1">
      <c r="B14" s="54"/>
      <c r="C14" s="55"/>
      <c r="D14" s="55"/>
      <c r="E14" s="55"/>
      <c r="F14" s="55"/>
      <c r="G14" s="55"/>
      <c r="H14" s="56"/>
      <c r="I14" s="56"/>
      <c r="J14" s="56"/>
      <c r="K14" s="56"/>
      <c r="L14" s="56"/>
      <c r="M14" s="56"/>
      <c r="N14" s="308"/>
      <c r="O14" s="56"/>
      <c r="P14" s="445"/>
    </row>
    <row r="15" spans="1:16" ht="15.75" customHeight="1">
      <c r="B15" s="49">
        <v>4</v>
      </c>
      <c r="C15" s="19" t="s">
        <v>56</v>
      </c>
      <c r="D15" s="20"/>
      <c r="E15" s="20"/>
      <c r="F15" s="20"/>
      <c r="G15" s="21"/>
      <c r="H15" s="10">
        <f t="shared" ref="H15:M16" si="0">ROUND(H10,2)+ROUND(H12,2)</f>
        <v>529333.19000000006</v>
      </c>
      <c r="I15" s="10">
        <f t="shared" si="0"/>
        <v>538148.85000000009</v>
      </c>
      <c r="J15" s="10">
        <f t="shared" si="0"/>
        <v>536503.74</v>
      </c>
      <c r="K15" s="10">
        <f t="shared" si="0"/>
        <v>533635.14</v>
      </c>
      <c r="L15" s="10">
        <f t="shared" si="0"/>
        <v>520326.37</v>
      </c>
      <c r="M15" s="10">
        <f t="shared" si="0"/>
        <v>518523.15</v>
      </c>
      <c r="N15" s="410"/>
      <c r="O15" s="425" t="s">
        <v>193</v>
      </c>
      <c r="P15" s="445"/>
    </row>
    <row r="16" spans="1:16" ht="15.75" customHeight="1">
      <c r="B16" s="51" t="s">
        <v>123</v>
      </c>
      <c r="C16" s="40" t="s">
        <v>56</v>
      </c>
      <c r="D16" s="41"/>
      <c r="E16" s="41"/>
      <c r="F16" s="41"/>
      <c r="G16" s="46"/>
      <c r="H16" s="37">
        <f t="shared" si="0"/>
        <v>532421</v>
      </c>
      <c r="I16" s="37">
        <f t="shared" si="0"/>
        <v>541449</v>
      </c>
      <c r="J16" s="37">
        <f t="shared" si="0"/>
        <v>539971</v>
      </c>
      <c r="K16" s="37">
        <f t="shared" si="0"/>
        <v>537280.75</v>
      </c>
      <c r="L16" s="37">
        <f t="shared" si="0"/>
        <v>523241</v>
      </c>
      <c r="M16" s="37">
        <f t="shared" si="0"/>
        <v>521442</v>
      </c>
      <c r="N16" s="313"/>
      <c r="O16" s="157" t="s">
        <v>194</v>
      </c>
      <c r="P16" s="445"/>
    </row>
    <row r="17" spans="1:16" ht="15.75" customHeight="1">
      <c r="B17" s="49">
        <v>5</v>
      </c>
      <c r="C17" s="3" t="s">
        <v>57</v>
      </c>
      <c r="D17" s="4"/>
      <c r="E17" s="4"/>
      <c r="F17" s="4"/>
      <c r="G17" s="5"/>
      <c r="H17" s="10">
        <f>ROUND(H7,2)+ROUND(H15,2)</f>
        <v>889717.37999999989</v>
      </c>
      <c r="I17" s="10">
        <f t="shared" ref="I17:M17" si="1">ROUND(I7,2)+ROUND(I15,2)</f>
        <v>903462.35</v>
      </c>
      <c r="J17" s="10">
        <f t="shared" si="1"/>
        <v>899376.64000000001</v>
      </c>
      <c r="K17" s="10">
        <f t="shared" si="1"/>
        <v>893244.59000000008</v>
      </c>
      <c r="L17" s="10">
        <f t="shared" si="1"/>
        <v>878141.32000000007</v>
      </c>
      <c r="M17" s="10">
        <f t="shared" si="1"/>
        <v>874748.1100000001</v>
      </c>
      <c r="N17" s="424"/>
      <c r="O17" s="425" t="s">
        <v>195</v>
      </c>
      <c r="P17" s="445"/>
    </row>
    <row r="18" spans="1:16" ht="15.75" customHeight="1">
      <c r="B18" s="51" t="s">
        <v>124</v>
      </c>
      <c r="C18" s="40" t="s">
        <v>57</v>
      </c>
      <c r="D18" s="41"/>
      <c r="E18" s="41"/>
      <c r="F18" s="41"/>
      <c r="G18" s="46"/>
      <c r="H18" s="37">
        <f>ROUND(H8,2)+ROUND(H16,2)</f>
        <v>892805.19</v>
      </c>
      <c r="I18" s="37">
        <f t="shared" ref="I18:M18" si="2">ROUND(I8,2)+ROUND(I16,2)</f>
        <v>907177</v>
      </c>
      <c r="J18" s="37">
        <f t="shared" si="2"/>
        <v>903488</v>
      </c>
      <c r="K18" s="37">
        <f t="shared" si="2"/>
        <v>897782.75</v>
      </c>
      <c r="L18" s="37">
        <f t="shared" si="2"/>
        <v>881056</v>
      </c>
      <c r="M18" s="37">
        <f t="shared" si="2"/>
        <v>878598</v>
      </c>
      <c r="N18" s="313"/>
      <c r="O18" s="157" t="s">
        <v>196</v>
      </c>
      <c r="P18" s="445"/>
    </row>
    <row r="19" spans="1:16" ht="15.75" customHeight="1">
      <c r="B19" s="51" t="s">
        <v>189</v>
      </c>
      <c r="C19" s="40" t="s">
        <v>190</v>
      </c>
      <c r="D19" s="152"/>
      <c r="E19" s="152"/>
      <c r="F19" s="152"/>
      <c r="G19" s="152"/>
      <c r="H19" s="153">
        <f t="shared" ref="H19:M19" si="3">H18-H17</f>
        <v>3087.8100000000559</v>
      </c>
      <c r="I19" s="240">
        <f t="shared" si="3"/>
        <v>3714.6500000000233</v>
      </c>
      <c r="J19" s="240">
        <f t="shared" si="3"/>
        <v>4111.359999999986</v>
      </c>
      <c r="K19" s="240">
        <f t="shared" si="3"/>
        <v>4538.1599999999162</v>
      </c>
      <c r="L19" s="240">
        <f t="shared" si="3"/>
        <v>2914.6799999999348</v>
      </c>
      <c r="M19" s="240">
        <f t="shared" si="3"/>
        <v>3849.8899999998976</v>
      </c>
      <c r="N19" s="313"/>
      <c r="O19" s="117" t="s">
        <v>249</v>
      </c>
      <c r="P19" s="445"/>
    </row>
    <row r="20" spans="1:16" ht="15.75" customHeight="1">
      <c r="A20" s="34"/>
      <c r="B20" s="47"/>
      <c r="C20" s="48" t="s">
        <v>58</v>
      </c>
      <c r="D20" s="48"/>
      <c r="E20" s="48"/>
      <c r="F20" s="48"/>
      <c r="G20" s="48"/>
      <c r="H20" s="48"/>
      <c r="I20" s="48"/>
      <c r="J20" s="48"/>
      <c r="K20" s="48"/>
      <c r="L20" s="48"/>
      <c r="M20" s="48"/>
      <c r="N20" s="48"/>
      <c r="O20" s="48"/>
      <c r="P20" s="445"/>
    </row>
    <row r="21" spans="1:16" ht="15.75" customHeight="1">
      <c r="A21" s="34"/>
      <c r="B21" s="49">
        <v>6</v>
      </c>
      <c r="C21" s="19" t="s">
        <v>59</v>
      </c>
      <c r="D21" s="20"/>
      <c r="E21" s="20"/>
      <c r="F21" s="4"/>
      <c r="G21" s="5"/>
      <c r="H21" s="2">
        <v>11862.675999999999</v>
      </c>
      <c r="I21" s="2">
        <v>11945.056</v>
      </c>
      <c r="J21" s="2">
        <v>11843.237999999999</v>
      </c>
      <c r="K21" s="2">
        <v>11752.429</v>
      </c>
      <c r="L21" s="2">
        <v>11704.544</v>
      </c>
      <c r="M21" s="2">
        <v>11656.831</v>
      </c>
      <c r="N21" s="428"/>
      <c r="O21" s="425" t="s">
        <v>187</v>
      </c>
      <c r="P21" s="445"/>
    </row>
    <row r="22" spans="1:16" ht="15.75" customHeight="1">
      <c r="A22" s="34"/>
      <c r="B22" s="51" t="s">
        <v>139</v>
      </c>
      <c r="C22" s="40" t="s">
        <v>59</v>
      </c>
      <c r="D22" s="41"/>
      <c r="E22" s="41"/>
      <c r="F22" s="41"/>
      <c r="G22" s="46"/>
      <c r="H22" s="146">
        <f t="shared" ref="H22:M24" si="4">ROUND(H21,2)</f>
        <v>11862.68</v>
      </c>
      <c r="I22" s="146">
        <f t="shared" si="4"/>
        <v>11945.06</v>
      </c>
      <c r="J22" s="146">
        <f t="shared" si="4"/>
        <v>11843.24</v>
      </c>
      <c r="K22" s="146">
        <f t="shared" si="4"/>
        <v>11752.43</v>
      </c>
      <c r="L22" s="146">
        <f t="shared" si="4"/>
        <v>11704.54</v>
      </c>
      <c r="M22" s="146">
        <f t="shared" si="4"/>
        <v>11656.83</v>
      </c>
      <c r="N22" s="163"/>
      <c r="O22" s="154" t="s">
        <v>188</v>
      </c>
      <c r="P22" s="445"/>
    </row>
    <row r="23" spans="1:16" ht="15.75" customHeight="1">
      <c r="A23" s="34"/>
      <c r="B23" s="49">
        <v>7</v>
      </c>
      <c r="C23" s="19" t="s">
        <v>60</v>
      </c>
      <c r="D23" s="20"/>
      <c r="E23" s="20"/>
      <c r="F23" s="4"/>
      <c r="G23" s="5"/>
      <c r="H23" s="2">
        <v>1291.3910000000001</v>
      </c>
      <c r="I23" s="2">
        <v>1291.3910000000001</v>
      </c>
      <c r="J23" s="2">
        <v>1291.3910000000001</v>
      </c>
      <c r="K23" s="2">
        <v>1291.3910000000001</v>
      </c>
      <c r="L23" s="2">
        <v>1291.3910000000001</v>
      </c>
      <c r="M23" s="2">
        <v>1291.3910000000001</v>
      </c>
      <c r="N23" s="428"/>
      <c r="O23" s="425" t="s">
        <v>187</v>
      </c>
      <c r="P23" s="445"/>
    </row>
    <row r="24" spans="1:16" ht="15.75" customHeight="1">
      <c r="A24" s="34"/>
      <c r="B24" s="51" t="s">
        <v>140</v>
      </c>
      <c r="C24" s="40" t="s">
        <v>60</v>
      </c>
      <c r="D24" s="41"/>
      <c r="E24" s="41"/>
      <c r="F24" s="41"/>
      <c r="G24" s="46"/>
      <c r="H24" s="146">
        <f t="shared" si="4"/>
        <v>1291.3900000000001</v>
      </c>
      <c r="I24" s="146">
        <f t="shared" si="4"/>
        <v>1291.3900000000001</v>
      </c>
      <c r="J24" s="146">
        <f t="shared" si="4"/>
        <v>1291.3900000000001</v>
      </c>
      <c r="K24" s="146">
        <f t="shared" si="4"/>
        <v>1291.3900000000001</v>
      </c>
      <c r="L24" s="146">
        <f t="shared" si="4"/>
        <v>1291.3900000000001</v>
      </c>
      <c r="M24" s="146">
        <f t="shared" si="4"/>
        <v>1291.3900000000001</v>
      </c>
      <c r="N24" s="163"/>
      <c r="O24" s="154" t="s">
        <v>188</v>
      </c>
      <c r="P24" s="445"/>
    </row>
    <row r="25" spans="1:16" ht="15.75" customHeight="1">
      <c r="A25" s="34"/>
      <c r="B25" s="49">
        <v>8</v>
      </c>
      <c r="C25" s="3" t="s">
        <v>61</v>
      </c>
      <c r="D25" s="4"/>
      <c r="E25" s="4"/>
      <c r="F25" s="4"/>
      <c r="G25" s="5"/>
      <c r="H25" s="2">
        <v>7321.5455000000002</v>
      </c>
      <c r="I25" s="2">
        <v>7321.5455000000002</v>
      </c>
      <c r="J25" s="2">
        <v>7321.5455000000002</v>
      </c>
      <c r="K25" s="2">
        <v>7321.5455000000002</v>
      </c>
      <c r="L25" s="2">
        <v>7321.5455000000002</v>
      </c>
      <c r="M25" s="2">
        <v>7321.5455000000002</v>
      </c>
      <c r="N25" s="424"/>
      <c r="O25" s="425" t="s">
        <v>187</v>
      </c>
      <c r="P25" s="445"/>
    </row>
    <row r="26" spans="1:16" ht="15.75" customHeight="1">
      <c r="A26" s="34"/>
      <c r="B26" s="51" t="s">
        <v>141</v>
      </c>
      <c r="C26" s="40" t="s">
        <v>61</v>
      </c>
      <c r="D26" s="41"/>
      <c r="E26" s="41"/>
      <c r="F26" s="41"/>
      <c r="G26" s="41"/>
      <c r="H26" s="521">
        <v>8190</v>
      </c>
      <c r="I26" s="521">
        <v>17369</v>
      </c>
      <c r="J26" s="521">
        <v>17639</v>
      </c>
      <c r="K26" s="521">
        <v>8190</v>
      </c>
      <c r="L26" s="521">
        <v>8190</v>
      </c>
      <c r="M26" s="521">
        <v>8190</v>
      </c>
      <c r="N26" s="314"/>
      <c r="O26" s="242" t="s">
        <v>138</v>
      </c>
      <c r="P26" s="445"/>
    </row>
    <row r="27" spans="1:16" ht="15.75" customHeight="1">
      <c r="A27" s="34"/>
      <c r="B27" s="49">
        <v>9</v>
      </c>
      <c r="C27" s="19" t="s">
        <v>62</v>
      </c>
      <c r="D27" s="20"/>
      <c r="E27" s="20"/>
      <c r="F27" s="4"/>
      <c r="G27" s="5"/>
      <c r="H27" s="2">
        <v>1428.5325</v>
      </c>
      <c r="I27" s="2">
        <v>1428.5325</v>
      </c>
      <c r="J27" s="2">
        <v>1428.5325</v>
      </c>
      <c r="K27" s="2">
        <v>1428.5325</v>
      </c>
      <c r="L27" s="2">
        <v>1428.5325</v>
      </c>
      <c r="M27" s="2">
        <v>1428.5325</v>
      </c>
      <c r="N27" s="428"/>
      <c r="O27" s="425" t="s">
        <v>187</v>
      </c>
      <c r="P27" s="445"/>
    </row>
    <row r="28" spans="1:16" ht="15.75" customHeight="1">
      <c r="A28" s="34"/>
      <c r="B28" s="51" t="s">
        <v>142</v>
      </c>
      <c r="C28" s="40" t="s">
        <v>62</v>
      </c>
      <c r="D28" s="41"/>
      <c r="E28" s="41"/>
      <c r="F28" s="41"/>
      <c r="G28" s="46"/>
      <c r="H28" s="146">
        <f t="shared" ref="H28:M32" si="5">ROUND(H27,2)</f>
        <v>1428.53</v>
      </c>
      <c r="I28" s="146">
        <f t="shared" si="5"/>
        <v>1428.53</v>
      </c>
      <c r="J28" s="146">
        <f t="shared" si="5"/>
        <v>1428.53</v>
      </c>
      <c r="K28" s="146">
        <f t="shared" si="5"/>
        <v>1428.53</v>
      </c>
      <c r="L28" s="146">
        <f t="shared" si="5"/>
        <v>1428.53</v>
      </c>
      <c r="M28" s="146">
        <f t="shared" si="5"/>
        <v>1428.53</v>
      </c>
      <c r="N28" s="163"/>
      <c r="O28" s="154" t="s">
        <v>188</v>
      </c>
      <c r="P28" s="445"/>
    </row>
    <row r="29" spans="1:16" ht="15.75" customHeight="1">
      <c r="A29" s="34"/>
      <c r="B29" s="49">
        <v>10</v>
      </c>
      <c r="C29" s="19" t="s">
        <v>63</v>
      </c>
      <c r="D29" s="20"/>
      <c r="E29" s="20"/>
      <c r="F29" s="4"/>
      <c r="G29" s="5"/>
      <c r="H29" s="2">
        <v>7229.9825000000001</v>
      </c>
      <c r="I29" s="2">
        <v>7229.9825000000001</v>
      </c>
      <c r="J29" s="2">
        <v>7229.9825000000001</v>
      </c>
      <c r="K29" s="2">
        <v>7229.9825000000001</v>
      </c>
      <c r="L29" s="2">
        <v>7229.9825000000001</v>
      </c>
      <c r="M29" s="2">
        <v>7229.9825000000001</v>
      </c>
      <c r="N29" s="428"/>
      <c r="O29" s="425" t="s">
        <v>187</v>
      </c>
      <c r="P29" s="445"/>
    </row>
    <row r="30" spans="1:16" ht="15.75" customHeight="1">
      <c r="A30" s="34"/>
      <c r="B30" s="51" t="s">
        <v>143</v>
      </c>
      <c r="C30" s="40" t="s">
        <v>63</v>
      </c>
      <c r="D30" s="41"/>
      <c r="E30" s="41"/>
      <c r="F30" s="41"/>
      <c r="G30" s="46"/>
      <c r="H30" s="146">
        <f t="shared" si="5"/>
        <v>7229.98</v>
      </c>
      <c r="I30" s="146">
        <f t="shared" si="5"/>
        <v>7229.98</v>
      </c>
      <c r="J30" s="146">
        <f t="shared" si="5"/>
        <v>7229.98</v>
      </c>
      <c r="K30" s="146">
        <f t="shared" si="5"/>
        <v>7229.98</v>
      </c>
      <c r="L30" s="146">
        <f t="shared" si="5"/>
        <v>7229.98</v>
      </c>
      <c r="M30" s="146">
        <f t="shared" si="5"/>
        <v>7229.98</v>
      </c>
      <c r="N30" s="163"/>
      <c r="O30" s="154" t="s">
        <v>188</v>
      </c>
      <c r="P30" s="445"/>
    </row>
    <row r="31" spans="1:16" ht="15.75" customHeight="1">
      <c r="A31" s="34"/>
      <c r="B31" s="49">
        <v>11</v>
      </c>
      <c r="C31" s="19" t="s">
        <v>64</v>
      </c>
      <c r="D31" s="20"/>
      <c r="E31" s="20"/>
      <c r="F31" s="4"/>
      <c r="G31" s="5"/>
      <c r="H31" s="2">
        <v>209.59649999999999</v>
      </c>
      <c r="I31" s="2">
        <v>209.59649999999999</v>
      </c>
      <c r="J31" s="2">
        <v>209.59649999999999</v>
      </c>
      <c r="K31" s="2">
        <v>209.59649999999999</v>
      </c>
      <c r="L31" s="2">
        <v>209.59649999999999</v>
      </c>
      <c r="M31" s="2">
        <v>209.59649999999999</v>
      </c>
      <c r="N31" s="428"/>
      <c r="O31" s="425" t="s">
        <v>187</v>
      </c>
      <c r="P31" s="445"/>
    </row>
    <row r="32" spans="1:16" ht="15.75" customHeight="1">
      <c r="A32" s="34"/>
      <c r="B32" s="109" t="s">
        <v>144</v>
      </c>
      <c r="C32" s="329" t="s">
        <v>64</v>
      </c>
      <c r="D32" s="330"/>
      <c r="E32" s="330"/>
      <c r="F32" s="330"/>
      <c r="G32" s="331"/>
      <c r="H32" s="146">
        <f t="shared" si="5"/>
        <v>209.6</v>
      </c>
      <c r="I32" s="146">
        <f t="shared" si="5"/>
        <v>209.6</v>
      </c>
      <c r="J32" s="146">
        <f t="shared" si="5"/>
        <v>209.6</v>
      </c>
      <c r="K32" s="146">
        <f t="shared" si="5"/>
        <v>209.6</v>
      </c>
      <c r="L32" s="146">
        <f t="shared" si="5"/>
        <v>209.6</v>
      </c>
      <c r="M32" s="146">
        <f t="shared" si="5"/>
        <v>209.6</v>
      </c>
      <c r="N32" s="163"/>
      <c r="O32" s="154" t="s">
        <v>188</v>
      </c>
      <c r="P32" s="445"/>
    </row>
    <row r="33" spans="1:16" ht="15.75" hidden="1" customHeight="1">
      <c r="A33" s="34"/>
      <c r="B33" s="714" t="s">
        <v>383</v>
      </c>
      <c r="C33" s="715"/>
      <c r="D33" s="715"/>
      <c r="E33" s="715"/>
      <c r="F33" s="715"/>
      <c r="G33" s="715"/>
      <c r="H33" s="715"/>
      <c r="I33" s="715"/>
      <c r="J33" s="715"/>
      <c r="K33" s="715"/>
      <c r="L33" s="715"/>
      <c r="M33" s="715"/>
      <c r="N33" s="715"/>
      <c r="O33" s="716"/>
      <c r="P33"/>
    </row>
    <row r="34" spans="1:16" ht="15.75" hidden="1" customHeight="1">
      <c r="A34" s="34"/>
      <c r="B34" s="717"/>
      <c r="C34" s="718"/>
      <c r="D34" s="718"/>
      <c r="E34" s="718"/>
      <c r="F34" s="718"/>
      <c r="G34" s="718"/>
      <c r="H34" s="718"/>
      <c r="I34" s="718"/>
      <c r="J34" s="718"/>
      <c r="K34" s="718"/>
      <c r="L34" s="718"/>
      <c r="M34" s="718"/>
      <c r="N34" s="718"/>
      <c r="O34" s="719"/>
      <c r="P34"/>
    </row>
    <row r="35" spans="1:16" ht="15.75" hidden="1" customHeight="1">
      <c r="A35" s="34"/>
      <c r="B35" s="717"/>
      <c r="C35" s="718"/>
      <c r="D35" s="718"/>
      <c r="E35" s="718"/>
      <c r="F35" s="718"/>
      <c r="G35" s="718"/>
      <c r="H35" s="718"/>
      <c r="I35" s="718"/>
      <c r="J35" s="718"/>
      <c r="K35" s="718"/>
      <c r="L35" s="718"/>
      <c r="M35" s="718"/>
      <c r="N35" s="718"/>
      <c r="O35" s="719"/>
      <c r="P35"/>
    </row>
    <row r="36" spans="1:16" ht="15.75" hidden="1" customHeight="1">
      <c r="A36" s="34"/>
      <c r="B36" s="717"/>
      <c r="C36" s="718"/>
      <c r="D36" s="718"/>
      <c r="E36" s="718"/>
      <c r="F36" s="718"/>
      <c r="G36" s="718"/>
      <c r="H36" s="718"/>
      <c r="I36" s="718"/>
      <c r="J36" s="718"/>
      <c r="K36" s="718"/>
      <c r="L36" s="718"/>
      <c r="M36" s="718"/>
      <c r="N36" s="718"/>
      <c r="O36" s="719"/>
      <c r="P36"/>
    </row>
    <row r="37" spans="1:16" ht="19.5" hidden="1" customHeight="1">
      <c r="A37" s="34"/>
      <c r="B37" s="720"/>
      <c r="C37" s="721"/>
      <c r="D37" s="721"/>
      <c r="E37" s="721"/>
      <c r="F37" s="721"/>
      <c r="G37" s="721"/>
      <c r="H37" s="721"/>
      <c r="I37" s="721"/>
      <c r="J37" s="721"/>
      <c r="K37" s="721"/>
      <c r="L37" s="721"/>
      <c r="M37" s="721"/>
      <c r="N37" s="721"/>
      <c r="O37" s="722"/>
      <c r="P37"/>
    </row>
    <row r="38" spans="1:16" ht="15.75" customHeight="1">
      <c r="A38" s="34"/>
      <c r="B38" s="102">
        <v>12</v>
      </c>
      <c r="C38" s="332" t="s">
        <v>65</v>
      </c>
      <c r="D38" s="333"/>
      <c r="E38" s="333"/>
      <c r="F38" s="27"/>
      <c r="G38" s="28"/>
      <c r="H38" s="334">
        <v>300</v>
      </c>
      <c r="I38" s="334">
        <v>300</v>
      </c>
      <c r="J38" s="334">
        <v>300</v>
      </c>
      <c r="K38" s="334">
        <v>300</v>
      </c>
      <c r="L38" s="334">
        <v>300</v>
      </c>
      <c r="M38" s="334">
        <v>300</v>
      </c>
      <c r="N38" s="428"/>
      <c r="O38" s="425" t="s">
        <v>187</v>
      </c>
      <c r="P38" s="445"/>
    </row>
    <row r="39" spans="1:16" ht="15.75" customHeight="1">
      <c r="A39" s="34"/>
      <c r="B39" s="51" t="s">
        <v>145</v>
      </c>
      <c r="C39" s="40" t="s">
        <v>65</v>
      </c>
      <c r="D39" s="41"/>
      <c r="E39" s="41"/>
      <c r="F39" s="41"/>
      <c r="G39" s="46"/>
      <c r="H39" s="146">
        <f t="shared" ref="H39:M39" si="6">ROUND(H38,2)</f>
        <v>300</v>
      </c>
      <c r="I39" s="146">
        <f t="shared" si="6"/>
        <v>300</v>
      </c>
      <c r="J39" s="146">
        <f t="shared" si="6"/>
        <v>300</v>
      </c>
      <c r="K39" s="146">
        <f t="shared" si="6"/>
        <v>300</v>
      </c>
      <c r="L39" s="146">
        <f t="shared" si="6"/>
        <v>300</v>
      </c>
      <c r="M39" s="146">
        <f t="shared" si="6"/>
        <v>300</v>
      </c>
      <c r="N39" s="163"/>
      <c r="O39" s="154" t="s">
        <v>188</v>
      </c>
      <c r="P39" s="445"/>
    </row>
    <row r="40" spans="1:16" ht="15.75" customHeight="1">
      <c r="A40" s="34"/>
      <c r="B40" s="49">
        <v>13</v>
      </c>
      <c r="C40" s="3" t="s">
        <v>66</v>
      </c>
      <c r="D40" s="4"/>
      <c r="E40" s="4"/>
      <c r="F40" s="4"/>
      <c r="G40" s="5"/>
      <c r="H40" s="2">
        <v>0</v>
      </c>
      <c r="I40" s="2">
        <v>0</v>
      </c>
      <c r="J40" s="2">
        <v>0</v>
      </c>
      <c r="K40" s="2">
        <v>0</v>
      </c>
      <c r="L40" s="2">
        <v>0</v>
      </c>
      <c r="M40" s="2">
        <v>0</v>
      </c>
      <c r="N40" s="428"/>
      <c r="O40" s="293" t="s">
        <v>187</v>
      </c>
      <c r="P40" s="445"/>
    </row>
    <row r="41" spans="1:16" ht="15.75" customHeight="1">
      <c r="A41" s="34"/>
      <c r="B41" s="51" t="s">
        <v>146</v>
      </c>
      <c r="C41" s="40" t="s">
        <v>66</v>
      </c>
      <c r="D41" s="41"/>
      <c r="E41" s="41"/>
      <c r="F41" s="41"/>
      <c r="G41" s="41"/>
      <c r="H41" s="140">
        <f t="shared" ref="H41:M41" si="7">H40</f>
        <v>0</v>
      </c>
      <c r="I41" s="140">
        <f t="shared" si="7"/>
        <v>0</v>
      </c>
      <c r="J41" s="140">
        <f t="shared" si="7"/>
        <v>0</v>
      </c>
      <c r="K41" s="140">
        <f t="shared" si="7"/>
        <v>0</v>
      </c>
      <c r="L41" s="140">
        <f t="shared" si="7"/>
        <v>0</v>
      </c>
      <c r="M41" s="140">
        <f t="shared" si="7"/>
        <v>0</v>
      </c>
      <c r="N41" s="233"/>
      <c r="O41" s="242" t="s">
        <v>138</v>
      </c>
      <c r="P41" s="445"/>
    </row>
    <row r="42" spans="1:16" ht="15.75" customHeight="1">
      <c r="A42" s="34"/>
      <c r="B42" s="49">
        <v>14</v>
      </c>
      <c r="C42" s="19" t="s">
        <v>409</v>
      </c>
      <c r="D42" s="20"/>
      <c r="E42" s="20"/>
      <c r="F42" s="4"/>
      <c r="G42" s="5"/>
      <c r="H42" s="2">
        <v>0</v>
      </c>
      <c r="I42" s="2">
        <v>0</v>
      </c>
      <c r="J42" s="2">
        <f>ROUND(-'C-7,8,9 CIP - Debt Service'!J118,2)</f>
        <v>0</v>
      </c>
      <c r="K42" s="2">
        <f>ROUND(-'C-7,8,9 CIP - Debt Service'!K118,2)</f>
        <v>0</v>
      </c>
      <c r="L42" s="2">
        <f>ROUND(-'C-7,8,9 CIP - Debt Service'!L118,2)</f>
        <v>0</v>
      </c>
      <c r="M42" s="2">
        <f>ROUND(-'C-7,8,9 CIP - Debt Service'!M118,2)</f>
        <v>0</v>
      </c>
      <c r="N42" s="428"/>
      <c r="O42" s="293" t="s">
        <v>187</v>
      </c>
      <c r="P42" s="445"/>
    </row>
    <row r="43" spans="1:16" ht="15.75" customHeight="1">
      <c r="A43" s="34"/>
      <c r="B43" s="51" t="s">
        <v>135</v>
      </c>
      <c r="C43" s="40" t="s">
        <v>409</v>
      </c>
      <c r="D43" s="41"/>
      <c r="E43" s="41"/>
      <c r="F43" s="41"/>
      <c r="G43" s="46"/>
      <c r="H43" s="146">
        <f t="shared" ref="H43:M43" si="8">H42</f>
        <v>0</v>
      </c>
      <c r="I43" s="146">
        <f t="shared" si="8"/>
        <v>0</v>
      </c>
      <c r="J43" s="146">
        <f t="shared" si="8"/>
        <v>0</v>
      </c>
      <c r="K43" s="146">
        <f t="shared" si="8"/>
        <v>0</v>
      </c>
      <c r="L43" s="146">
        <f t="shared" si="8"/>
        <v>0</v>
      </c>
      <c r="M43" s="146">
        <f t="shared" si="8"/>
        <v>0</v>
      </c>
      <c r="N43" s="163"/>
      <c r="O43" s="154" t="s">
        <v>188</v>
      </c>
      <c r="P43" s="445"/>
    </row>
    <row r="44" spans="1:16" ht="15.75" customHeight="1">
      <c r="A44" s="34"/>
      <c r="B44" s="49">
        <v>15</v>
      </c>
      <c r="C44" s="3" t="s">
        <v>67</v>
      </c>
      <c r="D44" s="4"/>
      <c r="E44" s="4"/>
      <c r="F44" s="4"/>
      <c r="G44" s="5"/>
      <c r="H44" s="2">
        <f t="shared" ref="H44:J45" si="9">H21+H23+H25+H27+H29+H31+H38+H40+H42</f>
        <v>29643.724000000002</v>
      </c>
      <c r="I44" s="2">
        <f t="shared" si="9"/>
        <v>29726.103999999999</v>
      </c>
      <c r="J44" s="2">
        <f t="shared" si="9"/>
        <v>29624.286</v>
      </c>
      <c r="K44" s="2">
        <f t="shared" ref="K44:M45" si="10">K21+K23+K25+K27+K29+K31+K38+K40+K42</f>
        <v>29533.476999999999</v>
      </c>
      <c r="L44" s="2">
        <f>L21+L23+L25+L27+L29+L31+L38+L40+L42</f>
        <v>29485.591999999997</v>
      </c>
      <c r="M44" s="2">
        <f>M21+M23+M25+M27+M29+M31+M38+M40+M42</f>
        <v>29437.879000000001</v>
      </c>
      <c r="N44" s="429"/>
      <c r="O44" s="425" t="s">
        <v>197</v>
      </c>
      <c r="P44" s="445"/>
    </row>
    <row r="45" spans="1:16" ht="15.75" customHeight="1">
      <c r="A45" s="34"/>
      <c r="B45" s="51" t="s">
        <v>131</v>
      </c>
      <c r="C45" s="40" t="s">
        <v>67</v>
      </c>
      <c r="D45" s="41"/>
      <c r="E45" s="41"/>
      <c r="F45" s="41"/>
      <c r="G45" s="46"/>
      <c r="H45" s="52">
        <f t="shared" si="9"/>
        <v>30512.179999999997</v>
      </c>
      <c r="I45" s="52">
        <f t="shared" si="9"/>
        <v>39773.55999999999</v>
      </c>
      <c r="J45" s="52">
        <f t="shared" si="9"/>
        <v>39941.74</v>
      </c>
      <c r="K45" s="52">
        <f t="shared" si="10"/>
        <v>30401.929999999997</v>
      </c>
      <c r="L45" s="52">
        <f t="shared" si="10"/>
        <v>30354.039999999997</v>
      </c>
      <c r="M45" s="52">
        <f t="shared" si="10"/>
        <v>30306.329999999998</v>
      </c>
      <c r="N45" s="34"/>
      <c r="O45" s="157" t="s">
        <v>198</v>
      </c>
      <c r="P45" s="445"/>
    </row>
    <row r="46" spans="1:16" ht="15.75" customHeight="1">
      <c r="A46" s="34"/>
      <c r="B46" s="47"/>
      <c r="C46" s="48" t="s">
        <v>37</v>
      </c>
      <c r="D46" s="48"/>
      <c r="E46" s="48"/>
      <c r="F46" s="48"/>
      <c r="G46" s="48"/>
      <c r="H46" s="85"/>
      <c r="I46" s="85"/>
      <c r="J46" s="85"/>
      <c r="K46" s="85"/>
      <c r="L46" s="85"/>
      <c r="M46" s="85"/>
      <c r="N46" s="311"/>
      <c r="O46" s="85"/>
      <c r="P46" s="445"/>
    </row>
    <row r="47" spans="1:16" ht="15.75" customHeight="1">
      <c r="A47" s="34"/>
      <c r="B47" s="49">
        <v>16</v>
      </c>
      <c r="C47" s="19" t="s">
        <v>410</v>
      </c>
      <c r="D47" s="20"/>
      <c r="E47" s="20"/>
      <c r="F47" s="4"/>
      <c r="G47" s="5"/>
      <c r="H47" s="2">
        <v>81.972999999999999</v>
      </c>
      <c r="I47" s="2">
        <v>394.21199999999999</v>
      </c>
      <c r="J47" s="2">
        <v>930.36199999999997</v>
      </c>
      <c r="K47" s="2">
        <v>1992.925</v>
      </c>
      <c r="L47" s="2">
        <v>3405.866</v>
      </c>
      <c r="M47" s="2">
        <v>4718.8389999999999</v>
      </c>
      <c r="N47" s="428"/>
      <c r="O47" s="425" t="s">
        <v>187</v>
      </c>
      <c r="P47" s="445"/>
    </row>
    <row r="48" spans="1:16" ht="15.75" customHeight="1">
      <c r="A48" s="34"/>
      <c r="B48" s="51" t="s">
        <v>130</v>
      </c>
      <c r="C48" s="40" t="s">
        <v>410</v>
      </c>
      <c r="D48" s="41"/>
      <c r="E48" s="41"/>
      <c r="F48" s="41"/>
      <c r="G48" s="46"/>
      <c r="H48" s="146">
        <f t="shared" ref="H48:M50" si="11">ROUND(H47,2)</f>
        <v>81.97</v>
      </c>
      <c r="I48" s="146">
        <f t="shared" si="11"/>
        <v>394.21</v>
      </c>
      <c r="J48" s="146">
        <f t="shared" si="11"/>
        <v>930.36</v>
      </c>
      <c r="K48" s="146">
        <f t="shared" si="11"/>
        <v>1992.93</v>
      </c>
      <c r="L48" s="146">
        <f t="shared" si="11"/>
        <v>3405.87</v>
      </c>
      <c r="M48" s="146">
        <f t="shared" si="11"/>
        <v>4718.84</v>
      </c>
      <c r="N48" s="163"/>
      <c r="O48" s="154" t="s">
        <v>188</v>
      </c>
      <c r="P48" s="445"/>
    </row>
    <row r="49" spans="1:19" ht="15.75" customHeight="1">
      <c r="A49" s="34"/>
      <c r="B49" s="49">
        <v>17</v>
      </c>
      <c r="C49" s="19" t="s">
        <v>68</v>
      </c>
      <c r="D49" s="20"/>
      <c r="E49" s="20"/>
      <c r="F49" s="4"/>
      <c r="G49" s="5"/>
      <c r="H49" s="327">
        <v>3649.672</v>
      </c>
      <c r="I49" s="2">
        <v>3925.973</v>
      </c>
      <c r="J49" s="2">
        <v>4043.1390000000001</v>
      </c>
      <c r="K49" s="2">
        <v>4131.8419999999996</v>
      </c>
      <c r="L49" s="2">
        <v>4241.9049999999997</v>
      </c>
      <c r="M49" s="2">
        <v>4375.8220000000001</v>
      </c>
      <c r="N49" s="428"/>
      <c r="O49" s="425" t="s">
        <v>187</v>
      </c>
      <c r="P49" s="445"/>
    </row>
    <row r="50" spans="1:19" ht="15.75" customHeight="1">
      <c r="A50" s="34"/>
      <c r="B50" s="51" t="s">
        <v>147</v>
      </c>
      <c r="C50" s="40" t="s">
        <v>68</v>
      </c>
      <c r="D50" s="41"/>
      <c r="E50" s="41"/>
      <c r="F50" s="41"/>
      <c r="G50" s="46"/>
      <c r="H50" s="146">
        <f t="shared" si="11"/>
        <v>3649.67</v>
      </c>
      <c r="I50" s="146">
        <f t="shared" si="11"/>
        <v>3925.97</v>
      </c>
      <c r="J50" s="146">
        <f t="shared" si="11"/>
        <v>4043.14</v>
      </c>
      <c r="K50" s="146">
        <f t="shared" si="11"/>
        <v>4131.84</v>
      </c>
      <c r="L50" s="146">
        <f t="shared" si="11"/>
        <v>4241.91</v>
      </c>
      <c r="M50" s="146">
        <f t="shared" si="11"/>
        <v>4375.82</v>
      </c>
      <c r="N50" s="163"/>
      <c r="O50" s="154" t="s">
        <v>188</v>
      </c>
      <c r="P50" s="445"/>
    </row>
    <row r="51" spans="1:19" ht="15.75" customHeight="1">
      <c r="A51" s="34"/>
      <c r="B51" s="49">
        <v>18</v>
      </c>
      <c r="C51" s="19" t="s">
        <v>69</v>
      </c>
      <c r="D51" s="20"/>
      <c r="E51" s="20"/>
      <c r="F51" s="4"/>
      <c r="G51" s="5"/>
      <c r="H51" s="327">
        <v>2618.7600000000002</v>
      </c>
      <c r="I51" s="2">
        <v>2658.76</v>
      </c>
      <c r="J51" s="2">
        <v>2771.76</v>
      </c>
      <c r="K51" s="2">
        <v>2869.76</v>
      </c>
      <c r="L51" s="2">
        <v>2986.76</v>
      </c>
      <c r="M51" s="2">
        <v>3104.76</v>
      </c>
      <c r="N51" s="428"/>
      <c r="O51" s="425" t="s">
        <v>187</v>
      </c>
      <c r="P51" s="445"/>
    </row>
    <row r="52" spans="1:19" ht="15.75" customHeight="1">
      <c r="A52" s="34"/>
      <c r="B52" s="51" t="s">
        <v>129</v>
      </c>
      <c r="C52" s="40" t="s">
        <v>69</v>
      </c>
      <c r="D52" s="41"/>
      <c r="E52" s="41"/>
      <c r="F52" s="41"/>
      <c r="G52" s="46"/>
      <c r="H52" s="146">
        <f t="shared" ref="H52:M52" si="12">ROUND(H51,2)</f>
        <v>2618.7600000000002</v>
      </c>
      <c r="I52" s="356">
        <f t="shared" si="12"/>
        <v>2658.76</v>
      </c>
      <c r="J52" s="146">
        <f t="shared" si="12"/>
        <v>2771.76</v>
      </c>
      <c r="K52" s="146">
        <f t="shared" si="12"/>
        <v>2869.76</v>
      </c>
      <c r="L52" s="146">
        <f t="shared" si="12"/>
        <v>2986.76</v>
      </c>
      <c r="M52" s="146">
        <f t="shared" si="12"/>
        <v>3104.76</v>
      </c>
      <c r="N52" s="163"/>
      <c r="O52" s="154" t="s">
        <v>188</v>
      </c>
      <c r="P52" s="445"/>
    </row>
    <row r="53" spans="1:19" ht="3" customHeight="1">
      <c r="B53" s="54"/>
      <c r="C53" s="55"/>
      <c r="D53" s="55"/>
      <c r="E53" s="55"/>
      <c r="F53" s="55"/>
      <c r="G53" s="55"/>
      <c r="H53" s="56"/>
      <c r="I53" s="56"/>
      <c r="J53" s="56"/>
      <c r="K53" s="56"/>
      <c r="L53" s="56"/>
      <c r="M53" s="56"/>
      <c r="N53" s="308"/>
      <c r="O53" s="56"/>
      <c r="P53" s="445"/>
    </row>
    <row r="54" spans="1:19" ht="16.5" customHeight="1">
      <c r="A54" s="34"/>
      <c r="B54" s="49">
        <v>19</v>
      </c>
      <c r="C54" s="3" t="s">
        <v>413</v>
      </c>
      <c r="D54" s="4"/>
      <c r="E54" s="4"/>
      <c r="F54" s="4"/>
      <c r="G54" s="5"/>
      <c r="H54" s="2">
        <f>ROUND(H47,2)+ROUND(H49,2)+ROUND(H51,2)</f>
        <v>6350.4</v>
      </c>
      <c r="I54" s="2">
        <f t="shared" ref="I54:L54" si="13">ROUND(I47,2)+ROUND(I49,2)+ROUND(I51,2)</f>
        <v>6978.94</v>
      </c>
      <c r="J54" s="2">
        <f t="shared" si="13"/>
        <v>7745.26</v>
      </c>
      <c r="K54" s="2">
        <f t="shared" si="13"/>
        <v>8994.5300000000007</v>
      </c>
      <c r="L54" s="2">
        <f t="shared" si="13"/>
        <v>10634.54</v>
      </c>
      <c r="M54" s="2">
        <f>ROUND(M47,2)+ROUND(M49,2)+ROUND(M51,2)</f>
        <v>12199.42</v>
      </c>
      <c r="N54" s="428"/>
      <c r="O54" s="425" t="s">
        <v>250</v>
      </c>
      <c r="P54" s="445"/>
    </row>
    <row r="55" spans="1:19" ht="16.5" customHeight="1">
      <c r="A55" s="34"/>
      <c r="B55" s="51" t="s">
        <v>125</v>
      </c>
      <c r="C55" s="40" t="s">
        <v>413</v>
      </c>
      <c r="D55" s="41"/>
      <c r="E55" s="41"/>
      <c r="F55" s="41"/>
      <c r="G55" s="46"/>
      <c r="H55" s="146">
        <f>ROUND(H48,2)+ROUND(H50,2)+ROUND(H52,2)</f>
        <v>6350.4</v>
      </c>
      <c r="I55" s="146">
        <f t="shared" ref="I55:M55" si="14">ROUND(I48,2)+ROUND(I50,2)+ROUND(I52,2)</f>
        <v>6978.94</v>
      </c>
      <c r="J55" s="146">
        <f t="shared" si="14"/>
        <v>7745.26</v>
      </c>
      <c r="K55" s="146">
        <f t="shared" si="14"/>
        <v>8994.5300000000007</v>
      </c>
      <c r="L55" s="146">
        <f t="shared" si="14"/>
        <v>10634.54</v>
      </c>
      <c r="M55" s="146">
        <f t="shared" si="14"/>
        <v>12199.42</v>
      </c>
      <c r="N55" s="163"/>
      <c r="O55" s="279" t="s">
        <v>473</v>
      </c>
      <c r="P55" s="445"/>
    </row>
    <row r="56" spans="1:19">
      <c r="A56" s="34"/>
      <c r="B56" s="49">
        <v>20</v>
      </c>
      <c r="C56" s="19" t="s">
        <v>70</v>
      </c>
      <c r="D56" s="20"/>
      <c r="E56" s="20"/>
      <c r="F56" s="20"/>
      <c r="G56" s="21"/>
      <c r="H56" s="10">
        <f t="shared" ref="H56:J57" si="15">H17+H54+H44</f>
        <v>925711.50399999996</v>
      </c>
      <c r="I56" s="10">
        <f t="shared" si="15"/>
        <v>940167.39399999997</v>
      </c>
      <c r="J56" s="10">
        <f t="shared" si="15"/>
        <v>936746.18599999999</v>
      </c>
      <c r="K56" s="10">
        <f t="shared" ref="K56:M57" si="16">K17+K54+K44</f>
        <v>931772.59700000007</v>
      </c>
      <c r="L56" s="10">
        <f t="shared" si="16"/>
        <v>918261.45200000005</v>
      </c>
      <c r="M56" s="10">
        <f t="shared" si="16"/>
        <v>916385.4090000001</v>
      </c>
      <c r="N56" s="428"/>
      <c r="O56" s="425" t="s">
        <v>199</v>
      </c>
      <c r="P56" s="445"/>
    </row>
    <row r="57" spans="1:19">
      <c r="B57" s="73" t="s">
        <v>126</v>
      </c>
      <c r="C57" s="74" t="s">
        <v>70</v>
      </c>
      <c r="D57" s="75"/>
      <c r="E57" s="75"/>
      <c r="F57" s="75"/>
      <c r="G57" s="76"/>
      <c r="H57" s="77">
        <f t="shared" si="15"/>
        <v>929667.77</v>
      </c>
      <c r="I57" s="77">
        <f t="shared" si="15"/>
        <v>953929.49999999988</v>
      </c>
      <c r="J57" s="77">
        <f t="shared" si="15"/>
        <v>951175</v>
      </c>
      <c r="K57" s="77">
        <f t="shared" si="16"/>
        <v>937179.21000000008</v>
      </c>
      <c r="L57" s="77">
        <f t="shared" si="16"/>
        <v>922044.58000000007</v>
      </c>
      <c r="M57" s="77">
        <f t="shared" si="16"/>
        <v>921103.75</v>
      </c>
      <c r="N57" s="313"/>
      <c r="O57" s="157" t="s">
        <v>200</v>
      </c>
      <c r="P57" s="445"/>
    </row>
    <row r="58" spans="1:19" ht="3" customHeight="1">
      <c r="B58" s="118"/>
      <c r="C58" s="119"/>
      <c r="D58" s="119"/>
      <c r="E58" s="119"/>
      <c r="F58" s="119"/>
      <c r="G58" s="119"/>
      <c r="H58" s="120"/>
      <c r="I58" s="120"/>
      <c r="J58" s="120"/>
      <c r="K58" s="120"/>
      <c r="L58" s="120"/>
      <c r="M58" s="120"/>
      <c r="N58" s="120"/>
      <c r="O58" s="120"/>
      <c r="P58"/>
    </row>
    <row r="59" spans="1:19">
      <c r="C59" s="87" t="s">
        <v>71</v>
      </c>
      <c r="P59" s="445"/>
    </row>
    <row r="60" spans="1:19">
      <c r="C60" s="88" t="s">
        <v>411</v>
      </c>
      <c r="L60" s="726" t="s">
        <v>275</v>
      </c>
      <c r="M60" s="727"/>
      <c r="N60" s="727"/>
      <c r="O60" s="727"/>
      <c r="P60" s="456"/>
      <c r="Q60" s="427"/>
      <c r="R60" s="427"/>
      <c r="S60"/>
    </row>
    <row r="61" spans="1:19">
      <c r="C61" s="87" t="s">
        <v>412</v>
      </c>
      <c r="P61" s="445"/>
    </row>
    <row r="62" spans="1:19">
      <c r="C62" s="87" t="s">
        <v>72</v>
      </c>
      <c r="P62" s="445"/>
    </row>
    <row r="63" spans="1:19">
      <c r="C63" s="87"/>
      <c r="P63" s="445"/>
    </row>
    <row r="64" spans="1:19" ht="15.75" hidden="1" customHeight="1">
      <c r="B64" s="714" t="s">
        <v>383</v>
      </c>
      <c r="C64" s="715"/>
      <c r="D64" s="715"/>
      <c r="E64" s="715"/>
      <c r="F64" s="715"/>
      <c r="G64" s="715"/>
      <c r="H64" s="715"/>
      <c r="I64" s="715"/>
      <c r="J64" s="715"/>
      <c r="K64" s="715"/>
      <c r="L64" s="715"/>
      <c r="M64" s="715"/>
      <c r="N64" s="715"/>
      <c r="O64" s="716"/>
      <c r="P64"/>
    </row>
    <row r="65" spans="2:16" hidden="1">
      <c r="B65" s="717"/>
      <c r="C65" s="718"/>
      <c r="D65" s="718"/>
      <c r="E65" s="718"/>
      <c r="F65" s="718"/>
      <c r="G65" s="718"/>
      <c r="H65" s="718"/>
      <c r="I65" s="718"/>
      <c r="J65" s="718"/>
      <c r="K65" s="718"/>
      <c r="L65" s="718"/>
      <c r="M65" s="718"/>
      <c r="N65" s="718"/>
      <c r="O65" s="719"/>
      <c r="P65"/>
    </row>
    <row r="66" spans="2:16" hidden="1">
      <c r="B66" s="717"/>
      <c r="C66" s="718"/>
      <c r="D66" s="718"/>
      <c r="E66" s="718"/>
      <c r="F66" s="718"/>
      <c r="G66" s="718"/>
      <c r="H66" s="718"/>
      <c r="I66" s="718"/>
      <c r="J66" s="718"/>
      <c r="K66" s="718"/>
      <c r="L66" s="718"/>
      <c r="M66" s="718"/>
      <c r="N66" s="718"/>
      <c r="O66" s="719"/>
    </row>
    <row r="67" spans="2:16" hidden="1">
      <c r="B67" s="717"/>
      <c r="C67" s="718"/>
      <c r="D67" s="718"/>
      <c r="E67" s="718"/>
      <c r="F67" s="718"/>
      <c r="G67" s="718"/>
      <c r="H67" s="718"/>
      <c r="I67" s="718"/>
      <c r="J67" s="718"/>
      <c r="K67" s="718"/>
      <c r="L67" s="718"/>
      <c r="M67" s="718"/>
      <c r="N67" s="718"/>
      <c r="O67" s="719"/>
    </row>
    <row r="68" spans="2:16" hidden="1">
      <c r="B68" s="720"/>
      <c r="C68" s="721"/>
      <c r="D68" s="721"/>
      <c r="E68" s="721"/>
      <c r="F68" s="721"/>
      <c r="G68" s="721"/>
      <c r="H68" s="721"/>
      <c r="I68" s="721"/>
      <c r="J68" s="721"/>
      <c r="K68" s="721"/>
      <c r="L68" s="721"/>
      <c r="M68" s="721"/>
      <c r="N68" s="721"/>
      <c r="O68" s="722"/>
    </row>
  </sheetData>
  <mergeCells count="6">
    <mergeCell ref="B64:O68"/>
    <mergeCell ref="B3:O3"/>
    <mergeCell ref="B1:O1"/>
    <mergeCell ref="B2:O2"/>
    <mergeCell ref="B33:O37"/>
    <mergeCell ref="L60:O60"/>
  </mergeCells>
  <phoneticPr fontId="25" type="noConversion"/>
  <pageMargins left="0.2" right="0.2" top="0.25" bottom="0.2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FF00"/>
  </sheetPr>
  <dimension ref="A1:P56"/>
  <sheetViews>
    <sheetView topLeftCell="A11" zoomScale="115" zoomScaleNormal="115" zoomScaleSheetLayoutView="90" workbookViewId="0">
      <selection activeCell="A51" sqref="A51:XFD55"/>
    </sheetView>
  </sheetViews>
  <sheetFormatPr defaultColWidth="9" defaultRowHeight="15.6"/>
  <cols>
    <col min="1" max="1" width="2.09765625" style="32" customWidth="1"/>
    <col min="2" max="2" width="8.09765625" style="32" customWidth="1"/>
    <col min="3" max="3" width="9.59765625" style="32" customWidth="1"/>
    <col min="4" max="4" width="6.59765625" style="32" customWidth="1"/>
    <col min="5" max="5" width="3.09765625" style="32" customWidth="1"/>
    <col min="6" max="6" width="2.09765625" style="32" customWidth="1"/>
    <col min="7" max="12" width="9.09765625" style="32" customWidth="1"/>
    <col min="13" max="13" width="2.09765625" style="32" hidden="1" customWidth="1"/>
    <col min="14" max="14" width="29.59765625" style="32" hidden="1" customWidth="1"/>
    <col min="15" max="256" width="11" style="32" customWidth="1"/>
    <col min="257" max="16384" width="9" style="32"/>
  </cols>
  <sheetData>
    <row r="1" spans="2:16" ht="17.399999999999999">
      <c r="B1" s="690" t="s">
        <v>248</v>
      </c>
      <c r="C1" s="725"/>
      <c r="D1" s="725"/>
      <c r="E1" s="725"/>
      <c r="F1" s="725"/>
      <c r="G1" s="725"/>
      <c r="H1" s="725"/>
      <c r="I1" s="725"/>
      <c r="J1" s="725"/>
      <c r="K1" s="725"/>
      <c r="L1" s="725"/>
      <c r="M1" s="725"/>
      <c r="N1" s="731"/>
    </row>
    <row r="2" spans="2:16" ht="17.399999999999999">
      <c r="B2" s="692" t="s">
        <v>5</v>
      </c>
      <c r="C2" s="693"/>
      <c r="D2" s="693"/>
      <c r="E2" s="693"/>
      <c r="F2" s="693"/>
      <c r="G2" s="693"/>
      <c r="H2" s="693"/>
      <c r="I2" s="693"/>
      <c r="J2" s="693"/>
      <c r="K2" s="693"/>
      <c r="L2" s="693"/>
      <c r="M2" s="693"/>
      <c r="N2" s="732"/>
    </row>
    <row r="3" spans="2:16" s="324" customFormat="1" ht="18.75" hidden="1" customHeight="1">
      <c r="B3" s="728" t="s">
        <v>269</v>
      </c>
      <c r="C3" s="729"/>
      <c r="D3" s="729"/>
      <c r="E3" s="729"/>
      <c r="F3" s="729"/>
      <c r="G3" s="729"/>
      <c r="H3" s="729"/>
      <c r="I3" s="729"/>
      <c r="J3" s="729"/>
      <c r="K3" s="729"/>
      <c r="L3" s="729"/>
      <c r="M3" s="729"/>
      <c r="N3" s="730"/>
      <c r="O3" s="455"/>
    </row>
    <row r="4" spans="2:16" ht="17.399999999999999">
      <c r="B4" s="90" t="s">
        <v>6</v>
      </c>
      <c r="C4" s="91"/>
      <c r="D4" s="91"/>
      <c r="E4" s="91"/>
      <c r="F4" s="93"/>
      <c r="G4" s="93" t="s">
        <v>301</v>
      </c>
      <c r="H4" s="93"/>
      <c r="I4" s="93"/>
      <c r="J4" s="93"/>
      <c r="K4" s="93"/>
      <c r="L4" s="93"/>
      <c r="M4" s="156"/>
      <c r="N4" s="156"/>
      <c r="O4" s="313"/>
    </row>
    <row r="5" spans="2:16" ht="17.399999999999999">
      <c r="B5" s="94" t="s">
        <v>7</v>
      </c>
      <c r="C5" s="18" t="s">
        <v>0</v>
      </c>
      <c r="D5" s="18"/>
      <c r="E5" s="18"/>
      <c r="F5" s="95"/>
      <c r="G5" s="95">
        <v>2025</v>
      </c>
      <c r="H5" s="95">
        <v>2026</v>
      </c>
      <c r="I5" s="95">
        <v>2027</v>
      </c>
      <c r="J5" s="95">
        <v>2028</v>
      </c>
      <c r="K5" s="95">
        <v>2029</v>
      </c>
      <c r="L5" s="95">
        <v>2030</v>
      </c>
      <c r="M5" s="156"/>
      <c r="N5" s="156"/>
      <c r="O5" s="313"/>
    </row>
    <row r="6" spans="2:16" ht="8.25" customHeight="1">
      <c r="B6" s="97"/>
      <c r="C6" s="34"/>
      <c r="D6" s="34"/>
      <c r="E6" s="34"/>
      <c r="F6" s="34"/>
      <c r="G6" s="34"/>
      <c r="H6" s="34"/>
      <c r="I6" s="34"/>
      <c r="J6" s="34"/>
      <c r="K6" s="34"/>
      <c r="L6" s="34"/>
      <c r="N6" s="414"/>
      <c r="O6" s="313"/>
    </row>
    <row r="7" spans="2:16">
      <c r="B7" s="107"/>
      <c r="C7" s="63" t="s">
        <v>73</v>
      </c>
      <c r="D7" s="63"/>
      <c r="E7" s="63"/>
      <c r="F7" s="63"/>
      <c r="G7" s="108"/>
      <c r="H7" s="108"/>
      <c r="I7" s="108"/>
      <c r="J7" s="108"/>
      <c r="K7" s="108"/>
      <c r="L7" s="108"/>
      <c r="M7" s="155"/>
      <c r="N7" s="526" t="s">
        <v>186</v>
      </c>
      <c r="O7" s="313"/>
    </row>
    <row r="8" spans="2:16">
      <c r="B8" s="49">
        <v>1</v>
      </c>
      <c r="C8" s="3" t="s">
        <v>74</v>
      </c>
      <c r="D8" s="4"/>
      <c r="E8" s="4"/>
      <c r="F8" s="5"/>
      <c r="G8" s="10">
        <v>190650.98882740183</v>
      </c>
      <c r="H8" s="10">
        <v>200283.20871957828</v>
      </c>
      <c r="I8" s="84">
        <v>211943.95505236008</v>
      </c>
      <c r="J8" s="84">
        <v>221388.21956427328</v>
      </c>
      <c r="K8" s="84">
        <v>231305.98709700565</v>
      </c>
      <c r="L8" s="84">
        <v>241600.02798723616</v>
      </c>
      <c r="M8" s="424"/>
      <c r="N8" s="430" t="s">
        <v>187</v>
      </c>
      <c r="O8" s="445"/>
      <c r="P8"/>
    </row>
    <row r="9" spans="2:16">
      <c r="B9" s="51" t="s">
        <v>120</v>
      </c>
      <c r="C9" s="40" t="s">
        <v>74</v>
      </c>
      <c r="D9" s="41"/>
      <c r="E9" s="41"/>
      <c r="F9" s="41"/>
      <c r="G9" s="522">
        <v>188004</v>
      </c>
      <c r="H9" s="522">
        <v>197503</v>
      </c>
      <c r="I9" s="522">
        <v>209067</v>
      </c>
      <c r="J9" s="522">
        <v>218410</v>
      </c>
      <c r="K9" s="522">
        <v>228410</v>
      </c>
      <c r="L9" s="522">
        <v>238410</v>
      </c>
      <c r="M9" s="314"/>
      <c r="N9" s="512" t="s">
        <v>138</v>
      </c>
      <c r="O9" s="445"/>
      <c r="P9"/>
    </row>
    <row r="10" spans="2:16">
      <c r="B10" s="49">
        <v>2</v>
      </c>
      <c r="C10" s="3" t="s">
        <v>75</v>
      </c>
      <c r="D10" s="4"/>
      <c r="E10" s="4"/>
      <c r="F10" s="5"/>
      <c r="G10" s="25">
        <v>151425.92199999999</v>
      </c>
      <c r="H10" s="10">
        <v>157409.06931400002</v>
      </c>
      <c r="I10" s="84">
        <v>162488.54400207388</v>
      </c>
      <c r="J10" s="84">
        <v>166860.63259140431</v>
      </c>
      <c r="K10" s="84">
        <v>171508.14879403374</v>
      </c>
      <c r="L10" s="84">
        <v>175804.4801951189</v>
      </c>
      <c r="M10" s="424"/>
      <c r="N10" s="430" t="s">
        <v>187</v>
      </c>
      <c r="O10" s="445"/>
      <c r="P10"/>
    </row>
    <row r="11" spans="2:16">
      <c r="B11" s="51" t="s">
        <v>121</v>
      </c>
      <c r="C11" s="40" t="s">
        <v>75</v>
      </c>
      <c r="D11" s="41"/>
      <c r="E11" s="41"/>
      <c r="F11" s="41"/>
      <c r="G11" s="522">
        <v>151425.92199999999</v>
      </c>
      <c r="H11" s="522">
        <v>157409.06931400002</v>
      </c>
      <c r="I11" s="522">
        <v>162488.54400207388</v>
      </c>
      <c r="J11" s="522">
        <v>166860.63259140431</v>
      </c>
      <c r="K11" s="522">
        <v>171508.14879403374</v>
      </c>
      <c r="L11" s="522">
        <v>175804.4801951189</v>
      </c>
      <c r="M11" s="314"/>
      <c r="N11" s="512" t="s">
        <v>138</v>
      </c>
      <c r="O11" s="445"/>
      <c r="P11"/>
    </row>
    <row r="12" spans="2:16" ht="3" customHeight="1">
      <c r="B12" s="54"/>
      <c r="C12" s="55"/>
      <c r="D12" s="55"/>
      <c r="E12" s="55"/>
      <c r="F12" s="55"/>
      <c r="G12" s="56"/>
      <c r="H12" s="56"/>
      <c r="I12" s="57"/>
      <c r="J12" s="57"/>
      <c r="K12" s="57"/>
      <c r="L12" s="57"/>
      <c r="M12" s="57"/>
      <c r="N12" s="57"/>
      <c r="O12" s="445"/>
      <c r="P12"/>
    </row>
    <row r="13" spans="2:16">
      <c r="B13" s="49">
        <v>3</v>
      </c>
      <c r="C13" s="3" t="s">
        <v>76</v>
      </c>
      <c r="D13" s="4"/>
      <c r="E13" s="4"/>
      <c r="F13" s="5"/>
      <c r="G13" s="10">
        <f t="shared" ref="G13:I14" si="0">ROUND(G8,2)+ROUND(G10,2)</f>
        <v>342076.91000000003</v>
      </c>
      <c r="H13" s="10">
        <f t="shared" si="0"/>
        <v>357692.28</v>
      </c>
      <c r="I13" s="84">
        <f t="shared" si="0"/>
        <v>374432.5</v>
      </c>
      <c r="J13" s="84">
        <f t="shared" ref="J13:L14" si="1">ROUND(J8,2)+ROUND(J10,2)</f>
        <v>388248.85</v>
      </c>
      <c r="K13" s="84">
        <f t="shared" si="1"/>
        <v>402814.14</v>
      </c>
      <c r="L13" s="84">
        <f t="shared" si="1"/>
        <v>417404.51</v>
      </c>
      <c r="M13" s="424"/>
      <c r="N13" s="430" t="s">
        <v>172</v>
      </c>
      <c r="O13" s="445"/>
      <c r="P13"/>
    </row>
    <row r="14" spans="2:16">
      <c r="B14" s="51" t="s">
        <v>122</v>
      </c>
      <c r="C14" s="40" t="s">
        <v>76</v>
      </c>
      <c r="D14" s="41"/>
      <c r="E14" s="41"/>
      <c r="F14" s="46"/>
      <c r="G14" s="37">
        <f t="shared" si="0"/>
        <v>339429.92000000004</v>
      </c>
      <c r="H14" s="37">
        <f t="shared" si="0"/>
        <v>354912.07</v>
      </c>
      <c r="I14" s="52">
        <f t="shared" si="0"/>
        <v>371555.54000000004</v>
      </c>
      <c r="J14" s="52">
        <f t="shared" si="1"/>
        <v>385270.63</v>
      </c>
      <c r="K14" s="52">
        <f t="shared" si="1"/>
        <v>399918.15</v>
      </c>
      <c r="L14" s="52">
        <f t="shared" si="1"/>
        <v>414214.48</v>
      </c>
      <c r="M14" s="313"/>
      <c r="N14" s="447" t="s">
        <v>173</v>
      </c>
      <c r="O14" s="445"/>
      <c r="P14"/>
    </row>
    <row r="15" spans="2:16">
      <c r="B15" s="49"/>
      <c r="C15" s="13" t="s">
        <v>77</v>
      </c>
      <c r="D15" s="4"/>
      <c r="E15" s="4"/>
      <c r="F15" s="5"/>
      <c r="G15" s="10"/>
      <c r="H15" s="10"/>
      <c r="I15" s="84"/>
      <c r="J15" s="84"/>
      <c r="K15" s="84"/>
      <c r="L15" s="84"/>
      <c r="M15" s="424"/>
      <c r="N15" s="430"/>
      <c r="O15" s="445"/>
      <c r="P15"/>
    </row>
    <row r="16" spans="2:16">
      <c r="B16" s="49">
        <v>4</v>
      </c>
      <c r="C16" s="3" t="s">
        <v>78</v>
      </c>
      <c r="D16" s="4"/>
      <c r="E16" s="4"/>
      <c r="F16" s="5"/>
      <c r="G16" s="10">
        <v>20134.076472565168</v>
      </c>
      <c r="H16" s="10">
        <v>21442.791443281902</v>
      </c>
      <c r="I16" s="84">
        <v>22021.746812250509</v>
      </c>
      <c r="J16" s="84">
        <v>22550.268735744521</v>
      </c>
      <c r="K16" s="84">
        <v>23136.57572287388</v>
      </c>
      <c r="L16" s="84">
        <v>23876.946146005845</v>
      </c>
      <c r="M16" s="424"/>
      <c r="N16" s="430" t="s">
        <v>187</v>
      </c>
      <c r="O16" s="445"/>
      <c r="P16"/>
    </row>
    <row r="17" spans="2:16">
      <c r="B17" s="51" t="s">
        <v>123</v>
      </c>
      <c r="C17" s="40" t="s">
        <v>78</v>
      </c>
      <c r="D17" s="41"/>
      <c r="E17" s="41"/>
      <c r="F17" s="41"/>
      <c r="G17" s="522">
        <v>20134.076472565168</v>
      </c>
      <c r="H17" s="522">
        <v>20678</v>
      </c>
      <c r="I17" s="522">
        <v>21236</v>
      </c>
      <c r="J17" s="522">
        <v>21746</v>
      </c>
      <c r="K17" s="522">
        <v>22311</v>
      </c>
      <c r="L17" s="522">
        <v>23025</v>
      </c>
      <c r="M17" s="527"/>
      <c r="N17" s="512" t="s">
        <v>138</v>
      </c>
      <c r="O17" s="445"/>
      <c r="P17"/>
    </row>
    <row r="18" spans="2:16">
      <c r="B18" s="49">
        <v>5</v>
      </c>
      <c r="C18" s="3" t="s">
        <v>79</v>
      </c>
      <c r="D18" s="4"/>
      <c r="E18" s="4"/>
      <c r="F18" s="5"/>
      <c r="G18" s="10">
        <v>7187.2682924314304</v>
      </c>
      <c r="H18" s="10">
        <v>7309.4518534027638</v>
      </c>
      <c r="I18" s="84">
        <v>7652.9960905126927</v>
      </c>
      <c r="J18" s="84">
        <v>7882.5859732280742</v>
      </c>
      <c r="K18" s="84">
        <v>8056.0028646390911</v>
      </c>
      <c r="L18" s="84">
        <v>8225.1789247965116</v>
      </c>
      <c r="M18" s="424"/>
      <c r="N18" s="430" t="s">
        <v>187</v>
      </c>
      <c r="O18" s="445"/>
      <c r="P18"/>
    </row>
    <row r="19" spans="2:16">
      <c r="B19" s="51" t="s">
        <v>124</v>
      </c>
      <c r="C19" s="40" t="s">
        <v>79</v>
      </c>
      <c r="D19" s="41"/>
      <c r="E19" s="41"/>
      <c r="F19" s="41"/>
      <c r="G19" s="522">
        <v>7187.2682924314304</v>
      </c>
      <c r="H19" s="522">
        <v>7309.4518534027638</v>
      </c>
      <c r="I19" s="522">
        <v>7434</v>
      </c>
      <c r="J19" s="522">
        <v>7657</v>
      </c>
      <c r="K19" s="522">
        <v>7825</v>
      </c>
      <c r="L19" s="522">
        <v>7990</v>
      </c>
      <c r="M19" s="314"/>
      <c r="N19" s="512" t="s">
        <v>138</v>
      </c>
      <c r="O19" s="445"/>
      <c r="P19"/>
    </row>
    <row r="20" spans="2:16">
      <c r="B20" s="49">
        <v>6</v>
      </c>
      <c r="C20" s="3" t="s">
        <v>80</v>
      </c>
      <c r="D20" s="4"/>
      <c r="E20" s="4"/>
      <c r="F20" s="5"/>
      <c r="G20" s="10">
        <v>15000</v>
      </c>
      <c r="H20" s="10">
        <v>15000</v>
      </c>
      <c r="I20" s="84">
        <v>25000</v>
      </c>
      <c r="J20" s="84">
        <v>25000</v>
      </c>
      <c r="K20" s="84">
        <v>25000</v>
      </c>
      <c r="L20" s="84">
        <v>25000</v>
      </c>
      <c r="M20" s="424"/>
      <c r="N20" s="430" t="s">
        <v>187</v>
      </c>
      <c r="O20" s="445"/>
      <c r="P20"/>
    </row>
    <row r="21" spans="2:16">
      <c r="B21" s="51" t="s">
        <v>139</v>
      </c>
      <c r="C21" s="40" t="s">
        <v>80</v>
      </c>
      <c r="D21" s="41"/>
      <c r="E21" s="41"/>
      <c r="F21" s="41"/>
      <c r="G21" s="522">
        <v>15000</v>
      </c>
      <c r="H21" s="522">
        <v>15000</v>
      </c>
      <c r="I21" s="522">
        <v>15000</v>
      </c>
      <c r="J21" s="522">
        <v>25000</v>
      </c>
      <c r="K21" s="522">
        <v>25000</v>
      </c>
      <c r="L21" s="522">
        <v>25000</v>
      </c>
      <c r="M21" s="314"/>
      <c r="N21" s="512" t="s">
        <v>138</v>
      </c>
      <c r="O21" s="445"/>
      <c r="P21"/>
    </row>
    <row r="22" spans="2:16">
      <c r="B22" s="49">
        <v>7</v>
      </c>
      <c r="C22" s="3" t="s">
        <v>61</v>
      </c>
      <c r="D22" s="4"/>
      <c r="E22" s="4"/>
      <c r="F22" s="5"/>
      <c r="G22" s="10">
        <v>185583.13882503897</v>
      </c>
      <c r="H22" s="10">
        <v>202419.767163023</v>
      </c>
      <c r="I22" s="84">
        <v>209217.59701896086</v>
      </c>
      <c r="J22" s="84">
        <v>217871.53375500056</v>
      </c>
      <c r="K22" s="84">
        <v>226884.82971730351</v>
      </c>
      <c r="L22" s="84">
        <v>236272.4443629657</v>
      </c>
      <c r="M22" s="424"/>
      <c r="N22" s="430" t="s">
        <v>187</v>
      </c>
      <c r="O22" s="445"/>
      <c r="P22"/>
    </row>
    <row r="23" spans="2:16">
      <c r="B23" s="51" t="s">
        <v>140</v>
      </c>
      <c r="C23" s="40" t="s">
        <v>83</v>
      </c>
      <c r="D23" s="41"/>
      <c r="E23" s="41"/>
      <c r="F23" s="41"/>
      <c r="G23" s="522">
        <v>185583.13882503897</v>
      </c>
      <c r="H23" s="522">
        <v>200115</v>
      </c>
      <c r="I23" s="522">
        <v>204297</v>
      </c>
      <c r="J23" s="522">
        <v>212745</v>
      </c>
      <c r="K23" s="522">
        <v>221745</v>
      </c>
      <c r="L23" s="522">
        <v>230709</v>
      </c>
      <c r="M23" s="314"/>
      <c r="N23" s="512" t="s">
        <v>138</v>
      </c>
      <c r="O23" s="445"/>
      <c r="P23"/>
    </row>
    <row r="24" spans="2:16" ht="3" customHeight="1">
      <c r="B24" s="54"/>
      <c r="C24" s="55"/>
      <c r="D24" s="55"/>
      <c r="E24" s="55"/>
      <c r="F24" s="55"/>
      <c r="G24" s="56"/>
      <c r="H24" s="56"/>
      <c r="I24" s="57"/>
      <c r="J24" s="57"/>
      <c r="K24" s="57"/>
      <c r="L24" s="57"/>
      <c r="M24" s="57"/>
      <c r="N24" s="57"/>
      <c r="O24" s="445"/>
      <c r="P24"/>
    </row>
    <row r="25" spans="2:16">
      <c r="B25" s="49">
        <v>8</v>
      </c>
      <c r="C25" s="3" t="s">
        <v>76</v>
      </c>
      <c r="D25" s="4"/>
      <c r="E25" s="4"/>
      <c r="F25" s="5"/>
      <c r="G25" s="10">
        <f t="shared" ref="G25:I26" si="2">ROUND(G16,2)+ROUND(G18,2)+ROUND(G20,2)+ROUND(G22,2)</f>
        <v>227904.49000000002</v>
      </c>
      <c r="H25" s="10">
        <f t="shared" si="2"/>
        <v>246172.01</v>
      </c>
      <c r="I25" s="10">
        <f t="shared" si="2"/>
        <v>263892.34999999998</v>
      </c>
      <c r="J25" s="10">
        <f t="shared" ref="J25:L26" si="3">ROUND(J16,2)+ROUND(J18,2)+ROUND(J20,2)+ROUND(J22,2)</f>
        <v>273304.39</v>
      </c>
      <c r="K25" s="10">
        <f t="shared" si="3"/>
        <v>283077.40999999997</v>
      </c>
      <c r="L25" s="10">
        <f t="shared" si="3"/>
        <v>293374.57</v>
      </c>
      <c r="M25" s="424"/>
      <c r="N25" s="430" t="s">
        <v>171</v>
      </c>
      <c r="O25" s="445"/>
      <c r="P25"/>
    </row>
    <row r="26" spans="2:16">
      <c r="B26" s="51" t="s">
        <v>141</v>
      </c>
      <c r="C26" s="40" t="s">
        <v>76</v>
      </c>
      <c r="D26" s="41"/>
      <c r="E26" s="41"/>
      <c r="F26" s="46"/>
      <c r="G26" s="146">
        <f t="shared" si="2"/>
        <v>227904.49000000002</v>
      </c>
      <c r="H26" s="146">
        <f t="shared" si="2"/>
        <v>243102.45</v>
      </c>
      <c r="I26" s="146">
        <f t="shared" si="2"/>
        <v>247967</v>
      </c>
      <c r="J26" s="146">
        <f t="shared" si="3"/>
        <v>267148</v>
      </c>
      <c r="K26" s="146">
        <f t="shared" si="3"/>
        <v>276881</v>
      </c>
      <c r="L26" s="146">
        <f t="shared" si="3"/>
        <v>286724</v>
      </c>
      <c r="M26" s="313"/>
      <c r="N26" s="412" t="s">
        <v>297</v>
      </c>
      <c r="O26" s="445"/>
      <c r="P26"/>
    </row>
    <row r="27" spans="2:16">
      <c r="B27" s="49"/>
      <c r="C27" s="13" t="s">
        <v>81</v>
      </c>
      <c r="D27" s="4"/>
      <c r="E27" s="4"/>
      <c r="F27" s="5"/>
      <c r="G27" s="10"/>
      <c r="H27" s="10"/>
      <c r="I27" s="84"/>
      <c r="J27" s="84"/>
      <c r="K27" s="84"/>
      <c r="L27" s="84"/>
      <c r="M27" s="424"/>
      <c r="N27" s="430"/>
      <c r="O27" s="445"/>
      <c r="P27"/>
    </row>
    <row r="28" spans="2:16">
      <c r="B28" s="49">
        <v>9</v>
      </c>
      <c r="C28" s="3" t="s">
        <v>82</v>
      </c>
      <c r="D28" s="4"/>
      <c r="E28" s="4"/>
      <c r="F28" s="5"/>
      <c r="G28" s="10">
        <v>54805.312999999995</v>
      </c>
      <c r="H28" s="10">
        <v>54805.312999999995</v>
      </c>
      <c r="I28" s="84">
        <v>54805.312999999995</v>
      </c>
      <c r="J28" s="84">
        <v>56959.161800899994</v>
      </c>
      <c r="K28" s="84">
        <v>59197.656859675364</v>
      </c>
      <c r="L28" s="84">
        <v>61524.124774260592</v>
      </c>
      <c r="M28" s="424"/>
      <c r="N28" s="430" t="s">
        <v>187</v>
      </c>
      <c r="O28" s="445"/>
      <c r="P28"/>
    </row>
    <row r="29" spans="2:16">
      <c r="B29" s="51" t="s">
        <v>142</v>
      </c>
      <c r="C29" s="40" t="s">
        <v>82</v>
      </c>
      <c r="D29" s="41"/>
      <c r="E29" s="41"/>
      <c r="F29" s="41"/>
      <c r="G29" s="522">
        <v>54805.312999999995</v>
      </c>
      <c r="H29" s="522">
        <v>54805.312999999995</v>
      </c>
      <c r="I29" s="522">
        <v>54805.312999999995</v>
      </c>
      <c r="J29" s="522">
        <v>56959.161800899994</v>
      </c>
      <c r="K29" s="522">
        <v>59197.656859675364</v>
      </c>
      <c r="L29" s="522">
        <v>61524.124774260592</v>
      </c>
      <c r="M29" s="314"/>
      <c r="N29" s="512" t="s">
        <v>138</v>
      </c>
      <c r="O29" s="445"/>
      <c r="P29"/>
    </row>
    <row r="30" spans="2:16">
      <c r="B30" s="49">
        <v>10</v>
      </c>
      <c r="C30" s="3" t="s">
        <v>83</v>
      </c>
      <c r="D30" s="4"/>
      <c r="E30" s="4"/>
      <c r="F30" s="5"/>
      <c r="G30" s="10">
        <v>34085.806637363887</v>
      </c>
      <c r="H30" s="10">
        <v>35796.520725598821</v>
      </c>
      <c r="I30" s="84">
        <v>37006.443126124068</v>
      </c>
      <c r="J30" s="84">
        <v>38553.312448796045</v>
      </c>
      <c r="K30" s="84">
        <v>40164.840909155733</v>
      </c>
      <c r="L30" s="84">
        <v>41843.731259158441</v>
      </c>
      <c r="M30" s="424"/>
      <c r="N30" s="430" t="s">
        <v>187</v>
      </c>
      <c r="O30" s="445"/>
      <c r="P30"/>
    </row>
    <row r="31" spans="2:16">
      <c r="B31" s="51" t="s">
        <v>143</v>
      </c>
      <c r="C31" s="40" t="s">
        <v>83</v>
      </c>
      <c r="D31" s="41"/>
      <c r="E31" s="41"/>
      <c r="F31" s="41"/>
      <c r="G31" s="522">
        <v>34085.806637363887</v>
      </c>
      <c r="H31" s="522">
        <v>35360</v>
      </c>
      <c r="I31" s="522">
        <v>36075</v>
      </c>
      <c r="J31" s="522">
        <v>37583</v>
      </c>
      <c r="K31" s="522">
        <v>39154</v>
      </c>
      <c r="L31" s="522">
        <v>40791</v>
      </c>
      <c r="M31" s="314"/>
      <c r="N31" s="512" t="s">
        <v>138</v>
      </c>
      <c r="O31" s="313"/>
      <c r="P31"/>
    </row>
    <row r="32" spans="2:16">
      <c r="B32" s="49">
        <v>11</v>
      </c>
      <c r="C32" s="3" t="s">
        <v>76</v>
      </c>
      <c r="D32" s="4"/>
      <c r="E32" s="4"/>
      <c r="F32" s="5"/>
      <c r="G32" s="10">
        <f t="shared" ref="G32:I33" si="4">ROUND(G28,2)+ROUND(G30,2)</f>
        <v>88891.12</v>
      </c>
      <c r="H32" s="10">
        <f t="shared" si="4"/>
        <v>90601.829999999987</v>
      </c>
      <c r="I32" s="84">
        <f t="shared" si="4"/>
        <v>91811.75</v>
      </c>
      <c r="J32" s="84">
        <f t="shared" ref="J32:L33" si="5">ROUND(J28,2)+ROUND(J30,2)</f>
        <v>95512.47</v>
      </c>
      <c r="K32" s="84">
        <f t="shared" si="5"/>
        <v>99362.5</v>
      </c>
      <c r="L32" s="84">
        <f t="shared" si="5"/>
        <v>103367.85</v>
      </c>
      <c r="M32" s="424"/>
      <c r="N32" s="430" t="s">
        <v>169</v>
      </c>
      <c r="O32" s="313"/>
      <c r="P32"/>
    </row>
    <row r="33" spans="1:16">
      <c r="B33" s="51" t="s">
        <v>144</v>
      </c>
      <c r="C33" s="40" t="s">
        <v>76</v>
      </c>
      <c r="D33" s="41"/>
      <c r="E33" s="41"/>
      <c r="F33" s="46"/>
      <c r="G33" s="37">
        <f t="shared" si="4"/>
        <v>88891.12</v>
      </c>
      <c r="H33" s="37">
        <f>ROUND(H29,2)+ROUND(H31,2)</f>
        <v>90165.31</v>
      </c>
      <c r="I33" s="52">
        <f t="shared" si="4"/>
        <v>90880.31</v>
      </c>
      <c r="J33" s="52">
        <f t="shared" si="5"/>
        <v>94542.16</v>
      </c>
      <c r="K33" s="52">
        <f t="shared" si="5"/>
        <v>98351.66</v>
      </c>
      <c r="L33" s="52">
        <f t="shared" si="5"/>
        <v>102315.12</v>
      </c>
      <c r="M33" s="313"/>
      <c r="N33" s="447" t="s">
        <v>170</v>
      </c>
      <c r="O33" s="313"/>
      <c r="P33"/>
    </row>
    <row r="34" spans="1:16" hidden="1">
      <c r="A34" s="335"/>
      <c r="B34" s="714" t="s">
        <v>382</v>
      </c>
      <c r="C34" s="715"/>
      <c r="D34" s="715"/>
      <c r="E34" s="715"/>
      <c r="F34" s="715"/>
      <c r="G34" s="715"/>
      <c r="H34" s="715"/>
      <c r="I34" s="715"/>
      <c r="J34" s="715"/>
      <c r="K34" s="715"/>
      <c r="L34" s="715"/>
      <c r="M34" s="715"/>
      <c r="N34" s="716"/>
      <c r="P34"/>
    </row>
    <row r="35" spans="1:16" hidden="1">
      <c r="A35" s="336"/>
      <c r="B35" s="717"/>
      <c r="C35" s="718"/>
      <c r="D35" s="718"/>
      <c r="E35" s="718"/>
      <c r="F35" s="718"/>
      <c r="G35" s="718"/>
      <c r="H35" s="718"/>
      <c r="I35" s="718"/>
      <c r="J35" s="718"/>
      <c r="K35" s="718"/>
      <c r="L35" s="718"/>
      <c r="M35" s="718"/>
      <c r="N35" s="719"/>
      <c r="P35"/>
    </row>
    <row r="36" spans="1:16" hidden="1">
      <c r="A36" s="336"/>
      <c r="B36" s="717"/>
      <c r="C36" s="718"/>
      <c r="D36" s="718"/>
      <c r="E36" s="718"/>
      <c r="F36" s="718"/>
      <c r="G36" s="718"/>
      <c r="H36" s="718"/>
      <c r="I36" s="718"/>
      <c r="J36" s="718"/>
      <c r="K36" s="718"/>
      <c r="L36" s="718"/>
      <c r="M36" s="718"/>
      <c r="N36" s="719"/>
      <c r="P36"/>
    </row>
    <row r="37" spans="1:16" ht="33.75" hidden="1" customHeight="1">
      <c r="A37" s="336"/>
      <c r="B37" s="720"/>
      <c r="C37" s="721"/>
      <c r="D37" s="721"/>
      <c r="E37" s="721"/>
      <c r="F37" s="721"/>
      <c r="G37" s="721"/>
      <c r="H37" s="721"/>
      <c r="I37" s="721"/>
      <c r="J37" s="721"/>
      <c r="K37" s="721"/>
      <c r="L37" s="721"/>
      <c r="M37" s="721"/>
      <c r="N37" s="722"/>
      <c r="O37"/>
      <c r="P37"/>
    </row>
    <row r="38" spans="1:16" ht="3" customHeight="1">
      <c r="A38" s="337"/>
      <c r="B38" s="338"/>
      <c r="C38" s="338"/>
      <c r="D38" s="338"/>
      <c r="E38" s="338"/>
      <c r="F38" s="338"/>
      <c r="G38" s="338"/>
      <c r="H38" s="338"/>
      <c r="I38" s="338"/>
      <c r="J38" s="338"/>
      <c r="K38" s="338"/>
      <c r="L38" s="338"/>
      <c r="M38" s="338"/>
      <c r="N38" s="339"/>
      <c r="P38"/>
    </row>
    <row r="39" spans="1:16">
      <c r="B39" s="49">
        <v>12</v>
      </c>
      <c r="C39" s="3" t="s">
        <v>84</v>
      </c>
      <c r="D39" s="4"/>
      <c r="E39" s="4"/>
      <c r="F39" s="5"/>
      <c r="G39" s="10">
        <v>5960.2132753582155</v>
      </c>
      <c r="H39" s="10">
        <v>9227.6169543947653</v>
      </c>
      <c r="I39" s="84">
        <v>9417.7058636552993</v>
      </c>
      <c r="J39" s="84">
        <v>9948.8644743654568</v>
      </c>
      <c r="K39" s="84">
        <v>10509.98043071967</v>
      </c>
      <c r="L39" s="84">
        <v>11102.74332701226</v>
      </c>
      <c r="M39" s="424"/>
      <c r="N39" s="430" t="s">
        <v>187</v>
      </c>
      <c r="O39" s="445"/>
      <c r="P39"/>
    </row>
    <row r="40" spans="1:16">
      <c r="B40" s="51" t="s">
        <v>145</v>
      </c>
      <c r="C40" s="40" t="s">
        <v>84</v>
      </c>
      <c r="D40" s="41"/>
      <c r="E40" s="41"/>
      <c r="F40" s="41"/>
      <c r="G40" s="522">
        <v>5960.2132753582155</v>
      </c>
      <c r="H40" s="522">
        <v>9227.6169543947653</v>
      </c>
      <c r="I40" s="522">
        <v>9417.7058636552993</v>
      </c>
      <c r="J40" s="522">
        <v>9948.8644743654568</v>
      </c>
      <c r="K40" s="522">
        <v>10509.98043071967</v>
      </c>
      <c r="L40" s="522">
        <v>11102.74332701226</v>
      </c>
      <c r="M40" s="314"/>
      <c r="N40" s="512" t="s">
        <v>138</v>
      </c>
      <c r="O40" s="445"/>
      <c r="P40"/>
    </row>
    <row r="41" spans="1:16">
      <c r="B41" s="49">
        <v>13</v>
      </c>
      <c r="C41" s="3" t="s">
        <v>85</v>
      </c>
      <c r="D41" s="4"/>
      <c r="E41" s="4"/>
      <c r="F41" s="5"/>
      <c r="G41" s="10">
        <v>14999.586700000002</v>
      </c>
      <c r="H41" s="10">
        <v>19079.299730459999</v>
      </c>
      <c r="I41" s="84">
        <v>19487.580061349548</v>
      </c>
      <c r="J41" s="84">
        <v>20009.560907913961</v>
      </c>
      <c r="K41" s="84">
        <v>20553.360553864764</v>
      </c>
      <c r="L41" s="84">
        <v>21119.891025016317</v>
      </c>
      <c r="M41" s="424"/>
      <c r="N41" s="430" t="s">
        <v>187</v>
      </c>
      <c r="O41" s="445"/>
      <c r="P41"/>
    </row>
    <row r="42" spans="1:16">
      <c r="B42" s="51" t="s">
        <v>146</v>
      </c>
      <c r="C42" s="40" t="s">
        <v>85</v>
      </c>
      <c r="D42" s="41"/>
      <c r="E42" s="41"/>
      <c r="F42" s="41"/>
      <c r="G42" s="522">
        <v>14999.586700000002</v>
      </c>
      <c r="H42" s="522">
        <v>18809</v>
      </c>
      <c r="I42" s="522">
        <v>18938</v>
      </c>
      <c r="J42" s="522">
        <v>19437</v>
      </c>
      <c r="K42" s="522">
        <v>19957</v>
      </c>
      <c r="L42" s="522">
        <v>20498</v>
      </c>
      <c r="M42" s="314"/>
      <c r="N42" s="512" t="s">
        <v>138</v>
      </c>
      <c r="O42" s="445"/>
      <c r="P42"/>
    </row>
    <row r="43" spans="1:16" ht="16.8">
      <c r="B43" s="54"/>
      <c r="C43" s="55"/>
      <c r="D43" s="55"/>
      <c r="E43" s="55"/>
      <c r="F43" s="55"/>
      <c r="G43" s="56"/>
      <c r="H43" s="56"/>
      <c r="I43" s="56"/>
      <c r="J43" s="56"/>
      <c r="K43" s="56"/>
      <c r="L43" s="56"/>
      <c r="M43" s="56"/>
      <c r="N43" s="57"/>
      <c r="O43" s="445"/>
      <c r="P43"/>
    </row>
    <row r="44" spans="1:16">
      <c r="B44" s="49">
        <v>14</v>
      </c>
      <c r="C44" s="6" t="s">
        <v>86</v>
      </c>
      <c r="D44" s="4"/>
      <c r="E44" s="4"/>
      <c r="F44" s="5"/>
      <c r="G44" s="10">
        <f t="shared" ref="G44:L45" si="6">ROUND(G32,2)+ROUND(G25,2)+ROUND(G13,2)+ROUND(G39,2)+ROUND(G41,2)</f>
        <v>679832.32</v>
      </c>
      <c r="H44" s="10">
        <f t="shared" si="6"/>
        <v>722773.04000000015</v>
      </c>
      <c r="I44" s="10">
        <f t="shared" si="6"/>
        <v>759041.8899999999</v>
      </c>
      <c r="J44" s="10">
        <f t="shared" si="6"/>
        <v>787024.13</v>
      </c>
      <c r="K44" s="10">
        <f t="shared" si="6"/>
        <v>816317.39</v>
      </c>
      <c r="L44" s="10">
        <f t="shared" si="6"/>
        <v>846369.56</v>
      </c>
      <c r="M44" s="424"/>
      <c r="N44" s="430" t="s">
        <v>166</v>
      </c>
      <c r="O44" s="445"/>
      <c r="P44"/>
    </row>
    <row r="45" spans="1:16" ht="15.75" customHeight="1">
      <c r="B45" s="51" t="s">
        <v>135</v>
      </c>
      <c r="C45" s="40" t="s">
        <v>276</v>
      </c>
      <c r="D45" s="41"/>
      <c r="E45" s="41"/>
      <c r="F45" s="46"/>
      <c r="G45" s="146">
        <f t="shared" si="6"/>
        <v>677185.33</v>
      </c>
      <c r="H45" s="146">
        <f t="shared" si="6"/>
        <v>716216.45000000007</v>
      </c>
      <c r="I45" s="146">
        <f t="shared" si="6"/>
        <v>738758.55999999994</v>
      </c>
      <c r="J45" s="146">
        <f t="shared" si="6"/>
        <v>776346.65</v>
      </c>
      <c r="K45" s="146">
        <f t="shared" si="6"/>
        <v>805617.79</v>
      </c>
      <c r="L45" s="146">
        <f t="shared" si="6"/>
        <v>834854.34</v>
      </c>
      <c r="M45" s="313"/>
      <c r="N45" s="412" t="s">
        <v>298</v>
      </c>
      <c r="O45" s="445"/>
      <c r="P45"/>
    </row>
    <row r="46" spans="1:16">
      <c r="B46" s="49">
        <v>15</v>
      </c>
      <c r="C46" s="3" t="s">
        <v>87</v>
      </c>
      <c r="D46" s="4"/>
      <c r="E46" s="4"/>
      <c r="F46" s="5"/>
      <c r="G46" s="10">
        <v>-41357.743999999999</v>
      </c>
      <c r="H46" s="10">
        <v>-44066.5</v>
      </c>
      <c r="I46" s="84">
        <v>-45252.915000000001</v>
      </c>
      <c r="J46" s="84">
        <v>-47045.804000000004</v>
      </c>
      <c r="K46" s="84">
        <v>-48907.985000000001</v>
      </c>
      <c r="L46" s="84">
        <v>-50865.926999999996</v>
      </c>
      <c r="M46" s="424"/>
      <c r="N46" s="430" t="s">
        <v>187</v>
      </c>
      <c r="O46" s="445"/>
      <c r="P46"/>
    </row>
    <row r="47" spans="1:16">
      <c r="B47" s="51" t="s">
        <v>131</v>
      </c>
      <c r="C47" s="40" t="s">
        <v>87</v>
      </c>
      <c r="D47" s="41"/>
      <c r="E47" s="41"/>
      <c r="F47" s="46"/>
      <c r="G47" s="522">
        <v>-41357.743999999999</v>
      </c>
      <c r="H47" s="522">
        <v>-43583</v>
      </c>
      <c r="I47" s="522">
        <v>-44320</v>
      </c>
      <c r="J47" s="522">
        <v>-47045.804000000004</v>
      </c>
      <c r="K47" s="522">
        <v>-46077</v>
      </c>
      <c r="L47" s="522">
        <v>-47901</v>
      </c>
      <c r="M47" s="314"/>
      <c r="N47" s="512" t="s">
        <v>138</v>
      </c>
      <c r="O47" s="445"/>
      <c r="P47"/>
    </row>
    <row r="48" spans="1:16">
      <c r="B48" s="49">
        <v>16</v>
      </c>
      <c r="C48" s="13" t="s">
        <v>88</v>
      </c>
      <c r="D48" s="4"/>
      <c r="E48" s="4"/>
      <c r="F48" s="5"/>
      <c r="G48" s="10">
        <f>ROUND(G44,2)+ROUND(G46,2)</f>
        <v>638474.57999999996</v>
      </c>
      <c r="H48" s="10">
        <f t="shared" ref="H48:L48" si="7">H44+ROUND(H46,2)</f>
        <v>678706.54000000015</v>
      </c>
      <c r="I48" s="84">
        <f t="shared" si="7"/>
        <v>713788.96999999986</v>
      </c>
      <c r="J48" s="84">
        <f t="shared" si="7"/>
        <v>739978.33</v>
      </c>
      <c r="K48" s="84">
        <f t="shared" si="7"/>
        <v>767409.4</v>
      </c>
      <c r="L48" s="84">
        <f t="shared" si="7"/>
        <v>795503.63</v>
      </c>
      <c r="M48" s="424"/>
      <c r="N48" s="430" t="s">
        <v>167</v>
      </c>
      <c r="O48" s="313"/>
      <c r="P48"/>
    </row>
    <row r="49" spans="1:15">
      <c r="B49" s="73" t="s">
        <v>130</v>
      </c>
      <c r="C49" s="74" t="s">
        <v>88</v>
      </c>
      <c r="D49" s="75"/>
      <c r="E49" s="75"/>
      <c r="F49" s="76"/>
      <c r="G49" s="77">
        <f>ROUND(G45,2)+ROUND(G47,2)</f>
        <v>635827.59</v>
      </c>
      <c r="H49" s="77">
        <f t="shared" ref="H49:L49" si="8">ROUND(H45,2)+ROUND(H47,2)</f>
        <v>672633.45</v>
      </c>
      <c r="I49" s="77">
        <f t="shared" si="8"/>
        <v>694438.56</v>
      </c>
      <c r="J49" s="77">
        <f t="shared" si="8"/>
        <v>729300.85</v>
      </c>
      <c r="K49" s="77">
        <f t="shared" si="8"/>
        <v>759540.79</v>
      </c>
      <c r="L49" s="77">
        <f t="shared" si="8"/>
        <v>786953.34</v>
      </c>
      <c r="M49" s="445"/>
      <c r="N49" s="447" t="s">
        <v>168</v>
      </c>
      <c r="O49" s="313"/>
    </row>
    <row r="50" spans="1:15">
      <c r="B50" s="528"/>
      <c r="C50" s="119"/>
      <c r="D50" s="119"/>
      <c r="E50" s="119"/>
      <c r="F50" s="119"/>
      <c r="G50" s="120"/>
      <c r="H50" s="120"/>
      <c r="I50" s="120"/>
      <c r="J50" s="120"/>
      <c r="K50" s="120"/>
      <c r="L50" s="120"/>
      <c r="M50" s="120"/>
      <c r="N50" s="120"/>
      <c r="O50" s="313"/>
    </row>
    <row r="51" spans="1:15" hidden="1">
      <c r="A51" s="335"/>
      <c r="B51" s="714" t="s">
        <v>382</v>
      </c>
      <c r="C51" s="715"/>
      <c r="D51" s="715"/>
      <c r="E51" s="715"/>
      <c r="F51" s="715"/>
      <c r="G51" s="715"/>
      <c r="H51" s="715"/>
      <c r="I51" s="715"/>
      <c r="J51" s="715"/>
      <c r="K51" s="715"/>
      <c r="L51" s="715"/>
      <c r="M51" s="715"/>
      <c r="N51" s="716"/>
    </row>
    <row r="52" spans="1:15" hidden="1">
      <c r="A52" s="336"/>
      <c r="B52" s="717"/>
      <c r="C52" s="718"/>
      <c r="D52" s="718"/>
      <c r="E52" s="718"/>
      <c r="F52" s="718"/>
      <c r="G52" s="718"/>
      <c r="H52" s="718"/>
      <c r="I52" s="718"/>
      <c r="J52" s="718"/>
      <c r="K52" s="718"/>
      <c r="L52" s="718"/>
      <c r="M52" s="718"/>
      <c r="N52" s="719"/>
    </row>
    <row r="53" spans="1:15" hidden="1">
      <c r="A53" s="336"/>
      <c r="B53" s="717"/>
      <c r="C53" s="718"/>
      <c r="D53" s="718"/>
      <c r="E53" s="718"/>
      <c r="F53" s="718"/>
      <c r="G53" s="718"/>
      <c r="H53" s="718"/>
      <c r="I53" s="718"/>
      <c r="J53" s="718"/>
      <c r="K53" s="718"/>
      <c r="L53" s="718"/>
      <c r="M53" s="718"/>
      <c r="N53" s="719"/>
    </row>
    <row r="54" spans="1:15" hidden="1">
      <c r="A54" s="336"/>
      <c r="B54" s="717"/>
      <c r="C54" s="718"/>
      <c r="D54" s="718"/>
      <c r="E54" s="718"/>
      <c r="F54" s="718"/>
      <c r="G54" s="718"/>
      <c r="H54" s="718"/>
      <c r="I54" s="718"/>
      <c r="J54" s="718"/>
      <c r="K54" s="718"/>
      <c r="L54" s="718"/>
      <c r="M54" s="718"/>
      <c r="N54" s="719"/>
    </row>
    <row r="55" spans="1:15" ht="45" hidden="1" customHeight="1">
      <c r="A55" s="525"/>
      <c r="B55" s="720"/>
      <c r="C55" s="721"/>
      <c r="D55" s="721"/>
      <c r="E55" s="721"/>
      <c r="F55" s="721"/>
      <c r="G55" s="721"/>
      <c r="H55" s="721"/>
      <c r="I55" s="721"/>
      <c r="J55" s="721"/>
      <c r="K55" s="721"/>
      <c r="L55" s="721"/>
      <c r="M55" s="721"/>
      <c r="N55" s="722"/>
    </row>
    <row r="56" spans="1:15">
      <c r="B56" s="299"/>
      <c r="C56" s="159"/>
      <c r="D56" s="300"/>
      <c r="E56"/>
      <c r="M56"/>
    </row>
  </sheetData>
  <mergeCells count="5">
    <mergeCell ref="B51:N55"/>
    <mergeCell ref="B3:N3"/>
    <mergeCell ref="B1:N1"/>
    <mergeCell ref="B2:N2"/>
    <mergeCell ref="B34:N37"/>
  </mergeCells>
  <phoneticPr fontId="25" type="noConversion"/>
  <printOptions horizontalCentered="1"/>
  <pageMargins left="0.2" right="0.2" top="0.25" bottom="0.25" header="0.3" footer="0.3"/>
  <pageSetup scale="99" fitToHeight="2" orientation="landscape" r:id="rId1"/>
  <rowBreaks count="1" manualBreakCount="1">
    <brk id="38"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FF00"/>
  </sheetPr>
  <dimension ref="A1:AC251"/>
  <sheetViews>
    <sheetView showGridLines="0" topLeftCell="B1" zoomScale="110" zoomScaleNormal="110" zoomScaleSheetLayoutView="100" workbookViewId="0">
      <selection activeCell="B1" sqref="B1:O1"/>
    </sheetView>
  </sheetViews>
  <sheetFormatPr defaultColWidth="9" defaultRowHeight="15.6"/>
  <cols>
    <col min="1" max="1" width="2.09765625" style="32" customWidth="1"/>
    <col min="2" max="2" width="8.09765625" style="32" customWidth="1"/>
    <col min="3" max="5" width="9.09765625" style="32" customWidth="1"/>
    <col min="6" max="6" width="2.09765625" style="32" customWidth="1"/>
    <col min="7" max="7" width="9.59765625" style="32" customWidth="1"/>
    <col min="8" max="13" width="10.59765625" style="32" customWidth="1"/>
    <col min="14" max="14" width="3.09765625" style="32" customWidth="1"/>
    <col min="15" max="15" width="22.09765625" style="32" customWidth="1"/>
    <col min="16" max="16" width="36" style="32" customWidth="1"/>
    <col min="17" max="22" width="9.09765625" customWidth="1"/>
    <col min="23" max="23" width="2.59765625" customWidth="1"/>
    <col min="24" max="24" width="8.59765625" customWidth="1"/>
    <col min="25" max="256" width="11" style="32" customWidth="1"/>
    <col min="257" max="16384" width="9" style="32"/>
  </cols>
  <sheetData>
    <row r="1" spans="1:16" ht="17.399999999999999">
      <c r="B1" s="733" t="s">
        <v>3</v>
      </c>
      <c r="C1" s="734"/>
      <c r="D1" s="734"/>
      <c r="E1" s="734"/>
      <c r="F1" s="734"/>
      <c r="G1" s="734"/>
      <c r="H1" s="734"/>
      <c r="I1" s="734"/>
      <c r="J1" s="734"/>
      <c r="K1" s="734"/>
      <c r="L1" s="734"/>
      <c r="M1" s="734"/>
      <c r="N1" s="734"/>
      <c r="O1" s="735"/>
    </row>
    <row r="2" spans="1:16" ht="17.399999999999999">
      <c r="B2" s="736" t="s">
        <v>5</v>
      </c>
      <c r="C2" s="737"/>
      <c r="D2" s="737"/>
      <c r="E2" s="737"/>
      <c r="F2" s="737"/>
      <c r="G2" s="737"/>
      <c r="H2" s="737"/>
      <c r="I2" s="737"/>
      <c r="J2" s="737"/>
      <c r="K2" s="737"/>
      <c r="L2" s="737"/>
      <c r="M2" s="737"/>
      <c r="N2" s="737"/>
      <c r="O2" s="738"/>
    </row>
    <row r="3" spans="1:16" ht="18.75" customHeight="1">
      <c r="B3" s="739" t="s">
        <v>269</v>
      </c>
      <c r="C3" s="740"/>
      <c r="D3" s="740"/>
      <c r="E3" s="740"/>
      <c r="F3" s="740"/>
      <c r="G3" s="740"/>
      <c r="H3" s="740"/>
      <c r="I3" s="740"/>
      <c r="J3" s="740"/>
      <c r="K3" s="740"/>
      <c r="L3" s="740"/>
      <c r="M3" s="740"/>
      <c r="N3" s="740"/>
      <c r="O3" s="741"/>
    </row>
    <row r="4" spans="1:16" ht="17.399999999999999">
      <c r="B4" s="215" t="s">
        <v>6</v>
      </c>
      <c r="C4" s="91"/>
      <c r="D4" s="91"/>
      <c r="E4" s="91"/>
      <c r="F4" s="92"/>
      <c r="G4" s="93"/>
      <c r="H4" s="93" t="s">
        <v>301</v>
      </c>
      <c r="I4" s="93"/>
      <c r="J4" s="93"/>
      <c r="K4" s="93"/>
      <c r="L4" s="93"/>
      <c r="M4" s="388"/>
      <c r="N4" s="156"/>
      <c r="O4" s="216"/>
    </row>
    <row r="5" spans="1:16" ht="17.399999999999999">
      <c r="B5" s="217" t="s">
        <v>7</v>
      </c>
      <c r="C5" s="18" t="s">
        <v>0</v>
      </c>
      <c r="D5" s="18"/>
      <c r="E5" s="18"/>
      <c r="F5" s="95"/>
      <c r="G5" s="95"/>
      <c r="H5" s="95">
        <v>2025</v>
      </c>
      <c r="I5" s="95">
        <v>2026</v>
      </c>
      <c r="J5" s="95">
        <v>2027</v>
      </c>
      <c r="K5" s="95">
        <v>2028</v>
      </c>
      <c r="L5" s="95">
        <v>2029</v>
      </c>
      <c r="M5" s="96">
        <v>2030</v>
      </c>
      <c r="N5" s="156"/>
      <c r="O5" s="218" t="s">
        <v>186</v>
      </c>
    </row>
    <row r="6" spans="1:16" ht="8.25" customHeight="1">
      <c r="A6" s="33"/>
      <c r="B6" s="219"/>
      <c r="C6" s="34"/>
      <c r="D6" s="34"/>
      <c r="E6" s="34"/>
      <c r="F6" s="34"/>
      <c r="G6" s="34"/>
      <c r="H6" s="34"/>
      <c r="I6" s="34"/>
      <c r="J6" s="34"/>
      <c r="K6" s="34"/>
      <c r="L6" s="34"/>
      <c r="M6" s="34"/>
      <c r="N6" s="33"/>
      <c r="O6" s="214"/>
    </row>
    <row r="7" spans="1:16">
      <c r="A7" s="34"/>
      <c r="B7" s="625">
        <v>1</v>
      </c>
      <c r="C7" s="135" t="s">
        <v>89</v>
      </c>
      <c r="D7" s="136"/>
      <c r="E7" s="136"/>
      <c r="F7" s="136"/>
      <c r="G7" s="5"/>
      <c r="H7" s="10">
        <v>10100</v>
      </c>
      <c r="I7" s="84">
        <v>8000</v>
      </c>
      <c r="J7" s="29">
        <v>6000</v>
      </c>
      <c r="K7" s="29">
        <v>4000</v>
      </c>
      <c r="L7" s="29">
        <v>2000</v>
      </c>
      <c r="M7" s="29">
        <v>0</v>
      </c>
      <c r="N7" s="428"/>
      <c r="O7" s="435" t="s">
        <v>187</v>
      </c>
      <c r="P7"/>
    </row>
    <row r="8" spans="1:16">
      <c r="A8" s="34"/>
      <c r="B8" s="625">
        <v>2</v>
      </c>
      <c r="C8" s="135" t="s">
        <v>90</v>
      </c>
      <c r="D8" s="136"/>
      <c r="E8" s="136"/>
      <c r="F8" s="136"/>
      <c r="G8" s="5"/>
      <c r="H8" s="10">
        <v>301000</v>
      </c>
      <c r="I8" s="84">
        <v>255000</v>
      </c>
      <c r="J8" s="10">
        <v>255000</v>
      </c>
      <c r="K8" s="10">
        <v>255000</v>
      </c>
      <c r="L8" s="10">
        <v>255000</v>
      </c>
      <c r="M8" s="10">
        <v>255000</v>
      </c>
      <c r="N8" s="428"/>
      <c r="O8" s="435" t="s">
        <v>187</v>
      </c>
      <c r="P8"/>
    </row>
    <row r="9" spans="1:16">
      <c r="A9" s="34"/>
      <c r="B9" s="625">
        <v>3</v>
      </c>
      <c r="C9" s="135" t="s">
        <v>91</v>
      </c>
      <c r="D9" s="136"/>
      <c r="E9" s="136"/>
      <c r="F9" s="136"/>
      <c r="G9" s="5"/>
      <c r="H9" s="10">
        <v>150100</v>
      </c>
      <c r="I9" s="84">
        <v>203100</v>
      </c>
      <c r="J9" s="10">
        <v>202100</v>
      </c>
      <c r="K9" s="10">
        <v>188100</v>
      </c>
      <c r="L9" s="10">
        <v>188100</v>
      </c>
      <c r="M9" s="10">
        <v>188100</v>
      </c>
      <c r="N9" s="428"/>
      <c r="O9" s="435" t="s">
        <v>187</v>
      </c>
      <c r="P9"/>
    </row>
    <row r="10" spans="1:16">
      <c r="A10" s="34"/>
      <c r="B10" s="625">
        <v>4</v>
      </c>
      <c r="C10" s="135" t="s">
        <v>92</v>
      </c>
      <c r="D10" s="136"/>
      <c r="E10" s="136"/>
      <c r="F10" s="136"/>
      <c r="G10" s="5"/>
      <c r="H10" s="10">
        <v>5000</v>
      </c>
      <c r="I10" s="84">
        <v>5000</v>
      </c>
      <c r="J10" s="10">
        <v>5000</v>
      </c>
      <c r="K10" s="10">
        <v>5000</v>
      </c>
      <c r="L10" s="10">
        <v>5000</v>
      </c>
      <c r="M10" s="10">
        <v>5000</v>
      </c>
      <c r="N10" s="428"/>
      <c r="O10" s="435" t="s">
        <v>187</v>
      </c>
      <c r="P10"/>
    </row>
    <row r="11" spans="1:16">
      <c r="A11" s="34"/>
      <c r="B11" s="625">
        <v>5</v>
      </c>
      <c r="C11" s="135" t="s">
        <v>287</v>
      </c>
      <c r="D11" s="136"/>
      <c r="E11" s="136"/>
      <c r="F11" s="136"/>
      <c r="G11" s="5"/>
      <c r="H11" s="10">
        <v>0</v>
      </c>
      <c r="I11" s="84">
        <v>30000</v>
      </c>
      <c r="J11" s="10">
        <v>30000</v>
      </c>
      <c r="K11" s="10">
        <v>30000</v>
      </c>
      <c r="L11" s="10">
        <v>0</v>
      </c>
      <c r="M11" s="10">
        <v>0</v>
      </c>
      <c r="N11" s="428"/>
      <c r="O11" s="435" t="s">
        <v>187</v>
      </c>
      <c r="P11"/>
    </row>
    <row r="12" spans="1:16">
      <c r="A12" s="34"/>
      <c r="B12" s="625">
        <v>6</v>
      </c>
      <c r="C12" s="135" t="s">
        <v>93</v>
      </c>
      <c r="D12" s="136"/>
      <c r="E12" s="136"/>
      <c r="F12" s="136"/>
      <c r="G12" s="5"/>
      <c r="H12" s="10">
        <v>15000</v>
      </c>
      <c r="I12" s="84">
        <v>0</v>
      </c>
      <c r="J12" s="10">
        <v>0</v>
      </c>
      <c r="K12" s="10">
        <v>0</v>
      </c>
      <c r="L12" s="10">
        <v>0</v>
      </c>
      <c r="M12" s="10">
        <v>0</v>
      </c>
      <c r="N12" s="428"/>
      <c r="O12" s="435" t="s">
        <v>187</v>
      </c>
      <c r="P12"/>
    </row>
    <row r="13" spans="1:16">
      <c r="A13" s="34"/>
      <c r="B13" s="625">
        <v>7</v>
      </c>
      <c r="C13" s="135" t="s">
        <v>94</v>
      </c>
      <c r="D13" s="136"/>
      <c r="E13" s="136"/>
      <c r="F13" s="136"/>
      <c r="G13" s="5"/>
      <c r="H13" s="10">
        <v>96000</v>
      </c>
      <c r="I13" s="84">
        <v>140500</v>
      </c>
      <c r="J13" s="10">
        <v>150500</v>
      </c>
      <c r="K13" s="10">
        <v>160500</v>
      </c>
      <c r="L13" s="10">
        <v>170500</v>
      </c>
      <c r="M13" s="10">
        <v>180500</v>
      </c>
      <c r="N13" s="428"/>
      <c r="O13" s="435" t="s">
        <v>187</v>
      </c>
      <c r="P13"/>
    </row>
    <row r="14" spans="1:16">
      <c r="A14" s="34"/>
      <c r="B14" s="625">
        <v>8</v>
      </c>
      <c r="C14" s="135" t="s">
        <v>95</v>
      </c>
      <c r="D14" s="136"/>
      <c r="E14" s="136"/>
      <c r="F14" s="136"/>
      <c r="G14" s="5"/>
      <c r="H14" s="10">
        <v>170000</v>
      </c>
      <c r="I14" s="84">
        <v>162500</v>
      </c>
      <c r="J14" s="10">
        <v>143750</v>
      </c>
      <c r="K14" s="10">
        <v>143750</v>
      </c>
      <c r="L14" s="10">
        <v>143750</v>
      </c>
      <c r="M14" s="10">
        <v>143750</v>
      </c>
      <c r="N14" s="428"/>
      <c r="O14" s="435" t="s">
        <v>187</v>
      </c>
      <c r="P14"/>
    </row>
    <row r="15" spans="1:16">
      <c r="A15" s="34"/>
      <c r="B15" s="625">
        <v>9</v>
      </c>
      <c r="C15" s="135" t="s">
        <v>96</v>
      </c>
      <c r="D15" s="136"/>
      <c r="E15" s="136"/>
      <c r="F15" s="136"/>
      <c r="G15" s="5"/>
      <c r="H15" s="10">
        <v>12000</v>
      </c>
      <c r="I15" s="84">
        <v>5000</v>
      </c>
      <c r="J15" s="84">
        <v>5000</v>
      </c>
      <c r="K15" s="84">
        <v>5000</v>
      </c>
      <c r="L15" s="84">
        <v>5000</v>
      </c>
      <c r="M15" s="84">
        <v>5000</v>
      </c>
      <c r="N15" s="428"/>
      <c r="O15" s="435" t="s">
        <v>187</v>
      </c>
      <c r="P15"/>
    </row>
    <row r="16" spans="1:16" ht="3" customHeight="1">
      <c r="A16" s="34"/>
      <c r="B16" s="626"/>
      <c r="C16" s="12"/>
      <c r="D16" s="12"/>
      <c r="E16" s="12"/>
      <c r="F16" s="12"/>
      <c r="G16" s="12"/>
      <c r="H16" s="11"/>
      <c r="I16" s="86"/>
      <c r="J16" s="11"/>
      <c r="K16" s="11"/>
      <c r="L16" s="11"/>
      <c r="M16" s="11"/>
      <c r="N16" s="452"/>
      <c r="O16" s="627"/>
      <c r="P16"/>
    </row>
    <row r="17" spans="1:29">
      <c r="A17" s="34"/>
      <c r="B17" s="625">
        <v>10</v>
      </c>
      <c r="C17" s="135" t="s">
        <v>97</v>
      </c>
      <c r="D17" s="136"/>
      <c r="E17" s="136"/>
      <c r="F17" s="136"/>
      <c r="G17" s="5"/>
      <c r="H17" s="10">
        <f t="shared" ref="H17:M17" si="0">SUM(H7:H15)</f>
        <v>759200</v>
      </c>
      <c r="I17" s="10">
        <f t="shared" si="0"/>
        <v>809100</v>
      </c>
      <c r="J17" s="10">
        <f t="shared" si="0"/>
        <v>797350</v>
      </c>
      <c r="K17" s="10">
        <f t="shared" si="0"/>
        <v>791350</v>
      </c>
      <c r="L17" s="10">
        <f t="shared" si="0"/>
        <v>769350</v>
      </c>
      <c r="M17" s="10">
        <f t="shared" si="0"/>
        <v>777350</v>
      </c>
      <c r="N17" s="428"/>
      <c r="O17" s="436" t="s">
        <v>406</v>
      </c>
      <c r="P17" s="248"/>
    </row>
    <row r="18" spans="1:29" ht="15.6" customHeight="1">
      <c r="A18" s="34"/>
      <c r="B18" s="625">
        <v>11</v>
      </c>
      <c r="C18" s="135" t="s">
        <v>98</v>
      </c>
      <c r="D18" s="136"/>
      <c r="E18" s="136"/>
      <c r="F18" s="136"/>
      <c r="G18" s="5"/>
      <c r="H18" s="84">
        <v>0</v>
      </c>
      <c r="I18" s="84">
        <v>0</v>
      </c>
      <c r="J18" s="10">
        <v>39867.5</v>
      </c>
      <c r="K18" s="10">
        <v>81113.600000000035</v>
      </c>
      <c r="L18" s="10">
        <v>121269</v>
      </c>
      <c r="M18" s="10">
        <v>167523.79999999999</v>
      </c>
      <c r="N18" s="428"/>
      <c r="O18" s="435" t="s">
        <v>187</v>
      </c>
      <c r="P18"/>
    </row>
    <row r="19" spans="1:29" ht="2.25" customHeight="1">
      <c r="A19" s="34"/>
      <c r="B19" s="625">
        <v>12</v>
      </c>
      <c r="C19" s="137"/>
      <c r="D19" s="138"/>
      <c r="E19" s="138"/>
      <c r="F19" s="138"/>
      <c r="G19" s="12"/>
      <c r="H19" s="11"/>
      <c r="I19" s="86"/>
      <c r="J19" s="11"/>
      <c r="K19" s="11"/>
      <c r="L19" s="11"/>
      <c r="M19" s="11"/>
      <c r="N19" s="452"/>
      <c r="O19" s="627"/>
      <c r="P19"/>
    </row>
    <row r="20" spans="1:29">
      <c r="A20" s="34"/>
      <c r="B20" s="625">
        <v>12</v>
      </c>
      <c r="C20" s="135" t="s">
        <v>99</v>
      </c>
      <c r="D20" s="136"/>
      <c r="E20" s="136"/>
      <c r="F20" s="136"/>
      <c r="G20" s="5"/>
      <c r="H20" s="10">
        <f t="shared" ref="H20:M20" si="1">H17+ROUND(H18,2)</f>
        <v>759200</v>
      </c>
      <c r="I20" s="10">
        <f t="shared" si="1"/>
        <v>809100</v>
      </c>
      <c r="J20" s="10">
        <f t="shared" si="1"/>
        <v>837217.5</v>
      </c>
      <c r="K20" s="10">
        <f t="shared" si="1"/>
        <v>872463.6</v>
      </c>
      <c r="L20" s="10">
        <f t="shared" si="1"/>
        <v>890619</v>
      </c>
      <c r="M20" s="10">
        <f t="shared" si="1"/>
        <v>944873.8</v>
      </c>
      <c r="N20" s="428"/>
      <c r="O20" s="436" t="s">
        <v>325</v>
      </c>
      <c r="P20" s="248"/>
      <c r="Y20" s="151" t="e">
        <f>SUM(#REF!)+#REF!-#REF!</f>
        <v>#REF!</v>
      </c>
      <c r="Z20" s="151">
        <f>SUM(H7:H15)+H18-H20</f>
        <v>0</v>
      </c>
      <c r="AA20" s="151">
        <f>SUM(I7:I15)+I18-I20</f>
        <v>0</v>
      </c>
      <c r="AB20" s="151">
        <f>SUM(J7:J15)+J18-J20</f>
        <v>0</v>
      </c>
      <c r="AC20" s="151">
        <f>SUM(M7:M15)+M18-M20</f>
        <v>0</v>
      </c>
    </row>
    <row r="21" spans="1:29">
      <c r="A21" s="34"/>
      <c r="B21" s="625">
        <v>13</v>
      </c>
      <c r="C21" s="135" t="s">
        <v>217</v>
      </c>
      <c r="D21" s="136"/>
      <c r="E21" s="136"/>
      <c r="F21" s="136"/>
      <c r="G21" s="5"/>
      <c r="H21" s="10">
        <v>15130.700000000012</v>
      </c>
      <c r="I21" s="10">
        <v>-181202.7</v>
      </c>
      <c r="J21" s="10">
        <v>-29567.5</v>
      </c>
      <c r="K21" s="10">
        <v>-36873.5</v>
      </c>
      <c r="L21" s="10">
        <v>-19974.599999999977</v>
      </c>
      <c r="M21" s="10">
        <v>-56280.599999999977</v>
      </c>
      <c r="N21" s="428"/>
      <c r="O21" s="435" t="s">
        <v>187</v>
      </c>
      <c r="P21"/>
      <c r="Y21" s="151"/>
      <c r="Z21" s="151"/>
      <c r="AA21" s="151"/>
      <c r="AB21" s="151"/>
      <c r="AC21" s="151"/>
    </row>
    <row r="22" spans="1:29" ht="2.25" customHeight="1">
      <c r="A22" s="34"/>
      <c r="B22" s="625"/>
      <c r="C22" s="137"/>
      <c r="D22" s="138"/>
      <c r="E22" s="138"/>
      <c r="F22" s="138"/>
      <c r="G22" s="12"/>
      <c r="H22" s="11"/>
      <c r="I22" s="86"/>
      <c r="J22" s="11"/>
      <c r="K22" s="11"/>
      <c r="L22" s="11"/>
      <c r="M22" s="11"/>
      <c r="N22" s="452"/>
      <c r="O22" s="627"/>
      <c r="P22"/>
    </row>
    <row r="23" spans="1:29">
      <c r="A23" s="34"/>
      <c r="B23" s="625">
        <v>14</v>
      </c>
      <c r="C23" s="135" t="s">
        <v>218</v>
      </c>
      <c r="D23" s="136"/>
      <c r="E23" s="136"/>
      <c r="F23" s="136"/>
      <c r="G23" s="5"/>
      <c r="H23" s="10">
        <f t="shared" ref="H23:M23" si="2">H20+ROUND(H21,2)</f>
        <v>774330.7</v>
      </c>
      <c r="I23" s="10">
        <f t="shared" si="2"/>
        <v>627897.30000000005</v>
      </c>
      <c r="J23" s="10">
        <f t="shared" si="2"/>
        <v>807650</v>
      </c>
      <c r="K23" s="10">
        <f t="shared" si="2"/>
        <v>835590.1</v>
      </c>
      <c r="L23" s="10">
        <f t="shared" si="2"/>
        <v>870644.4</v>
      </c>
      <c r="M23" s="10">
        <f t="shared" si="2"/>
        <v>888593.20000000007</v>
      </c>
      <c r="N23" s="428"/>
      <c r="O23" s="436" t="s">
        <v>326</v>
      </c>
      <c r="P23" s="248"/>
      <c r="Y23" s="151"/>
      <c r="Z23" s="151"/>
      <c r="AA23" s="151"/>
      <c r="AB23" s="151"/>
      <c r="AC23" s="151"/>
    </row>
    <row r="24" spans="1:29">
      <c r="A24" s="34"/>
      <c r="B24" s="625">
        <v>15</v>
      </c>
      <c r="C24" s="135" t="s">
        <v>219</v>
      </c>
      <c r="D24" s="136"/>
      <c r="E24" s="136"/>
      <c r="F24" s="136"/>
      <c r="G24" s="5"/>
      <c r="H24" s="10">
        <v>-63002.800000000047</v>
      </c>
      <c r="I24" s="10">
        <v>-61489.73000000001</v>
      </c>
      <c r="J24" s="10">
        <v>-76610</v>
      </c>
      <c r="K24" s="10">
        <v>-79416.75</v>
      </c>
      <c r="L24" s="10">
        <v>-82946.600000000035</v>
      </c>
      <c r="M24" s="10">
        <v>-88251.56</v>
      </c>
      <c r="N24" s="453"/>
      <c r="O24" s="435" t="s">
        <v>187</v>
      </c>
      <c r="P24"/>
      <c r="Y24" s="151"/>
      <c r="Z24" s="151"/>
      <c r="AA24" s="151"/>
      <c r="AB24" s="151"/>
      <c r="AC24" s="151"/>
    </row>
    <row r="25" spans="1:29" ht="2.25" customHeight="1">
      <c r="A25" s="34"/>
      <c r="B25" s="625"/>
      <c r="C25" s="137"/>
      <c r="D25" s="138"/>
      <c r="E25" s="138"/>
      <c r="F25" s="138"/>
      <c r="G25" s="12"/>
      <c r="H25" s="11"/>
      <c r="I25" s="86"/>
      <c r="J25" s="11"/>
      <c r="K25" s="11"/>
      <c r="L25" s="11"/>
      <c r="M25" s="11"/>
      <c r="N25" s="452"/>
      <c r="O25" s="627"/>
      <c r="P25"/>
    </row>
    <row r="26" spans="1:29">
      <c r="A26" s="34"/>
      <c r="B26" s="625">
        <v>16</v>
      </c>
      <c r="C26" s="135" t="s">
        <v>220</v>
      </c>
      <c r="D26" s="136"/>
      <c r="E26" s="136"/>
      <c r="F26" s="136"/>
      <c r="G26" s="5"/>
      <c r="H26" s="10">
        <f t="shared" ref="H26:M26" si="3">H23+ROUND(H24,2)</f>
        <v>711327.89999999991</v>
      </c>
      <c r="I26" s="10">
        <f t="shared" si="3"/>
        <v>566407.57000000007</v>
      </c>
      <c r="J26" s="10">
        <f t="shared" si="3"/>
        <v>731040</v>
      </c>
      <c r="K26" s="10">
        <f t="shared" si="3"/>
        <v>756173.35</v>
      </c>
      <c r="L26" s="10">
        <f t="shared" si="3"/>
        <v>787697.8</v>
      </c>
      <c r="M26" s="10">
        <f t="shared" si="3"/>
        <v>800341.64000000013</v>
      </c>
      <c r="N26" s="428"/>
      <c r="O26" s="436" t="s">
        <v>167</v>
      </c>
      <c r="P26" s="248"/>
      <c r="Y26" s="151"/>
      <c r="Z26" s="151"/>
      <c r="AA26" s="151"/>
      <c r="AB26" s="151"/>
      <c r="AC26" s="151"/>
    </row>
    <row r="27" spans="1:29">
      <c r="A27" s="34"/>
      <c r="B27" s="625">
        <v>17</v>
      </c>
      <c r="C27" s="135" t="s">
        <v>225</v>
      </c>
      <c r="D27" s="136"/>
      <c r="E27" s="136"/>
      <c r="F27" s="136"/>
      <c r="G27" s="5"/>
      <c r="H27" s="10">
        <v>406862.75369257503</v>
      </c>
      <c r="I27" s="10">
        <v>511975.18788750831</v>
      </c>
      <c r="J27" s="10">
        <v>596832.84237143327</v>
      </c>
      <c r="K27" s="10">
        <v>671342.35924033332</v>
      </c>
      <c r="L27" s="10">
        <v>711251.66283133347</v>
      </c>
      <c r="M27" s="10">
        <v>754589.76450270833</v>
      </c>
      <c r="N27" s="453"/>
      <c r="O27" s="435" t="s">
        <v>187</v>
      </c>
      <c r="P27"/>
      <c r="Y27" s="151"/>
      <c r="Z27" s="151"/>
      <c r="AA27" s="151"/>
      <c r="AB27" s="151"/>
      <c r="AC27" s="151"/>
    </row>
    <row r="28" spans="1:29">
      <c r="A28" s="34"/>
      <c r="B28" s="625" t="s">
        <v>147</v>
      </c>
      <c r="C28" s="135" t="s">
        <v>226</v>
      </c>
      <c r="D28" s="136"/>
      <c r="E28" s="136"/>
      <c r="F28" s="136"/>
      <c r="G28" s="5"/>
      <c r="H28" s="598"/>
      <c r="I28" s="598"/>
      <c r="J28" s="522">
        <v>0</v>
      </c>
      <c r="K28" s="522">
        <v>0</v>
      </c>
      <c r="L28" s="522">
        <v>0</v>
      </c>
      <c r="M28" s="522">
        <v>0</v>
      </c>
      <c r="N28" s="454"/>
      <c r="O28" s="243" t="s">
        <v>138</v>
      </c>
      <c r="P28" s="247"/>
      <c r="Y28" s="151"/>
      <c r="Z28" s="151"/>
      <c r="AA28" s="151"/>
      <c r="AB28" s="151"/>
      <c r="AC28" s="151"/>
    </row>
    <row r="29" spans="1:29">
      <c r="A29" s="34"/>
      <c r="B29" s="625" t="s">
        <v>288</v>
      </c>
      <c r="C29" s="135" t="s">
        <v>227</v>
      </c>
      <c r="D29" s="136"/>
      <c r="E29" s="136"/>
      <c r="F29" s="136"/>
      <c r="G29" s="5"/>
      <c r="H29" s="535">
        <f>H27</f>
        <v>406862.75369257503</v>
      </c>
      <c r="I29" s="535">
        <f>I27</f>
        <v>511975.18788750831</v>
      </c>
      <c r="J29" s="535">
        <f t="shared" ref="J29:M29" si="4">J27+J28</f>
        <v>596832.84237143327</v>
      </c>
      <c r="K29" s="535">
        <f t="shared" si="4"/>
        <v>671342.35924033332</v>
      </c>
      <c r="L29" s="535">
        <f t="shared" si="4"/>
        <v>711251.66283133347</v>
      </c>
      <c r="M29" s="536">
        <f t="shared" si="4"/>
        <v>754589.76450270833</v>
      </c>
      <c r="N29" s="241"/>
      <c r="O29" s="378" t="s">
        <v>299</v>
      </c>
      <c r="P29" s="247"/>
      <c r="Y29" s="151"/>
      <c r="Z29" s="151"/>
      <c r="AA29" s="151"/>
      <c r="AB29" s="151"/>
      <c r="AC29" s="151"/>
    </row>
    <row r="30" spans="1:29">
      <c r="A30" s="34"/>
      <c r="B30" s="625"/>
      <c r="C30" s="135" t="s">
        <v>407</v>
      </c>
      <c r="D30" s="136"/>
      <c r="E30" s="136"/>
      <c r="F30" s="136"/>
      <c r="G30" s="5"/>
      <c r="H30" s="10"/>
      <c r="I30" s="10"/>
      <c r="J30" s="10"/>
      <c r="K30" s="10"/>
      <c r="L30" s="10"/>
      <c r="M30" s="10"/>
      <c r="N30" s="428"/>
      <c r="O30" s="436"/>
      <c r="P30" s="247"/>
      <c r="Y30" s="151"/>
      <c r="Z30" s="151"/>
      <c r="AA30" s="151"/>
      <c r="AB30" s="151"/>
      <c r="AC30" s="151"/>
    </row>
    <row r="31" spans="1:29" ht="3" customHeight="1">
      <c r="B31" s="603"/>
      <c r="C31" s="119"/>
      <c r="D31" s="119"/>
      <c r="E31" s="119"/>
      <c r="F31" s="119"/>
      <c r="G31" s="119"/>
      <c r="H31" s="120"/>
      <c r="I31" s="120"/>
      <c r="J31" s="120"/>
      <c r="K31" s="120"/>
      <c r="L31" s="120"/>
      <c r="M31" s="120"/>
      <c r="N31" s="120"/>
      <c r="O31" s="604"/>
    </row>
    <row r="32" spans="1:29" ht="6.75" customHeight="1">
      <c r="A32" s="34"/>
      <c r="B32" s="609"/>
      <c r="C32" s="34"/>
      <c r="D32" s="34"/>
      <c r="E32" s="34"/>
      <c r="F32" s="34"/>
      <c r="G32" s="35"/>
      <c r="H32" s="34"/>
      <c r="I32" s="34"/>
      <c r="J32" s="34"/>
      <c r="K32" s="34"/>
      <c r="L32" s="34"/>
      <c r="M32" s="34"/>
      <c r="N32" s="34"/>
      <c r="O32" s="214"/>
    </row>
    <row r="33" spans="1:15">
      <c r="A33" s="34"/>
      <c r="B33" s="609"/>
      <c r="C33" s="628" t="s">
        <v>240</v>
      </c>
      <c r="D33" s="34"/>
      <c r="E33" s="34"/>
      <c r="F33" s="34"/>
      <c r="G33" s="35"/>
      <c r="H33" s="34"/>
      <c r="I33" s="34"/>
      <c r="J33" s="34"/>
      <c r="K33" s="34"/>
      <c r="L33" s="34"/>
      <c r="M33" s="34"/>
      <c r="N33" s="34"/>
      <c r="O33" s="214"/>
    </row>
    <row r="34" spans="1:15">
      <c r="A34" s="34"/>
      <c r="B34" s="609"/>
      <c r="C34" s="629" t="s">
        <v>408</v>
      </c>
      <c r="D34" s="34"/>
      <c r="E34" s="34"/>
      <c r="F34" s="34"/>
      <c r="G34" s="35"/>
      <c r="H34"/>
      <c r="I34"/>
      <c r="J34"/>
      <c r="K34"/>
      <c r="L34"/>
      <c r="M34" s="34"/>
      <c r="N34" s="34"/>
      <c r="O34" s="214"/>
    </row>
    <row r="35" spans="1:15">
      <c r="A35" s="34"/>
      <c r="B35" s="609"/>
      <c r="C35" s="630" t="s">
        <v>241</v>
      </c>
      <c r="D35" s="34"/>
      <c r="E35" s="34"/>
      <c r="F35" s="34"/>
      <c r="G35" s="35"/>
      <c r="H35"/>
      <c r="I35"/>
      <c r="J35"/>
      <c r="K35"/>
      <c r="L35"/>
      <c r="M35" s="34"/>
      <c r="N35" s="34"/>
      <c r="O35" s="214"/>
    </row>
    <row r="36" spans="1:15">
      <c r="A36" s="34"/>
      <c r="B36" s="609"/>
      <c r="C36" s="631"/>
      <c r="D36" s="34"/>
      <c r="E36" s="34"/>
      <c r="F36" s="34"/>
      <c r="G36" s="35"/>
      <c r="H36"/>
      <c r="I36"/>
      <c r="J36"/>
      <c r="K36"/>
      <c r="L36"/>
      <c r="M36" s="34"/>
      <c r="N36" s="34"/>
      <c r="O36" s="214"/>
    </row>
    <row r="37" spans="1:15" ht="15.75" customHeight="1">
      <c r="A37" s="34"/>
      <c r="B37" s="745" t="s">
        <v>384</v>
      </c>
      <c r="C37" s="715"/>
      <c r="D37" s="715"/>
      <c r="E37" s="715"/>
      <c r="F37" s="715"/>
      <c r="G37" s="715"/>
      <c r="H37" s="715"/>
      <c r="I37" s="715"/>
      <c r="J37" s="715"/>
      <c r="K37" s="715"/>
      <c r="L37" s="715"/>
      <c r="M37" s="715"/>
      <c r="N37" s="715"/>
      <c r="O37" s="746"/>
    </row>
    <row r="38" spans="1:15">
      <c r="A38" s="34"/>
      <c r="B38" s="747"/>
      <c r="C38" s="718"/>
      <c r="D38" s="718"/>
      <c r="E38" s="718"/>
      <c r="F38" s="718"/>
      <c r="G38" s="718"/>
      <c r="H38" s="718"/>
      <c r="I38" s="718"/>
      <c r="J38" s="718"/>
      <c r="K38" s="718"/>
      <c r="L38" s="718"/>
      <c r="M38" s="718"/>
      <c r="N38" s="718"/>
      <c r="O38" s="748"/>
    </row>
    <row r="39" spans="1:15">
      <c r="A39" s="34"/>
      <c r="B39" s="747"/>
      <c r="C39" s="718"/>
      <c r="D39" s="718"/>
      <c r="E39" s="718"/>
      <c r="F39" s="718"/>
      <c r="G39" s="718"/>
      <c r="H39" s="718"/>
      <c r="I39" s="718"/>
      <c r="J39" s="718"/>
      <c r="K39" s="718"/>
      <c r="L39" s="718"/>
      <c r="M39" s="718"/>
      <c r="N39" s="718"/>
      <c r="O39" s="748"/>
    </row>
    <row r="40" spans="1:15">
      <c r="A40" s="34"/>
      <c r="B40" s="747"/>
      <c r="C40" s="718"/>
      <c r="D40" s="718"/>
      <c r="E40" s="718"/>
      <c r="F40" s="718"/>
      <c r="G40" s="718"/>
      <c r="H40" s="718"/>
      <c r="I40" s="718"/>
      <c r="J40" s="718"/>
      <c r="K40" s="718"/>
      <c r="L40" s="718"/>
      <c r="M40" s="718"/>
      <c r="N40" s="718"/>
      <c r="O40" s="748"/>
    </row>
    <row r="41" spans="1:15" ht="29.25" customHeight="1">
      <c r="A41" s="34"/>
      <c r="B41" s="749"/>
      <c r="C41" s="721"/>
      <c r="D41" s="721"/>
      <c r="E41" s="721"/>
      <c r="F41" s="721"/>
      <c r="G41" s="721"/>
      <c r="H41" s="721"/>
      <c r="I41" s="721"/>
      <c r="J41" s="721"/>
      <c r="K41" s="721"/>
      <c r="L41" s="721"/>
      <c r="M41" s="721"/>
      <c r="N41" s="721"/>
      <c r="O41" s="750"/>
    </row>
    <row r="42" spans="1:15">
      <c r="B42" s="377"/>
      <c r="C42" s="35"/>
      <c r="D42" s="35"/>
      <c r="E42" s="35"/>
      <c r="F42" s="35"/>
      <c r="G42" s="35"/>
      <c r="H42" s="35"/>
      <c r="I42" s="35"/>
      <c r="J42" s="35"/>
      <c r="K42" s="35"/>
      <c r="L42" s="35"/>
      <c r="M42" s="35"/>
      <c r="O42" s="214"/>
    </row>
    <row r="43" spans="1:15" ht="18" customHeight="1">
      <c r="B43" s="742" t="s">
        <v>210</v>
      </c>
      <c r="C43" s="743"/>
      <c r="D43" s="743"/>
      <c r="E43" s="743"/>
      <c r="F43" s="743"/>
      <c r="G43" s="743"/>
      <c r="H43" s="743"/>
      <c r="I43" s="743"/>
      <c r="J43" s="743"/>
      <c r="K43" s="743"/>
      <c r="L43" s="743"/>
      <c r="M43" s="743"/>
      <c r="N43" s="743"/>
      <c r="O43" s="744"/>
    </row>
    <row r="44" spans="1:15" ht="17.399999999999999">
      <c r="B44" s="736" t="s">
        <v>5</v>
      </c>
      <c r="C44" s="737"/>
      <c r="D44" s="737"/>
      <c r="E44" s="737"/>
      <c r="F44" s="737"/>
      <c r="G44" s="737"/>
      <c r="H44" s="737"/>
      <c r="I44" s="737"/>
      <c r="J44" s="737"/>
      <c r="K44" s="737"/>
      <c r="L44" s="737"/>
      <c r="M44" s="737"/>
      <c r="N44" s="737"/>
      <c r="O44" s="738"/>
    </row>
    <row r="45" spans="1:15" ht="18.75" customHeight="1">
      <c r="B45" s="739" t="s">
        <v>269</v>
      </c>
      <c r="C45" s="740"/>
      <c r="D45" s="740"/>
      <c r="E45" s="740"/>
      <c r="F45" s="740"/>
      <c r="G45" s="740"/>
      <c r="H45" s="740"/>
      <c r="I45" s="740"/>
      <c r="J45" s="740"/>
      <c r="K45" s="740"/>
      <c r="L45" s="740"/>
      <c r="M45" s="740"/>
      <c r="N45" s="740"/>
      <c r="O45" s="741"/>
    </row>
    <row r="46" spans="1:15" ht="17.399999999999999">
      <c r="B46" s="632" t="s">
        <v>6</v>
      </c>
      <c r="C46" s="255"/>
      <c r="D46" s="255"/>
      <c r="E46" s="255"/>
      <c r="F46" s="256"/>
      <c r="G46" s="257"/>
      <c r="H46" s="93" t="s">
        <v>301</v>
      </c>
      <c r="I46" s="93"/>
      <c r="J46" s="93"/>
      <c r="K46" s="93"/>
      <c r="L46" s="93"/>
      <c r="M46" s="388"/>
      <c r="N46" s="156"/>
      <c r="O46" s="216"/>
    </row>
    <row r="47" spans="1:15" ht="17.399999999999999">
      <c r="B47" s="217" t="s">
        <v>7</v>
      </c>
      <c r="C47" s="18" t="s">
        <v>0</v>
      </c>
      <c r="D47" s="18"/>
      <c r="E47" s="18"/>
      <c r="F47" s="95"/>
      <c r="G47" s="95"/>
      <c r="H47" s="95">
        <v>2025</v>
      </c>
      <c r="I47" s="95">
        <v>2026</v>
      </c>
      <c r="J47" s="95">
        <v>2027</v>
      </c>
      <c r="K47" s="95">
        <v>2028</v>
      </c>
      <c r="L47" s="95">
        <v>2029</v>
      </c>
      <c r="M47" s="96">
        <v>2030</v>
      </c>
      <c r="N47" s="156"/>
      <c r="O47" s="218" t="s">
        <v>186</v>
      </c>
    </row>
    <row r="48" spans="1:15" ht="2.25" customHeight="1">
      <c r="A48" s="33"/>
      <c r="B48" s="219"/>
      <c r="C48" s="34"/>
      <c r="D48" s="34"/>
      <c r="E48" s="34"/>
      <c r="F48" s="34"/>
      <c r="G48" s="34"/>
      <c r="H48" s="34"/>
      <c r="I48" s="34"/>
      <c r="J48" s="34"/>
      <c r="K48" s="34"/>
      <c r="L48" s="34"/>
      <c r="M48" s="98"/>
      <c r="N48" s="33"/>
      <c r="O48" s="214"/>
    </row>
    <row r="49" spans="1:16">
      <c r="A49" s="34"/>
      <c r="B49" s="203"/>
      <c r="C49" s="48" t="s">
        <v>101</v>
      </c>
      <c r="D49" s="48"/>
      <c r="E49" s="48"/>
      <c r="F49" s="48"/>
      <c r="G49" s="48"/>
      <c r="H49" s="48"/>
      <c r="I49" s="48"/>
      <c r="J49" s="48"/>
      <c r="K49" s="48"/>
      <c r="L49" s="48"/>
      <c r="M49" s="48"/>
      <c r="N49" s="48"/>
      <c r="O49" s="563"/>
    </row>
    <row r="50" spans="1:16">
      <c r="A50" s="34"/>
      <c r="B50" s="222">
        <v>1</v>
      </c>
      <c r="C50" s="3" t="s">
        <v>102</v>
      </c>
      <c r="D50" s="4"/>
      <c r="E50" s="4"/>
      <c r="F50" s="4"/>
      <c r="G50" s="5"/>
      <c r="H50" s="10">
        <v>328863.36600000004</v>
      </c>
      <c r="I50" s="84">
        <v>0</v>
      </c>
      <c r="J50" s="84">
        <v>400000</v>
      </c>
      <c r="K50" s="84">
        <v>575000</v>
      </c>
      <c r="L50" s="84">
        <v>650000</v>
      </c>
      <c r="M50" s="84">
        <v>680000</v>
      </c>
      <c r="N50" s="429"/>
      <c r="O50" s="435" t="s">
        <v>187</v>
      </c>
      <c r="P50" s="380"/>
    </row>
    <row r="51" spans="1:16">
      <c r="A51" s="34"/>
      <c r="B51" s="223" t="s">
        <v>120</v>
      </c>
      <c r="C51" s="40" t="s">
        <v>102</v>
      </c>
      <c r="D51" s="41"/>
      <c r="E51" s="41"/>
      <c r="F51" s="41"/>
      <c r="G51" s="46"/>
      <c r="H51" s="99">
        <f>H54+H56+H58</f>
        <v>328863.33774733794</v>
      </c>
      <c r="I51" s="99">
        <f t="shared" ref="I51:M51" si="5">I54+I56+I58</f>
        <v>4.5979344518855214E-2</v>
      </c>
      <c r="J51" s="99">
        <f t="shared" si="5"/>
        <v>400000.00539937807</v>
      </c>
      <c r="K51" s="99">
        <f t="shared" si="5"/>
        <v>575000.10202960297</v>
      </c>
      <c r="L51" s="99">
        <f t="shared" si="5"/>
        <v>649999.99491651449</v>
      </c>
      <c r="M51" s="99">
        <f t="shared" si="5"/>
        <v>680000.05721155182</v>
      </c>
      <c r="N51" s="633"/>
      <c r="O51" s="378" t="s">
        <v>487</v>
      </c>
      <c r="P51" s="374"/>
    </row>
    <row r="52" spans="1:16">
      <c r="A52" s="34"/>
      <c r="B52" s="222"/>
      <c r="C52" s="3" t="s">
        <v>103</v>
      </c>
      <c r="D52" s="4"/>
      <c r="E52" s="4"/>
      <c r="F52" s="4"/>
      <c r="G52" s="5"/>
      <c r="H52" s="10"/>
      <c r="I52" s="84"/>
      <c r="J52" s="10"/>
      <c r="K52" s="10"/>
      <c r="L52" s="10"/>
      <c r="M52" s="10"/>
      <c r="N52" s="428"/>
      <c r="O52" s="437"/>
      <c r="P52"/>
    </row>
    <row r="53" spans="1:16">
      <c r="A53" s="34"/>
      <c r="B53" s="222">
        <v>2</v>
      </c>
      <c r="C53" s="3" t="s">
        <v>474</v>
      </c>
      <c r="D53" s="4"/>
      <c r="E53" s="4"/>
      <c r="F53" s="4"/>
      <c r="G53" s="5"/>
      <c r="H53" s="10">
        <v>18691.770249999998</v>
      </c>
      <c r="I53" s="84">
        <v>0</v>
      </c>
      <c r="J53" s="10">
        <v>38706.062005835563</v>
      </c>
      <c r="K53" s="10">
        <v>55762.276751748112</v>
      </c>
      <c r="L53" s="10">
        <v>77752.790749948617</v>
      </c>
      <c r="M53" s="10">
        <v>49401.259813232129</v>
      </c>
      <c r="N53" s="428"/>
      <c r="O53" s="435" t="s">
        <v>187</v>
      </c>
      <c r="P53" s="380"/>
    </row>
    <row r="54" spans="1:16">
      <c r="A54" s="34"/>
      <c r="B54" s="223" t="s">
        <v>121</v>
      </c>
      <c r="C54" s="124" t="s">
        <v>474</v>
      </c>
      <c r="D54" s="36"/>
      <c r="E54" s="41"/>
      <c r="F54" s="41"/>
      <c r="G54" s="46"/>
      <c r="H54" s="39">
        <f t="shared" ref="H54:M54" si="6">ROUND(H53,2)</f>
        <v>18691.77</v>
      </c>
      <c r="I54" s="99">
        <f t="shared" si="6"/>
        <v>0</v>
      </c>
      <c r="J54" s="39">
        <f t="shared" si="6"/>
        <v>38706.06</v>
      </c>
      <c r="K54" s="39">
        <f t="shared" si="6"/>
        <v>55762.28</v>
      </c>
      <c r="L54" s="39">
        <f t="shared" si="6"/>
        <v>77752.789999999994</v>
      </c>
      <c r="M54" s="39">
        <f t="shared" si="6"/>
        <v>49401.26</v>
      </c>
      <c r="N54" s="163"/>
      <c r="O54" s="224" t="s">
        <v>188</v>
      </c>
      <c r="P54" s="380"/>
    </row>
    <row r="55" spans="1:16">
      <c r="A55" s="34"/>
      <c r="B55" s="634">
        <v>3</v>
      </c>
      <c r="C55" s="22" t="s">
        <v>104</v>
      </c>
      <c r="D55" s="23"/>
      <c r="E55" s="23"/>
      <c r="F55" s="23"/>
      <c r="G55" s="24"/>
      <c r="H55" s="25">
        <v>1973.180196</v>
      </c>
      <c r="I55" s="101">
        <v>0</v>
      </c>
      <c r="J55" s="25">
        <v>2400</v>
      </c>
      <c r="K55" s="25">
        <v>5750</v>
      </c>
      <c r="L55" s="25">
        <v>6500</v>
      </c>
      <c r="M55" s="25">
        <v>6800</v>
      </c>
      <c r="N55" s="428"/>
      <c r="O55" s="435" t="s">
        <v>187</v>
      </c>
      <c r="P55" s="380"/>
    </row>
    <row r="56" spans="1:16">
      <c r="A56" s="34"/>
      <c r="B56" s="223" t="s">
        <v>122</v>
      </c>
      <c r="C56" s="124" t="s">
        <v>104</v>
      </c>
      <c r="D56" s="36"/>
      <c r="E56" s="41"/>
      <c r="F56" s="41"/>
      <c r="G56" s="46"/>
      <c r="H56" s="599">
        <v>1973.180196</v>
      </c>
      <c r="I56" s="599">
        <v>0</v>
      </c>
      <c r="J56" s="522">
        <v>2400</v>
      </c>
      <c r="K56" s="522">
        <v>5750</v>
      </c>
      <c r="L56" s="522">
        <v>6500</v>
      </c>
      <c r="M56" s="522">
        <v>6800</v>
      </c>
      <c r="N56" s="233"/>
      <c r="O56" s="243" t="s">
        <v>138</v>
      </c>
      <c r="P56" s="380"/>
    </row>
    <row r="57" spans="1:16">
      <c r="A57" s="34"/>
      <c r="B57" s="635">
        <v>4</v>
      </c>
      <c r="C57" s="26" t="s">
        <v>105</v>
      </c>
      <c r="D57" s="27"/>
      <c r="E57" s="27"/>
      <c r="F57" s="27"/>
      <c r="G57" s="28"/>
      <c r="H57" s="359">
        <v>308198.41555400001</v>
      </c>
      <c r="I57" s="103">
        <v>0</v>
      </c>
      <c r="J57" s="29">
        <v>358893.93799416441</v>
      </c>
      <c r="K57" s="29">
        <v>513487.72324825183</v>
      </c>
      <c r="L57" s="29">
        <v>565747.20925005141</v>
      </c>
      <c r="M57" s="29">
        <v>623798.74018676789</v>
      </c>
      <c r="N57" s="428"/>
      <c r="O57" s="435" t="s">
        <v>187</v>
      </c>
      <c r="P57" s="374"/>
    </row>
    <row r="58" spans="1:16" ht="16.2" thickBot="1">
      <c r="A58" s="34"/>
      <c r="B58" s="636" t="s">
        <v>123</v>
      </c>
      <c r="C58" s="124" t="s">
        <v>105</v>
      </c>
      <c r="D58" s="124"/>
      <c r="E58" s="124"/>
      <c r="F58" s="124"/>
      <c r="G58" s="124"/>
      <c r="H58" s="141">
        <f t="shared" ref="H58:M58" si="7">H73</f>
        <v>308198.38755133795</v>
      </c>
      <c r="I58" s="358">
        <f>I73</f>
        <v>4.5979344518855214E-2</v>
      </c>
      <c r="J58" s="141">
        <f t="shared" si="7"/>
        <v>358893.94539937808</v>
      </c>
      <c r="K58" s="141">
        <f t="shared" si="7"/>
        <v>513487.82202960295</v>
      </c>
      <c r="L58" s="141">
        <f t="shared" si="7"/>
        <v>565747.20491651446</v>
      </c>
      <c r="M58" s="141">
        <f t="shared" si="7"/>
        <v>623798.79721155181</v>
      </c>
      <c r="N58" s="241"/>
      <c r="O58" s="347" t="s">
        <v>247</v>
      </c>
      <c r="P58" s="374"/>
    </row>
    <row r="59" spans="1:16" ht="3" customHeight="1">
      <c r="B59" s="226"/>
      <c r="C59" s="55"/>
      <c r="D59" s="55"/>
      <c r="E59" s="55"/>
      <c r="F59" s="55"/>
      <c r="G59" s="55"/>
      <c r="H59" s="56"/>
      <c r="I59" s="57"/>
      <c r="J59" s="56"/>
      <c r="K59" s="56"/>
      <c r="L59" s="56"/>
      <c r="M59" s="56"/>
      <c r="N59" s="57"/>
      <c r="O59" s="227"/>
      <c r="P59" s="381" t="s">
        <v>291</v>
      </c>
    </row>
    <row r="60" spans="1:16">
      <c r="A60" s="34"/>
      <c r="B60" s="222">
        <v>5</v>
      </c>
      <c r="C60" s="4" t="s">
        <v>106</v>
      </c>
      <c r="D60" s="4"/>
      <c r="E60" s="4"/>
      <c r="F60" s="4"/>
      <c r="G60" s="5"/>
      <c r="H60" s="25">
        <f t="shared" ref="H60:M61" si="8">ROUND(H53,2)+ROUND(H55,2)+ROUND(H57,2)</f>
        <v>328863.37</v>
      </c>
      <c r="I60" s="25">
        <f t="shared" si="8"/>
        <v>0</v>
      </c>
      <c r="J60" s="25">
        <f t="shared" si="8"/>
        <v>400000</v>
      </c>
      <c r="K60" s="25">
        <f t="shared" si="8"/>
        <v>575000</v>
      </c>
      <c r="L60" s="25">
        <f t="shared" si="8"/>
        <v>650000</v>
      </c>
      <c r="M60" s="25">
        <f t="shared" si="8"/>
        <v>680000</v>
      </c>
      <c r="N60" s="449"/>
      <c r="O60" s="637" t="s">
        <v>488</v>
      </c>
      <c r="P60" s="380"/>
    </row>
    <row r="61" spans="1:16">
      <c r="A61" s="89"/>
      <c r="B61" s="223" t="s">
        <v>124</v>
      </c>
      <c r="C61" s="36" t="s">
        <v>162</v>
      </c>
      <c r="D61" s="36"/>
      <c r="E61" s="41"/>
      <c r="F61" s="41"/>
      <c r="G61" s="46"/>
      <c r="H61" s="146">
        <f t="shared" si="8"/>
        <v>328863.34000000003</v>
      </c>
      <c r="I61" s="146">
        <f t="shared" si="8"/>
        <v>0.05</v>
      </c>
      <c r="J61" s="146">
        <f t="shared" si="8"/>
        <v>400000.01</v>
      </c>
      <c r="K61" s="146">
        <f t="shared" si="8"/>
        <v>575000.1</v>
      </c>
      <c r="L61" s="146">
        <f t="shared" si="8"/>
        <v>649999.99</v>
      </c>
      <c r="M61" s="146">
        <f t="shared" si="8"/>
        <v>680000.06</v>
      </c>
      <c r="N61" s="306"/>
      <c r="O61" s="638" t="s">
        <v>489</v>
      </c>
      <c r="P61" s="380"/>
    </row>
    <row r="62" spans="1:16">
      <c r="A62" s="34"/>
      <c r="B62" s="203"/>
      <c r="C62" s="48" t="s">
        <v>414</v>
      </c>
      <c r="D62" s="48"/>
      <c r="E62" s="48"/>
      <c r="F62" s="48"/>
      <c r="G62" s="48"/>
      <c r="H62" s="48"/>
      <c r="I62" s="48"/>
      <c r="J62" s="48"/>
      <c r="K62" s="48"/>
      <c r="L62" s="48"/>
      <c r="M62" s="48"/>
      <c r="N62" s="47"/>
      <c r="O62" s="563"/>
      <c r="P62"/>
    </row>
    <row r="63" spans="1:16" ht="15.75" customHeight="1">
      <c r="A63" s="89"/>
      <c r="B63" s="745" t="s">
        <v>384</v>
      </c>
      <c r="C63" s="715"/>
      <c r="D63" s="715"/>
      <c r="E63" s="715"/>
      <c r="F63" s="715"/>
      <c r="G63" s="715"/>
      <c r="H63" s="715"/>
      <c r="I63" s="715"/>
      <c r="J63" s="715"/>
      <c r="K63" s="715"/>
      <c r="L63" s="715"/>
      <c r="M63" s="715"/>
      <c r="N63" s="715"/>
      <c r="O63" s="746"/>
    </row>
    <row r="64" spans="1:16">
      <c r="A64" s="89"/>
      <c r="B64" s="747"/>
      <c r="C64" s="718"/>
      <c r="D64" s="718"/>
      <c r="E64" s="718"/>
      <c r="F64" s="718"/>
      <c r="G64" s="718"/>
      <c r="H64" s="718"/>
      <c r="I64" s="718"/>
      <c r="J64" s="718"/>
      <c r="K64" s="718"/>
      <c r="L64" s="718"/>
      <c r="M64" s="718"/>
      <c r="N64" s="718"/>
      <c r="O64" s="748"/>
    </row>
    <row r="65" spans="1:16">
      <c r="A65" s="89"/>
      <c r="B65" s="747"/>
      <c r="C65" s="718"/>
      <c r="D65" s="718"/>
      <c r="E65" s="718"/>
      <c r="F65" s="718"/>
      <c r="G65" s="718"/>
      <c r="H65" s="718"/>
      <c r="I65" s="718"/>
      <c r="J65" s="718"/>
      <c r="K65" s="718"/>
      <c r="L65" s="718"/>
      <c r="M65" s="718"/>
      <c r="N65" s="718"/>
      <c r="O65" s="748"/>
    </row>
    <row r="66" spans="1:16">
      <c r="A66" s="89"/>
      <c r="B66" s="747"/>
      <c r="C66" s="718"/>
      <c r="D66" s="718"/>
      <c r="E66" s="718"/>
      <c r="F66" s="718"/>
      <c r="G66" s="718"/>
      <c r="H66" s="718"/>
      <c r="I66" s="718"/>
      <c r="J66" s="718"/>
      <c r="K66" s="718"/>
      <c r="L66" s="718"/>
      <c r="M66" s="718"/>
      <c r="N66" s="718"/>
      <c r="O66" s="748"/>
    </row>
    <row r="67" spans="1:16" ht="30" customHeight="1">
      <c r="A67" s="89"/>
      <c r="B67" s="749"/>
      <c r="C67" s="721"/>
      <c r="D67" s="721"/>
      <c r="E67" s="721"/>
      <c r="F67" s="721"/>
      <c r="G67" s="721"/>
      <c r="H67" s="721"/>
      <c r="I67" s="721"/>
      <c r="J67" s="721"/>
      <c r="K67" s="721"/>
      <c r="L67" s="721"/>
      <c r="M67" s="721"/>
      <c r="N67" s="721"/>
      <c r="O67" s="750"/>
    </row>
    <row r="68" spans="1:16">
      <c r="A68" s="89"/>
      <c r="B68" s="739" t="s">
        <v>269</v>
      </c>
      <c r="C68" s="740"/>
      <c r="D68" s="740"/>
      <c r="E68" s="740"/>
      <c r="F68" s="740"/>
      <c r="G68" s="740"/>
      <c r="H68" s="740"/>
      <c r="I68" s="740"/>
      <c r="J68" s="740"/>
      <c r="K68" s="740"/>
      <c r="L68" s="740"/>
      <c r="M68" s="740"/>
      <c r="N68" s="740"/>
      <c r="O68" s="741"/>
    </row>
    <row r="69" spans="1:16">
      <c r="A69" s="89"/>
      <c r="B69" s="228"/>
      <c r="C69" s="48" t="s">
        <v>107</v>
      </c>
      <c r="D69" s="48"/>
      <c r="E69" s="48"/>
      <c r="F69" s="48"/>
      <c r="G69" s="48"/>
      <c r="H69" s="48"/>
      <c r="I69" s="48"/>
      <c r="J69" s="48"/>
      <c r="K69" s="48"/>
      <c r="L69" s="48"/>
      <c r="M69" s="48"/>
      <c r="N69" s="446"/>
      <c r="O69" s="639"/>
      <c r="P69"/>
    </row>
    <row r="70" spans="1:16">
      <c r="A70" s="34"/>
      <c r="B70" s="222">
        <v>6</v>
      </c>
      <c r="C70" s="3" t="s">
        <v>108</v>
      </c>
      <c r="D70" s="4"/>
      <c r="E70" s="4"/>
      <c r="F70" s="4"/>
      <c r="G70" s="5"/>
      <c r="H70" s="10">
        <v>967386.25222000037</v>
      </c>
      <c r="I70" s="10">
        <f>H94</f>
        <v>1047842.8011490405</v>
      </c>
      <c r="J70" s="10">
        <f t="shared" ref="J70:L71" si="9">I94</f>
        <v>716742.96499029605</v>
      </c>
      <c r="K70" s="10">
        <f t="shared" si="9"/>
        <v>673351.64038597234</v>
      </c>
      <c r="L70" s="10">
        <f t="shared" si="9"/>
        <v>711870.43409951869</v>
      </c>
      <c r="M70" s="10">
        <f>L94</f>
        <v>745403.66690129042</v>
      </c>
      <c r="N70" s="428"/>
      <c r="O70" s="436" t="s">
        <v>490</v>
      </c>
      <c r="P70"/>
    </row>
    <row r="71" spans="1:16">
      <c r="A71" s="34"/>
      <c r="B71" s="223" t="s">
        <v>139</v>
      </c>
      <c r="C71" s="124" t="s">
        <v>108</v>
      </c>
      <c r="D71" s="36"/>
      <c r="E71" s="41"/>
      <c r="F71" s="41"/>
      <c r="G71" s="46"/>
      <c r="H71" s="39">
        <f>H70</f>
        <v>967386.25222000037</v>
      </c>
      <c r="I71" s="39">
        <f>H95</f>
        <v>1047842.8011490405</v>
      </c>
      <c r="J71" s="39">
        <f t="shared" si="9"/>
        <v>716742.96499029605</v>
      </c>
      <c r="K71" s="39">
        <f t="shared" si="9"/>
        <v>673351.64038597234</v>
      </c>
      <c r="L71" s="39">
        <f t="shared" si="9"/>
        <v>711870.43409951869</v>
      </c>
      <c r="M71" s="39">
        <f t="shared" ref="M71" si="10">L95</f>
        <v>745403.66690129042</v>
      </c>
      <c r="N71" s="163"/>
      <c r="O71" s="378" t="s">
        <v>491</v>
      </c>
      <c r="P71"/>
    </row>
    <row r="72" spans="1:16">
      <c r="A72" s="34"/>
      <c r="B72" s="222">
        <v>7</v>
      </c>
      <c r="C72" s="3" t="s">
        <v>415</v>
      </c>
      <c r="D72" s="4"/>
      <c r="E72" s="4"/>
      <c r="F72" s="4"/>
      <c r="G72" s="5"/>
      <c r="H72" s="10">
        <f t="shared" ref="H72:M72" si="11">ROUND(H57,2)</f>
        <v>308198.42</v>
      </c>
      <c r="I72" s="10">
        <f t="shared" si="11"/>
        <v>0</v>
      </c>
      <c r="J72" s="10">
        <f t="shared" si="11"/>
        <v>358893.94</v>
      </c>
      <c r="K72" s="10">
        <f t="shared" si="11"/>
        <v>513487.72</v>
      </c>
      <c r="L72" s="10">
        <f t="shared" si="11"/>
        <v>565747.21</v>
      </c>
      <c r="M72" s="10">
        <f t="shared" si="11"/>
        <v>623798.74</v>
      </c>
      <c r="N72" s="428"/>
      <c r="O72" s="435" t="s">
        <v>187</v>
      </c>
      <c r="P72"/>
    </row>
    <row r="73" spans="1:16">
      <c r="A73" s="34"/>
      <c r="B73" s="223" t="s">
        <v>140</v>
      </c>
      <c r="C73" s="124" t="s">
        <v>415</v>
      </c>
      <c r="D73" s="36"/>
      <c r="E73" s="41"/>
      <c r="F73" s="41"/>
      <c r="G73" s="46"/>
      <c r="H73" s="597">
        <f>H90-H87-H85-H83-H81-H79-H77-H75-H71</f>
        <v>308198.38755133795</v>
      </c>
      <c r="I73" s="597">
        <f t="shared" ref="I73:M73" si="12">I90-I87-I85-I83-I81-I79-I77-I75-I71</f>
        <v>4.5979344518855214E-2</v>
      </c>
      <c r="J73" s="597">
        <f t="shared" si="12"/>
        <v>358893.94539937808</v>
      </c>
      <c r="K73" s="597">
        <f t="shared" si="12"/>
        <v>513487.82202960295</v>
      </c>
      <c r="L73" s="597">
        <f t="shared" si="12"/>
        <v>565747.20491651446</v>
      </c>
      <c r="M73" s="597">
        <f t="shared" si="12"/>
        <v>623798.79721155181</v>
      </c>
      <c r="N73" s="163"/>
      <c r="O73" s="224" t="s">
        <v>165</v>
      </c>
      <c r="P73"/>
    </row>
    <row r="74" spans="1:16">
      <c r="A74" s="34"/>
      <c r="B74" s="222">
        <v>8</v>
      </c>
      <c r="C74" s="3" t="s">
        <v>292</v>
      </c>
      <c r="D74" s="4"/>
      <c r="E74" s="4"/>
      <c r="F74" s="4"/>
      <c r="G74" s="5"/>
      <c r="H74" s="10">
        <v>6041.0736734693864</v>
      </c>
      <c r="I74" s="10">
        <v>0</v>
      </c>
      <c r="J74" s="10">
        <v>0</v>
      </c>
      <c r="K74" s="10">
        <v>0</v>
      </c>
      <c r="L74" s="10">
        <v>0</v>
      </c>
      <c r="M74" s="10">
        <v>0</v>
      </c>
      <c r="N74" s="428"/>
      <c r="O74" s="435" t="s">
        <v>187</v>
      </c>
      <c r="P74"/>
    </row>
    <row r="75" spans="1:16">
      <c r="A75" s="34"/>
      <c r="B75" s="223" t="s">
        <v>141</v>
      </c>
      <c r="C75" s="124" t="s">
        <v>292</v>
      </c>
      <c r="D75" s="274"/>
      <c r="E75" s="41"/>
      <c r="F75" s="41"/>
      <c r="G75" s="46"/>
      <c r="H75" s="141">
        <f>ROUND(H74,2)</f>
        <v>6041.07</v>
      </c>
      <c r="I75" s="141">
        <f t="shared" ref="I75:M75" si="13">ROUND(I74,2)</f>
        <v>0</v>
      </c>
      <c r="J75" s="141">
        <f t="shared" si="13"/>
        <v>0</v>
      </c>
      <c r="K75" s="141">
        <f t="shared" si="13"/>
        <v>0</v>
      </c>
      <c r="L75" s="141">
        <f t="shared" si="13"/>
        <v>0</v>
      </c>
      <c r="M75" s="141">
        <f t="shared" si="13"/>
        <v>0</v>
      </c>
      <c r="N75" s="163"/>
      <c r="O75" s="224" t="s">
        <v>188</v>
      </c>
      <c r="P75"/>
    </row>
    <row r="76" spans="1:16">
      <c r="A76" s="34"/>
      <c r="B76" s="222">
        <v>9</v>
      </c>
      <c r="C76" s="3" t="s">
        <v>293</v>
      </c>
      <c r="D76" s="4"/>
      <c r="E76" s="4"/>
      <c r="F76" s="4"/>
      <c r="G76" s="5"/>
      <c r="H76" s="10">
        <v>6287.6484489795921</v>
      </c>
      <c r="I76" s="10">
        <v>0</v>
      </c>
      <c r="J76" s="10">
        <v>0</v>
      </c>
      <c r="K76" s="10">
        <v>0</v>
      </c>
      <c r="L76" s="10">
        <v>0</v>
      </c>
      <c r="M76" s="10">
        <v>0</v>
      </c>
      <c r="N76" s="428"/>
      <c r="O76" s="435" t="s">
        <v>187</v>
      </c>
      <c r="P76"/>
    </row>
    <row r="77" spans="1:16">
      <c r="A77" s="34"/>
      <c r="B77" s="223" t="s">
        <v>142</v>
      </c>
      <c r="C77" s="124" t="s">
        <v>293</v>
      </c>
      <c r="D77" s="274"/>
      <c r="E77" s="41"/>
      <c r="F77" s="41"/>
      <c r="G77" s="46"/>
      <c r="H77" s="141">
        <f>ROUND(H76,2)</f>
        <v>6287.65</v>
      </c>
      <c r="I77" s="141">
        <f t="shared" ref="I77:M77" si="14">ROUND(I76,2)</f>
        <v>0</v>
      </c>
      <c r="J77" s="141">
        <f t="shared" si="14"/>
        <v>0</v>
      </c>
      <c r="K77" s="141">
        <f t="shared" si="14"/>
        <v>0</v>
      </c>
      <c r="L77" s="141">
        <f t="shared" si="14"/>
        <v>0</v>
      </c>
      <c r="M77" s="141">
        <f t="shared" si="14"/>
        <v>0</v>
      </c>
      <c r="N77" s="163"/>
      <c r="O77" s="224" t="s">
        <v>188</v>
      </c>
      <c r="P77"/>
    </row>
    <row r="78" spans="1:16" ht="16.2" thickBot="1">
      <c r="A78" s="34"/>
      <c r="B78" s="222">
        <v>10</v>
      </c>
      <c r="C78" s="3" t="s">
        <v>111</v>
      </c>
      <c r="D78" s="4"/>
      <c r="E78" s="4"/>
      <c r="F78" s="4"/>
      <c r="G78" s="5"/>
      <c r="H78" s="10">
        <v>82892.622719166655</v>
      </c>
      <c r="I78" s="10">
        <v>100139.52985977777</v>
      </c>
      <c r="J78" s="10">
        <v>82819.504491583328</v>
      </c>
      <c r="K78" s="10">
        <v>56317.556725833347</v>
      </c>
      <c r="L78" s="10">
        <v>25437.03107375</v>
      </c>
      <c r="M78" s="10">
        <v>12816.895466666665</v>
      </c>
      <c r="N78" s="428"/>
      <c r="O78" s="435" t="s">
        <v>187</v>
      </c>
      <c r="P78" s="374"/>
    </row>
    <row r="79" spans="1:16" ht="16.8" thickTop="1" thickBot="1">
      <c r="A79" s="34"/>
      <c r="B79" s="223" t="s">
        <v>143</v>
      </c>
      <c r="C79" s="42" t="s">
        <v>111</v>
      </c>
      <c r="D79" s="43"/>
      <c r="E79" s="44"/>
      <c r="F79" s="44"/>
      <c r="G79" s="45"/>
      <c r="H79" s="141">
        <f>ROUND(H78,2)</f>
        <v>82892.62</v>
      </c>
      <c r="I79" s="141">
        <f t="shared" ref="I79:M79" si="15">ROUND(I78,2)</f>
        <v>100139.53</v>
      </c>
      <c r="J79" s="141">
        <f t="shared" si="15"/>
        <v>82819.5</v>
      </c>
      <c r="K79" s="141">
        <f t="shared" si="15"/>
        <v>56317.56</v>
      </c>
      <c r="L79" s="141">
        <f t="shared" si="15"/>
        <v>25437.03</v>
      </c>
      <c r="M79" s="141">
        <f t="shared" si="15"/>
        <v>12816.9</v>
      </c>
      <c r="N79" s="307"/>
      <c r="O79" s="224" t="s">
        <v>188</v>
      </c>
      <c r="P79" s="374"/>
    </row>
    <row r="80" spans="1:16" ht="16.2" thickTop="1">
      <c r="A80" s="34"/>
      <c r="B80" s="222">
        <v>11</v>
      </c>
      <c r="C80" s="3" t="s">
        <v>385</v>
      </c>
      <c r="D80" s="4"/>
      <c r="E80" s="4"/>
      <c r="F80" s="4"/>
      <c r="G80" s="5"/>
      <c r="H80" s="10">
        <v>285</v>
      </c>
      <c r="I80" s="10">
        <v>1274.6669999999999</v>
      </c>
      <c r="J80" s="10">
        <v>19638.332999999999</v>
      </c>
      <c r="K80" s="10">
        <v>37363.667000000001</v>
      </c>
      <c r="L80" s="10">
        <v>36123.667000000001</v>
      </c>
      <c r="M80" s="10">
        <v>11989</v>
      </c>
      <c r="N80" s="428"/>
      <c r="O80" s="435" t="s">
        <v>187</v>
      </c>
      <c r="P80" s="374"/>
    </row>
    <row r="81" spans="1:16">
      <c r="A81" s="34"/>
      <c r="B81" s="223" t="s">
        <v>144</v>
      </c>
      <c r="C81" s="124" t="s">
        <v>385</v>
      </c>
      <c r="D81" s="36"/>
      <c r="E81" s="41"/>
      <c r="F81" s="41"/>
      <c r="G81" s="46"/>
      <c r="H81" s="141">
        <f>ROUND(H80,2)</f>
        <v>285</v>
      </c>
      <c r="I81" s="141">
        <f t="shared" ref="I81:M81" si="16">ROUND(I80,2)</f>
        <v>1274.67</v>
      </c>
      <c r="J81" s="141">
        <f t="shared" si="16"/>
        <v>19638.330000000002</v>
      </c>
      <c r="K81" s="141">
        <f t="shared" si="16"/>
        <v>37363.67</v>
      </c>
      <c r="L81" s="141">
        <f t="shared" si="16"/>
        <v>36123.67</v>
      </c>
      <c r="M81" s="141">
        <f t="shared" si="16"/>
        <v>11989</v>
      </c>
      <c r="N81" s="307"/>
      <c r="O81" s="224" t="s">
        <v>188</v>
      </c>
      <c r="P81" s="374"/>
    </row>
    <row r="82" spans="1:16">
      <c r="A82" s="34"/>
      <c r="B82" s="222">
        <v>12</v>
      </c>
      <c r="C82" s="3" t="s">
        <v>110</v>
      </c>
      <c r="D82" s="4"/>
      <c r="E82" s="4"/>
      <c r="F82" s="4"/>
      <c r="G82" s="5"/>
      <c r="H82" s="10">
        <v>34361.78</v>
      </c>
      <c r="I82" s="10">
        <v>36290.006018026819</v>
      </c>
      <c r="J82" s="10">
        <v>38326.435265822161</v>
      </c>
      <c r="K82" s="10">
        <v>40477.139614018881</v>
      </c>
      <c r="L82" s="10">
        <v>42748.531658873821</v>
      </c>
      <c r="M82" s="10">
        <v>45147.383842232288</v>
      </c>
      <c r="N82" s="428"/>
      <c r="O82" s="435" t="s">
        <v>187</v>
      </c>
      <c r="P82" s="374"/>
    </row>
    <row r="83" spans="1:16">
      <c r="A83" s="34"/>
      <c r="B83" s="223" t="s">
        <v>145</v>
      </c>
      <c r="C83" s="124" t="s">
        <v>110</v>
      </c>
      <c r="D83" s="36"/>
      <c r="E83" s="41"/>
      <c r="F83" s="41"/>
      <c r="G83" s="46"/>
      <c r="H83" s="141">
        <f>ROUND(H82,2)</f>
        <v>34361.78</v>
      </c>
      <c r="I83" s="141">
        <f t="shared" ref="I83:M83" si="17">ROUND(I82,2)</f>
        <v>36290.01</v>
      </c>
      <c r="J83" s="141">
        <f t="shared" si="17"/>
        <v>38326.44</v>
      </c>
      <c r="K83" s="141">
        <f t="shared" si="17"/>
        <v>40477.14</v>
      </c>
      <c r="L83" s="141">
        <f t="shared" si="17"/>
        <v>42748.53</v>
      </c>
      <c r="M83" s="141">
        <f t="shared" si="17"/>
        <v>45147.38</v>
      </c>
      <c r="N83" s="348"/>
      <c r="O83" s="224" t="s">
        <v>188</v>
      </c>
      <c r="P83" s="374"/>
    </row>
    <row r="84" spans="1:16" ht="16.2" thickBot="1">
      <c r="A84" s="34"/>
      <c r="B84" s="222">
        <v>13</v>
      </c>
      <c r="C84" s="3" t="s">
        <v>416</v>
      </c>
      <c r="D84" s="4"/>
      <c r="E84" s="4"/>
      <c r="F84" s="4"/>
      <c r="G84" s="5"/>
      <c r="H84" s="10">
        <v>29300</v>
      </c>
      <c r="I84" s="10">
        <v>25700</v>
      </c>
      <c r="J84" s="10">
        <v>40000</v>
      </c>
      <c r="K84" s="10">
        <v>48500</v>
      </c>
      <c r="L84" s="10">
        <v>60300</v>
      </c>
      <c r="M84" s="10">
        <v>74800</v>
      </c>
      <c r="N84" s="428"/>
      <c r="O84" s="435" t="s">
        <v>187</v>
      </c>
      <c r="P84" s="374"/>
    </row>
    <row r="85" spans="1:16" ht="16.8" thickTop="1" thickBot="1">
      <c r="A85" s="34"/>
      <c r="B85" s="223" t="s">
        <v>146</v>
      </c>
      <c r="C85" s="42" t="s">
        <v>417</v>
      </c>
      <c r="D85" s="43"/>
      <c r="E85" s="44"/>
      <c r="F85" s="44"/>
      <c r="G85" s="45"/>
      <c r="H85" s="39">
        <f t="shared" ref="H85:M85" si="18">H133</f>
        <v>29300.035070277212</v>
      </c>
      <c r="I85" s="39">
        <f t="shared" si="18"/>
        <v>25699.945749419501</v>
      </c>
      <c r="J85" s="39">
        <f t="shared" si="18"/>
        <v>39999.992367731305</v>
      </c>
      <c r="K85" s="39">
        <f t="shared" si="18"/>
        <v>48499.890924276813</v>
      </c>
      <c r="L85" s="39">
        <f t="shared" si="18"/>
        <v>60300.000716590701</v>
      </c>
      <c r="M85" s="39">
        <f t="shared" si="18"/>
        <v>74799.945196057</v>
      </c>
      <c r="N85" s="163"/>
      <c r="O85" s="378" t="s">
        <v>420</v>
      </c>
      <c r="P85" s="374"/>
    </row>
    <row r="86" spans="1:16" ht="16.2" thickTop="1">
      <c r="A86" s="34"/>
      <c r="B86" s="222">
        <v>14</v>
      </c>
      <c r="C86" s="3" t="s">
        <v>112</v>
      </c>
      <c r="D86" s="4"/>
      <c r="E86" s="4"/>
      <c r="F86" s="4"/>
      <c r="G86" s="5"/>
      <c r="H86" s="10">
        <v>19952.762911430415</v>
      </c>
      <c r="I86" s="10">
        <v>17471.146186592392</v>
      </c>
      <c r="J86" s="10">
        <v>13763.312944028568</v>
      </c>
      <c r="K86" s="10">
        <v>13715.070160188217</v>
      </c>
      <c r="L86" s="10">
        <v>14428.456598383111</v>
      </c>
      <c r="M86" s="10">
        <v>15047.696041793775</v>
      </c>
      <c r="N86" s="428"/>
      <c r="O86" s="435" t="s">
        <v>187</v>
      </c>
      <c r="P86" s="374"/>
    </row>
    <row r="87" spans="1:16">
      <c r="A87" s="34"/>
      <c r="B87" s="223" t="s">
        <v>135</v>
      </c>
      <c r="C87" s="40" t="s">
        <v>112</v>
      </c>
      <c r="D87" s="41"/>
      <c r="E87" s="41"/>
      <c r="F87" s="41"/>
      <c r="G87" s="46"/>
      <c r="H87" s="39">
        <f t="shared" ref="H87:M87" si="19">ROUND(H86,2)</f>
        <v>19952.759999999998</v>
      </c>
      <c r="I87" s="39">
        <f t="shared" si="19"/>
        <v>17471.150000000001</v>
      </c>
      <c r="J87" s="39">
        <f t="shared" si="19"/>
        <v>13763.31</v>
      </c>
      <c r="K87" s="39">
        <f t="shared" si="19"/>
        <v>13715.07</v>
      </c>
      <c r="L87" s="39">
        <f t="shared" si="19"/>
        <v>14428.46</v>
      </c>
      <c r="M87" s="39">
        <f t="shared" si="19"/>
        <v>15047.7</v>
      </c>
      <c r="N87" s="163"/>
      <c r="O87" s="224" t="s">
        <v>188</v>
      </c>
      <c r="P87" s="374"/>
    </row>
    <row r="88" spans="1:16" ht="3" customHeight="1">
      <c r="B88" s="226"/>
      <c r="C88" s="55"/>
      <c r="D88" s="55"/>
      <c r="E88" s="55"/>
      <c r="F88" s="55"/>
      <c r="G88" s="55"/>
      <c r="H88" s="56"/>
      <c r="I88" s="56"/>
      <c r="J88" s="56"/>
      <c r="K88" s="56"/>
      <c r="L88" s="56"/>
      <c r="M88" s="56"/>
      <c r="N88" s="308"/>
      <c r="O88" s="227"/>
      <c r="P88" s="382"/>
    </row>
    <row r="89" spans="1:16">
      <c r="A89" s="34"/>
      <c r="B89" s="222">
        <v>15</v>
      </c>
      <c r="C89" s="3" t="s">
        <v>113</v>
      </c>
      <c r="D89" s="4"/>
      <c r="E89" s="4"/>
      <c r="F89" s="4"/>
      <c r="G89" s="5"/>
      <c r="H89" s="10">
        <f t="shared" ref="H89:M89" si="20">ROUND(H70,2)+H72+H74+H76+H78+H80+H82+H84+ROUND(H86,2)</f>
        <v>1454705.5548416155</v>
      </c>
      <c r="I89" s="10">
        <f t="shared" si="20"/>
        <v>1228718.1528778044</v>
      </c>
      <c r="J89" s="10">
        <f t="shared" si="20"/>
        <v>1270184.4827574056</v>
      </c>
      <c r="K89" s="10">
        <f t="shared" si="20"/>
        <v>1383212.793339852</v>
      </c>
      <c r="L89" s="10">
        <f t="shared" si="20"/>
        <v>1456655.3297326239</v>
      </c>
      <c r="M89" s="10">
        <f t="shared" si="20"/>
        <v>1529003.3893088989</v>
      </c>
      <c r="N89" s="428"/>
      <c r="O89" s="436" t="s">
        <v>419</v>
      </c>
      <c r="P89" s="374"/>
    </row>
    <row r="90" spans="1:16">
      <c r="A90" s="34"/>
      <c r="B90" s="223" t="s">
        <v>131</v>
      </c>
      <c r="C90" s="40" t="s">
        <v>113</v>
      </c>
      <c r="D90" s="41"/>
      <c r="E90" s="41"/>
      <c r="F90" s="41"/>
      <c r="G90" s="46"/>
      <c r="H90" s="39">
        <f>H95+H92</f>
        <v>1454705.5548416155</v>
      </c>
      <c r="I90" s="39">
        <f t="shared" ref="I90:M90" si="21">I95+I92</f>
        <v>1228718.1528778044</v>
      </c>
      <c r="J90" s="39">
        <f t="shared" si="21"/>
        <v>1270184.4827574056</v>
      </c>
      <c r="K90" s="39">
        <f t="shared" si="21"/>
        <v>1383212.793339852</v>
      </c>
      <c r="L90" s="39">
        <f t="shared" si="21"/>
        <v>1456655.3297326239</v>
      </c>
      <c r="M90" s="39">
        <f t="shared" si="21"/>
        <v>1529003.3893088989</v>
      </c>
      <c r="N90" s="163"/>
      <c r="O90" s="378" t="s">
        <v>475</v>
      </c>
      <c r="P90" s="374"/>
    </row>
    <row r="91" spans="1:16">
      <c r="A91" s="34"/>
      <c r="B91" s="222">
        <v>16</v>
      </c>
      <c r="C91" s="3" t="s">
        <v>100</v>
      </c>
      <c r="D91" s="4"/>
      <c r="E91" s="4"/>
      <c r="F91" s="4"/>
      <c r="G91" s="5"/>
      <c r="H91" s="10">
        <f t="shared" ref="H91:M91" si="22">H27</f>
        <v>406862.75369257503</v>
      </c>
      <c r="I91" s="10">
        <f t="shared" si="22"/>
        <v>511975.18788750831</v>
      </c>
      <c r="J91" s="10">
        <f t="shared" si="22"/>
        <v>596832.84237143327</v>
      </c>
      <c r="K91" s="10">
        <f t="shared" si="22"/>
        <v>671342.35924033332</v>
      </c>
      <c r="L91" s="10">
        <f t="shared" si="22"/>
        <v>711251.66283133347</v>
      </c>
      <c r="M91" s="10">
        <f t="shared" si="22"/>
        <v>754589.76450270833</v>
      </c>
      <c r="N91" s="428"/>
      <c r="O91" s="640" t="s">
        <v>400</v>
      </c>
      <c r="P91" s="380"/>
    </row>
    <row r="92" spans="1:16">
      <c r="A92" s="34"/>
      <c r="B92" s="223" t="s">
        <v>130</v>
      </c>
      <c r="C92" s="40" t="s">
        <v>100</v>
      </c>
      <c r="D92" s="41"/>
      <c r="E92" s="41"/>
      <c r="F92" s="41"/>
      <c r="G92" s="46"/>
      <c r="H92" s="146">
        <f t="shared" ref="H92:M92" si="23">H29</f>
        <v>406862.75369257503</v>
      </c>
      <c r="I92" s="146">
        <f>I29</f>
        <v>511975.18788750831</v>
      </c>
      <c r="J92" s="146">
        <f t="shared" si="23"/>
        <v>596832.84237143327</v>
      </c>
      <c r="K92" s="146">
        <f t="shared" si="23"/>
        <v>671342.35924033332</v>
      </c>
      <c r="L92" s="146">
        <f t="shared" si="23"/>
        <v>711251.66283133347</v>
      </c>
      <c r="M92" s="146">
        <f t="shared" si="23"/>
        <v>754589.76450270833</v>
      </c>
      <c r="N92" s="448"/>
      <c r="O92" s="641" t="s">
        <v>300</v>
      </c>
      <c r="P92" s="374"/>
    </row>
    <row r="93" spans="1:16" ht="3" customHeight="1">
      <c r="B93" s="226"/>
      <c r="C93" s="55"/>
      <c r="D93" s="55"/>
      <c r="E93" s="55"/>
      <c r="F93" s="55"/>
      <c r="G93" s="55"/>
      <c r="H93" s="56"/>
      <c r="I93" s="57"/>
      <c r="J93" s="57"/>
      <c r="K93" s="57"/>
      <c r="L93" s="57"/>
      <c r="M93" s="57"/>
      <c r="N93" s="57"/>
      <c r="O93" s="227"/>
    </row>
    <row r="94" spans="1:16">
      <c r="A94" s="34"/>
      <c r="B94" s="222">
        <v>17</v>
      </c>
      <c r="C94" s="3" t="s">
        <v>114</v>
      </c>
      <c r="D94" s="4"/>
      <c r="E94" s="4"/>
      <c r="F94" s="4"/>
      <c r="G94" s="5"/>
      <c r="H94" s="10">
        <f t="shared" ref="H94:M94" si="24">H89-H91</f>
        <v>1047842.8011490405</v>
      </c>
      <c r="I94" s="84">
        <f>I89-I91</f>
        <v>716742.96499029605</v>
      </c>
      <c r="J94" s="84">
        <f t="shared" si="24"/>
        <v>673351.64038597234</v>
      </c>
      <c r="K94" s="84">
        <f t="shared" si="24"/>
        <v>711870.43409951869</v>
      </c>
      <c r="L94" s="84">
        <f t="shared" si="24"/>
        <v>745403.66690129042</v>
      </c>
      <c r="M94" s="84">
        <f t="shared" si="24"/>
        <v>774413.62480619061</v>
      </c>
      <c r="N94" s="429"/>
      <c r="O94" s="640" t="s">
        <v>418</v>
      </c>
      <c r="P94" s="374"/>
    </row>
    <row r="95" spans="1:16">
      <c r="A95" s="34"/>
      <c r="B95" s="223" t="s">
        <v>147</v>
      </c>
      <c r="C95" s="40" t="s">
        <v>114</v>
      </c>
      <c r="D95" s="41"/>
      <c r="E95" s="41"/>
      <c r="F95" s="41"/>
      <c r="G95" s="46"/>
      <c r="H95" s="39">
        <f t="shared" ref="H95:M95" si="25">H94</f>
        <v>1047842.8011490405</v>
      </c>
      <c r="I95" s="259">
        <f t="shared" si="25"/>
        <v>716742.96499029605</v>
      </c>
      <c r="J95" s="259">
        <f t="shared" si="25"/>
        <v>673351.64038597234</v>
      </c>
      <c r="K95" s="259">
        <f t="shared" si="25"/>
        <v>711870.43409951869</v>
      </c>
      <c r="L95" s="259">
        <f t="shared" si="25"/>
        <v>745403.66690129042</v>
      </c>
      <c r="M95" s="259">
        <f t="shared" si="25"/>
        <v>774413.62480619061</v>
      </c>
      <c r="N95" s="34"/>
      <c r="O95" s="224" t="s">
        <v>188</v>
      </c>
      <c r="P95" s="380"/>
    </row>
    <row r="96" spans="1:16">
      <c r="A96" s="34"/>
      <c r="B96" s="203"/>
      <c r="C96" s="48" t="s">
        <v>386</v>
      </c>
      <c r="D96" s="48"/>
      <c r="E96" s="48"/>
      <c r="F96" s="48"/>
      <c r="G96" s="48"/>
      <c r="H96" s="48"/>
      <c r="I96" s="48"/>
      <c r="J96" s="48"/>
      <c r="K96" s="48"/>
      <c r="L96" s="48"/>
      <c r="M96" s="48"/>
      <c r="N96" s="48"/>
      <c r="O96" s="563"/>
    </row>
    <row r="97" spans="1:17">
      <c r="A97" s="34"/>
      <c r="B97" s="222"/>
      <c r="C97" s="3" t="s">
        <v>108</v>
      </c>
      <c r="D97" s="4"/>
      <c r="E97" s="4"/>
      <c r="F97" s="4"/>
      <c r="G97" s="5"/>
      <c r="H97" s="10">
        <v>0</v>
      </c>
      <c r="I97" s="10">
        <v>0</v>
      </c>
      <c r="J97" s="10">
        <v>0</v>
      </c>
      <c r="K97" s="10">
        <v>0</v>
      </c>
      <c r="L97" s="10">
        <v>0</v>
      </c>
      <c r="M97" s="10">
        <v>0</v>
      </c>
      <c r="N97" s="434"/>
      <c r="O97" s="637"/>
      <c r="P97" s="374"/>
      <c r="Q97" s="271"/>
    </row>
    <row r="98" spans="1:17">
      <c r="A98" s="34"/>
      <c r="B98" s="222"/>
      <c r="C98" s="3" t="s">
        <v>401</v>
      </c>
      <c r="D98" s="4"/>
      <c r="E98" s="4"/>
      <c r="F98" s="4"/>
      <c r="G98" s="5"/>
      <c r="H98" s="10">
        <v>0</v>
      </c>
      <c r="I98" s="10">
        <v>0</v>
      </c>
      <c r="J98" s="10">
        <v>0</v>
      </c>
      <c r="K98" s="10">
        <v>0</v>
      </c>
      <c r="L98" s="10">
        <v>0</v>
      </c>
      <c r="M98" s="10">
        <v>0</v>
      </c>
      <c r="N98" s="428"/>
      <c r="O98" s="435"/>
      <c r="P98" s="374"/>
      <c r="Q98" s="271"/>
    </row>
    <row r="99" spans="1:17">
      <c r="A99" s="34"/>
      <c r="B99" s="222"/>
      <c r="C99" s="3" t="s">
        <v>402</v>
      </c>
      <c r="D99" s="4"/>
      <c r="E99" s="4"/>
      <c r="F99" s="4"/>
      <c r="G99" s="5"/>
      <c r="H99" s="10">
        <v>0</v>
      </c>
      <c r="I99" s="10">
        <v>0</v>
      </c>
      <c r="J99" s="10">
        <v>0</v>
      </c>
      <c r="K99" s="10">
        <v>0</v>
      </c>
      <c r="L99" s="10">
        <v>0</v>
      </c>
      <c r="M99" s="10">
        <v>0</v>
      </c>
      <c r="N99" s="428"/>
      <c r="O99" s="435"/>
      <c r="P99" s="374"/>
      <c r="Q99" s="271"/>
    </row>
    <row r="100" spans="1:17" ht="3" customHeight="1">
      <c r="B100" s="226"/>
      <c r="C100" s="55"/>
      <c r="D100" s="55"/>
      <c r="E100" s="55"/>
      <c r="F100" s="55"/>
      <c r="G100" s="55"/>
      <c r="H100" s="56"/>
      <c r="I100" s="57"/>
      <c r="J100" s="57"/>
      <c r="K100" s="57"/>
      <c r="L100" s="57"/>
      <c r="M100" s="57"/>
      <c r="N100" s="308"/>
      <c r="O100" s="227"/>
      <c r="P100"/>
      <c r="Q100" s="271"/>
    </row>
    <row r="101" spans="1:17">
      <c r="A101" s="34"/>
      <c r="B101" s="222"/>
      <c r="C101" s="3" t="s">
        <v>114</v>
      </c>
      <c r="D101" s="4"/>
      <c r="E101" s="4"/>
      <c r="F101" s="4"/>
      <c r="G101" s="5"/>
      <c r="H101" s="10">
        <f t="shared" ref="H101:M101" si="26">SUM(H97:H99)</f>
        <v>0</v>
      </c>
      <c r="I101" s="10">
        <f t="shared" si="26"/>
        <v>0</v>
      </c>
      <c r="J101" s="10">
        <f t="shared" si="26"/>
        <v>0</v>
      </c>
      <c r="K101" s="10">
        <f t="shared" si="26"/>
        <v>0</v>
      </c>
      <c r="L101" s="10">
        <f t="shared" si="26"/>
        <v>0</v>
      </c>
      <c r="M101" s="10">
        <f t="shared" si="26"/>
        <v>0</v>
      </c>
      <c r="N101" s="428"/>
      <c r="O101" s="436"/>
      <c r="P101" s="374"/>
      <c r="Q101" s="271"/>
    </row>
    <row r="102" spans="1:17">
      <c r="A102" s="34"/>
      <c r="B102" s="222"/>
      <c r="C102" s="3" t="s">
        <v>221</v>
      </c>
      <c r="D102" s="4"/>
      <c r="E102" s="4"/>
      <c r="F102" s="4"/>
      <c r="G102" s="5"/>
      <c r="H102" s="10">
        <v>0</v>
      </c>
      <c r="I102" s="84">
        <v>0</v>
      </c>
      <c r="J102" s="84">
        <v>0</v>
      </c>
      <c r="K102" s="84">
        <v>0</v>
      </c>
      <c r="L102" s="84">
        <v>0</v>
      </c>
      <c r="M102" s="84">
        <v>0</v>
      </c>
      <c r="N102" s="428"/>
      <c r="O102" s="435"/>
      <c r="P102" s="380"/>
      <c r="Q102" s="271"/>
    </row>
    <row r="103" spans="1:17">
      <c r="A103" s="34"/>
      <c r="B103" s="222"/>
      <c r="C103" s="3" t="s">
        <v>222</v>
      </c>
      <c r="D103" s="4"/>
      <c r="E103" s="4"/>
      <c r="F103" s="4"/>
      <c r="G103" s="5"/>
      <c r="H103" s="10">
        <f t="shared" ref="H103:M103" si="27">H101+H102</f>
        <v>0</v>
      </c>
      <c r="I103" s="10">
        <f t="shared" si="27"/>
        <v>0</v>
      </c>
      <c r="J103" s="10">
        <f t="shared" si="27"/>
        <v>0</v>
      </c>
      <c r="K103" s="10">
        <f t="shared" si="27"/>
        <v>0</v>
      </c>
      <c r="L103" s="10">
        <f t="shared" si="27"/>
        <v>0</v>
      </c>
      <c r="M103" s="10">
        <f t="shared" si="27"/>
        <v>0</v>
      </c>
      <c r="N103" s="431"/>
      <c r="O103" s="642"/>
      <c r="P103"/>
      <c r="Q103" s="271"/>
    </row>
    <row r="104" spans="1:17">
      <c r="A104" s="34"/>
      <c r="B104" s="426"/>
      <c r="C104" s="340"/>
      <c r="D104" s="340"/>
      <c r="E104" s="340"/>
      <c r="F104" s="340"/>
      <c r="G104" s="340"/>
      <c r="H104" s="160"/>
      <c r="I104" s="160"/>
      <c r="J104" s="160"/>
      <c r="K104" s="160"/>
      <c r="L104" s="160"/>
      <c r="M104" s="160"/>
      <c r="N104" s="433"/>
      <c r="O104" s="643"/>
      <c r="Q104" s="271"/>
    </row>
    <row r="105" spans="1:17">
      <c r="A105" s="34"/>
      <c r="B105" s="745" t="s">
        <v>384</v>
      </c>
      <c r="C105" s="715"/>
      <c r="D105" s="715"/>
      <c r="E105" s="715"/>
      <c r="F105" s="715"/>
      <c r="G105" s="715"/>
      <c r="H105" s="715"/>
      <c r="I105" s="715"/>
      <c r="J105" s="715"/>
      <c r="K105" s="715"/>
      <c r="L105" s="715"/>
      <c r="M105" s="715"/>
      <c r="N105" s="715"/>
      <c r="O105" s="746"/>
      <c r="Q105" s="271"/>
    </row>
    <row r="106" spans="1:17">
      <c r="A106" s="34"/>
      <c r="B106" s="747"/>
      <c r="C106" s="718"/>
      <c r="D106" s="718"/>
      <c r="E106" s="718"/>
      <c r="F106" s="718"/>
      <c r="G106" s="718"/>
      <c r="H106" s="718"/>
      <c r="I106" s="718"/>
      <c r="J106" s="718"/>
      <c r="K106" s="718"/>
      <c r="L106" s="718"/>
      <c r="M106" s="718"/>
      <c r="N106" s="718"/>
      <c r="O106" s="748"/>
      <c r="Q106" s="271"/>
    </row>
    <row r="107" spans="1:17">
      <c r="A107" s="34"/>
      <c r="B107" s="747"/>
      <c r="C107" s="718"/>
      <c r="D107" s="718"/>
      <c r="E107" s="718"/>
      <c r="F107" s="718"/>
      <c r="G107" s="718"/>
      <c r="H107" s="718"/>
      <c r="I107" s="718"/>
      <c r="J107" s="718"/>
      <c r="K107" s="718"/>
      <c r="L107" s="718"/>
      <c r="M107" s="718"/>
      <c r="N107" s="718"/>
      <c r="O107" s="748"/>
      <c r="Q107" s="271"/>
    </row>
    <row r="108" spans="1:17">
      <c r="A108" s="34"/>
      <c r="B108" s="747"/>
      <c r="C108" s="718"/>
      <c r="D108" s="718"/>
      <c r="E108" s="718"/>
      <c r="F108" s="718"/>
      <c r="G108" s="718"/>
      <c r="H108" s="718"/>
      <c r="I108" s="718"/>
      <c r="J108" s="718"/>
      <c r="K108" s="718"/>
      <c r="L108" s="718"/>
      <c r="M108" s="718"/>
      <c r="N108" s="718"/>
      <c r="O108" s="748"/>
      <c r="Q108" s="271"/>
    </row>
    <row r="109" spans="1:17" ht="33" customHeight="1" thickBot="1">
      <c r="A109" s="34"/>
      <c r="B109" s="747"/>
      <c r="C109" s="718"/>
      <c r="D109" s="718"/>
      <c r="E109" s="718"/>
      <c r="F109" s="718"/>
      <c r="G109" s="718"/>
      <c r="H109" s="718"/>
      <c r="I109" s="718"/>
      <c r="J109" s="718"/>
      <c r="K109" s="718"/>
      <c r="L109" s="718"/>
      <c r="M109" s="718"/>
      <c r="N109" s="718"/>
      <c r="O109" s="748"/>
      <c r="Q109" s="271"/>
    </row>
    <row r="110" spans="1:17">
      <c r="A110" s="34"/>
      <c r="B110" s="751" t="s">
        <v>269</v>
      </c>
      <c r="C110" s="752"/>
      <c r="D110" s="752"/>
      <c r="E110" s="752"/>
      <c r="F110" s="752"/>
      <c r="G110" s="752"/>
      <c r="H110" s="752"/>
      <c r="I110" s="752"/>
      <c r="J110" s="752"/>
      <c r="K110" s="752"/>
      <c r="L110" s="752"/>
      <c r="M110" s="752"/>
      <c r="N110" s="752"/>
      <c r="O110" s="753"/>
      <c r="Q110" s="271"/>
    </row>
    <row r="111" spans="1:17">
      <c r="A111" s="34"/>
      <c r="B111" s="203"/>
      <c r="C111" s="48" t="s">
        <v>425</v>
      </c>
      <c r="D111" s="48"/>
      <c r="E111" s="48"/>
      <c r="F111" s="48"/>
      <c r="G111" s="48"/>
      <c r="H111" s="48"/>
      <c r="I111" s="48"/>
      <c r="J111" s="48"/>
      <c r="K111" s="48"/>
      <c r="L111" s="48"/>
      <c r="M111" s="48"/>
      <c r="N111" s="309"/>
      <c r="O111" s="615"/>
    </row>
    <row r="112" spans="1:17">
      <c r="A112" s="34"/>
      <c r="B112" s="222">
        <v>18</v>
      </c>
      <c r="C112" s="3" t="s">
        <v>108</v>
      </c>
      <c r="D112" s="4"/>
      <c r="E112" s="4"/>
      <c r="F112" s="4"/>
      <c r="G112" s="5"/>
      <c r="H112" s="10">
        <v>242233.67800000001</v>
      </c>
      <c r="I112" s="10">
        <f t="shared" ref="I112:M113" si="28">H121</f>
        <v>265363.65999999997</v>
      </c>
      <c r="J112" s="10">
        <f t="shared" si="28"/>
        <v>273457.50999999995</v>
      </c>
      <c r="K112" s="10">
        <f t="shared" si="28"/>
        <v>318978.68</v>
      </c>
      <c r="L112" s="10">
        <f t="shared" si="28"/>
        <v>379713.83999999997</v>
      </c>
      <c r="M112" s="10">
        <f t="shared" si="28"/>
        <v>460272.82</v>
      </c>
      <c r="N112" s="428"/>
      <c r="O112" s="436" t="s">
        <v>421</v>
      </c>
      <c r="P112" s="374"/>
    </row>
    <row r="113" spans="1:17">
      <c r="A113" s="89"/>
      <c r="B113" s="223" t="s">
        <v>129</v>
      </c>
      <c r="C113" s="124" t="s">
        <v>108</v>
      </c>
      <c r="D113" s="36"/>
      <c r="E113" s="41"/>
      <c r="F113" s="41"/>
      <c r="G113" s="46"/>
      <c r="H113" s="39">
        <f>H112</f>
        <v>242233.67800000001</v>
      </c>
      <c r="I113" s="39">
        <f t="shared" si="28"/>
        <v>265363.65999999997</v>
      </c>
      <c r="J113" s="39">
        <f t="shared" si="28"/>
        <v>273457.50999999995</v>
      </c>
      <c r="K113" s="39">
        <f t="shared" si="28"/>
        <v>318978.68</v>
      </c>
      <c r="L113" s="39">
        <f t="shared" si="28"/>
        <v>379713.83999999997</v>
      </c>
      <c r="M113" s="39">
        <f t="shared" si="28"/>
        <v>460272.82</v>
      </c>
      <c r="N113" s="163"/>
      <c r="O113" s="378" t="s">
        <v>421</v>
      </c>
    </row>
    <row r="114" spans="1:17">
      <c r="A114" s="34"/>
      <c r="B114" s="222">
        <v>19</v>
      </c>
      <c r="C114" s="3" t="s">
        <v>109</v>
      </c>
      <c r="D114" s="4"/>
      <c r="E114" s="4"/>
      <c r="F114" s="4"/>
      <c r="G114" s="5"/>
      <c r="H114" s="10">
        <f t="shared" ref="H114:M115" si="29">H53</f>
        <v>18691.770249999998</v>
      </c>
      <c r="I114" s="10">
        <f t="shared" si="29"/>
        <v>0</v>
      </c>
      <c r="J114" s="10">
        <f t="shared" si="29"/>
        <v>38706.062005835563</v>
      </c>
      <c r="K114" s="10">
        <f t="shared" si="29"/>
        <v>55762.276751748112</v>
      </c>
      <c r="L114" s="10">
        <f t="shared" si="29"/>
        <v>77752.790749948617</v>
      </c>
      <c r="M114" s="10">
        <f t="shared" si="29"/>
        <v>49401.259813232129</v>
      </c>
      <c r="N114" s="428"/>
      <c r="O114" s="435" t="s">
        <v>251</v>
      </c>
    </row>
    <row r="115" spans="1:17">
      <c r="A115" s="34"/>
      <c r="B115" s="223" t="s">
        <v>125</v>
      </c>
      <c r="C115" s="124" t="s">
        <v>109</v>
      </c>
      <c r="D115" s="36"/>
      <c r="E115" s="41"/>
      <c r="F115" s="41"/>
      <c r="G115" s="46"/>
      <c r="H115" s="146">
        <f t="shared" si="29"/>
        <v>18691.77</v>
      </c>
      <c r="I115" s="146">
        <f t="shared" si="29"/>
        <v>0</v>
      </c>
      <c r="J115" s="146">
        <f t="shared" si="29"/>
        <v>38706.06</v>
      </c>
      <c r="K115" s="146">
        <f t="shared" si="29"/>
        <v>55762.28</v>
      </c>
      <c r="L115" s="146">
        <f t="shared" si="29"/>
        <v>77752.789999999994</v>
      </c>
      <c r="M115" s="146">
        <f t="shared" si="29"/>
        <v>49401.26</v>
      </c>
      <c r="N115" s="163"/>
      <c r="O115" s="224" t="s">
        <v>252</v>
      </c>
    </row>
    <row r="116" spans="1:17">
      <c r="A116" s="34"/>
      <c r="B116" s="222">
        <v>20</v>
      </c>
      <c r="C116" s="531" t="s">
        <v>403</v>
      </c>
      <c r="D116" s="532"/>
      <c r="E116" s="533"/>
      <c r="F116" s="533"/>
      <c r="G116" s="534"/>
      <c r="H116" s="530">
        <v>4438.2070000000003</v>
      </c>
      <c r="I116" s="530">
        <v>8093.8520000000008</v>
      </c>
      <c r="J116" s="530">
        <v>6815.1065201404708</v>
      </c>
      <c r="K116" s="530">
        <v>4972.8814125792496</v>
      </c>
      <c r="L116" s="530">
        <v>2806.1880000000001</v>
      </c>
      <c r="M116" s="530">
        <v>1337</v>
      </c>
      <c r="N116" s="428"/>
      <c r="O116" s="435" t="s">
        <v>187</v>
      </c>
    </row>
    <row r="117" spans="1:17">
      <c r="A117" s="34"/>
      <c r="B117" s="223" t="s">
        <v>126</v>
      </c>
      <c r="C117" s="529" t="s">
        <v>403</v>
      </c>
      <c r="D117" s="274"/>
      <c r="E117" s="41"/>
      <c r="F117" s="41"/>
      <c r="G117" s="46"/>
      <c r="H117" s="146">
        <f t="shared" ref="H117:M117" si="30">H116</f>
        <v>4438.2070000000003</v>
      </c>
      <c r="I117" s="146">
        <f t="shared" si="30"/>
        <v>8093.8520000000008</v>
      </c>
      <c r="J117" s="146">
        <f t="shared" si="30"/>
        <v>6815.1065201404708</v>
      </c>
      <c r="K117" s="146">
        <f t="shared" si="30"/>
        <v>4972.8814125792496</v>
      </c>
      <c r="L117" s="146">
        <f t="shared" si="30"/>
        <v>2806.1880000000001</v>
      </c>
      <c r="M117" s="146">
        <f t="shared" si="30"/>
        <v>1337</v>
      </c>
      <c r="N117" s="163"/>
      <c r="O117" s="224" t="s">
        <v>188</v>
      </c>
    </row>
    <row r="118" spans="1:17">
      <c r="A118" s="34"/>
      <c r="B118" s="222">
        <v>21</v>
      </c>
      <c r="C118" s="3" t="s">
        <v>422</v>
      </c>
      <c r="D118" s="4"/>
      <c r="E118" s="4"/>
      <c r="F118" s="4"/>
      <c r="G118" s="5"/>
      <c r="H118" s="10">
        <v>0</v>
      </c>
      <c r="I118" s="10">
        <v>0</v>
      </c>
      <c r="J118" s="10">
        <v>0</v>
      </c>
      <c r="K118" s="10">
        <v>0</v>
      </c>
      <c r="L118" s="10">
        <v>0</v>
      </c>
      <c r="M118" s="10">
        <v>0</v>
      </c>
      <c r="N118" s="428"/>
      <c r="O118" s="435" t="s">
        <v>187</v>
      </c>
      <c r="P118"/>
      <c r="Q118" s="374"/>
    </row>
    <row r="119" spans="1:17">
      <c r="A119" s="34"/>
      <c r="B119" s="223" t="s">
        <v>127</v>
      </c>
      <c r="C119" s="40" t="s">
        <v>422</v>
      </c>
      <c r="D119" s="41"/>
      <c r="E119" s="41"/>
      <c r="F119" s="41"/>
      <c r="G119" s="46"/>
      <c r="H119" s="39">
        <f t="shared" ref="H119:M119" si="31">ROUND(H118,2)</f>
        <v>0</v>
      </c>
      <c r="I119" s="99">
        <f t="shared" si="31"/>
        <v>0</v>
      </c>
      <c r="J119" s="39">
        <f t="shared" si="31"/>
        <v>0</v>
      </c>
      <c r="K119" s="39">
        <f t="shared" si="31"/>
        <v>0</v>
      </c>
      <c r="L119" s="39">
        <f t="shared" si="31"/>
        <v>0</v>
      </c>
      <c r="M119" s="39">
        <f t="shared" si="31"/>
        <v>0</v>
      </c>
      <c r="N119" s="163"/>
      <c r="O119" s="224" t="s">
        <v>188</v>
      </c>
      <c r="P119"/>
    </row>
    <row r="120" spans="1:17" ht="3" customHeight="1">
      <c r="B120" s="226"/>
      <c r="C120" s="55"/>
      <c r="D120" s="55"/>
      <c r="E120" s="55"/>
      <c r="F120" s="55"/>
      <c r="G120" s="55"/>
      <c r="H120" s="56"/>
      <c r="I120" s="57"/>
      <c r="J120" s="56"/>
      <c r="K120" s="56"/>
      <c r="L120" s="56"/>
      <c r="M120" s="56"/>
      <c r="N120" s="57"/>
      <c r="O120" s="227"/>
      <c r="P120"/>
    </row>
    <row r="121" spans="1:17">
      <c r="A121" s="34"/>
      <c r="B121" s="222">
        <v>22</v>
      </c>
      <c r="C121" s="3" t="s">
        <v>114</v>
      </c>
      <c r="D121" s="4"/>
      <c r="E121" s="4"/>
      <c r="F121" s="4"/>
      <c r="G121" s="5"/>
      <c r="H121" s="10">
        <f t="shared" ref="H121:M121" si="32">ROUND(H112,2)+ROUND(H114,2)+ROUND(H116,2)+ROUND(H118,2)</f>
        <v>265363.65999999997</v>
      </c>
      <c r="I121" s="10">
        <f t="shared" si="32"/>
        <v>273457.50999999995</v>
      </c>
      <c r="J121" s="10">
        <f t="shared" si="32"/>
        <v>318978.68</v>
      </c>
      <c r="K121" s="10">
        <f t="shared" si="32"/>
        <v>379713.83999999997</v>
      </c>
      <c r="L121" s="10">
        <f t="shared" si="32"/>
        <v>460272.82</v>
      </c>
      <c r="M121" s="10">
        <f t="shared" si="32"/>
        <v>511011.08</v>
      </c>
      <c r="N121" s="428"/>
      <c r="O121" s="436" t="s">
        <v>424</v>
      </c>
      <c r="P121"/>
    </row>
    <row r="122" spans="1:17">
      <c r="A122" s="89"/>
      <c r="B122" s="223" t="s">
        <v>128</v>
      </c>
      <c r="C122" s="40" t="s">
        <v>114</v>
      </c>
      <c r="D122" s="41"/>
      <c r="E122" s="41"/>
      <c r="F122" s="41"/>
      <c r="G122" s="46"/>
      <c r="H122" s="39">
        <f t="shared" ref="H122:M122" si="33">H121</f>
        <v>265363.65999999997</v>
      </c>
      <c r="I122" s="99">
        <f t="shared" si="33"/>
        <v>273457.50999999995</v>
      </c>
      <c r="J122" s="39">
        <f t="shared" si="33"/>
        <v>318978.68</v>
      </c>
      <c r="K122" s="39">
        <f t="shared" si="33"/>
        <v>379713.83999999997</v>
      </c>
      <c r="L122" s="39">
        <f t="shared" si="33"/>
        <v>460272.82</v>
      </c>
      <c r="M122" s="39">
        <f t="shared" si="33"/>
        <v>511011.08</v>
      </c>
      <c r="N122" s="163"/>
      <c r="O122" s="224" t="s">
        <v>188</v>
      </c>
      <c r="P122"/>
    </row>
    <row r="123" spans="1:17">
      <c r="A123" s="34"/>
      <c r="B123" s="222">
        <v>23</v>
      </c>
      <c r="C123" s="3" t="s">
        <v>423</v>
      </c>
      <c r="D123" s="4"/>
      <c r="E123" s="4"/>
      <c r="F123" s="4"/>
      <c r="G123" s="5"/>
      <c r="H123" s="10">
        <v>5075.9733379000008</v>
      </c>
      <c r="I123" s="84">
        <v>5388.2116304000001</v>
      </c>
      <c r="J123" s="10">
        <v>5924.3618356597599</v>
      </c>
      <c r="K123" s="10">
        <v>6986.9251025627946</v>
      </c>
      <c r="L123" s="10">
        <v>8399.8664717055544</v>
      </c>
      <c r="M123" s="10">
        <v>9712.8388573373632</v>
      </c>
      <c r="N123" s="428"/>
      <c r="O123" s="435" t="s">
        <v>187</v>
      </c>
      <c r="P123"/>
    </row>
    <row r="124" spans="1:17">
      <c r="A124" s="34"/>
      <c r="B124" s="616" t="s">
        <v>133</v>
      </c>
      <c r="C124" s="74" t="s">
        <v>423</v>
      </c>
      <c r="D124" s="75"/>
      <c r="E124" s="75"/>
      <c r="F124" s="75"/>
      <c r="G124" s="76"/>
      <c r="H124" s="252">
        <f t="shared" ref="H124:M124" si="34">ROUND(H123,2)</f>
        <v>5075.97</v>
      </c>
      <c r="I124" s="253">
        <f t="shared" si="34"/>
        <v>5388.21</v>
      </c>
      <c r="J124" s="252">
        <f t="shared" si="34"/>
        <v>5924.36</v>
      </c>
      <c r="K124" s="252">
        <f t="shared" si="34"/>
        <v>6986.93</v>
      </c>
      <c r="L124" s="252">
        <f t="shared" si="34"/>
        <v>8399.8700000000008</v>
      </c>
      <c r="M124" s="252">
        <f t="shared" si="34"/>
        <v>9712.84</v>
      </c>
      <c r="N124" s="163"/>
      <c r="O124" s="224" t="s">
        <v>188</v>
      </c>
    </row>
    <row r="125" spans="1:17" ht="3" customHeight="1">
      <c r="B125" s="603"/>
      <c r="C125" s="119"/>
      <c r="D125" s="119"/>
      <c r="E125" s="119"/>
      <c r="F125" s="119"/>
      <c r="G125" s="119"/>
      <c r="H125" s="120"/>
      <c r="I125" s="120"/>
      <c r="J125" s="120"/>
      <c r="K125" s="120"/>
      <c r="L125" s="120"/>
      <c r="M125" s="120"/>
      <c r="N125" s="120"/>
      <c r="O125" s="604"/>
    </row>
    <row r="126" spans="1:17" ht="3" customHeight="1">
      <c r="B126" s="603"/>
      <c r="C126" s="119"/>
      <c r="D126" s="119"/>
      <c r="E126" s="119"/>
      <c r="F126" s="119"/>
      <c r="G126" s="119"/>
      <c r="H126" s="120"/>
      <c r="I126" s="120"/>
      <c r="J126" s="120"/>
      <c r="K126" s="120"/>
      <c r="L126" s="120"/>
      <c r="M126" s="120"/>
      <c r="N126" s="120"/>
      <c r="O126" s="604"/>
    </row>
    <row r="127" spans="1:17" customFormat="1" ht="15" customHeight="1">
      <c r="A127" s="272"/>
      <c r="B127" s="617"/>
      <c r="C127" s="144"/>
      <c r="D127" s="144"/>
      <c r="E127" s="144"/>
      <c r="F127" s="144"/>
      <c r="G127" s="144"/>
      <c r="H127" s="133"/>
      <c r="I127" s="133"/>
      <c r="J127" s="133"/>
      <c r="K127" s="133"/>
      <c r="L127" s="133"/>
      <c r="M127" s="133"/>
      <c r="O127" s="582"/>
    </row>
    <row r="128" spans="1:17" customFormat="1" ht="15" customHeight="1" thickBot="1">
      <c r="B128" s="618" t="s">
        <v>181</v>
      </c>
      <c r="C128" s="144"/>
      <c r="D128" s="144"/>
      <c r="E128" s="144"/>
      <c r="F128" s="144"/>
      <c r="G128" s="144"/>
      <c r="H128" s="133"/>
      <c r="I128" s="491"/>
      <c r="J128" s="491"/>
      <c r="K128" s="491"/>
      <c r="L128" s="491"/>
      <c r="M128" s="491"/>
      <c r="O128" s="619" t="s">
        <v>359</v>
      </c>
    </row>
    <row r="129" spans="1:21" customFormat="1" ht="21" customHeight="1">
      <c r="B129" s="194"/>
      <c r="C129" s="195"/>
      <c r="D129" s="195"/>
      <c r="E129" s="195"/>
      <c r="F129" s="195"/>
      <c r="G129" s="195"/>
      <c r="H129" s="196">
        <v>2025</v>
      </c>
      <c r="I129" s="196">
        <v>2026</v>
      </c>
      <c r="J129" s="196">
        <v>2027</v>
      </c>
      <c r="K129" s="196">
        <v>2028</v>
      </c>
      <c r="L129" s="196">
        <v>2029</v>
      </c>
      <c r="M129" s="196">
        <v>2030</v>
      </c>
      <c r="N129" s="443"/>
      <c r="O129" s="444"/>
      <c r="T129" s="383"/>
      <c r="U129" s="383"/>
    </row>
    <row r="130" spans="1:21" customFormat="1" ht="15" customHeight="1">
      <c r="B130" s="180" t="s">
        <v>176</v>
      </c>
      <c r="C130" s="181" t="s">
        <v>100</v>
      </c>
      <c r="D130" s="173"/>
      <c r="E130" s="173"/>
      <c r="F130" s="173"/>
      <c r="G130" s="173"/>
      <c r="H130" s="168">
        <f t="shared" ref="H130:M130" si="35">H92</f>
        <v>406862.75369257503</v>
      </c>
      <c r="I130" s="168">
        <f t="shared" si="35"/>
        <v>511975.18788750831</v>
      </c>
      <c r="J130" s="168">
        <f t="shared" si="35"/>
        <v>596832.84237143327</v>
      </c>
      <c r="K130" s="168">
        <f t="shared" si="35"/>
        <v>671342.35924033332</v>
      </c>
      <c r="L130" s="168">
        <f t="shared" si="35"/>
        <v>711251.66283133347</v>
      </c>
      <c r="M130" s="168">
        <f t="shared" si="35"/>
        <v>754589.76450270833</v>
      </c>
      <c r="N130" s="438"/>
      <c r="O130" s="440" t="s">
        <v>432</v>
      </c>
      <c r="T130" s="383"/>
      <c r="U130" s="383"/>
    </row>
    <row r="131" spans="1:21" customFormat="1" ht="15" customHeight="1">
      <c r="B131" s="180" t="s">
        <v>177</v>
      </c>
      <c r="C131" s="182" t="s">
        <v>260</v>
      </c>
      <c r="D131" s="173"/>
      <c r="E131" s="173"/>
      <c r="F131" s="173"/>
      <c r="G131" s="173"/>
      <c r="H131" s="390">
        <v>0.15647</v>
      </c>
      <c r="I131" s="492">
        <v>0.12107999999999999</v>
      </c>
      <c r="J131" s="492">
        <v>0.13123679999999999</v>
      </c>
      <c r="K131" s="492">
        <v>0.13253599999999999</v>
      </c>
      <c r="L131" s="492">
        <v>0.14488335999999999</v>
      </c>
      <c r="M131" s="492">
        <v>0.15895699999999999</v>
      </c>
      <c r="N131" s="438"/>
      <c r="O131" s="243" t="s">
        <v>138</v>
      </c>
      <c r="P131" s="523"/>
      <c r="T131" s="383"/>
      <c r="U131" s="383"/>
    </row>
    <row r="132" spans="1:21" customFormat="1" ht="15" customHeight="1">
      <c r="B132" s="180" t="s">
        <v>178</v>
      </c>
      <c r="C132" s="182" t="s">
        <v>175</v>
      </c>
      <c r="D132" s="173"/>
      <c r="E132" s="173"/>
      <c r="F132" s="173"/>
      <c r="G132" s="173"/>
      <c r="H132" s="183">
        <f t="shared" ref="H132:M132" si="36">H131*H130</f>
        <v>63661.815070277211</v>
      </c>
      <c r="I132" s="183">
        <f t="shared" si="36"/>
        <v>61989.955749419503</v>
      </c>
      <c r="J132" s="183">
        <f t="shared" si="36"/>
        <v>78326.432367731308</v>
      </c>
      <c r="K132" s="183">
        <f t="shared" si="36"/>
        <v>88977.030924276813</v>
      </c>
      <c r="L132" s="183">
        <f t="shared" si="36"/>
        <v>103048.5307165907</v>
      </c>
      <c r="M132" s="183">
        <f t="shared" si="36"/>
        <v>119947.32519605701</v>
      </c>
      <c r="N132" s="438"/>
      <c r="O132" s="439" t="s">
        <v>191</v>
      </c>
      <c r="T132" s="383"/>
      <c r="U132" s="383"/>
    </row>
    <row r="133" spans="1:21" customFormat="1" ht="15" customHeight="1">
      <c r="B133" s="180" t="s">
        <v>179</v>
      </c>
      <c r="C133" s="182" t="s">
        <v>282</v>
      </c>
      <c r="D133" s="173"/>
      <c r="E133" s="173"/>
      <c r="F133" s="173"/>
      <c r="G133" s="173"/>
      <c r="H133" s="183">
        <f t="shared" ref="H133:M133" si="37">IF(H132&gt;=H134,H132-H134,0)</f>
        <v>29300.035070277212</v>
      </c>
      <c r="I133" s="183">
        <f t="shared" si="37"/>
        <v>25699.945749419501</v>
      </c>
      <c r="J133" s="183">
        <f t="shared" si="37"/>
        <v>39999.992367731305</v>
      </c>
      <c r="K133" s="183">
        <f t="shared" si="37"/>
        <v>48499.890924276813</v>
      </c>
      <c r="L133" s="183">
        <f t="shared" si="37"/>
        <v>60300.000716590701</v>
      </c>
      <c r="M133" s="183">
        <f t="shared" si="37"/>
        <v>74799.945196057</v>
      </c>
      <c r="N133" s="438"/>
      <c r="O133" s="440" t="s">
        <v>284</v>
      </c>
      <c r="T133" s="383"/>
      <c r="U133" s="383"/>
    </row>
    <row r="134" spans="1:21" customFormat="1" ht="15" customHeight="1" thickBot="1">
      <c r="B134" s="184" t="s">
        <v>180</v>
      </c>
      <c r="C134" s="185" t="s">
        <v>283</v>
      </c>
      <c r="D134" s="186"/>
      <c r="E134" s="186"/>
      <c r="F134" s="186"/>
      <c r="G134" s="186"/>
      <c r="H134" s="187">
        <f t="shared" ref="H134:M134" si="38">H83</f>
        <v>34361.78</v>
      </c>
      <c r="I134" s="187">
        <f t="shared" si="38"/>
        <v>36290.01</v>
      </c>
      <c r="J134" s="187">
        <f t="shared" si="38"/>
        <v>38326.44</v>
      </c>
      <c r="K134" s="187">
        <f t="shared" si="38"/>
        <v>40477.14</v>
      </c>
      <c r="L134" s="187">
        <f t="shared" si="38"/>
        <v>42748.53</v>
      </c>
      <c r="M134" s="187">
        <f t="shared" si="38"/>
        <v>45147.38</v>
      </c>
      <c r="N134" s="441"/>
      <c r="O134" s="442" t="s">
        <v>433</v>
      </c>
    </row>
    <row r="135" spans="1:21" customFormat="1" ht="15" customHeight="1" thickBot="1">
      <c r="B135" s="617"/>
      <c r="C135" s="144"/>
      <c r="D135" s="144"/>
      <c r="E135" s="144"/>
      <c r="F135" s="144"/>
      <c r="G135" s="144"/>
      <c r="H135" s="133"/>
      <c r="I135" s="133"/>
      <c r="J135" s="133"/>
      <c r="K135" s="133"/>
      <c r="L135" s="133"/>
      <c r="M135" s="133"/>
      <c r="O135" s="582"/>
    </row>
    <row r="136" spans="1:21">
      <c r="A136" s="34"/>
      <c r="B136" s="609"/>
      <c r="C136" s="620" t="s">
        <v>306</v>
      </c>
      <c r="D136" s="34"/>
      <c r="E136" s="34"/>
      <c r="F136" s="34"/>
      <c r="G136" s="35"/>
      <c r="J136"/>
      <c r="K136"/>
      <c r="L136" s="296"/>
      <c r="M136" s="297" t="s">
        <v>138</v>
      </c>
      <c r="N136" s="34"/>
      <c r="O136" s="214"/>
    </row>
    <row r="137" spans="1:21" ht="16.2" thickBot="1">
      <c r="A137" s="34"/>
      <c r="B137" s="609"/>
      <c r="C137" s="621" t="s">
        <v>396</v>
      </c>
      <c r="D137" s="34"/>
      <c r="E137" s="34"/>
      <c r="F137" s="34"/>
      <c r="G137" s="35"/>
      <c r="H137" s="34"/>
      <c r="J137"/>
      <c r="K137"/>
      <c r="L137" s="294"/>
      <c r="M137" s="295" t="s">
        <v>192</v>
      </c>
      <c r="N137" s="34"/>
      <c r="O137" s="214"/>
    </row>
    <row r="138" spans="1:21">
      <c r="A138" s="34"/>
      <c r="B138" s="609"/>
      <c r="C138" s="622" t="s">
        <v>387</v>
      </c>
      <c r="D138" s="34"/>
      <c r="E138" s="34"/>
      <c r="F138" s="34"/>
      <c r="G138" s="35"/>
      <c r="H138" s="34"/>
      <c r="I138" s="34"/>
      <c r="J138" s="34"/>
      <c r="K138" s="34"/>
      <c r="L138" s="34"/>
      <c r="M138" s="34"/>
      <c r="N138" s="34"/>
      <c r="O138" s="214"/>
    </row>
    <row r="139" spans="1:21">
      <c r="A139" s="34"/>
      <c r="B139" s="609"/>
      <c r="C139" s="620" t="s">
        <v>307</v>
      </c>
      <c r="D139" s="34"/>
      <c r="E139" s="34"/>
      <c r="F139" s="34"/>
      <c r="G139" s="35"/>
      <c r="H139" s="34"/>
      <c r="I139" s="34"/>
      <c r="J139" s="34"/>
      <c r="K139" s="34"/>
      <c r="L139" s="34"/>
      <c r="M139" s="34"/>
      <c r="N139" s="34"/>
      <c r="O139" s="214"/>
    </row>
    <row r="140" spans="1:21">
      <c r="A140" s="34"/>
      <c r="B140" s="609"/>
      <c r="C140" s="621" t="s">
        <v>404</v>
      </c>
      <c r="D140" s="34"/>
      <c r="E140" s="34"/>
      <c r="F140" s="34"/>
      <c r="G140" s="35"/>
      <c r="H140" s="34"/>
      <c r="I140" s="34"/>
      <c r="J140" s="34"/>
      <c r="K140" s="34"/>
      <c r="L140" s="34"/>
      <c r="M140" s="34"/>
      <c r="N140" s="34"/>
      <c r="O140" s="214"/>
    </row>
    <row r="141" spans="1:21">
      <c r="A141" s="34"/>
      <c r="B141" s="609"/>
      <c r="D141" s="34"/>
      <c r="E141" s="34"/>
      <c r="F141" s="34"/>
      <c r="G141" s="35"/>
      <c r="H141" s="34"/>
      <c r="I141" s="34"/>
      <c r="J141" s="34"/>
      <c r="K141" s="34"/>
      <c r="L141" s="34"/>
      <c r="M141" s="34"/>
      <c r="N141" s="34"/>
      <c r="O141" s="214"/>
    </row>
    <row r="142" spans="1:21" ht="16.2" thickBot="1">
      <c r="A142" s="34"/>
      <c r="B142" s="610"/>
      <c r="C142" s="623"/>
      <c r="D142" s="612"/>
      <c r="E142" s="612"/>
      <c r="F142" s="612"/>
      <c r="G142" s="624"/>
      <c r="H142" s="612"/>
      <c r="I142" s="612"/>
      <c r="J142" s="612"/>
      <c r="K142" s="612"/>
      <c r="L142" s="612"/>
      <c r="M142" s="612"/>
      <c r="N142" s="612"/>
      <c r="O142" s="614"/>
    </row>
    <row r="143" spans="1:21" ht="15.75" customHeight="1">
      <c r="A143" s="34"/>
      <c r="B143" s="747" t="s">
        <v>384</v>
      </c>
      <c r="C143" s="718"/>
      <c r="D143" s="718"/>
      <c r="E143" s="718"/>
      <c r="F143" s="718"/>
      <c r="G143" s="718"/>
      <c r="H143" s="718"/>
      <c r="I143" s="718"/>
      <c r="J143" s="718"/>
      <c r="K143" s="718"/>
      <c r="L143" s="718"/>
      <c r="M143" s="718"/>
      <c r="N143" s="718"/>
      <c r="O143" s="748"/>
    </row>
    <row r="144" spans="1:21">
      <c r="A144" s="34"/>
      <c r="B144" s="747"/>
      <c r="C144" s="718"/>
      <c r="D144" s="718"/>
      <c r="E144" s="718"/>
      <c r="F144" s="718"/>
      <c r="G144" s="718"/>
      <c r="H144" s="718"/>
      <c r="I144" s="718"/>
      <c r="J144" s="718"/>
      <c r="K144" s="718"/>
      <c r="L144" s="718"/>
      <c r="M144" s="718"/>
      <c r="N144" s="718"/>
      <c r="O144" s="748"/>
    </row>
    <row r="145" spans="1:16">
      <c r="A145" s="34"/>
      <c r="B145" s="747"/>
      <c r="C145" s="718"/>
      <c r="D145" s="718"/>
      <c r="E145" s="718"/>
      <c r="F145" s="718"/>
      <c r="G145" s="718"/>
      <c r="H145" s="718"/>
      <c r="I145" s="718"/>
      <c r="J145" s="718"/>
      <c r="K145" s="718"/>
      <c r="L145" s="718"/>
      <c r="M145" s="718"/>
      <c r="N145" s="718"/>
      <c r="O145" s="748"/>
    </row>
    <row r="146" spans="1:16">
      <c r="A146" s="34"/>
      <c r="B146" s="747"/>
      <c r="C146" s="718"/>
      <c r="D146" s="718"/>
      <c r="E146" s="718"/>
      <c r="F146" s="718"/>
      <c r="G146" s="718"/>
      <c r="H146" s="718"/>
      <c r="I146" s="718"/>
      <c r="J146" s="718"/>
      <c r="K146" s="718"/>
      <c r="L146" s="718"/>
      <c r="M146" s="718"/>
      <c r="N146" s="718"/>
      <c r="O146" s="748"/>
    </row>
    <row r="147" spans="1:16" ht="30" customHeight="1" thickBot="1">
      <c r="A147" s="34"/>
      <c r="B147" s="747"/>
      <c r="C147" s="718"/>
      <c r="D147" s="718"/>
      <c r="E147" s="718"/>
      <c r="F147" s="718"/>
      <c r="G147" s="718"/>
      <c r="H147" s="718"/>
      <c r="I147" s="718"/>
      <c r="J147" s="718"/>
      <c r="K147" s="718"/>
      <c r="L147" s="718"/>
      <c r="M147" s="718"/>
      <c r="N147" s="718"/>
      <c r="O147" s="748"/>
    </row>
    <row r="148" spans="1:16" ht="16.2" thickBot="1">
      <c r="B148" s="489"/>
      <c r="C148" s="601"/>
      <c r="D148" s="601"/>
      <c r="E148" s="601"/>
      <c r="F148" s="601"/>
      <c r="G148" s="601"/>
      <c r="H148" s="601"/>
      <c r="I148" s="601"/>
      <c r="J148" s="601"/>
      <c r="K148" s="601"/>
      <c r="L148" s="601"/>
      <c r="M148" s="601"/>
      <c r="N148" s="601"/>
      <c r="O148" s="602"/>
    </row>
    <row r="149" spans="1:16" ht="17.399999999999999">
      <c r="B149" s="733" t="s">
        <v>4</v>
      </c>
      <c r="C149" s="734"/>
      <c r="D149" s="734"/>
      <c r="E149" s="734"/>
      <c r="F149" s="734"/>
      <c r="G149" s="734"/>
      <c r="H149" s="734"/>
      <c r="I149" s="734"/>
      <c r="J149" s="734"/>
      <c r="K149" s="734"/>
      <c r="L149" s="734"/>
      <c r="M149" s="734"/>
      <c r="N149" s="734"/>
      <c r="O149" s="735"/>
    </row>
    <row r="150" spans="1:16" ht="17.399999999999999">
      <c r="B150" s="736" t="s">
        <v>5</v>
      </c>
      <c r="C150" s="737"/>
      <c r="D150" s="737"/>
      <c r="E150" s="737"/>
      <c r="F150" s="737"/>
      <c r="G150" s="737"/>
      <c r="H150" s="737"/>
      <c r="I150" s="737"/>
      <c r="J150" s="737"/>
      <c r="K150" s="737"/>
      <c r="L150" s="737"/>
      <c r="M150" s="737"/>
      <c r="N150" s="737"/>
      <c r="O150" s="738"/>
    </row>
    <row r="151" spans="1:16" ht="18.75" customHeight="1">
      <c r="B151" s="739" t="s">
        <v>269</v>
      </c>
      <c r="C151" s="740"/>
      <c r="D151" s="740"/>
      <c r="E151" s="740"/>
      <c r="F151" s="740"/>
      <c r="G151" s="740"/>
      <c r="H151" s="740"/>
      <c r="I151" s="740"/>
      <c r="J151" s="740"/>
      <c r="K151" s="740"/>
      <c r="L151" s="740"/>
      <c r="M151" s="740"/>
      <c r="N151" s="740"/>
      <c r="O151" s="741"/>
    </row>
    <row r="152" spans="1:16" ht="17.399999999999999">
      <c r="B152" s="215" t="s">
        <v>6</v>
      </c>
      <c r="C152" s="91"/>
      <c r="D152" s="91"/>
      <c r="E152" s="91"/>
      <c r="F152" s="92"/>
      <c r="G152" s="93"/>
      <c r="H152" s="93" t="s">
        <v>301</v>
      </c>
      <c r="I152" s="93"/>
      <c r="J152" s="93"/>
      <c r="K152" s="93"/>
      <c r="L152" s="93"/>
      <c r="M152" s="388"/>
      <c r="N152" s="156"/>
      <c r="O152" s="216"/>
    </row>
    <row r="153" spans="1:16" ht="17.399999999999999">
      <c r="B153" s="217" t="s">
        <v>7</v>
      </c>
      <c r="C153" s="18" t="s">
        <v>0</v>
      </c>
      <c r="D153" s="18"/>
      <c r="E153" s="18"/>
      <c r="F153" s="95"/>
      <c r="G153" s="95"/>
      <c r="H153" s="95">
        <v>2025</v>
      </c>
      <c r="I153" s="95">
        <v>2026</v>
      </c>
      <c r="J153" s="95">
        <v>2027</v>
      </c>
      <c r="K153" s="95">
        <v>2028</v>
      </c>
      <c r="L153" s="95">
        <v>2029</v>
      </c>
      <c r="M153" s="96">
        <v>2030</v>
      </c>
      <c r="N153" s="156"/>
      <c r="O153" s="218" t="s">
        <v>186</v>
      </c>
    </row>
    <row r="154" spans="1:16" ht="8.25" customHeight="1">
      <c r="A154" s="33"/>
      <c r="B154" s="219"/>
      <c r="C154" s="34"/>
      <c r="D154" s="34"/>
      <c r="E154" s="34"/>
      <c r="F154" s="34"/>
      <c r="G154" s="34"/>
      <c r="H154" s="34"/>
      <c r="I154" s="34"/>
      <c r="J154" s="34"/>
      <c r="K154" s="34"/>
      <c r="L154" s="34"/>
      <c r="M154" s="98"/>
      <c r="N154" s="33"/>
      <c r="O154" s="214"/>
    </row>
    <row r="155" spans="1:16">
      <c r="A155" s="34"/>
      <c r="B155" s="220"/>
      <c r="C155" s="85" t="s">
        <v>115</v>
      </c>
      <c r="D155" s="85"/>
      <c r="E155" s="85"/>
      <c r="F155" s="85"/>
      <c r="G155" s="85"/>
      <c r="H155" s="85"/>
      <c r="I155" s="85"/>
      <c r="J155" s="85"/>
      <c r="K155" s="85"/>
      <c r="L155" s="85"/>
      <c r="M155" s="85"/>
      <c r="N155" s="85"/>
      <c r="O155" s="221"/>
    </row>
    <row r="156" spans="1:16">
      <c r="A156" s="34"/>
      <c r="B156" s="222">
        <v>1</v>
      </c>
      <c r="C156" s="3" t="s">
        <v>116</v>
      </c>
      <c r="D156" s="4"/>
      <c r="E156" s="4"/>
      <c r="F156" s="4"/>
      <c r="G156" s="5"/>
      <c r="H156" s="10">
        <v>220302.92561000003</v>
      </c>
      <c r="I156" s="10">
        <v>231843.39396000002</v>
      </c>
      <c r="J156" s="10">
        <v>231844.05021000004</v>
      </c>
      <c r="K156" s="10">
        <v>218498.63011000003</v>
      </c>
      <c r="L156" s="10">
        <v>209623.39526000002</v>
      </c>
      <c r="M156" s="10">
        <v>210973.73841000005</v>
      </c>
      <c r="N156" s="428"/>
      <c r="O156" s="435" t="s">
        <v>187</v>
      </c>
    </row>
    <row r="157" spans="1:16">
      <c r="A157" s="34"/>
      <c r="B157" s="223" t="s">
        <v>120</v>
      </c>
      <c r="C157" s="39" t="s">
        <v>116</v>
      </c>
      <c r="D157" s="105"/>
      <c r="E157" s="105"/>
      <c r="F157" s="105"/>
      <c r="G157" s="106"/>
      <c r="H157" s="520">
        <v>220302.92561000003</v>
      </c>
      <c r="I157" s="520">
        <v>231843.39396000002</v>
      </c>
      <c r="J157" s="520">
        <v>231844.05021000004</v>
      </c>
      <c r="K157" s="520">
        <v>218498.63011000003</v>
      </c>
      <c r="L157" s="520">
        <v>209623.39526000002</v>
      </c>
      <c r="M157" s="520">
        <v>210973.73841000005</v>
      </c>
      <c r="N157" s="233"/>
      <c r="O157" s="243" t="s">
        <v>339</v>
      </c>
    </row>
    <row r="158" spans="1:16">
      <c r="A158" s="34"/>
      <c r="B158" s="222"/>
      <c r="C158" s="14" t="s">
        <v>117</v>
      </c>
      <c r="D158" s="15"/>
      <c r="E158" s="126" t="s">
        <v>208</v>
      </c>
      <c r="F158" s="15"/>
      <c r="G158" s="16" t="s">
        <v>211</v>
      </c>
      <c r="H158" s="10"/>
      <c r="I158" s="84"/>
      <c r="J158" s="10"/>
      <c r="K158" s="10"/>
      <c r="L158" s="10"/>
      <c r="M158" s="10"/>
      <c r="N158" s="428"/>
      <c r="O158" s="437"/>
    </row>
    <row r="159" spans="1:16" ht="16.5" customHeight="1">
      <c r="A159" s="34"/>
      <c r="B159" s="222">
        <v>2</v>
      </c>
      <c r="C159" s="10" t="s">
        <v>426</v>
      </c>
      <c r="D159" s="15"/>
      <c r="E159" s="369"/>
      <c r="F159" s="370"/>
      <c r="G159" s="360"/>
      <c r="H159" s="10"/>
      <c r="I159" s="193"/>
      <c r="J159" s="10"/>
      <c r="K159" s="10"/>
      <c r="L159" s="10"/>
      <c r="M159" s="10"/>
      <c r="N159" s="428"/>
      <c r="O159" s="435" t="s">
        <v>187</v>
      </c>
    </row>
    <row r="160" spans="1:16" ht="16.5" customHeight="1">
      <c r="A160" s="34"/>
      <c r="B160" s="223" t="s">
        <v>121</v>
      </c>
      <c r="C160" s="39" t="s">
        <v>426</v>
      </c>
      <c r="D160" s="105"/>
      <c r="E160" s="372"/>
      <c r="F160" s="373"/>
      <c r="G160" s="373"/>
      <c r="H160" s="345">
        <f>H159</f>
        <v>0</v>
      </c>
      <c r="I160" s="345">
        <v>0</v>
      </c>
      <c r="J160" s="345">
        <f>I160</f>
        <v>0</v>
      </c>
      <c r="K160" s="345">
        <f>J160</f>
        <v>0</v>
      </c>
      <c r="L160" s="345">
        <f>K160</f>
        <v>0</v>
      </c>
      <c r="M160" s="345">
        <f>L160</f>
        <v>0</v>
      </c>
      <c r="N160" s="233"/>
      <c r="O160" s="243" t="s">
        <v>281</v>
      </c>
      <c r="P160"/>
    </row>
    <row r="161" spans="1:16" ht="15" customHeight="1">
      <c r="A161" s="34"/>
      <c r="B161" s="222">
        <v>3</v>
      </c>
      <c r="C161" s="10" t="s">
        <v>224</v>
      </c>
      <c r="D161" s="15"/>
      <c r="E161" s="357">
        <v>0.05</v>
      </c>
      <c r="F161" s="371"/>
      <c r="G161" s="361">
        <f>I60</f>
        <v>0</v>
      </c>
      <c r="H161" s="10"/>
      <c r="I161" s="10"/>
      <c r="J161" s="10"/>
      <c r="K161" s="10"/>
      <c r="L161" s="10"/>
      <c r="M161" s="10"/>
      <c r="N161" s="428"/>
      <c r="O161" s="435" t="s">
        <v>187</v>
      </c>
      <c r="P161" s="244"/>
    </row>
    <row r="162" spans="1:16" ht="15" customHeight="1">
      <c r="A162" s="34"/>
      <c r="B162" s="223" t="s">
        <v>122</v>
      </c>
      <c r="C162" s="39" t="s">
        <v>224</v>
      </c>
      <c r="D162" s="105"/>
      <c r="E162" s="139">
        <v>0.05</v>
      </c>
      <c r="F162" s="105"/>
      <c r="G162" s="391">
        <f>I61</f>
        <v>0.05</v>
      </c>
      <c r="H162" s="39"/>
      <c r="I162" s="346">
        <f>$G162*$E162*(305/366)</f>
        <v>2.0833333333333337E-3</v>
      </c>
      <c r="J162" s="346">
        <f>-PMT(E162,30,G162)</f>
        <v>3.2525717540138293E-3</v>
      </c>
      <c r="K162" s="346">
        <f>J162</f>
        <v>3.2525717540138293E-3</v>
      </c>
      <c r="L162" s="346">
        <f>K162</f>
        <v>3.2525717540138293E-3</v>
      </c>
      <c r="M162" s="346">
        <f>L162</f>
        <v>3.2525717540138293E-3</v>
      </c>
      <c r="N162" s="225"/>
      <c r="O162" s="243" t="s">
        <v>281</v>
      </c>
      <c r="P162" s="523"/>
    </row>
    <row r="163" spans="1:16" ht="15" customHeight="1">
      <c r="A163" s="34"/>
      <c r="B163" s="222">
        <v>4</v>
      </c>
      <c r="C163" s="10" t="s">
        <v>289</v>
      </c>
      <c r="D163" s="15"/>
      <c r="E163" s="127">
        <v>0.05</v>
      </c>
      <c r="F163" s="15"/>
      <c r="G163" s="16">
        <f>J60</f>
        <v>400000</v>
      </c>
      <c r="H163" s="10"/>
      <c r="I163" s="84"/>
      <c r="J163" s="84">
        <v>16666.666666666668</v>
      </c>
      <c r="K163" s="84">
        <v>26020.574032110628</v>
      </c>
      <c r="L163" s="84">
        <v>26020.574032110628</v>
      </c>
      <c r="M163" s="84">
        <v>26020.574032110628</v>
      </c>
      <c r="N163" s="429"/>
      <c r="O163" s="435" t="s">
        <v>187</v>
      </c>
      <c r="P163" s="374"/>
    </row>
    <row r="164" spans="1:16" ht="15" customHeight="1">
      <c r="A164" s="34"/>
      <c r="B164" s="223" t="s">
        <v>123</v>
      </c>
      <c r="C164" s="39" t="s">
        <v>289</v>
      </c>
      <c r="D164" s="105"/>
      <c r="E164" s="139">
        <f>E163</f>
        <v>0.05</v>
      </c>
      <c r="F164" s="105"/>
      <c r="G164" s="391">
        <f>J61</f>
        <v>400000.01</v>
      </c>
      <c r="H164" s="39"/>
      <c r="I164" s="99"/>
      <c r="J164" s="346">
        <f>$G164*$E164*(305/366)</f>
        <v>16666.667083333337</v>
      </c>
      <c r="K164" s="346">
        <f>-PMT($E164,30,$G164)</f>
        <v>26020.574682624985</v>
      </c>
      <c r="L164" s="146">
        <f>K164</f>
        <v>26020.574682624985</v>
      </c>
      <c r="M164" s="146">
        <f>L164</f>
        <v>26020.574682624985</v>
      </c>
      <c r="N164" s="233"/>
      <c r="O164" s="243" t="s">
        <v>281</v>
      </c>
      <c r="P164" s="523"/>
    </row>
    <row r="165" spans="1:16" ht="15" customHeight="1">
      <c r="A165" s="34"/>
      <c r="B165" s="222">
        <v>5</v>
      </c>
      <c r="C165" s="10" t="s">
        <v>427</v>
      </c>
      <c r="D165" s="15"/>
      <c r="E165" s="357">
        <v>0.06</v>
      </c>
      <c r="F165" s="15"/>
      <c r="G165" s="16">
        <f>K60</f>
        <v>575000</v>
      </c>
      <c r="H165" s="10"/>
      <c r="I165" s="84"/>
      <c r="J165" s="84"/>
      <c r="K165" s="84">
        <v>28750</v>
      </c>
      <c r="L165" s="84">
        <v>41773.124106777155</v>
      </c>
      <c r="M165" s="84">
        <v>41773.124106777155</v>
      </c>
      <c r="N165" s="429"/>
      <c r="O165" s="435" t="s">
        <v>187</v>
      </c>
      <c r="P165" s="374"/>
    </row>
    <row r="166" spans="1:16" ht="15" customHeight="1">
      <c r="A166" s="34"/>
      <c r="B166" s="223" t="s">
        <v>124</v>
      </c>
      <c r="C166" s="39" t="s">
        <v>427</v>
      </c>
      <c r="D166" s="105"/>
      <c r="E166" s="139">
        <f>E165</f>
        <v>0.06</v>
      </c>
      <c r="F166" s="105"/>
      <c r="G166" s="391">
        <f>K61</f>
        <v>575000.1</v>
      </c>
      <c r="H166" s="39"/>
      <c r="I166" s="99"/>
      <c r="J166" s="146"/>
      <c r="K166" s="346">
        <f>$G166*$E166*(305/366)</f>
        <v>28750.004999999997</v>
      </c>
      <c r="L166" s="346">
        <f>-PMT($E166,30,$G166)</f>
        <v>41773.1313716683</v>
      </c>
      <c r="M166" s="146">
        <f>L166</f>
        <v>41773.1313716683</v>
      </c>
      <c r="N166" s="233"/>
      <c r="O166" s="243" t="s">
        <v>281</v>
      </c>
      <c r="P166" s="523"/>
    </row>
    <row r="167" spans="1:16" ht="15" customHeight="1">
      <c r="A167" s="34"/>
      <c r="B167" s="222">
        <v>6</v>
      </c>
      <c r="C167" s="10" t="s">
        <v>428</v>
      </c>
      <c r="D167" s="15"/>
      <c r="E167" s="357">
        <v>0.06</v>
      </c>
      <c r="F167" s="15"/>
      <c r="G167" s="16">
        <f>L60</f>
        <v>650000</v>
      </c>
      <c r="H167" s="10"/>
      <c r="I167" s="84"/>
      <c r="J167" s="84"/>
      <c r="K167" s="84"/>
      <c r="L167" s="84">
        <v>32500</v>
      </c>
      <c r="M167" s="84">
        <v>47221.792468530693</v>
      </c>
      <c r="N167" s="429"/>
      <c r="O167" s="435" t="s">
        <v>187</v>
      </c>
      <c r="P167" s="374"/>
    </row>
    <row r="168" spans="1:16" ht="15" customHeight="1">
      <c r="A168" s="34"/>
      <c r="B168" s="223" t="s">
        <v>139</v>
      </c>
      <c r="C168" s="39" t="s">
        <v>428</v>
      </c>
      <c r="D168" s="105"/>
      <c r="E168" s="139">
        <f>E167</f>
        <v>0.06</v>
      </c>
      <c r="F168" s="105"/>
      <c r="G168" s="391">
        <f>L61</f>
        <v>649999.99</v>
      </c>
      <c r="H168" s="39"/>
      <c r="I168" s="99"/>
      <c r="J168" s="146"/>
      <c r="K168" s="146"/>
      <c r="L168" s="346">
        <f>$G168*$E168*(305/366)</f>
        <v>32499.999500000002</v>
      </c>
      <c r="M168" s="346">
        <f>-PMT($E168,30,$G168)</f>
        <v>47221.791742041576</v>
      </c>
      <c r="N168" s="225"/>
      <c r="O168" s="243" t="s">
        <v>281</v>
      </c>
      <c r="P168" s="523"/>
    </row>
    <row r="169" spans="1:16">
      <c r="A169" s="34"/>
      <c r="B169" s="222">
        <v>7</v>
      </c>
      <c r="C169" s="10" t="s">
        <v>429</v>
      </c>
      <c r="D169" s="15"/>
      <c r="E169" s="357">
        <v>0.06</v>
      </c>
      <c r="F169" s="15"/>
      <c r="G169" s="16">
        <f>M60</f>
        <v>680000</v>
      </c>
      <c r="H169" s="10"/>
      <c r="I169" s="84"/>
      <c r="J169" s="10"/>
      <c r="K169" s="10"/>
      <c r="L169" s="10"/>
      <c r="M169" s="10">
        <v>34000</v>
      </c>
      <c r="N169" s="428"/>
      <c r="O169" s="435" t="s">
        <v>187</v>
      </c>
      <c r="P169" s="374"/>
    </row>
    <row r="170" spans="1:16">
      <c r="A170" s="34"/>
      <c r="B170" s="223" t="s">
        <v>140</v>
      </c>
      <c r="C170" s="39" t="s">
        <v>429</v>
      </c>
      <c r="D170" s="105"/>
      <c r="E170" s="139">
        <f>E169</f>
        <v>0.06</v>
      </c>
      <c r="F170" s="105"/>
      <c r="G170" s="391">
        <f>M61</f>
        <v>680000.06</v>
      </c>
      <c r="H170" s="39"/>
      <c r="I170" s="99"/>
      <c r="J170" s="39"/>
      <c r="K170" s="39"/>
      <c r="L170" s="39"/>
      <c r="M170" s="346">
        <f>$G170*$E170*(305/366)</f>
        <v>34000.003000000004</v>
      </c>
      <c r="N170" s="225"/>
      <c r="O170" s="243" t="s">
        <v>281</v>
      </c>
      <c r="P170" s="523"/>
    </row>
    <row r="171" spans="1:16" ht="3" customHeight="1">
      <c r="B171" s="226"/>
      <c r="C171" s="55"/>
      <c r="D171" s="55"/>
      <c r="E171" s="55"/>
      <c r="F171" s="55"/>
      <c r="G171" s="55"/>
      <c r="H171" s="56"/>
      <c r="I171" s="57"/>
      <c r="J171" s="56"/>
      <c r="K171" s="56"/>
      <c r="L171" s="56"/>
      <c r="M171" s="56"/>
      <c r="N171" s="57"/>
      <c r="O171" s="227"/>
      <c r="P171"/>
    </row>
    <row r="172" spans="1:16">
      <c r="A172" s="34"/>
      <c r="B172" s="222">
        <v>8</v>
      </c>
      <c r="C172" s="10" t="s">
        <v>118</v>
      </c>
      <c r="D172" s="15"/>
      <c r="E172" s="15"/>
      <c r="F172" s="15"/>
      <c r="G172" s="16"/>
      <c r="H172" s="10">
        <f t="shared" ref="H172:M173" si="39">H159+H161+H163+H165+H167+H169</f>
        <v>0</v>
      </c>
      <c r="I172" s="10">
        <f t="shared" si="39"/>
        <v>0</v>
      </c>
      <c r="J172" s="10">
        <f t="shared" si="39"/>
        <v>16666.666666666668</v>
      </c>
      <c r="K172" s="10">
        <f t="shared" si="39"/>
        <v>54770.574032110628</v>
      </c>
      <c r="L172" s="10">
        <f t="shared" si="39"/>
        <v>100293.69813888779</v>
      </c>
      <c r="M172" s="10">
        <f t="shared" si="39"/>
        <v>149015.49060741847</v>
      </c>
      <c r="N172" s="428"/>
      <c r="O172" s="436" t="s">
        <v>327</v>
      </c>
      <c r="P172"/>
    </row>
    <row r="173" spans="1:16">
      <c r="A173" s="34"/>
      <c r="B173" s="223" t="s">
        <v>141</v>
      </c>
      <c r="C173" s="39" t="s">
        <v>118</v>
      </c>
      <c r="D173" s="105"/>
      <c r="E173" s="105"/>
      <c r="F173" s="105"/>
      <c r="G173" s="106"/>
      <c r="H173" s="373">
        <f t="shared" si="39"/>
        <v>0</v>
      </c>
      <c r="I173" s="373">
        <f t="shared" si="39"/>
        <v>2.0833333333333337E-3</v>
      </c>
      <c r="J173" s="373">
        <f t="shared" si="39"/>
        <v>16666.670335905092</v>
      </c>
      <c r="K173" s="373">
        <f t="shared" si="39"/>
        <v>54770.58293519674</v>
      </c>
      <c r="L173" s="373">
        <f t="shared" si="39"/>
        <v>100293.70880686505</v>
      </c>
      <c r="M173" s="373">
        <f t="shared" si="39"/>
        <v>149015.50404890662</v>
      </c>
      <c r="N173" s="241"/>
      <c r="O173" s="378" t="s">
        <v>328</v>
      </c>
      <c r="P173"/>
    </row>
    <row r="174" spans="1:16" ht="3" customHeight="1">
      <c r="B174" s="226"/>
      <c r="C174" s="55"/>
      <c r="D174" s="55"/>
      <c r="E174" s="55"/>
      <c r="F174" s="55"/>
      <c r="G174" s="55"/>
      <c r="H174" s="56"/>
      <c r="I174" s="57"/>
      <c r="J174" s="56"/>
      <c r="K174" s="56"/>
      <c r="L174" s="56"/>
      <c r="M174" s="56"/>
      <c r="N174" s="308"/>
      <c r="O174" s="227"/>
    </row>
    <row r="175" spans="1:16">
      <c r="A175" s="34"/>
      <c r="B175" s="222">
        <v>9</v>
      </c>
      <c r="C175" s="14" t="s">
        <v>119</v>
      </c>
      <c r="D175" s="15"/>
      <c r="E175" s="15"/>
      <c r="F175" s="15"/>
      <c r="G175" s="16"/>
      <c r="H175" s="10">
        <f t="shared" ref="H175:M176" si="40">ROUND(H156,2)+H172</f>
        <v>220302.93</v>
      </c>
      <c r="I175" s="10">
        <f t="shared" si="40"/>
        <v>231843.39</v>
      </c>
      <c r="J175" s="10">
        <f t="shared" si="40"/>
        <v>248510.71666666665</v>
      </c>
      <c r="K175" s="10">
        <f t="shared" si="40"/>
        <v>273269.20403211063</v>
      </c>
      <c r="L175" s="10">
        <f t="shared" si="40"/>
        <v>309917.09813888778</v>
      </c>
      <c r="M175" s="10">
        <f t="shared" si="40"/>
        <v>359989.23060741846</v>
      </c>
      <c r="N175" s="428"/>
      <c r="O175" s="436" t="s">
        <v>329</v>
      </c>
    </row>
    <row r="176" spans="1:16">
      <c r="A176" s="34"/>
      <c r="B176" s="223" t="s">
        <v>142</v>
      </c>
      <c r="C176" s="39" t="s">
        <v>119</v>
      </c>
      <c r="D176" s="105"/>
      <c r="E176" s="105"/>
      <c r="F176" s="105"/>
      <c r="G176" s="106"/>
      <c r="H176" s="146">
        <f t="shared" si="40"/>
        <v>220302.93</v>
      </c>
      <c r="I176" s="146">
        <f t="shared" si="40"/>
        <v>231843.39208333334</v>
      </c>
      <c r="J176" s="146">
        <f t="shared" si="40"/>
        <v>248510.72033590509</v>
      </c>
      <c r="K176" s="146">
        <f t="shared" si="40"/>
        <v>273269.21293519676</v>
      </c>
      <c r="L176" s="146">
        <f t="shared" si="40"/>
        <v>309917.10880686506</v>
      </c>
      <c r="M176" s="146">
        <f t="shared" si="40"/>
        <v>359989.24404890661</v>
      </c>
      <c r="N176" s="344"/>
      <c r="O176" s="347" t="s">
        <v>330</v>
      </c>
    </row>
    <row r="177" spans="1:15">
      <c r="A177" s="34"/>
      <c r="B177" s="228"/>
      <c r="C177" s="85" t="s">
        <v>431</v>
      </c>
      <c r="D177" s="85"/>
      <c r="E177" s="85"/>
      <c r="F177" s="85"/>
      <c r="G177" s="85"/>
      <c r="H177" s="85"/>
      <c r="I177" s="85"/>
      <c r="J177" s="85"/>
      <c r="K177" s="85"/>
      <c r="L177" s="85"/>
      <c r="M177" s="85"/>
      <c r="N177" s="311"/>
      <c r="O177" s="221"/>
    </row>
    <row r="178" spans="1:15">
      <c r="A178" s="34"/>
      <c r="B178" s="222">
        <v>10</v>
      </c>
      <c r="C178" s="3" t="s">
        <v>430</v>
      </c>
      <c r="D178" s="4"/>
      <c r="E178" s="4"/>
      <c r="F178" s="15"/>
      <c r="G178" s="16"/>
      <c r="H178" s="10">
        <v>16412.376145002087</v>
      </c>
      <c r="I178" s="84">
        <v>24506.22777902845</v>
      </c>
      <c r="J178" s="10">
        <v>31321.334299168921</v>
      </c>
      <c r="K178" s="10">
        <v>36294.215711748169</v>
      </c>
      <c r="L178" s="10">
        <v>39100.403366091472</v>
      </c>
      <c r="M178" s="10">
        <v>40437.403299351383</v>
      </c>
      <c r="N178" s="428"/>
      <c r="O178" s="435" t="s">
        <v>187</v>
      </c>
    </row>
    <row r="179" spans="1:15" ht="14.85" customHeight="1">
      <c r="A179" s="34"/>
      <c r="B179" s="223" t="s">
        <v>143</v>
      </c>
      <c r="C179" s="39" t="s">
        <v>430</v>
      </c>
      <c r="D179" s="105"/>
      <c r="E179" s="105"/>
      <c r="F179" s="105"/>
      <c r="G179" s="106"/>
      <c r="H179" s="39">
        <f>ROUND(H178,2)</f>
        <v>16412.38</v>
      </c>
      <c r="I179" s="39">
        <f t="shared" ref="I179:M179" si="41">ROUND(I178,2)</f>
        <v>24506.23</v>
      </c>
      <c r="J179" s="39">
        <f t="shared" si="41"/>
        <v>31321.33</v>
      </c>
      <c r="K179" s="39">
        <f t="shared" si="41"/>
        <v>36294.22</v>
      </c>
      <c r="L179" s="39">
        <f t="shared" si="41"/>
        <v>39100.400000000001</v>
      </c>
      <c r="M179" s="39">
        <f t="shared" si="41"/>
        <v>40437.4</v>
      </c>
      <c r="N179" s="163"/>
      <c r="O179" s="224" t="s">
        <v>188</v>
      </c>
    </row>
    <row r="180" spans="1:15">
      <c r="A180" s="34"/>
      <c r="B180" s="228"/>
      <c r="C180" s="85" t="s">
        <v>223</v>
      </c>
      <c r="D180" s="85"/>
      <c r="E180" s="85"/>
      <c r="F180" s="85"/>
      <c r="G180" s="85"/>
      <c r="H180" s="85"/>
      <c r="I180" s="85"/>
      <c r="J180" s="85"/>
      <c r="K180" s="85"/>
      <c r="L180" s="85"/>
      <c r="M180" s="85"/>
      <c r="N180" s="311"/>
      <c r="O180" s="221"/>
    </row>
    <row r="181" spans="1:15">
      <c r="A181" s="34"/>
      <c r="B181" s="222">
        <v>11</v>
      </c>
      <c r="C181" s="3" t="s">
        <v>223</v>
      </c>
      <c r="D181" s="4"/>
      <c r="E181" s="4"/>
      <c r="F181" s="15"/>
      <c r="G181" s="16"/>
      <c r="H181" s="10">
        <v>1349</v>
      </c>
      <c r="I181" s="84">
        <v>1349</v>
      </c>
      <c r="J181" s="10">
        <v>1349</v>
      </c>
      <c r="K181" s="10">
        <v>1349</v>
      </c>
      <c r="L181" s="10">
        <v>1349</v>
      </c>
      <c r="M181" s="10">
        <v>1348.9999999999995</v>
      </c>
      <c r="N181" s="428"/>
      <c r="O181" s="435" t="s">
        <v>187</v>
      </c>
    </row>
    <row r="182" spans="1:15" ht="14.85" customHeight="1">
      <c r="A182" s="34"/>
      <c r="B182" s="223" t="s">
        <v>144</v>
      </c>
      <c r="C182" s="39" t="s">
        <v>223</v>
      </c>
      <c r="D182" s="105"/>
      <c r="E182" s="105"/>
      <c r="F182" s="105"/>
      <c r="G182" s="106"/>
      <c r="H182" s="39">
        <f>ROUND(H181,2)</f>
        <v>1349</v>
      </c>
      <c r="I182" s="39">
        <f t="shared" ref="I182:M182" si="42">ROUND(I181,2)</f>
        <v>1349</v>
      </c>
      <c r="J182" s="39">
        <f t="shared" si="42"/>
        <v>1349</v>
      </c>
      <c r="K182" s="39">
        <f t="shared" si="42"/>
        <v>1349</v>
      </c>
      <c r="L182" s="39">
        <f t="shared" si="42"/>
        <v>1349</v>
      </c>
      <c r="M182" s="39">
        <f t="shared" si="42"/>
        <v>1349</v>
      </c>
      <c r="N182" s="163"/>
      <c r="O182" s="224" t="s">
        <v>188</v>
      </c>
    </row>
    <row r="183" spans="1:15">
      <c r="A183" s="34"/>
      <c r="B183" s="228"/>
      <c r="C183" s="85" t="s">
        <v>290</v>
      </c>
      <c r="D183" s="85"/>
      <c r="E183" s="85"/>
      <c r="F183" s="85"/>
      <c r="G183" s="85"/>
      <c r="H183" s="85"/>
      <c r="I183" s="85"/>
      <c r="J183" s="85"/>
      <c r="K183" s="85"/>
      <c r="L183" s="85"/>
      <c r="M183" s="85"/>
      <c r="N183" s="311"/>
      <c r="O183" s="221"/>
    </row>
    <row r="184" spans="1:15">
      <c r="A184" s="34"/>
      <c r="B184" s="222">
        <v>12</v>
      </c>
      <c r="C184" s="3" t="s">
        <v>290</v>
      </c>
      <c r="D184" s="4"/>
      <c r="E184" s="4"/>
      <c r="F184" s="15"/>
      <c r="G184" s="16"/>
      <c r="H184" s="10">
        <v>355.91480999999993</v>
      </c>
      <c r="I184" s="84">
        <v>593.19137000000001</v>
      </c>
      <c r="J184" s="10">
        <v>1406.5136599999998</v>
      </c>
      <c r="K184" s="10">
        <v>1406.5136500000001</v>
      </c>
      <c r="L184" s="10">
        <v>1406.5136599999998</v>
      </c>
      <c r="M184" s="10">
        <v>1406.5136500000001</v>
      </c>
      <c r="N184" s="428"/>
      <c r="O184" s="435" t="s">
        <v>187</v>
      </c>
    </row>
    <row r="185" spans="1:15" ht="14.85" customHeight="1">
      <c r="A185" s="34"/>
      <c r="B185" s="375" t="s">
        <v>145</v>
      </c>
      <c r="C185" s="260" t="s">
        <v>290</v>
      </c>
      <c r="D185" s="260"/>
      <c r="E185" s="260"/>
      <c r="F185" s="260"/>
      <c r="G185" s="260"/>
      <c r="H185" s="39">
        <f>ROUND(H184,2)</f>
        <v>355.91</v>
      </c>
      <c r="I185" s="39">
        <f t="shared" ref="I185:M185" si="43">ROUND(I184,2)</f>
        <v>593.19000000000005</v>
      </c>
      <c r="J185" s="39">
        <f t="shared" si="43"/>
        <v>1406.51</v>
      </c>
      <c r="K185" s="39">
        <f t="shared" si="43"/>
        <v>1406.51</v>
      </c>
      <c r="L185" s="39">
        <f t="shared" si="43"/>
        <v>1406.51</v>
      </c>
      <c r="M185" s="39">
        <f t="shared" si="43"/>
        <v>1406.51</v>
      </c>
      <c r="N185" s="163"/>
      <c r="O185" s="224" t="s">
        <v>188</v>
      </c>
    </row>
    <row r="186" spans="1:15" ht="2.25" customHeight="1">
      <c r="A186" s="34"/>
      <c r="B186" s="376"/>
      <c r="C186" s="56"/>
      <c r="D186" s="56"/>
      <c r="E186" s="56"/>
      <c r="F186" s="56"/>
      <c r="G186" s="56"/>
      <c r="H186" s="56"/>
      <c r="I186" s="56"/>
      <c r="J186" s="56"/>
      <c r="K186" s="56"/>
      <c r="L186" s="56"/>
      <c r="M186" s="56"/>
      <c r="N186" s="56"/>
      <c r="O186" s="227"/>
    </row>
    <row r="187" spans="1:15">
      <c r="A187" s="34"/>
      <c r="B187" s="222">
        <v>13</v>
      </c>
      <c r="C187" s="29" t="s">
        <v>30</v>
      </c>
      <c r="D187" s="29"/>
      <c r="E187" s="29"/>
      <c r="F187" s="29"/>
      <c r="G187" s="29"/>
      <c r="H187" s="29">
        <f t="shared" ref="H187:M187" si="44">H175+H178+H181+H184</f>
        <v>238420.22095500206</v>
      </c>
      <c r="I187" s="29">
        <f t="shared" si="44"/>
        <v>258291.80914902844</v>
      </c>
      <c r="J187" s="29">
        <f t="shared" si="44"/>
        <v>282587.56462583557</v>
      </c>
      <c r="K187" s="29">
        <f t="shared" si="44"/>
        <v>312318.93339385878</v>
      </c>
      <c r="L187" s="29">
        <f t="shared" si="44"/>
        <v>351773.01516497927</v>
      </c>
      <c r="M187" s="29">
        <f t="shared" si="44"/>
        <v>403182.14755676984</v>
      </c>
      <c r="N187" s="428"/>
      <c r="O187" s="436" t="s">
        <v>331</v>
      </c>
    </row>
    <row r="188" spans="1:15" ht="16.2" thickBot="1">
      <c r="A188" s="34"/>
      <c r="B188" s="229" t="s">
        <v>146</v>
      </c>
      <c r="C188" s="230" t="s">
        <v>30</v>
      </c>
      <c r="D188" s="231"/>
      <c r="E188" s="231"/>
      <c r="F188" s="231"/>
      <c r="G188" s="232"/>
      <c r="H188" s="230">
        <f t="shared" ref="H188:M188" si="45">H176+H179+H182+H185</f>
        <v>238420.22</v>
      </c>
      <c r="I188" s="230">
        <f t="shared" si="45"/>
        <v>258291.81208333335</v>
      </c>
      <c r="J188" s="230">
        <f t="shared" si="45"/>
        <v>282587.56033590512</v>
      </c>
      <c r="K188" s="230">
        <f t="shared" si="45"/>
        <v>312318.9429351968</v>
      </c>
      <c r="L188" s="230">
        <f t="shared" si="45"/>
        <v>351773.01880686509</v>
      </c>
      <c r="M188" s="230">
        <f t="shared" si="45"/>
        <v>403182.15404890664</v>
      </c>
      <c r="N188" s="312"/>
      <c r="O188" s="379" t="s">
        <v>332</v>
      </c>
    </row>
    <row r="189" spans="1:15" ht="3" customHeight="1">
      <c r="B189" s="603"/>
      <c r="C189" s="119"/>
      <c r="D189" s="119"/>
      <c r="E189" s="119"/>
      <c r="F189" s="119"/>
      <c r="G189" s="119"/>
      <c r="H189" s="120"/>
      <c r="I189" s="131"/>
      <c r="J189" s="131"/>
      <c r="K189" s="131"/>
      <c r="L189" s="131"/>
      <c r="M189" s="131"/>
      <c r="N189" s="131"/>
      <c r="O189" s="604"/>
    </row>
    <row r="190" spans="1:15" ht="15.6" customHeight="1">
      <c r="B190" s="739" t="s">
        <v>269</v>
      </c>
      <c r="C190" s="740"/>
      <c r="D190" s="740"/>
      <c r="E190" s="740"/>
      <c r="F190" s="740"/>
      <c r="G190" s="740"/>
      <c r="H190" s="740"/>
      <c r="I190" s="740"/>
      <c r="J190" s="740"/>
      <c r="K190" s="740"/>
      <c r="L190" s="740"/>
      <c r="M190" s="740"/>
      <c r="N190" s="740"/>
      <c r="O190" s="741"/>
    </row>
    <row r="191" spans="1:15">
      <c r="B191" s="754" t="s">
        <v>308</v>
      </c>
      <c r="C191" s="755"/>
      <c r="D191" s="755"/>
      <c r="E191" s="755"/>
      <c r="F191" s="755"/>
      <c r="G191" s="755"/>
      <c r="H191" s="755"/>
      <c r="I191" s="755"/>
      <c r="J191" s="755"/>
      <c r="K191" s="755"/>
      <c r="L191" s="755"/>
      <c r="M191" s="755"/>
      <c r="O191" s="214"/>
    </row>
    <row r="192" spans="1:15" ht="15.75" customHeight="1">
      <c r="A192" s="34"/>
      <c r="B192" s="745" t="s">
        <v>384</v>
      </c>
      <c r="C192" s="715"/>
      <c r="D192" s="715"/>
      <c r="E192" s="715"/>
      <c r="F192" s="715"/>
      <c r="G192" s="715"/>
      <c r="H192" s="715"/>
      <c r="I192" s="715"/>
      <c r="J192" s="715"/>
      <c r="K192" s="715"/>
      <c r="L192" s="715"/>
      <c r="M192" s="715"/>
      <c r="N192" s="715"/>
      <c r="O192" s="746"/>
    </row>
    <row r="193" spans="1:16">
      <c r="A193" s="34"/>
      <c r="B193" s="747"/>
      <c r="C193" s="718"/>
      <c r="D193" s="718"/>
      <c r="E193" s="718"/>
      <c r="F193" s="718"/>
      <c r="G193" s="718"/>
      <c r="H193" s="718"/>
      <c r="I193" s="718"/>
      <c r="J193" s="718"/>
      <c r="K193" s="718"/>
      <c r="L193" s="718"/>
      <c r="M193" s="718"/>
      <c r="N193" s="718"/>
      <c r="O193" s="748"/>
    </row>
    <row r="194" spans="1:16">
      <c r="A194" s="34"/>
      <c r="B194" s="747"/>
      <c r="C194" s="718"/>
      <c r="D194" s="718"/>
      <c r="E194" s="718"/>
      <c r="F194" s="718"/>
      <c r="G194" s="718"/>
      <c r="H194" s="718"/>
      <c r="I194" s="718"/>
      <c r="J194" s="718"/>
      <c r="K194" s="718"/>
      <c r="L194" s="718"/>
      <c r="M194" s="718"/>
      <c r="N194" s="718"/>
      <c r="O194" s="748"/>
    </row>
    <row r="195" spans="1:16">
      <c r="A195" s="34"/>
      <c r="B195" s="747"/>
      <c r="C195" s="718"/>
      <c r="D195" s="718"/>
      <c r="E195" s="718"/>
      <c r="F195" s="718"/>
      <c r="G195" s="718"/>
      <c r="H195" s="718"/>
      <c r="I195" s="718"/>
      <c r="J195" s="718"/>
      <c r="K195" s="718"/>
      <c r="L195" s="718"/>
      <c r="M195" s="718"/>
      <c r="N195" s="718"/>
      <c r="O195" s="748"/>
    </row>
    <row r="196" spans="1:16" ht="26.25" customHeight="1">
      <c r="A196" s="34"/>
      <c r="B196" s="749"/>
      <c r="C196" s="721"/>
      <c r="D196" s="721"/>
      <c r="E196" s="721"/>
      <c r="F196" s="721"/>
      <c r="G196" s="721"/>
      <c r="H196" s="721"/>
      <c r="I196" s="721"/>
      <c r="J196" s="721"/>
      <c r="K196" s="721"/>
      <c r="L196" s="721"/>
      <c r="M196" s="721"/>
      <c r="N196" s="721"/>
      <c r="O196" s="750"/>
    </row>
    <row r="197" spans="1:16">
      <c r="A197" s="34"/>
      <c r="B197" s="739"/>
      <c r="C197" s="740"/>
      <c r="D197" s="740"/>
      <c r="E197" s="740"/>
      <c r="F197" s="740"/>
      <c r="G197" s="740"/>
      <c r="H197" s="740"/>
      <c r="I197" s="740"/>
      <c r="J197" s="740"/>
      <c r="K197" s="740"/>
      <c r="L197" s="740"/>
      <c r="M197" s="740"/>
      <c r="N197" s="740"/>
      <c r="O197" s="741"/>
    </row>
    <row r="198" spans="1:16">
      <c r="A198" s="34"/>
      <c r="B198" s="605"/>
      <c r="C198" s="606" t="s">
        <v>302</v>
      </c>
      <c r="D198" s="89"/>
      <c r="E198" s="89"/>
      <c r="F198" s="607"/>
      <c r="G198" s="607"/>
      <c r="H198" s="34"/>
      <c r="I198" s="34"/>
      <c r="J198" s="34"/>
      <c r="K198" s="34"/>
      <c r="L198" s="34"/>
      <c r="O198" s="214"/>
    </row>
    <row r="199" spans="1:16">
      <c r="A199" s="34"/>
      <c r="B199" s="605"/>
      <c r="C199" s="608" t="s">
        <v>397</v>
      </c>
      <c r="D199" s="89"/>
      <c r="E199" s="89"/>
      <c r="F199" s="607"/>
      <c r="G199" s="607"/>
      <c r="H199" s="34"/>
      <c r="I199" s="34"/>
      <c r="J199" s="34"/>
      <c r="K199" s="34"/>
      <c r="L199" s="34"/>
      <c r="O199" s="214"/>
    </row>
    <row r="200" spans="1:16">
      <c r="A200" s="34"/>
      <c r="B200" s="605"/>
      <c r="C200" s="524" t="str">
        <f xml:space="preserve"> "(b) Projected debt service for the Water and Wastewater Revenue Bond Series 2024C (issued in October 2024) included as Existing Debt Service."</f>
        <v>(b) Projected debt service for the Water and Wastewater Revenue Bond Series 2024C (issued in October 2024) included as Existing Debt Service.</v>
      </c>
      <c r="D200" s="89"/>
      <c r="E200" s="89"/>
      <c r="F200" s="607"/>
      <c r="G200" s="607"/>
      <c r="H200" s="34"/>
      <c r="I200" s="34"/>
      <c r="J200" s="34"/>
      <c r="K200" s="34"/>
      <c r="L200" s="34"/>
      <c r="O200" s="214"/>
    </row>
    <row r="201" spans="1:16">
      <c r="A201" s="34"/>
      <c r="B201" s="605"/>
      <c r="C201" s="524" t="s">
        <v>398</v>
      </c>
      <c r="D201" s="89"/>
      <c r="E201" s="89"/>
      <c r="F201" s="607"/>
      <c r="G201" s="607"/>
      <c r="H201" s="34"/>
      <c r="I201" s="34"/>
      <c r="J201" s="34"/>
      <c r="K201" s="34"/>
      <c r="L201" s="34"/>
      <c r="O201" s="214"/>
    </row>
    <row r="202" spans="1:16">
      <c r="A202" s="34"/>
      <c r="B202" s="605"/>
      <c r="C202" s="608" t="s">
        <v>303</v>
      </c>
      <c r="D202" s="89"/>
      <c r="E202" s="89"/>
      <c r="F202" s="607"/>
      <c r="G202" s="607"/>
      <c r="H202" s="34"/>
      <c r="I202" s="34"/>
      <c r="J202" s="34"/>
      <c r="K202" s="34"/>
      <c r="L202" s="34"/>
      <c r="O202" s="214"/>
    </row>
    <row r="203" spans="1:16">
      <c r="A203" s="34"/>
      <c r="B203" s="605"/>
      <c r="C203" s="524" t="s">
        <v>304</v>
      </c>
      <c r="D203" s="89"/>
      <c r="E203" s="89"/>
      <c r="F203" s="607"/>
      <c r="G203" s="607"/>
      <c r="H203" s="34"/>
      <c r="I203" s="34"/>
      <c r="J203" s="34"/>
      <c r="K203" s="34"/>
      <c r="L203" s="34"/>
      <c r="O203" s="214"/>
    </row>
    <row r="204" spans="1:16">
      <c r="A204" s="34"/>
      <c r="B204" s="609"/>
      <c r="C204" s="608" t="s">
        <v>303</v>
      </c>
      <c r="D204" s="34"/>
      <c r="E204" s="34"/>
      <c r="F204" s="34"/>
      <c r="G204" s="34"/>
      <c r="H204" s="34"/>
      <c r="I204" s="34"/>
      <c r="J204" s="34"/>
      <c r="K204" s="34"/>
      <c r="L204" s="34"/>
      <c r="O204" s="214"/>
    </row>
    <row r="205" spans="1:16" ht="16.2" thickBot="1">
      <c r="A205" s="34"/>
      <c r="B205" s="610"/>
      <c r="C205" s="611" t="s">
        <v>305</v>
      </c>
      <c r="D205" s="612"/>
      <c r="E205" s="612"/>
      <c r="F205" s="612"/>
      <c r="G205" s="612"/>
      <c r="H205" s="612"/>
      <c r="I205" s="612"/>
      <c r="J205" s="612"/>
      <c r="K205" s="612"/>
      <c r="L205" s="612"/>
      <c r="M205" s="613"/>
      <c r="N205" s="613"/>
      <c r="O205" s="614"/>
    </row>
    <row r="206" spans="1:16">
      <c r="A206"/>
      <c r="B206"/>
      <c r="C206"/>
      <c r="D206"/>
      <c r="E206"/>
      <c r="F206"/>
      <c r="G206"/>
      <c r="H206"/>
      <c r="I206"/>
      <c r="J206"/>
      <c r="K206"/>
      <c r="L206"/>
      <c r="M206"/>
      <c r="N206"/>
      <c r="O206"/>
      <c r="P206"/>
    </row>
    <row r="207" spans="1:16">
      <c r="A207"/>
      <c r="B207"/>
      <c r="C207"/>
      <c r="D207"/>
      <c r="E207"/>
      <c r="F207"/>
      <c r="G207"/>
      <c r="H207"/>
      <c r="I207"/>
      <c r="J207"/>
      <c r="K207"/>
      <c r="L207"/>
      <c r="M207"/>
      <c r="N207"/>
      <c r="O207"/>
      <c r="P207"/>
    </row>
    <row r="208" spans="1:16">
      <c r="A208"/>
      <c r="B208"/>
      <c r="C208"/>
      <c r="D208"/>
      <c r="E208"/>
      <c r="F208"/>
      <c r="G208"/>
      <c r="H208"/>
      <c r="I208"/>
      <c r="J208"/>
      <c r="K208"/>
      <c r="L208"/>
      <c r="M208"/>
      <c r="N208"/>
      <c r="O208"/>
      <c r="P208"/>
    </row>
    <row r="209" spans="1:16">
      <c r="A209"/>
      <c r="B209"/>
      <c r="C209"/>
      <c r="D209"/>
      <c r="E209"/>
      <c r="F209"/>
      <c r="G209"/>
      <c r="H209"/>
      <c r="I209"/>
      <c r="J209"/>
      <c r="K209"/>
      <c r="L209"/>
      <c r="M209"/>
      <c r="N209"/>
      <c r="O209"/>
      <c r="P209"/>
    </row>
    <row r="210" spans="1:16">
      <c r="A210"/>
      <c r="B210"/>
      <c r="C210"/>
      <c r="D210"/>
      <c r="E210"/>
      <c r="F210"/>
      <c r="G210"/>
      <c r="H210"/>
      <c r="I210"/>
      <c r="J210"/>
      <c r="K210"/>
      <c r="L210"/>
      <c r="M210"/>
      <c r="N210"/>
      <c r="O210"/>
      <c r="P210"/>
    </row>
    <row r="211" spans="1:16">
      <c r="A211"/>
      <c r="B211"/>
      <c r="C211"/>
      <c r="D211"/>
      <c r="E211"/>
      <c r="F211"/>
      <c r="G211"/>
      <c r="H211"/>
      <c r="I211"/>
      <c r="J211"/>
      <c r="K211"/>
      <c r="L211"/>
      <c r="M211"/>
      <c r="N211"/>
      <c r="O211"/>
      <c r="P211"/>
    </row>
    <row r="212" spans="1:16">
      <c r="A212"/>
      <c r="B212"/>
      <c r="C212"/>
      <c r="D212"/>
      <c r="E212"/>
      <c r="F212"/>
      <c r="G212"/>
      <c r="H212"/>
      <c r="I212"/>
      <c r="J212"/>
      <c r="K212"/>
      <c r="L212"/>
      <c r="M212"/>
      <c r="N212"/>
      <c r="O212"/>
      <c r="P212"/>
    </row>
    <row r="213" spans="1:16">
      <c r="A213"/>
      <c r="B213"/>
      <c r="C213"/>
      <c r="D213"/>
      <c r="E213"/>
      <c r="F213"/>
      <c r="G213"/>
      <c r="H213"/>
      <c r="I213"/>
      <c r="J213"/>
      <c r="K213"/>
      <c r="L213"/>
      <c r="M213"/>
      <c r="N213"/>
      <c r="O213"/>
      <c r="P213"/>
    </row>
    <row r="214" spans="1:16">
      <c r="A214"/>
      <c r="B214"/>
      <c r="C214"/>
      <c r="D214"/>
      <c r="E214"/>
      <c r="F214"/>
      <c r="G214"/>
      <c r="H214"/>
      <c r="I214"/>
      <c r="J214"/>
      <c r="K214"/>
      <c r="L214"/>
      <c r="M214"/>
      <c r="N214"/>
      <c r="O214"/>
      <c r="P214"/>
    </row>
    <row r="215" spans="1:16">
      <c r="A215"/>
      <c r="B215"/>
      <c r="C215"/>
      <c r="D215"/>
      <c r="E215"/>
      <c r="F215"/>
      <c r="G215"/>
      <c r="H215"/>
      <c r="I215"/>
      <c r="J215"/>
      <c r="K215"/>
      <c r="L215"/>
      <c r="M215"/>
      <c r="N215"/>
      <c r="O215"/>
      <c r="P215"/>
    </row>
    <row r="216" spans="1:16">
      <c r="A216"/>
      <c r="B216"/>
      <c r="C216"/>
      <c r="D216"/>
      <c r="E216"/>
      <c r="F216"/>
      <c r="G216"/>
      <c r="H216"/>
      <c r="I216"/>
      <c r="J216"/>
      <c r="K216"/>
      <c r="L216"/>
      <c r="M216"/>
      <c r="N216"/>
      <c r="O216"/>
      <c r="P216"/>
    </row>
    <row r="217" spans="1:16">
      <c r="A217"/>
      <c r="B217"/>
      <c r="C217"/>
      <c r="D217"/>
      <c r="E217"/>
      <c r="F217"/>
      <c r="G217"/>
      <c r="H217"/>
      <c r="I217"/>
      <c r="J217"/>
      <c r="K217"/>
      <c r="L217"/>
      <c r="M217"/>
      <c r="N217"/>
      <c r="O217"/>
      <c r="P217"/>
    </row>
    <row r="218" spans="1:16">
      <c r="A218"/>
      <c r="B218"/>
      <c r="C218"/>
      <c r="D218"/>
      <c r="E218"/>
      <c r="F218"/>
      <c r="G218"/>
      <c r="H218"/>
      <c r="I218"/>
      <c r="J218"/>
      <c r="K218"/>
      <c r="L218"/>
      <c r="M218"/>
      <c r="N218"/>
      <c r="O218"/>
      <c r="P218"/>
    </row>
    <row r="219" spans="1:16">
      <c r="A219"/>
      <c r="B219"/>
      <c r="C219"/>
      <c r="D219"/>
      <c r="E219"/>
      <c r="F219"/>
      <c r="G219"/>
      <c r="H219"/>
      <c r="I219"/>
      <c r="J219"/>
      <c r="K219"/>
      <c r="L219"/>
      <c r="M219"/>
      <c r="N219"/>
      <c r="O219"/>
      <c r="P219"/>
    </row>
    <row r="220" spans="1:16">
      <c r="A220"/>
      <c r="B220"/>
      <c r="C220"/>
      <c r="D220"/>
      <c r="E220"/>
      <c r="F220"/>
      <c r="G220"/>
      <c r="H220"/>
      <c r="I220"/>
      <c r="J220"/>
      <c r="K220"/>
      <c r="L220"/>
      <c r="M220"/>
      <c r="N220"/>
      <c r="O220"/>
      <c r="P220"/>
    </row>
    <row r="221" spans="1:16">
      <c r="A221"/>
      <c r="B221"/>
      <c r="C221"/>
      <c r="D221"/>
      <c r="E221"/>
      <c r="F221"/>
      <c r="G221"/>
      <c r="H221"/>
      <c r="I221"/>
      <c r="J221"/>
      <c r="K221"/>
      <c r="L221"/>
      <c r="M221"/>
      <c r="N221"/>
      <c r="O221"/>
      <c r="P221"/>
    </row>
    <row r="222" spans="1:16">
      <c r="A222"/>
      <c r="B222"/>
      <c r="C222"/>
      <c r="D222"/>
      <c r="E222"/>
      <c r="F222"/>
      <c r="G222"/>
      <c r="H222"/>
      <c r="I222"/>
      <c r="J222"/>
      <c r="K222"/>
      <c r="L222"/>
      <c r="M222"/>
      <c r="N222"/>
      <c r="O222"/>
      <c r="P222"/>
    </row>
    <row r="223" spans="1:16">
      <c r="A223"/>
      <c r="B223"/>
      <c r="C223"/>
      <c r="D223"/>
      <c r="E223"/>
      <c r="F223"/>
      <c r="G223"/>
      <c r="H223"/>
      <c r="I223"/>
      <c r="J223"/>
      <c r="K223"/>
      <c r="L223"/>
      <c r="M223"/>
      <c r="N223"/>
      <c r="O223"/>
      <c r="P223"/>
    </row>
    <row r="224" spans="1:16">
      <c r="A224"/>
      <c r="B224"/>
      <c r="C224"/>
      <c r="D224"/>
      <c r="E224"/>
      <c r="F224"/>
      <c r="G224"/>
      <c r="H224"/>
      <c r="I224"/>
      <c r="J224"/>
      <c r="K224"/>
      <c r="L224"/>
      <c r="M224"/>
      <c r="N224"/>
      <c r="O224"/>
      <c r="P224"/>
    </row>
    <row r="225" spans="1:16">
      <c r="A225"/>
      <c r="B225"/>
      <c r="C225"/>
      <c r="D225"/>
      <c r="E225"/>
      <c r="F225"/>
      <c r="G225"/>
      <c r="H225"/>
      <c r="I225"/>
      <c r="J225"/>
      <c r="K225"/>
      <c r="L225"/>
      <c r="M225"/>
      <c r="N225"/>
      <c r="O225"/>
      <c r="P225"/>
    </row>
    <row r="226" spans="1:16">
      <c r="A226"/>
      <c r="B226"/>
      <c r="C226"/>
      <c r="D226"/>
      <c r="E226"/>
      <c r="F226"/>
      <c r="G226"/>
      <c r="H226"/>
      <c r="I226"/>
      <c r="J226"/>
      <c r="K226"/>
      <c r="L226"/>
      <c r="M226"/>
      <c r="N226"/>
      <c r="O226"/>
      <c r="P226"/>
    </row>
    <row r="227" spans="1:16">
      <c r="A227"/>
      <c r="B227"/>
      <c r="C227"/>
      <c r="D227"/>
      <c r="E227"/>
      <c r="F227"/>
      <c r="G227"/>
      <c r="H227"/>
      <c r="I227"/>
      <c r="J227"/>
      <c r="K227"/>
      <c r="L227"/>
      <c r="M227"/>
      <c r="N227"/>
      <c r="O227"/>
      <c r="P227"/>
    </row>
    <row r="228" spans="1:16">
      <c r="A228"/>
      <c r="B228"/>
      <c r="C228"/>
      <c r="D228"/>
      <c r="E228"/>
      <c r="F228"/>
      <c r="G228"/>
      <c r="H228"/>
      <c r="I228"/>
      <c r="J228"/>
      <c r="K228"/>
      <c r="L228"/>
      <c r="M228"/>
      <c r="N228"/>
      <c r="O228"/>
      <c r="P228"/>
    </row>
    <row r="229" spans="1:16">
      <c r="A229"/>
      <c r="B229"/>
      <c r="C229"/>
      <c r="D229"/>
      <c r="E229"/>
      <c r="F229"/>
      <c r="G229"/>
      <c r="H229"/>
      <c r="I229"/>
      <c r="J229"/>
      <c r="K229"/>
      <c r="L229"/>
      <c r="M229"/>
      <c r="N229"/>
      <c r="O229"/>
      <c r="P229"/>
    </row>
    <row r="230" spans="1:16">
      <c r="A230"/>
      <c r="B230"/>
      <c r="C230"/>
      <c r="D230"/>
      <c r="E230"/>
      <c r="F230"/>
      <c r="G230"/>
      <c r="H230"/>
      <c r="I230"/>
      <c r="J230"/>
      <c r="K230"/>
      <c r="L230"/>
      <c r="M230"/>
      <c r="N230"/>
      <c r="O230"/>
      <c r="P230"/>
    </row>
    <row r="231" spans="1:16">
      <c r="A231"/>
      <c r="B231"/>
      <c r="C231"/>
      <c r="D231"/>
      <c r="E231"/>
      <c r="F231"/>
      <c r="G231"/>
      <c r="H231"/>
      <c r="I231"/>
      <c r="J231"/>
      <c r="K231"/>
      <c r="L231"/>
      <c r="M231"/>
      <c r="N231"/>
      <c r="O231"/>
      <c r="P231"/>
    </row>
    <row r="232" spans="1:16">
      <c r="A232"/>
      <c r="B232"/>
      <c r="C232"/>
      <c r="D232"/>
      <c r="E232"/>
      <c r="F232"/>
      <c r="G232"/>
      <c r="H232"/>
      <c r="I232"/>
      <c r="J232"/>
      <c r="K232"/>
      <c r="L232"/>
      <c r="M232"/>
      <c r="N232"/>
      <c r="O232"/>
      <c r="P232"/>
    </row>
    <row r="233" spans="1:16">
      <c r="A233"/>
      <c r="B233"/>
      <c r="C233"/>
      <c r="D233"/>
      <c r="E233"/>
      <c r="F233"/>
      <c r="G233"/>
      <c r="H233"/>
      <c r="I233"/>
      <c r="J233"/>
      <c r="K233"/>
      <c r="L233"/>
      <c r="M233"/>
      <c r="N233"/>
      <c r="O233"/>
      <c r="P233"/>
    </row>
    <row r="234" spans="1:16">
      <c r="A234"/>
      <c r="B234"/>
      <c r="C234"/>
      <c r="D234"/>
      <c r="E234"/>
      <c r="F234"/>
      <c r="G234"/>
      <c r="H234"/>
      <c r="I234"/>
      <c r="J234"/>
      <c r="K234"/>
      <c r="L234"/>
      <c r="M234"/>
      <c r="N234"/>
      <c r="O234"/>
      <c r="P234"/>
    </row>
    <row r="235" spans="1:16">
      <c r="A235"/>
      <c r="B235"/>
      <c r="C235"/>
      <c r="D235"/>
      <c r="E235"/>
      <c r="F235"/>
      <c r="G235"/>
      <c r="H235"/>
      <c r="I235"/>
      <c r="J235"/>
      <c r="K235"/>
      <c r="L235"/>
      <c r="M235"/>
      <c r="N235"/>
      <c r="O235"/>
      <c r="P235"/>
    </row>
    <row r="236" spans="1:16">
      <c r="A236"/>
      <c r="B236"/>
      <c r="C236"/>
      <c r="D236"/>
      <c r="E236"/>
      <c r="F236"/>
      <c r="G236"/>
      <c r="H236"/>
      <c r="I236"/>
      <c r="J236"/>
      <c r="K236"/>
      <c r="L236"/>
      <c r="M236"/>
      <c r="N236"/>
      <c r="O236"/>
      <c r="P236"/>
    </row>
    <row r="237" spans="1:16">
      <c r="A237"/>
      <c r="B237"/>
      <c r="C237"/>
      <c r="D237"/>
      <c r="E237"/>
      <c r="F237"/>
      <c r="G237"/>
      <c r="H237"/>
      <c r="I237"/>
      <c r="J237"/>
      <c r="K237"/>
      <c r="L237"/>
      <c r="M237"/>
      <c r="N237"/>
      <c r="O237"/>
      <c r="P237"/>
    </row>
    <row r="238" spans="1:16">
      <c r="A238"/>
      <c r="B238"/>
      <c r="C238"/>
      <c r="D238"/>
      <c r="E238"/>
      <c r="F238"/>
      <c r="G238"/>
      <c r="H238"/>
      <c r="I238"/>
      <c r="J238"/>
      <c r="K238"/>
      <c r="L238"/>
      <c r="M238"/>
      <c r="N238"/>
      <c r="O238"/>
      <c r="P238"/>
    </row>
    <row r="239" spans="1:16" customFormat="1"/>
    <row r="240" spans="1:16" customFormat="1"/>
    <row r="241" customFormat="1"/>
    <row r="242" customFormat="1"/>
    <row r="243" customFormat="1"/>
    <row r="244" customFormat="1"/>
    <row r="245" customFormat="1"/>
    <row r="246" customFormat="1"/>
    <row r="247" customFormat="1"/>
    <row r="248" customFormat="1"/>
    <row r="249" customFormat="1"/>
    <row r="250" customFormat="1"/>
    <row r="251" customFormat="1"/>
  </sheetData>
  <protectedRanges>
    <protectedRange sqref="C36:C41 C63:C67 C105:C109 C143:C147 C192:C196" name="Range1_6_2"/>
    <protectedRange sqref="C142" name="Range1_6_3"/>
  </protectedRanges>
  <mergeCells count="19">
    <mergeCell ref="B110:O110"/>
    <mergeCell ref="B197:O197"/>
    <mergeCell ref="B151:O151"/>
    <mergeCell ref="B44:O44"/>
    <mergeCell ref="B192:O196"/>
    <mergeCell ref="B105:O109"/>
    <mergeCell ref="B143:O147"/>
    <mergeCell ref="B63:O67"/>
    <mergeCell ref="B191:M191"/>
    <mergeCell ref="B149:O149"/>
    <mergeCell ref="B68:O68"/>
    <mergeCell ref="B190:O190"/>
    <mergeCell ref="B150:O150"/>
    <mergeCell ref="B1:O1"/>
    <mergeCell ref="B2:O2"/>
    <mergeCell ref="B3:O3"/>
    <mergeCell ref="B45:O45"/>
    <mergeCell ref="B43:O43"/>
    <mergeCell ref="B37:O41"/>
  </mergeCells>
  <phoneticPr fontId="25" type="noConversion"/>
  <pageMargins left="0.2" right="0.2" top="0.25" bottom="0.25" header="0.3" footer="0.3"/>
  <pageSetup scale="89" fitToHeight="4" orientation="landscape" r:id="rId1"/>
  <rowBreaks count="5" manualBreakCount="5">
    <brk id="42" min="1" max="14" man="1"/>
    <brk id="67" min="1" max="14" man="1"/>
    <brk id="109" min="1" max="14" man="1"/>
    <brk id="148" min="1" max="14" man="1"/>
    <brk id="190"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FF00"/>
  </sheetPr>
  <dimension ref="B1:O90"/>
  <sheetViews>
    <sheetView showGridLines="0" zoomScaleNormal="100" zoomScaleSheetLayoutView="129" workbookViewId="0">
      <selection activeCell="C50" sqref="C50"/>
    </sheetView>
  </sheetViews>
  <sheetFormatPr defaultColWidth="8.59765625" defaultRowHeight="15.6"/>
  <cols>
    <col min="1" max="1" width="2.09765625" customWidth="1"/>
    <col min="3" max="3" width="11.09765625" customWidth="1"/>
    <col min="8" max="9" width="11.09765625" bestFit="1" customWidth="1"/>
    <col min="10" max="13" width="11.09765625" customWidth="1"/>
    <col min="14" max="14" width="2.5" customWidth="1"/>
    <col min="15" max="15" width="19.5" customWidth="1"/>
  </cols>
  <sheetData>
    <row r="1" spans="2:15" ht="18">
      <c r="B1" s="198"/>
      <c r="C1" s="199" t="s">
        <v>1</v>
      </c>
      <c r="D1" s="199"/>
      <c r="E1" s="199"/>
      <c r="F1" s="199"/>
      <c r="G1" s="199"/>
      <c r="H1" s="199"/>
      <c r="I1" s="200"/>
      <c r="J1" s="199"/>
      <c r="K1" s="199"/>
      <c r="L1" s="199"/>
      <c r="M1" s="200"/>
    </row>
    <row r="2" spans="2:15" ht="18">
      <c r="B2" s="266"/>
      <c r="C2" s="17" t="s">
        <v>46</v>
      </c>
      <c r="D2" s="17"/>
      <c r="E2" s="17"/>
      <c r="F2" s="17"/>
      <c r="G2" s="17"/>
      <c r="H2" s="17"/>
      <c r="I2" s="267"/>
      <c r="J2" s="17"/>
      <c r="K2" s="17"/>
      <c r="L2" s="17"/>
      <c r="M2" s="267"/>
    </row>
    <row r="3" spans="2:15" ht="18">
      <c r="B3" s="266"/>
      <c r="C3" s="17" t="s">
        <v>215</v>
      </c>
      <c r="D3" s="17"/>
      <c r="E3" s="17"/>
      <c r="F3" s="17"/>
      <c r="G3" s="17"/>
      <c r="H3" s="17"/>
      <c r="I3" s="17"/>
      <c r="J3" s="17"/>
      <c r="K3" s="17"/>
      <c r="L3" s="17"/>
      <c r="M3" s="267"/>
    </row>
    <row r="4" spans="2:15" ht="18">
      <c r="B4" s="266"/>
      <c r="C4" s="17" t="s">
        <v>216</v>
      </c>
      <c r="D4" s="17"/>
      <c r="E4" s="17"/>
      <c r="F4" s="17"/>
      <c r="G4" s="17"/>
      <c r="H4" s="17"/>
      <c r="I4" s="17"/>
      <c r="J4" s="17"/>
      <c r="K4" s="17"/>
      <c r="L4" s="17"/>
      <c r="M4" s="267"/>
    </row>
    <row r="5" spans="2:15" ht="16.2" thickBot="1">
      <c r="B5" s="739" t="s">
        <v>269</v>
      </c>
      <c r="C5" s="740"/>
      <c r="D5" s="740"/>
      <c r="E5" s="740"/>
      <c r="F5" s="740"/>
      <c r="G5" s="740"/>
      <c r="H5" s="740"/>
      <c r="I5" s="740"/>
      <c r="J5" s="740"/>
      <c r="K5" s="740"/>
      <c r="L5" s="740"/>
      <c r="M5" s="741"/>
      <c r="N5" s="387"/>
      <c r="O5" s="341"/>
    </row>
    <row r="6" spans="2:15" ht="17.399999999999999">
      <c r="B6" s="549"/>
      <c r="C6" s="550"/>
      <c r="D6" s="550"/>
      <c r="E6" s="550"/>
      <c r="F6" s="550"/>
      <c r="G6" s="550"/>
      <c r="H6" s="551" t="s">
        <v>301</v>
      </c>
      <c r="I6" s="550"/>
      <c r="J6" s="550"/>
      <c r="K6" s="550"/>
      <c r="L6" s="550"/>
      <c r="M6" s="552"/>
      <c r="N6" s="387"/>
      <c r="O6" s="341"/>
    </row>
    <row r="7" spans="2:15">
      <c r="B7" s="201" t="s">
        <v>213</v>
      </c>
      <c r="C7" s="757" t="s">
        <v>0</v>
      </c>
      <c r="D7" s="758"/>
      <c r="E7" s="758"/>
      <c r="F7" s="758"/>
      <c r="G7" s="759"/>
      <c r="H7" s="125">
        <v>2025</v>
      </c>
      <c r="I7" s="125">
        <f>H7+1</f>
        <v>2026</v>
      </c>
      <c r="J7" s="125">
        <f>I7+1</f>
        <v>2027</v>
      </c>
      <c r="K7" s="125">
        <f>J7+1</f>
        <v>2028</v>
      </c>
      <c r="L7" s="125">
        <f>K7+1</f>
        <v>2029</v>
      </c>
      <c r="M7" s="553">
        <f>L7+1</f>
        <v>2030</v>
      </c>
      <c r="N7" s="406"/>
      <c r="O7" s="407" t="s">
        <v>186</v>
      </c>
    </row>
    <row r="8" spans="2:15">
      <c r="B8" s="203"/>
      <c r="C8" s="122" t="s">
        <v>44</v>
      </c>
      <c r="D8" s="48"/>
      <c r="E8" s="123"/>
      <c r="F8" s="123"/>
      <c r="G8" s="123"/>
      <c r="H8" s="123"/>
      <c r="I8" s="123"/>
      <c r="J8" s="123"/>
      <c r="K8" s="123"/>
      <c r="L8" s="123"/>
      <c r="M8" s="554"/>
      <c r="N8" s="123"/>
      <c r="O8" s="123"/>
    </row>
    <row r="9" spans="2:15">
      <c r="B9" s="204">
        <v>1</v>
      </c>
      <c r="C9" s="8" t="s">
        <v>47</v>
      </c>
      <c r="D9" s="8"/>
      <c r="E9" s="8"/>
      <c r="F9" s="8"/>
      <c r="G9" s="4"/>
      <c r="H9" s="1">
        <f>'Table C-1A'!H119</f>
        <v>132438</v>
      </c>
      <c r="I9" s="1">
        <f>'Table C-1A'!I119</f>
        <v>120245</v>
      </c>
      <c r="J9" s="1">
        <f>'Table C-1A'!J119</f>
        <v>133657</v>
      </c>
      <c r="K9" s="1">
        <f>'Table C-1A'!K119</f>
        <v>137745</v>
      </c>
      <c r="L9" s="1">
        <f>'Table C-1A'!L119</f>
        <v>142781</v>
      </c>
      <c r="M9" s="555">
        <f>'Table C-1A'!M119</f>
        <v>148301</v>
      </c>
      <c r="N9" s="547"/>
      <c r="O9" s="408" t="s">
        <v>347</v>
      </c>
    </row>
    <row r="10" spans="2:15">
      <c r="B10" s="205" t="s">
        <v>120</v>
      </c>
      <c r="C10" s="188" t="s">
        <v>47</v>
      </c>
      <c r="D10" s="189"/>
      <c r="E10" s="189"/>
      <c r="F10" s="189"/>
      <c r="G10" s="142"/>
      <c r="H10" s="190">
        <f>'Table C-1A'!H120</f>
        <v>132438</v>
      </c>
      <c r="I10" s="190">
        <f>'Table C-1A'!I120</f>
        <v>120245</v>
      </c>
      <c r="J10" s="190">
        <f>'Table C-1A'!J120</f>
        <v>133657</v>
      </c>
      <c r="K10" s="190">
        <f>'Table C-1A'!K120</f>
        <v>137745</v>
      </c>
      <c r="L10" s="190">
        <f>'Table C-1A'!L120</f>
        <v>142781</v>
      </c>
      <c r="M10" s="556">
        <f>'Table C-1A'!M120</f>
        <v>148301</v>
      </c>
      <c r="N10" s="32"/>
      <c r="O10" s="409" t="s">
        <v>346</v>
      </c>
    </row>
    <row r="11" spans="2:15">
      <c r="B11" s="206">
        <v>2</v>
      </c>
      <c r="C11" s="8" t="s">
        <v>257</v>
      </c>
      <c r="D11" s="3"/>
      <c r="E11" s="4"/>
      <c r="F11" s="4"/>
      <c r="G11" s="5"/>
      <c r="H11" s="1">
        <f>H13-H9</f>
        <v>-12193</v>
      </c>
      <c r="I11" s="1">
        <f t="shared" ref="I11:M11" si="0">I13-I9</f>
        <v>13412</v>
      </c>
      <c r="J11" s="1">
        <f t="shared" si="0"/>
        <v>4088</v>
      </c>
      <c r="K11" s="1">
        <f t="shared" si="0"/>
        <v>5036</v>
      </c>
      <c r="L11" s="1">
        <f t="shared" si="0"/>
        <v>5520</v>
      </c>
      <c r="M11" s="555">
        <f t="shared" si="0"/>
        <v>4731</v>
      </c>
      <c r="N11" s="548"/>
      <c r="O11" s="411" t="s">
        <v>478</v>
      </c>
    </row>
    <row r="12" spans="2:15">
      <c r="B12" s="207" t="s">
        <v>121</v>
      </c>
      <c r="C12" s="188" t="s">
        <v>257</v>
      </c>
      <c r="D12" s="142"/>
      <c r="E12" s="142"/>
      <c r="F12" s="142"/>
      <c r="G12" s="142"/>
      <c r="H12" s="190">
        <f>H14-H10</f>
        <v>-12193</v>
      </c>
      <c r="I12" s="190">
        <f t="shared" ref="I12:M12" si="1">I14-I10</f>
        <v>13412</v>
      </c>
      <c r="J12" s="190">
        <f t="shared" si="1"/>
        <v>4088</v>
      </c>
      <c r="K12" s="190">
        <f t="shared" si="1"/>
        <v>5036</v>
      </c>
      <c r="L12" s="190">
        <f t="shared" si="1"/>
        <v>5520</v>
      </c>
      <c r="M12" s="556">
        <f t="shared" si="1"/>
        <v>4731</v>
      </c>
      <c r="N12" s="32"/>
      <c r="O12" s="409" t="s">
        <v>479</v>
      </c>
    </row>
    <row r="13" spans="2:15">
      <c r="B13" s="204">
        <v>3</v>
      </c>
      <c r="C13" s="4" t="s">
        <v>48</v>
      </c>
      <c r="D13" s="4"/>
      <c r="E13" s="4"/>
      <c r="F13" s="4"/>
      <c r="G13" s="4"/>
      <c r="H13" s="1">
        <f>'Table C-1A'!H126</f>
        <v>120245</v>
      </c>
      <c r="I13" s="1">
        <f>'Table C-1A'!I126</f>
        <v>133657</v>
      </c>
      <c r="J13" s="1">
        <f>'Table C-1A'!J126</f>
        <v>137745</v>
      </c>
      <c r="K13" s="1">
        <f>'Table C-1A'!K126</f>
        <v>142781</v>
      </c>
      <c r="L13" s="1">
        <f>'Table C-1A'!L126</f>
        <v>148301</v>
      </c>
      <c r="M13" s="555">
        <f>'Table C-1A'!M126</f>
        <v>153032</v>
      </c>
      <c r="N13" s="548"/>
      <c r="O13" s="411" t="s">
        <v>365</v>
      </c>
    </row>
    <row r="14" spans="2:15">
      <c r="B14" s="205" t="s">
        <v>122</v>
      </c>
      <c r="C14" s="142" t="s">
        <v>258</v>
      </c>
      <c r="D14" s="145"/>
      <c r="E14" s="145"/>
      <c r="F14" s="145"/>
      <c r="G14" s="145"/>
      <c r="H14" s="190">
        <f>'Table C-1A'!H127</f>
        <v>120245</v>
      </c>
      <c r="I14" s="190">
        <f>'Table C-1A'!I127</f>
        <v>133657</v>
      </c>
      <c r="J14" s="190">
        <f>'Table C-1A'!J127</f>
        <v>137745</v>
      </c>
      <c r="K14" s="190">
        <f>'Table C-1A'!K127</f>
        <v>142781</v>
      </c>
      <c r="L14" s="190">
        <f>'Table C-1A'!L127</f>
        <v>148301</v>
      </c>
      <c r="M14" s="556">
        <f>'Table C-1A'!M127</f>
        <v>153032</v>
      </c>
      <c r="N14" s="32"/>
      <c r="O14" s="409" t="s">
        <v>366</v>
      </c>
    </row>
    <row r="15" spans="2:15">
      <c r="B15" s="426">
        <v>4</v>
      </c>
      <c r="C15" s="654" t="s">
        <v>136</v>
      </c>
      <c r="D15" s="655"/>
      <c r="E15" s="655"/>
      <c r="F15" s="655"/>
      <c r="G15" s="760"/>
      <c r="H15" s="245">
        <f>'Table C-1A'!H116</f>
        <v>15017.832694514926</v>
      </c>
      <c r="I15" s="245">
        <f>'Table C-1A'!I116</f>
        <v>15030.548629574476</v>
      </c>
      <c r="J15" s="245">
        <f>'Table C-1A'!J116</f>
        <v>15051.690366591924</v>
      </c>
      <c r="K15" s="245">
        <f>'Table C-1A'!K116</f>
        <v>15095.849545832716</v>
      </c>
      <c r="L15" s="245">
        <f>'Table C-1A'!L116</f>
        <v>15071.739608079321</v>
      </c>
      <c r="M15" s="557">
        <f>'Table C-1A'!M116</f>
        <v>15040.128484826404</v>
      </c>
      <c r="N15" s="548"/>
      <c r="O15" s="411" t="s">
        <v>348</v>
      </c>
    </row>
    <row r="16" spans="2:15">
      <c r="B16" s="426">
        <v>5</v>
      </c>
      <c r="C16" s="764" t="s">
        <v>137</v>
      </c>
      <c r="D16" s="765"/>
      <c r="E16" s="765"/>
      <c r="F16" s="765"/>
      <c r="G16" s="766"/>
      <c r="H16" s="246">
        <f>'Table C-1A'!H126+'Table C-1A'!H116</f>
        <v>135262.83269451492</v>
      </c>
      <c r="I16" s="246">
        <f>'Table C-1A'!I126+'Table C-1A'!I116</f>
        <v>148687.54862957448</v>
      </c>
      <c r="J16" s="246">
        <f>'Table C-1A'!J126+'Table C-1A'!J116</f>
        <v>152796.69036659191</v>
      </c>
      <c r="K16" s="246">
        <f>'Table C-1A'!K126+'Table C-1A'!K116</f>
        <v>157876.84954583272</v>
      </c>
      <c r="L16" s="246">
        <f>'Table C-1A'!L126+'Table C-1A'!L116</f>
        <v>163372.73960807931</v>
      </c>
      <c r="M16" s="558">
        <f>'Table C-1A'!M126+'Table C-1A'!M116</f>
        <v>168072.12848482642</v>
      </c>
      <c r="N16" s="548"/>
      <c r="O16" s="411" t="s">
        <v>349</v>
      </c>
    </row>
    <row r="17" spans="2:15">
      <c r="B17" s="208" t="s">
        <v>123</v>
      </c>
      <c r="C17" s="769" t="s">
        <v>136</v>
      </c>
      <c r="D17" s="770"/>
      <c r="E17" s="770"/>
      <c r="F17" s="770"/>
      <c r="G17" s="771"/>
      <c r="H17" s="263">
        <f>'Table C-1A'!H117</f>
        <v>15018.000000000002</v>
      </c>
      <c r="I17" s="263">
        <f>'Table C-1A'!I117</f>
        <v>15030.999999999998</v>
      </c>
      <c r="J17" s="263">
        <f>'Table C-1A'!J117</f>
        <v>15052</v>
      </c>
      <c r="K17" s="263">
        <f>'Table C-1A'!K117</f>
        <v>15095.999999999993</v>
      </c>
      <c r="L17" s="263">
        <f>'Table C-1A'!L117</f>
        <v>15071.999999999995</v>
      </c>
      <c r="M17" s="559">
        <f>'Table C-1A'!M117</f>
        <v>15040</v>
      </c>
      <c r="N17" s="32"/>
      <c r="O17" s="412" t="s">
        <v>376</v>
      </c>
    </row>
    <row r="18" spans="2:15">
      <c r="B18" s="393" t="s">
        <v>124</v>
      </c>
      <c r="C18" s="761" t="s">
        <v>137</v>
      </c>
      <c r="D18" s="762"/>
      <c r="E18" s="762"/>
      <c r="F18" s="762"/>
      <c r="G18" s="763"/>
      <c r="H18" s="264">
        <f t="shared" ref="H18:M18" si="2">H17+H14</f>
        <v>135263</v>
      </c>
      <c r="I18" s="264">
        <f t="shared" si="2"/>
        <v>148688</v>
      </c>
      <c r="J18" s="264">
        <f t="shared" si="2"/>
        <v>152797</v>
      </c>
      <c r="K18" s="264">
        <f t="shared" si="2"/>
        <v>157877</v>
      </c>
      <c r="L18" s="264">
        <f t="shared" si="2"/>
        <v>163373</v>
      </c>
      <c r="M18" s="560">
        <f t="shared" si="2"/>
        <v>168072</v>
      </c>
      <c r="N18" s="374"/>
      <c r="O18" s="412" t="s">
        <v>470</v>
      </c>
    </row>
    <row r="19" spans="2:15" ht="15.75" customHeight="1">
      <c r="B19" s="301"/>
      <c r="C19" s="767"/>
      <c r="D19" s="768"/>
      <c r="E19" s="768"/>
      <c r="F19" s="768"/>
      <c r="G19" s="768"/>
      <c r="H19" s="305"/>
      <c r="I19" s="305"/>
      <c r="J19" s="305"/>
      <c r="K19" s="305"/>
      <c r="L19" s="305"/>
      <c r="M19" s="561"/>
      <c r="N19" s="305"/>
      <c r="O19" s="305"/>
    </row>
    <row r="20" spans="2:15" ht="15.75" hidden="1" customHeight="1">
      <c r="B20" s="202"/>
      <c r="C20" s="121"/>
      <c r="D20" s="7"/>
      <c r="E20" s="7"/>
      <c r="F20" s="7"/>
      <c r="G20" s="7"/>
      <c r="H20" s="7"/>
      <c r="I20" s="7"/>
      <c r="J20" s="7"/>
      <c r="K20" s="7"/>
      <c r="L20" s="7"/>
      <c r="M20" s="562"/>
      <c r="O20" s="413"/>
    </row>
    <row r="21" spans="2:15">
      <c r="B21" s="203"/>
      <c r="C21" s="122" t="s">
        <v>49</v>
      </c>
      <c r="D21" s="48"/>
      <c r="E21" s="48"/>
      <c r="F21" s="48"/>
      <c r="G21" s="48"/>
      <c r="H21" s="48"/>
      <c r="I21" s="48"/>
      <c r="J21" s="48"/>
      <c r="K21" s="48"/>
      <c r="L21" s="48"/>
      <c r="M21" s="563"/>
      <c r="N21" s="155"/>
      <c r="O21" s="419"/>
    </row>
    <row r="22" spans="2:15">
      <c r="B22" s="204">
        <v>6</v>
      </c>
      <c r="C22" s="8" t="s">
        <v>228</v>
      </c>
      <c r="D22" s="3"/>
      <c r="E22" s="4"/>
      <c r="F22" s="4"/>
      <c r="G22" s="5"/>
      <c r="H22" s="9">
        <f>'Table C-1A'!H76</f>
        <v>1.2173335389662856</v>
      </c>
      <c r="I22" s="9">
        <f>'Table C-1A'!I76</f>
        <v>1.2702333509154533</v>
      </c>
      <c r="J22" s="9">
        <f>'Table C-1A'!J76</f>
        <v>1.3003134140649237</v>
      </c>
      <c r="K22" s="9">
        <f>'Table C-1A'!K76</f>
        <v>1.3000000204397195</v>
      </c>
      <c r="L22" s="9">
        <f>'Table C-1A'!L76</f>
        <v>1.3000000412831716</v>
      </c>
      <c r="M22" s="564">
        <f>'Table C-1A'!M76</f>
        <v>1.2999999716803845</v>
      </c>
      <c r="N22" s="548"/>
      <c r="O22" s="411" t="s">
        <v>471</v>
      </c>
    </row>
    <row r="23" spans="2:15">
      <c r="B23" s="205" t="s">
        <v>139</v>
      </c>
      <c r="C23" s="318" t="s">
        <v>228</v>
      </c>
      <c r="D23" s="319"/>
      <c r="E23" s="319"/>
      <c r="F23" s="319"/>
      <c r="G23" s="319"/>
      <c r="H23" s="191">
        <f>'Table C-1A'!H77</f>
        <v>1.2413868808082398</v>
      </c>
      <c r="I23" s="191">
        <f>'Table C-1A'!I77</f>
        <v>1.2702342530090216</v>
      </c>
      <c r="J23" s="191">
        <f>'Table C-1A'!J77</f>
        <v>1.3003129067999042</v>
      </c>
      <c r="K23" s="191">
        <f>'Table C-1A'!K77</f>
        <v>1.2999991535970556</v>
      </c>
      <c r="L23" s="191">
        <f>'Table C-1A'!L77</f>
        <v>1.3000003480233144</v>
      </c>
      <c r="M23" s="565">
        <f>'Table C-1A'!M77</f>
        <v>1.2999988568726966</v>
      </c>
      <c r="N23" s="32"/>
      <c r="O23" s="409" t="s">
        <v>472</v>
      </c>
    </row>
    <row r="24" spans="2:15">
      <c r="B24" s="301" t="s">
        <v>205</v>
      </c>
      <c r="C24" s="302" t="s">
        <v>262</v>
      </c>
      <c r="D24" s="304"/>
      <c r="E24" s="304"/>
      <c r="F24" s="304"/>
      <c r="G24" s="304"/>
      <c r="H24" s="303" t="str">
        <f t="shared" ref="H24:M24" si="3">IF(H22&gt;1.196, "YES", "NO")</f>
        <v>YES</v>
      </c>
      <c r="I24" s="303" t="str">
        <f t="shared" si="3"/>
        <v>YES</v>
      </c>
      <c r="J24" s="303" t="str">
        <f t="shared" si="3"/>
        <v>YES</v>
      </c>
      <c r="K24" s="303" t="str">
        <f t="shared" si="3"/>
        <v>YES</v>
      </c>
      <c r="L24" s="303" t="str">
        <f t="shared" si="3"/>
        <v>YES</v>
      </c>
      <c r="M24" s="566" t="str">
        <f t="shared" si="3"/>
        <v>YES</v>
      </c>
      <c r="N24" s="374"/>
      <c r="O24" s="413"/>
    </row>
    <row r="25" spans="2:15">
      <c r="B25" s="301" t="s">
        <v>261</v>
      </c>
      <c r="C25" s="302" t="s">
        <v>285</v>
      </c>
      <c r="D25" s="304"/>
      <c r="E25" s="304"/>
      <c r="F25" s="304"/>
      <c r="G25" s="304"/>
      <c r="H25" s="303" t="str">
        <f>IF(H22&gt;1.296, "YES", "NO")</f>
        <v>NO</v>
      </c>
      <c r="I25" s="303" t="str">
        <f t="shared" ref="I25:M25" si="4">IF(I22&gt;1.296, "YES", "NO")</f>
        <v>NO</v>
      </c>
      <c r="J25" s="303" t="str">
        <f t="shared" si="4"/>
        <v>YES</v>
      </c>
      <c r="K25" s="303" t="str">
        <f t="shared" si="4"/>
        <v>YES</v>
      </c>
      <c r="L25" s="303" t="str">
        <f t="shared" si="4"/>
        <v>YES</v>
      </c>
      <c r="M25" s="566" t="str">
        <f t="shared" si="4"/>
        <v>YES</v>
      </c>
      <c r="N25" s="374"/>
      <c r="O25" s="413"/>
    </row>
    <row r="26" spans="2:15">
      <c r="B26" s="301" t="s">
        <v>278</v>
      </c>
      <c r="C26" s="302" t="s">
        <v>280</v>
      </c>
      <c r="D26" s="304"/>
      <c r="E26" s="304"/>
      <c r="F26" s="304"/>
      <c r="G26" s="304"/>
      <c r="H26" s="303" t="str">
        <f t="shared" ref="H26:M26" si="5">IF(H23&gt;1.196, "YES", "NO")</f>
        <v>YES</v>
      </c>
      <c r="I26" s="303" t="str">
        <f t="shared" si="5"/>
        <v>YES</v>
      </c>
      <c r="J26" s="303" t="str">
        <f t="shared" si="5"/>
        <v>YES</v>
      </c>
      <c r="K26" s="303" t="str">
        <f t="shared" si="5"/>
        <v>YES</v>
      </c>
      <c r="L26" s="303" t="str">
        <f t="shared" si="5"/>
        <v>YES</v>
      </c>
      <c r="M26" s="566" t="str">
        <f t="shared" si="5"/>
        <v>YES</v>
      </c>
      <c r="N26" s="374"/>
      <c r="O26" s="413"/>
    </row>
    <row r="27" spans="2:15">
      <c r="B27" s="301" t="s">
        <v>279</v>
      </c>
      <c r="C27" s="302" t="s">
        <v>286</v>
      </c>
      <c r="D27" s="304"/>
      <c r="E27" s="304"/>
      <c r="F27" s="304"/>
      <c r="G27" s="304"/>
      <c r="H27" s="303" t="str">
        <f t="shared" ref="H27:M27" si="6">IF(H23&gt;1.296, "YES", "NO")</f>
        <v>NO</v>
      </c>
      <c r="I27" s="303" t="str">
        <f t="shared" si="6"/>
        <v>NO</v>
      </c>
      <c r="J27" s="303" t="str">
        <f t="shared" si="6"/>
        <v>YES</v>
      </c>
      <c r="K27" s="303" t="str">
        <f t="shared" si="6"/>
        <v>YES</v>
      </c>
      <c r="L27" s="303" t="str">
        <f t="shared" si="6"/>
        <v>YES</v>
      </c>
      <c r="M27" s="566" t="str">
        <f t="shared" si="6"/>
        <v>YES</v>
      </c>
      <c r="N27" s="374"/>
      <c r="O27" s="413"/>
    </row>
    <row r="28" spans="2:15">
      <c r="B28" s="321">
        <v>7</v>
      </c>
      <c r="C28" s="320" t="s">
        <v>229</v>
      </c>
      <c r="D28" s="27"/>
      <c r="E28" s="27"/>
      <c r="F28" s="27"/>
      <c r="G28" s="27"/>
      <c r="H28" s="322">
        <f>'Table C-1A'!H87</f>
        <v>1.0639885683328838</v>
      </c>
      <c r="I28" s="322">
        <f>'Table C-1A'!I87</f>
        <v>1.1137512703660823</v>
      </c>
      <c r="J28" s="322">
        <f>'Table C-1A'!J87</f>
        <v>1.1450182948938918</v>
      </c>
      <c r="K28" s="322">
        <f>'Table C-1A'!K87</f>
        <v>1.1508479001779266</v>
      </c>
      <c r="L28" s="322">
        <f>'Table C-1A'!L87</f>
        <v>1.1591380426511191</v>
      </c>
      <c r="M28" s="567">
        <f>'Table C-1A'!M87</f>
        <v>1.1690882341882116</v>
      </c>
      <c r="N28" s="548"/>
      <c r="O28" s="411" t="s">
        <v>480</v>
      </c>
    </row>
    <row r="29" spans="2:15">
      <c r="B29" s="205" t="s">
        <v>140</v>
      </c>
      <c r="C29" s="188" t="s">
        <v>229</v>
      </c>
      <c r="D29" s="145"/>
      <c r="E29" s="145"/>
      <c r="F29" s="145"/>
      <c r="G29" s="145"/>
      <c r="H29" s="191">
        <f>'Table C-1A'!H88</f>
        <v>1.0850119580401325</v>
      </c>
      <c r="I29" s="191">
        <f>'Table C-1A'!I88</f>
        <v>1.1137520478330003</v>
      </c>
      <c r="J29" s="191">
        <f>'Table C-1A'!J88</f>
        <v>1.1450178292435627</v>
      </c>
      <c r="K29" s="191">
        <f>'Table C-1A'!K88</f>
        <v>1.1508471355649044</v>
      </c>
      <c r="L29" s="191">
        <f>'Table C-1A'!L88</f>
        <v>1.1591383223285494</v>
      </c>
      <c r="M29" s="565">
        <f>'Table C-1A'!M88</f>
        <v>1.1690872435580486</v>
      </c>
      <c r="N29" s="32"/>
      <c r="O29" s="409" t="s">
        <v>481</v>
      </c>
    </row>
    <row r="30" spans="2:15">
      <c r="B30" s="301" t="s">
        <v>206</v>
      </c>
      <c r="C30" s="302" t="s">
        <v>485</v>
      </c>
      <c r="D30" s="304"/>
      <c r="E30" s="304"/>
      <c r="F30" s="304"/>
      <c r="G30" s="304"/>
      <c r="H30" s="303" t="str">
        <f t="shared" ref="H30:M30" si="7">IF(H29&gt;1, "YES", "NO")</f>
        <v>YES</v>
      </c>
      <c r="I30" s="303" t="str">
        <f t="shared" si="7"/>
        <v>YES</v>
      </c>
      <c r="J30" s="303" t="str">
        <f t="shared" si="7"/>
        <v>YES</v>
      </c>
      <c r="K30" s="303" t="str">
        <f t="shared" si="7"/>
        <v>YES</v>
      </c>
      <c r="L30" s="303" t="str">
        <f t="shared" si="7"/>
        <v>YES</v>
      </c>
      <c r="M30" s="566" t="str">
        <f t="shared" si="7"/>
        <v>YES</v>
      </c>
      <c r="N30" s="305"/>
      <c r="O30" s="305"/>
    </row>
    <row r="31" spans="2:15">
      <c r="B31" s="203"/>
      <c r="C31" s="122" t="s">
        <v>50</v>
      </c>
      <c r="D31" s="48"/>
      <c r="E31" s="48"/>
      <c r="F31" s="48"/>
      <c r="G31" s="48"/>
      <c r="H31" s="48"/>
      <c r="I31" s="48"/>
      <c r="J31" s="48"/>
      <c r="K31" s="48"/>
      <c r="L31" s="48"/>
      <c r="M31" s="563"/>
      <c r="N31" s="155"/>
      <c r="O31" s="419"/>
    </row>
    <row r="32" spans="2:15">
      <c r="B32" s="204">
        <v>8</v>
      </c>
      <c r="C32" s="773" t="s">
        <v>230</v>
      </c>
      <c r="D32" s="655"/>
      <c r="E32" s="655"/>
      <c r="F32" s="655"/>
      <c r="G32" s="656"/>
      <c r="H32" s="9">
        <f>-('Table C-1A'!H51+'Table C-1A'!H55+H81)/'Table C-1A'!H74</f>
        <v>1.2047507133853763</v>
      </c>
      <c r="I32" s="9">
        <f>-('Table C-1A'!I51+'Table C-1A'!I55+I81)/'Table C-1A'!I74</f>
        <v>1.2702333509154533</v>
      </c>
      <c r="J32" s="9">
        <f>-('Table C-1A'!J51+'Table C-1A'!J55+J81)/'Table C-1A'!J74</f>
        <v>1.3003134140649237</v>
      </c>
      <c r="K32" s="9">
        <f>-('Table C-1A'!K51+'Table C-1A'!K55+K81)/'Table C-1A'!K74</f>
        <v>1.3000000204397195</v>
      </c>
      <c r="L32" s="9">
        <f>-('Table C-1A'!L51+'Table C-1A'!L55+L81)/'Table C-1A'!L74</f>
        <v>1.3000000412831716</v>
      </c>
      <c r="M32" s="564">
        <f>-('Table C-1A'!M51+'Table C-1A'!M55+M81)/'Table C-1A'!M74</f>
        <v>1.2999999716803845</v>
      </c>
      <c r="N32" s="548"/>
      <c r="O32" s="411" t="s">
        <v>318</v>
      </c>
    </row>
    <row r="33" spans="2:15">
      <c r="B33" s="208" t="s">
        <v>141</v>
      </c>
      <c r="C33" s="756" t="s">
        <v>230</v>
      </c>
      <c r="D33" s="682"/>
      <c r="E33" s="682"/>
      <c r="F33" s="682"/>
      <c r="G33" s="683"/>
      <c r="H33" s="192">
        <f>-('Table C-1A'!H52+'Table C-1A'!H56+H83)/'Table C-1A'!H75</f>
        <v>1.2288040549734789</v>
      </c>
      <c r="I33" s="192">
        <f>-('Table C-1A'!I52+'Table C-1A'!I56+I83)/'Table C-1A'!I75</f>
        <v>1.2702342530090216</v>
      </c>
      <c r="J33" s="192">
        <f>-('Table C-1A'!J52+'Table C-1A'!J56+J83)/'Table C-1A'!J75</f>
        <v>1.3003129067999042</v>
      </c>
      <c r="K33" s="192">
        <f>-('Table C-1A'!K52+'Table C-1A'!K56+K83)/'Table C-1A'!K75</f>
        <v>1.2999991535970556</v>
      </c>
      <c r="L33" s="192">
        <f>-('Table C-1A'!L52+'Table C-1A'!L56+L83)/'Table C-1A'!L75</f>
        <v>1.3000003480233144</v>
      </c>
      <c r="M33" s="568">
        <f>-('Table C-1A'!M52+'Table C-1A'!M56+M83)/'Table C-1A'!M75</f>
        <v>1.2999988568726966</v>
      </c>
      <c r="N33" s="32"/>
      <c r="O33" s="412" t="s">
        <v>318</v>
      </c>
    </row>
    <row r="34" spans="2:15">
      <c r="B34" s="301" t="s">
        <v>207</v>
      </c>
      <c r="C34" s="310" t="s">
        <v>484</v>
      </c>
      <c r="D34" s="310"/>
      <c r="E34" s="310"/>
      <c r="F34" s="310"/>
      <c r="G34" s="310"/>
      <c r="H34" s="303" t="str">
        <f t="shared" ref="H34:M34" si="8">IF(H33&gt;0.9, "YES", "NO")</f>
        <v>YES</v>
      </c>
      <c r="I34" s="303" t="str">
        <f t="shared" si="8"/>
        <v>YES</v>
      </c>
      <c r="J34" s="303" t="str">
        <f t="shared" si="8"/>
        <v>YES</v>
      </c>
      <c r="K34" s="303" t="str">
        <f t="shared" si="8"/>
        <v>YES</v>
      </c>
      <c r="L34" s="303" t="str">
        <f t="shared" si="8"/>
        <v>YES</v>
      </c>
      <c r="M34" s="566" t="str">
        <f t="shared" si="8"/>
        <v>YES</v>
      </c>
      <c r="O34" s="413"/>
    </row>
    <row r="35" spans="2:15" s="32" customFormat="1" ht="16.2" thickBot="1">
      <c r="B35" s="644"/>
      <c r="C35" s="645"/>
      <c r="D35" s="645"/>
      <c r="E35" s="645"/>
      <c r="F35" s="645"/>
      <c r="G35" s="645"/>
      <c r="H35" s="646"/>
      <c r="I35" s="646"/>
      <c r="J35" s="646"/>
      <c r="K35" s="646"/>
      <c r="L35" s="646"/>
      <c r="M35" s="647"/>
      <c r="O35" s="414"/>
    </row>
    <row r="36" spans="2:15" s="32" customFormat="1">
      <c r="B36" s="717" t="s">
        <v>395</v>
      </c>
      <c r="C36" s="718"/>
      <c r="D36" s="718"/>
      <c r="E36" s="718"/>
      <c r="F36" s="718"/>
      <c r="G36" s="718"/>
      <c r="H36" s="718"/>
      <c r="I36" s="718"/>
      <c r="J36" s="718"/>
      <c r="K36" s="718"/>
      <c r="L36" s="718"/>
      <c r="M36" s="719"/>
      <c r="N36" s="313"/>
      <c r="O36" s="414"/>
    </row>
    <row r="37" spans="2:15" s="32" customFormat="1">
      <c r="B37" s="717"/>
      <c r="C37" s="718"/>
      <c r="D37" s="718"/>
      <c r="E37" s="718"/>
      <c r="F37" s="718"/>
      <c r="G37" s="718"/>
      <c r="H37" s="718"/>
      <c r="I37" s="718"/>
      <c r="J37" s="718"/>
      <c r="K37" s="718"/>
      <c r="L37" s="718"/>
      <c r="M37" s="719"/>
      <c r="N37" s="313"/>
      <c r="O37" s="414"/>
    </row>
    <row r="38" spans="2:15" s="32" customFormat="1">
      <c r="B38" s="717"/>
      <c r="C38" s="718"/>
      <c r="D38" s="718"/>
      <c r="E38" s="718"/>
      <c r="F38" s="718"/>
      <c r="G38" s="718"/>
      <c r="H38" s="718"/>
      <c r="I38" s="718"/>
      <c r="J38" s="718"/>
      <c r="K38" s="718"/>
      <c r="L38" s="718"/>
      <c r="M38" s="719"/>
      <c r="N38" s="313"/>
      <c r="O38" s="414"/>
    </row>
    <row r="39" spans="2:15" s="32" customFormat="1">
      <c r="B39" s="717"/>
      <c r="C39" s="718"/>
      <c r="D39" s="718"/>
      <c r="E39" s="718"/>
      <c r="F39" s="718"/>
      <c r="G39" s="718"/>
      <c r="H39" s="718"/>
      <c r="I39" s="718"/>
      <c r="J39" s="718"/>
      <c r="K39" s="718"/>
      <c r="L39" s="718"/>
      <c r="M39" s="719"/>
      <c r="N39" s="313"/>
      <c r="O39" s="414"/>
    </row>
    <row r="40" spans="2:15" s="32" customFormat="1">
      <c r="B40" s="717"/>
      <c r="C40" s="718"/>
      <c r="D40" s="718"/>
      <c r="E40" s="718"/>
      <c r="F40" s="718"/>
      <c r="G40" s="718"/>
      <c r="H40" s="718"/>
      <c r="I40" s="718"/>
      <c r="J40" s="718"/>
      <c r="K40" s="718"/>
      <c r="L40" s="718"/>
      <c r="M40" s="719"/>
      <c r="N40" s="313"/>
      <c r="O40" s="414"/>
    </row>
    <row r="41" spans="2:15" s="32" customFormat="1">
      <c r="B41" s="720"/>
      <c r="C41" s="721"/>
      <c r="D41" s="721"/>
      <c r="E41" s="721"/>
      <c r="F41" s="721"/>
      <c r="G41" s="721"/>
      <c r="H41" s="721"/>
      <c r="I41" s="721"/>
      <c r="J41" s="721"/>
      <c r="K41" s="721"/>
      <c r="L41" s="721"/>
      <c r="M41" s="722"/>
      <c r="N41" s="313"/>
      <c r="O41" s="414"/>
    </row>
    <row r="42" spans="2:15">
      <c r="B42" s="203"/>
      <c r="C42" s="122" t="s">
        <v>232</v>
      </c>
      <c r="D42" s="48"/>
      <c r="E42" s="48"/>
      <c r="F42" s="48"/>
      <c r="G42" s="48"/>
      <c r="H42" s="48"/>
      <c r="I42" s="48"/>
      <c r="J42" s="48"/>
      <c r="K42" s="48"/>
      <c r="L42" s="48"/>
      <c r="M42" s="563"/>
      <c r="N42" s="155"/>
      <c r="O42" s="419"/>
    </row>
    <row r="43" spans="2:15">
      <c r="B43" s="206">
        <v>9</v>
      </c>
      <c r="C43" s="20" t="s">
        <v>237</v>
      </c>
      <c r="D43" s="4"/>
      <c r="E43" s="4"/>
      <c r="F43" s="4"/>
      <c r="G43" s="4"/>
      <c r="H43" s="1">
        <v>732772.57634675095</v>
      </c>
      <c r="I43" s="1">
        <v>777712.35202025424</v>
      </c>
      <c r="J43" s="1">
        <v>815836.65155807789</v>
      </c>
      <c r="K43" s="1">
        <v>846032.16248246713</v>
      </c>
      <c r="L43" s="1">
        <v>877609.19097859866</v>
      </c>
      <c r="M43" s="555">
        <v>910060.15024576185</v>
      </c>
      <c r="N43" s="548"/>
      <c r="O43" s="411" t="s">
        <v>187</v>
      </c>
    </row>
    <row r="44" spans="2:15">
      <c r="B44" s="206">
        <v>10</v>
      </c>
      <c r="C44" s="654" t="s">
        <v>232</v>
      </c>
      <c r="D44" s="655"/>
      <c r="E44" s="655"/>
      <c r="F44" s="655"/>
      <c r="G44" s="656"/>
      <c r="H44" s="291">
        <v>0.9277534885645885</v>
      </c>
      <c r="I44" s="291">
        <v>0.92935779793930307</v>
      </c>
      <c r="J44" s="291">
        <v>0.93038462978793013</v>
      </c>
      <c r="K44" s="291">
        <v>0.93025321631071711</v>
      </c>
      <c r="L44" s="291">
        <v>0.93016047614430464</v>
      </c>
      <c r="M44" s="572">
        <v>0.93001497513434528</v>
      </c>
      <c r="N44" s="548"/>
      <c r="O44" s="411" t="s">
        <v>187</v>
      </c>
    </row>
    <row r="45" spans="2:15">
      <c r="B45" s="203"/>
      <c r="C45" s="122" t="s">
        <v>236</v>
      </c>
      <c r="D45" s="48"/>
      <c r="E45" s="48"/>
      <c r="F45" s="48"/>
      <c r="G45" s="48"/>
      <c r="H45" s="48"/>
      <c r="I45" s="48"/>
      <c r="J45" s="48"/>
      <c r="K45" s="48"/>
      <c r="L45" s="48"/>
      <c r="M45" s="563"/>
      <c r="O45" s="413"/>
    </row>
    <row r="46" spans="2:15">
      <c r="B46" s="206">
        <v>11</v>
      </c>
      <c r="C46" s="20" t="s">
        <v>239</v>
      </c>
      <c r="D46" s="4"/>
      <c r="E46" s="4"/>
      <c r="F46" s="4"/>
      <c r="G46" s="4"/>
      <c r="H46" s="1">
        <f>'Table C-1A'!H51</f>
        <v>925711.50599218218</v>
      </c>
      <c r="I46" s="1">
        <f>'Table C-1A'!I51</f>
        <v>1013797.4152795094</v>
      </c>
      <c r="J46" s="1">
        <f>'Table C-1A'!J51</f>
        <v>1085541.3712039783</v>
      </c>
      <c r="K46" s="1">
        <f>'Table C-1A'!K51</f>
        <v>1151492.9499387278</v>
      </c>
      <c r="L46" s="1">
        <f>'Table C-1A'!L51</f>
        <v>1230914.3280747787</v>
      </c>
      <c r="M46" s="555">
        <f>'Table C-1A'!M51</f>
        <v>1325240.4083388376</v>
      </c>
      <c r="N46" s="548"/>
      <c r="O46" s="411" t="s">
        <v>462</v>
      </c>
    </row>
    <row r="47" spans="2:15">
      <c r="B47" s="206">
        <v>12</v>
      </c>
      <c r="C47" s="654" t="s">
        <v>238</v>
      </c>
      <c r="D47" s="655"/>
      <c r="E47" s="655"/>
      <c r="F47" s="655"/>
      <c r="G47" s="656"/>
      <c r="H47" s="1">
        <v>1023009.5055252339</v>
      </c>
      <c r="I47" s="1">
        <v>1112803.2285262363</v>
      </c>
      <c r="J47" s="1">
        <v>1187589.066458907</v>
      </c>
      <c r="K47" s="1">
        <v>1257546.7760374837</v>
      </c>
      <c r="L47" s="1">
        <v>1341114.1045310716</v>
      </c>
      <c r="M47" s="555">
        <v>1439796.9400025629</v>
      </c>
      <c r="N47" s="548"/>
      <c r="O47" s="411" t="s">
        <v>187</v>
      </c>
    </row>
    <row r="48" spans="2:15">
      <c r="B48" s="301">
        <v>13</v>
      </c>
      <c r="C48" s="310" t="s">
        <v>263</v>
      </c>
      <c r="D48" s="310"/>
      <c r="E48" s="310"/>
      <c r="F48" s="310"/>
      <c r="G48" s="310"/>
      <c r="H48" s="303" t="str">
        <f t="shared" ref="H48:M48" si="9">IF(H46&lt;H47, "YES", "NO")</f>
        <v>YES</v>
      </c>
      <c r="I48" s="303" t="str">
        <f t="shared" si="9"/>
        <v>YES</v>
      </c>
      <c r="J48" s="303" t="str">
        <f t="shared" si="9"/>
        <v>YES</v>
      </c>
      <c r="K48" s="303" t="str">
        <f t="shared" si="9"/>
        <v>YES</v>
      </c>
      <c r="L48" s="303" t="str">
        <f t="shared" si="9"/>
        <v>YES</v>
      </c>
      <c r="M48" s="566" t="str">
        <f t="shared" si="9"/>
        <v>YES</v>
      </c>
      <c r="O48" s="413"/>
    </row>
    <row r="49" spans="2:15">
      <c r="B49" s="203"/>
      <c r="C49" s="122" t="s">
        <v>51</v>
      </c>
      <c r="D49" s="48"/>
      <c r="E49" s="48"/>
      <c r="F49" s="48"/>
      <c r="G49" s="48"/>
      <c r="H49" s="48"/>
      <c r="I49" s="48"/>
      <c r="J49" s="48"/>
      <c r="K49" s="48"/>
      <c r="L49" s="48"/>
      <c r="M49" s="563"/>
      <c r="N49" s="155"/>
      <c r="O49" s="419"/>
    </row>
    <row r="50" spans="2:15">
      <c r="B50" s="206">
        <v>14</v>
      </c>
      <c r="C50" s="20" t="s">
        <v>231</v>
      </c>
      <c r="D50" s="4"/>
      <c r="E50" s="4"/>
      <c r="F50" s="4"/>
      <c r="G50" s="4"/>
      <c r="H50" s="1">
        <f>'C-7,8,9 CIP - Debt Service'!H82+'C-7,8,9 CIP - Debt Service'!H84</f>
        <v>63661.78</v>
      </c>
      <c r="I50" s="1">
        <f>'C-7,8,9 CIP - Debt Service'!I82+'C-7,8,9 CIP - Debt Service'!I84</f>
        <v>61990.006018026819</v>
      </c>
      <c r="J50" s="1">
        <f>'C-7,8,9 CIP - Debt Service'!J82+'C-7,8,9 CIP - Debt Service'!J84</f>
        <v>78326.435265822161</v>
      </c>
      <c r="K50" s="1">
        <f>'C-7,8,9 CIP - Debt Service'!K82+'C-7,8,9 CIP - Debt Service'!K84</f>
        <v>88977.139614018874</v>
      </c>
      <c r="L50" s="1">
        <f>'C-7,8,9 CIP - Debt Service'!L82+'C-7,8,9 CIP - Debt Service'!L84</f>
        <v>103048.53165887382</v>
      </c>
      <c r="M50" s="555">
        <f>'C-7,8,9 CIP - Debt Service'!M82+'C-7,8,9 CIP - Debt Service'!M84</f>
        <v>119947.38384223229</v>
      </c>
      <c r="N50" s="569"/>
      <c r="O50" s="411" t="s">
        <v>458</v>
      </c>
    </row>
    <row r="51" spans="2:15">
      <c r="B51" s="206">
        <v>15</v>
      </c>
      <c r="C51" s="654" t="s">
        <v>100</v>
      </c>
      <c r="D51" s="655"/>
      <c r="E51" s="655"/>
      <c r="F51" s="655"/>
      <c r="G51" s="656"/>
      <c r="H51" s="1">
        <f>'C-7,8,9 CIP - Debt Service'!H91</f>
        <v>406862.75369257503</v>
      </c>
      <c r="I51" s="1">
        <f>'C-7,8,9 CIP - Debt Service'!I91</f>
        <v>511975.18788750831</v>
      </c>
      <c r="J51" s="1">
        <f>'C-7,8,9 CIP - Debt Service'!J91</f>
        <v>596832.84237143327</v>
      </c>
      <c r="K51" s="1">
        <f>'C-7,8,9 CIP - Debt Service'!K91</f>
        <v>671342.35924033332</v>
      </c>
      <c r="L51" s="1">
        <f>'C-7,8,9 CIP - Debt Service'!L91</f>
        <v>711251.66283133347</v>
      </c>
      <c r="M51" s="555">
        <f>'C-7,8,9 CIP - Debt Service'!M91</f>
        <v>754589.76450270833</v>
      </c>
      <c r="N51" s="569"/>
      <c r="O51" s="411" t="s">
        <v>459</v>
      </c>
    </row>
    <row r="52" spans="2:15">
      <c r="B52" s="209">
        <v>16</v>
      </c>
      <c r="C52" s="545" t="s">
        <v>174</v>
      </c>
      <c r="D52" s="23"/>
      <c r="E52" s="23"/>
      <c r="F52" s="23"/>
      <c r="G52" s="23"/>
      <c r="H52" s="197">
        <f t="shared" ref="H52:M52" si="10">H50/H51</f>
        <v>0.1564699138031759</v>
      </c>
      <c r="I52" s="197">
        <f t="shared" si="10"/>
        <v>0.12108009818563185</v>
      </c>
      <c r="J52" s="197">
        <f t="shared" si="10"/>
        <v>0.13123680485578312</v>
      </c>
      <c r="K52" s="197">
        <f t="shared" si="10"/>
        <v>0.13253616189912726</v>
      </c>
      <c r="L52" s="197">
        <f t="shared" si="10"/>
        <v>0.14488336132482377</v>
      </c>
      <c r="M52" s="573">
        <f t="shared" si="10"/>
        <v>0.15895707771928277</v>
      </c>
      <c r="N52" s="569"/>
      <c r="O52" s="415" t="s">
        <v>319</v>
      </c>
    </row>
    <row r="53" spans="2:15">
      <c r="B53" s="208" t="s">
        <v>135</v>
      </c>
      <c r="C53" s="546" t="s">
        <v>231</v>
      </c>
      <c r="D53" s="145"/>
      <c r="E53" s="145"/>
      <c r="F53" s="145"/>
      <c r="G53" s="145"/>
      <c r="H53" s="190">
        <f>'C-7,8,9 CIP - Debt Service'!H83+'C-7,8,9 CIP - Debt Service'!H85</f>
        <v>63661.815070277211</v>
      </c>
      <c r="I53" s="190">
        <f>'C-7,8,9 CIP - Debt Service'!I83+'C-7,8,9 CIP - Debt Service'!I85</f>
        <v>61989.955749419503</v>
      </c>
      <c r="J53" s="190">
        <f>'C-7,8,9 CIP - Debt Service'!J83+'C-7,8,9 CIP - Debt Service'!J85</f>
        <v>78326.432367731308</v>
      </c>
      <c r="K53" s="190">
        <f>'C-7,8,9 CIP - Debt Service'!K83+'C-7,8,9 CIP - Debt Service'!K85</f>
        <v>88977.030924276813</v>
      </c>
      <c r="L53" s="190">
        <f>'C-7,8,9 CIP - Debt Service'!L83+'C-7,8,9 CIP - Debt Service'!L85</f>
        <v>103048.5307165907</v>
      </c>
      <c r="M53" s="556">
        <f>'C-7,8,9 CIP - Debt Service'!M83+'C-7,8,9 CIP - Debt Service'!M85</f>
        <v>119947.32519605701</v>
      </c>
      <c r="N53" s="374"/>
      <c r="O53" s="412" t="s">
        <v>460</v>
      </c>
    </row>
    <row r="54" spans="2:15">
      <c r="B54" s="208" t="s">
        <v>131</v>
      </c>
      <c r="C54" s="772" t="s">
        <v>100</v>
      </c>
      <c r="D54" s="772"/>
      <c r="E54" s="772"/>
      <c r="F54" s="772"/>
      <c r="G54" s="772"/>
      <c r="H54" s="190">
        <f>'C-7,8,9 CIP - Debt Service'!H92</f>
        <v>406862.75369257503</v>
      </c>
      <c r="I54" s="190">
        <f>'C-7,8,9 CIP - Debt Service'!I92</f>
        <v>511975.18788750831</v>
      </c>
      <c r="J54" s="190">
        <f>'C-7,8,9 CIP - Debt Service'!J92</f>
        <v>596832.84237143327</v>
      </c>
      <c r="K54" s="190">
        <f>'C-7,8,9 CIP - Debt Service'!K92</f>
        <v>671342.35924033332</v>
      </c>
      <c r="L54" s="190">
        <f>'C-7,8,9 CIP - Debt Service'!L92</f>
        <v>711251.66283133347</v>
      </c>
      <c r="M54" s="556">
        <f>'C-7,8,9 CIP - Debt Service'!M92</f>
        <v>754589.76450270833</v>
      </c>
      <c r="N54" s="374"/>
      <c r="O54" s="412" t="s">
        <v>461</v>
      </c>
    </row>
    <row r="55" spans="2:15">
      <c r="B55" s="208" t="s">
        <v>130</v>
      </c>
      <c r="C55" s="546" t="s">
        <v>174</v>
      </c>
      <c r="D55" s="145"/>
      <c r="E55" s="145"/>
      <c r="F55" s="145"/>
      <c r="G55" s="145"/>
      <c r="H55" s="265">
        <f t="shared" ref="H55:M55" si="11">H53/H54</f>
        <v>0.15647</v>
      </c>
      <c r="I55" s="265">
        <f>I53/I54</f>
        <v>0.12107999999999999</v>
      </c>
      <c r="J55" s="265">
        <f t="shared" si="11"/>
        <v>0.13123679999999999</v>
      </c>
      <c r="K55" s="265">
        <f t="shared" si="11"/>
        <v>0.13253599999999999</v>
      </c>
      <c r="L55" s="265">
        <f t="shared" si="11"/>
        <v>0.14488335999999999</v>
      </c>
      <c r="M55" s="574">
        <f t="shared" si="11"/>
        <v>0.15895699999999999</v>
      </c>
      <c r="N55" s="570"/>
      <c r="O55" s="416" t="s">
        <v>320</v>
      </c>
    </row>
    <row r="56" spans="2:15" ht="16.2" thickBot="1">
      <c r="B56" s="575"/>
      <c r="C56" s="576"/>
      <c r="D56" s="577"/>
      <c r="E56" s="577"/>
      <c r="F56" s="577"/>
      <c r="G56" s="577"/>
      <c r="H56" s="577"/>
      <c r="I56" s="577"/>
      <c r="J56" s="577"/>
      <c r="K56" s="577"/>
      <c r="L56" s="577"/>
      <c r="M56" s="578"/>
      <c r="N56" s="571"/>
      <c r="O56" s="420"/>
    </row>
    <row r="57" spans="2:15" s="32" customFormat="1">
      <c r="B57" s="774" t="s">
        <v>268</v>
      </c>
      <c r="C57" s="775"/>
      <c r="D57" s="775"/>
      <c r="E57" s="775"/>
      <c r="F57" s="775"/>
      <c r="G57" s="775"/>
      <c r="H57" s="775"/>
      <c r="I57" s="775"/>
      <c r="J57" s="775"/>
      <c r="K57" s="775"/>
      <c r="L57" s="775"/>
      <c r="M57" s="776"/>
      <c r="N57"/>
    </row>
    <row r="58" spans="2:15" s="32" customFormat="1">
      <c r="B58" s="745" t="s">
        <v>395</v>
      </c>
      <c r="C58" s="715"/>
      <c r="D58" s="715"/>
      <c r="E58" s="715"/>
      <c r="F58" s="715"/>
      <c r="G58" s="715"/>
      <c r="H58" s="715"/>
      <c r="I58" s="715"/>
      <c r="J58" s="715"/>
      <c r="K58" s="715"/>
      <c r="L58" s="715"/>
      <c r="M58" s="746"/>
    </row>
    <row r="59" spans="2:15" s="32" customFormat="1">
      <c r="B59" s="747"/>
      <c r="C59" s="718"/>
      <c r="D59" s="718"/>
      <c r="E59" s="718"/>
      <c r="F59" s="718"/>
      <c r="G59" s="718"/>
      <c r="H59" s="718"/>
      <c r="I59" s="718"/>
      <c r="J59" s="718"/>
      <c r="K59" s="718"/>
      <c r="L59" s="718"/>
      <c r="M59" s="748"/>
    </row>
    <row r="60" spans="2:15" s="32" customFormat="1">
      <c r="B60" s="747"/>
      <c r="C60" s="718"/>
      <c r="D60" s="718"/>
      <c r="E60" s="718"/>
      <c r="F60" s="718"/>
      <c r="G60" s="718"/>
      <c r="H60" s="718"/>
      <c r="I60" s="718"/>
      <c r="J60" s="718"/>
      <c r="K60" s="718"/>
      <c r="L60" s="718"/>
      <c r="M60" s="748"/>
    </row>
    <row r="61" spans="2:15" s="32" customFormat="1">
      <c r="B61" s="747"/>
      <c r="C61" s="718"/>
      <c r="D61" s="718"/>
      <c r="E61" s="718"/>
      <c r="F61" s="718"/>
      <c r="G61" s="718"/>
      <c r="H61" s="718"/>
      <c r="I61" s="718"/>
      <c r="J61" s="718"/>
      <c r="K61" s="718"/>
      <c r="L61" s="718"/>
      <c r="M61" s="748"/>
    </row>
    <row r="62" spans="2:15" s="32" customFormat="1">
      <c r="B62" s="747"/>
      <c r="C62" s="718"/>
      <c r="D62" s="718"/>
      <c r="E62" s="718"/>
      <c r="F62" s="718"/>
      <c r="G62" s="718"/>
      <c r="H62" s="718"/>
      <c r="I62" s="718"/>
      <c r="J62" s="718"/>
      <c r="K62" s="718"/>
      <c r="L62" s="718"/>
      <c r="M62" s="748"/>
    </row>
    <row r="63" spans="2:15" s="32" customFormat="1">
      <c r="B63" s="749"/>
      <c r="C63" s="721"/>
      <c r="D63" s="721"/>
      <c r="E63" s="721"/>
      <c r="F63" s="721"/>
      <c r="G63" s="721"/>
      <c r="H63" s="721"/>
      <c r="I63" s="721"/>
      <c r="J63" s="721"/>
      <c r="K63" s="721"/>
      <c r="L63" s="721"/>
      <c r="M63" s="750"/>
    </row>
    <row r="64" spans="2:15" ht="16.2" thickBot="1">
      <c r="B64" s="210"/>
      <c r="C64" s="211"/>
      <c r="D64" s="211"/>
      <c r="E64" s="211"/>
      <c r="F64" s="211"/>
      <c r="G64" s="211"/>
      <c r="H64" s="212"/>
      <c r="I64" s="212"/>
      <c r="J64" s="212"/>
      <c r="K64" s="212"/>
      <c r="L64" s="212"/>
      <c r="M64" s="213"/>
    </row>
    <row r="65" spans="2:15">
      <c r="B65" s="377"/>
      <c r="C65" s="261" t="s">
        <v>214</v>
      </c>
      <c r="D65" s="262"/>
      <c r="E65" s="262"/>
      <c r="F65" s="262"/>
      <c r="G65" s="262"/>
      <c r="H65" s="262"/>
      <c r="I65" s="32"/>
      <c r="M65" s="582"/>
    </row>
    <row r="66" spans="2:15" ht="16.350000000000001" customHeight="1">
      <c r="B66" s="377"/>
      <c r="C66" s="524" t="s">
        <v>391</v>
      </c>
      <c r="D66" s="524"/>
      <c r="E66" s="524"/>
      <c r="F66" s="524"/>
      <c r="G66" s="524"/>
      <c r="H66" s="524"/>
      <c r="I66" s="524"/>
      <c r="J66" s="524"/>
      <c r="K66" s="524"/>
      <c r="L66" s="524"/>
      <c r="M66" s="583"/>
    </row>
    <row r="67" spans="2:15" ht="16.350000000000001" customHeight="1">
      <c r="B67" s="377"/>
      <c r="C67" s="524" t="s">
        <v>392</v>
      </c>
      <c r="D67" s="524"/>
      <c r="E67" s="584"/>
      <c r="F67" s="584"/>
      <c r="G67" s="584"/>
      <c r="H67" s="584"/>
      <c r="I67" s="584"/>
      <c r="J67" s="584"/>
      <c r="K67" s="584"/>
      <c r="M67" s="582"/>
    </row>
    <row r="68" spans="2:15" ht="30.75" customHeight="1">
      <c r="B68" s="377"/>
      <c r="C68" s="777" t="s">
        <v>312</v>
      </c>
      <c r="D68" s="777"/>
      <c r="E68" s="777"/>
      <c r="F68" s="777"/>
      <c r="G68" s="777"/>
      <c r="H68" s="777"/>
      <c r="I68" s="777"/>
      <c r="J68" s="777"/>
      <c r="K68" s="777"/>
      <c r="L68" s="777"/>
      <c r="M68" s="778"/>
    </row>
    <row r="69" spans="2:15" ht="30" customHeight="1">
      <c r="B69" s="377"/>
      <c r="C69" s="777" t="s">
        <v>313</v>
      </c>
      <c r="D69" s="777"/>
      <c r="E69" s="777"/>
      <c r="F69" s="777"/>
      <c r="G69" s="777"/>
      <c r="H69" s="777"/>
      <c r="I69" s="777"/>
      <c r="J69" s="777"/>
      <c r="K69" s="777"/>
      <c r="L69" s="777"/>
      <c r="M69" s="778"/>
    </row>
    <row r="70" spans="2:15" ht="36" customHeight="1">
      <c r="B70" s="377"/>
      <c r="C70" s="777" t="s">
        <v>233</v>
      </c>
      <c r="D70" s="777"/>
      <c r="E70" s="777"/>
      <c r="F70" s="777"/>
      <c r="G70" s="777"/>
      <c r="H70" s="777"/>
      <c r="I70" s="777"/>
      <c r="J70" s="777"/>
      <c r="K70" s="777"/>
      <c r="L70" s="777"/>
      <c r="M70" s="778"/>
    </row>
    <row r="71" spans="2:15" ht="16.350000000000001" customHeight="1">
      <c r="B71" s="377"/>
      <c r="C71" s="585" t="s">
        <v>393</v>
      </c>
      <c r="D71" s="585"/>
      <c r="E71" s="585"/>
      <c r="F71" s="585"/>
      <c r="G71" s="585"/>
      <c r="H71" s="585"/>
      <c r="I71" s="585"/>
      <c r="J71" s="585"/>
      <c r="K71" s="585"/>
      <c r="L71" s="585"/>
      <c r="M71" s="586"/>
    </row>
    <row r="72" spans="2:15" ht="20.399999999999999" customHeight="1">
      <c r="B72" s="377"/>
      <c r="C72" s="777" t="s">
        <v>394</v>
      </c>
      <c r="D72" s="777"/>
      <c r="E72" s="777"/>
      <c r="F72" s="777"/>
      <c r="G72" s="777"/>
      <c r="H72" s="777"/>
      <c r="I72" s="777"/>
      <c r="J72" s="777"/>
      <c r="K72" s="777"/>
      <c r="L72" s="777"/>
      <c r="M72" s="778"/>
    </row>
    <row r="73" spans="2:15" ht="30" customHeight="1">
      <c r="B73" s="377"/>
      <c r="C73" s="777" t="s">
        <v>314</v>
      </c>
      <c r="D73" s="777"/>
      <c r="E73" s="777"/>
      <c r="F73" s="777"/>
      <c r="G73" s="777"/>
      <c r="H73" s="777"/>
      <c r="I73" s="777"/>
      <c r="J73" s="777"/>
      <c r="K73" s="777"/>
      <c r="L73" s="777"/>
      <c r="M73" s="778"/>
    </row>
    <row r="74" spans="2:15" ht="16.350000000000001" customHeight="1">
      <c r="B74" s="471"/>
      <c r="C74" s="524" t="s">
        <v>234</v>
      </c>
      <c r="D74" s="524"/>
      <c r="E74" s="524"/>
      <c r="F74" s="524"/>
      <c r="G74" s="524"/>
      <c r="H74" s="524"/>
      <c r="I74" s="524"/>
      <c r="J74" s="524"/>
      <c r="K74" s="524"/>
      <c r="L74" s="524"/>
      <c r="M74" s="583"/>
    </row>
    <row r="75" spans="2:15" ht="16.350000000000001" customHeight="1">
      <c r="B75" s="471"/>
      <c r="C75" s="524" t="s">
        <v>235</v>
      </c>
      <c r="D75" s="524"/>
      <c r="E75" s="524"/>
      <c r="F75" s="524"/>
      <c r="G75" s="524"/>
      <c r="H75" s="524"/>
      <c r="I75" s="524"/>
      <c r="J75" s="524"/>
      <c r="K75" s="524"/>
      <c r="L75" s="524"/>
      <c r="M75" s="583"/>
    </row>
    <row r="76" spans="2:15">
      <c r="B76" s="471"/>
      <c r="C76" s="584" t="s">
        <v>486</v>
      </c>
      <c r="M76" s="582"/>
    </row>
    <row r="77" spans="2:15">
      <c r="B77" s="471"/>
      <c r="C77" s="279" t="s">
        <v>259</v>
      </c>
      <c r="M77" s="582"/>
    </row>
    <row r="78" spans="2:15">
      <c r="B78" s="471"/>
      <c r="C78" s="279"/>
      <c r="M78" s="582"/>
    </row>
    <row r="79" spans="2:15">
      <c r="B79" s="471"/>
      <c r="H79" s="125">
        <v>2025</v>
      </c>
      <c r="I79" s="125">
        <f>H79+1</f>
        <v>2026</v>
      </c>
      <c r="J79" s="125">
        <f>I79+1</f>
        <v>2027</v>
      </c>
      <c r="K79" s="125">
        <f>J79+1</f>
        <v>2028</v>
      </c>
      <c r="L79" s="125">
        <f>K79+1</f>
        <v>2029</v>
      </c>
      <c r="M79" s="553">
        <f>L79+1</f>
        <v>2030</v>
      </c>
    </row>
    <row r="80" spans="2:15">
      <c r="B80" s="587">
        <v>17</v>
      </c>
      <c r="G80" s="588" t="s">
        <v>321</v>
      </c>
      <c r="H80" s="589">
        <f>'Table C-1A'!H58</f>
        <v>3000</v>
      </c>
      <c r="I80" s="589">
        <f>'Table C-1A'!I58</f>
        <v>-7000</v>
      </c>
      <c r="J80" s="589">
        <f>'Table C-1A'!J58</f>
        <v>-4300</v>
      </c>
      <c r="K80" s="589">
        <f>'Table C-1A'!K58</f>
        <v>-5500</v>
      </c>
      <c r="L80" s="589">
        <f>'Table C-1A'!L58</f>
        <v>-6200</v>
      </c>
      <c r="M80" s="590">
        <f>'Table C-1A'!M58</f>
        <v>-5600</v>
      </c>
      <c r="N80" s="547"/>
      <c r="O80" s="408" t="s">
        <v>482</v>
      </c>
    </row>
    <row r="81" spans="2:15">
      <c r="B81" s="591">
        <v>18</v>
      </c>
      <c r="G81" s="588" t="s">
        <v>322</v>
      </c>
      <c r="H81" s="589">
        <f t="shared" ref="H81:M81" si="12">IF(H80&gt;0,0,H80)</f>
        <v>0</v>
      </c>
      <c r="I81" s="589">
        <f t="shared" si="12"/>
        <v>-7000</v>
      </c>
      <c r="J81" s="589">
        <f t="shared" si="12"/>
        <v>-4300</v>
      </c>
      <c r="K81" s="589">
        <f t="shared" si="12"/>
        <v>-5500</v>
      </c>
      <c r="L81" s="589">
        <f t="shared" si="12"/>
        <v>-6200</v>
      </c>
      <c r="M81" s="590">
        <f t="shared" si="12"/>
        <v>-5600</v>
      </c>
      <c r="N81" s="579"/>
      <c r="O81" s="417"/>
    </row>
    <row r="82" spans="2:15">
      <c r="B82" s="592" t="s">
        <v>147</v>
      </c>
      <c r="G82" s="588" t="s">
        <v>323</v>
      </c>
      <c r="H82" s="589">
        <f>'Table C-1A'!H59</f>
        <v>3000</v>
      </c>
      <c r="I82" s="589">
        <f>'Table C-1A'!I59</f>
        <v>-7000</v>
      </c>
      <c r="J82" s="589">
        <f>'Table C-1A'!J59</f>
        <v>-4300</v>
      </c>
      <c r="K82" s="589">
        <f>'Table C-1A'!K59</f>
        <v>-5500</v>
      </c>
      <c r="L82" s="589">
        <f>'Table C-1A'!L59</f>
        <v>-6200</v>
      </c>
      <c r="M82" s="590">
        <f>'Table C-1A'!M59</f>
        <v>-5600</v>
      </c>
      <c r="N82" s="580"/>
      <c r="O82" s="412" t="s">
        <v>483</v>
      </c>
    </row>
    <row r="83" spans="2:15">
      <c r="B83" s="593" t="s">
        <v>129</v>
      </c>
      <c r="G83" s="588" t="s">
        <v>324</v>
      </c>
      <c r="H83" s="589">
        <f t="shared" ref="H83:M83" si="13">IF(H82&gt;0,0,H82)</f>
        <v>0</v>
      </c>
      <c r="I83" s="589">
        <f t="shared" si="13"/>
        <v>-7000</v>
      </c>
      <c r="J83" s="589">
        <f t="shared" si="13"/>
        <v>-4300</v>
      </c>
      <c r="K83" s="589">
        <f t="shared" si="13"/>
        <v>-5500</v>
      </c>
      <c r="L83" s="589">
        <f t="shared" si="13"/>
        <v>-6200</v>
      </c>
      <c r="M83" s="590">
        <f t="shared" si="13"/>
        <v>-5600</v>
      </c>
      <c r="N83" s="581"/>
      <c r="O83" s="418"/>
    </row>
    <row r="84" spans="2:15" ht="16.2" thickBot="1">
      <c r="B84" s="594"/>
      <c r="C84" s="595"/>
      <c r="D84" s="595"/>
      <c r="E84" s="595"/>
      <c r="F84" s="595"/>
      <c r="G84" s="595"/>
      <c r="H84" s="595"/>
      <c r="I84" s="595"/>
      <c r="J84" s="595"/>
      <c r="K84" s="595"/>
      <c r="L84" s="595"/>
      <c r="M84" s="596"/>
    </row>
    <row r="85" spans="2:15" ht="15.75" customHeight="1">
      <c r="B85" s="717" t="s">
        <v>395</v>
      </c>
      <c r="C85" s="718"/>
      <c r="D85" s="718"/>
      <c r="E85" s="718"/>
      <c r="F85" s="718"/>
      <c r="G85" s="718"/>
      <c r="H85" s="718"/>
      <c r="I85" s="718"/>
      <c r="J85" s="718"/>
      <c r="K85" s="718"/>
      <c r="L85" s="718"/>
      <c r="M85" s="719"/>
    </row>
    <row r="86" spans="2:15">
      <c r="B86" s="717"/>
      <c r="C86" s="718"/>
      <c r="D86" s="718"/>
      <c r="E86" s="718"/>
      <c r="F86" s="718"/>
      <c r="G86" s="718"/>
      <c r="H86" s="718"/>
      <c r="I86" s="718"/>
      <c r="J86" s="718"/>
      <c r="K86" s="718"/>
      <c r="L86" s="718"/>
      <c r="M86" s="719"/>
    </row>
    <row r="87" spans="2:15">
      <c r="B87" s="717"/>
      <c r="C87" s="718"/>
      <c r="D87" s="718"/>
      <c r="E87" s="718"/>
      <c r="F87" s="718"/>
      <c r="G87" s="718"/>
      <c r="H87" s="718"/>
      <c r="I87" s="718"/>
      <c r="J87" s="718"/>
      <c r="K87" s="718"/>
      <c r="L87" s="718"/>
      <c r="M87" s="719"/>
    </row>
    <row r="88" spans="2:15">
      <c r="B88" s="717"/>
      <c r="C88" s="718"/>
      <c r="D88" s="718"/>
      <c r="E88" s="718"/>
      <c r="F88" s="718"/>
      <c r="G88" s="718"/>
      <c r="H88" s="718"/>
      <c r="I88" s="718"/>
      <c r="J88" s="718"/>
      <c r="K88" s="718"/>
      <c r="L88" s="718"/>
      <c r="M88" s="719"/>
    </row>
    <row r="89" spans="2:15">
      <c r="B89" s="717"/>
      <c r="C89" s="718"/>
      <c r="D89" s="718"/>
      <c r="E89" s="718"/>
      <c r="F89" s="718"/>
      <c r="G89" s="718"/>
      <c r="H89" s="718"/>
      <c r="I89" s="718"/>
      <c r="J89" s="718"/>
      <c r="K89" s="718"/>
      <c r="L89" s="718"/>
      <c r="M89" s="719"/>
    </row>
    <row r="90" spans="2:15">
      <c r="B90" s="720"/>
      <c r="C90" s="721"/>
      <c r="D90" s="721"/>
      <c r="E90" s="721"/>
      <c r="F90" s="721"/>
      <c r="G90" s="721"/>
      <c r="H90" s="721"/>
      <c r="I90" s="721"/>
      <c r="J90" s="721"/>
      <c r="K90" s="721"/>
      <c r="L90" s="721"/>
      <c r="M90" s="722"/>
    </row>
  </sheetData>
  <mergeCells count="22">
    <mergeCell ref="C54:G54"/>
    <mergeCell ref="C47:G47"/>
    <mergeCell ref="C32:G32"/>
    <mergeCell ref="B36:M41"/>
    <mergeCell ref="B85:M90"/>
    <mergeCell ref="B57:M57"/>
    <mergeCell ref="B58:M63"/>
    <mergeCell ref="C68:M68"/>
    <mergeCell ref="C69:M69"/>
    <mergeCell ref="C70:M70"/>
    <mergeCell ref="C72:M72"/>
    <mergeCell ref="C73:M73"/>
    <mergeCell ref="B5:M5"/>
    <mergeCell ref="C33:G33"/>
    <mergeCell ref="C51:G51"/>
    <mergeCell ref="C7:G7"/>
    <mergeCell ref="C15:G15"/>
    <mergeCell ref="C18:G18"/>
    <mergeCell ref="C44:G44"/>
    <mergeCell ref="C16:G16"/>
    <mergeCell ref="C19:G19"/>
    <mergeCell ref="C17:G17"/>
  </mergeCells>
  <phoneticPr fontId="25" type="noConversion"/>
  <pageMargins left="0.2" right="0.2" top="0.25" bottom="0.25" header="0.3" footer="0.3"/>
  <pageSetup scale="95" fitToHeight="2" orientation="landscape" r:id="rId1"/>
  <rowBreaks count="2" manualBreakCount="2">
    <brk id="41" min="1" max="12" man="1"/>
    <brk id="6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Notice to Recipients-Users</vt:lpstr>
      <vt:lpstr>Table C-1A</vt:lpstr>
      <vt:lpstr>C-3 Receipts Existing Rates</vt:lpstr>
      <vt:lpstr>Table C-6 O&amp;M Expense</vt:lpstr>
      <vt:lpstr>C-7,8,9 CIP - Debt Service</vt:lpstr>
      <vt:lpstr>C-2 Summary</vt:lpstr>
      <vt:lpstr>'C-2 Summary'!Print_Area</vt:lpstr>
      <vt:lpstr>'C-3 Receipts Existing Rates'!Print_Area</vt:lpstr>
      <vt:lpstr>'C-7,8,9 CIP - Debt Service'!Print_Area</vt:lpstr>
      <vt:lpstr>'Table C-1A'!Print_Area</vt:lpstr>
      <vt:lpstr>'Table C-6 O&amp;M Expense'!Print_Area</vt:lpstr>
      <vt:lpstr>'C-2 Summary'!Print_Titles</vt:lpstr>
      <vt:lpstr>'C-3 Receipts Existing Rates'!Print_Titles</vt:lpstr>
      <vt:lpstr>'Table C-1A'!Print_Titles</vt:lpstr>
      <vt:lpstr>'Table C-6 O&amp;M Expense'!Print_Titles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B&amp;V DAJ</dc:creator>
  <cp:lastModifiedBy>L Morgan</cp:lastModifiedBy>
  <cp:lastPrinted>2025-03-28T14:01:03Z</cp:lastPrinted>
  <dcterms:created xsi:type="dcterms:W3CDTF">2019-03-05T12:14:10Z</dcterms:created>
  <dcterms:modified xsi:type="dcterms:W3CDTF">2025-05-07T16:11:58Z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0x01010076F2EC1726099F4BBD99C629367DD6DF</vt:lpwstr>
  </property>
</Properties>
</file>