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sphila-my.sharepoint.com/personal/rballenger_clsphila_org/Documents/_2025 Water Advocate/PA Discovery Responses/"/>
    </mc:Choice>
  </mc:AlternateContent>
  <xr:revisionPtr revIDLastSave="4" documentId="13_ncr:1_{7C1779BD-8E4D-4467-84FF-DD826DC2861D}" xr6:coauthVersionLast="47" xr6:coauthVersionMax="47" xr10:uidLastSave="{481C43B1-05BD-4006-BD91-9730EB66B4A5}"/>
  <bookViews>
    <workbookView xWindow="-23148" yWindow="-108" windowWidth="23256" windowHeight="12456" xr2:uid="{0F313092-A13B-4E68-A06A-1F1F5B3ABF7A}"/>
  </bookViews>
  <sheets>
    <sheet name="Water" sheetId="1" r:id="rId1"/>
    <sheet name="Wastewater" sheetId="2" r:id="rId2"/>
  </sheets>
  <definedNames>
    <definedName name="_xlnm.Print_Area" localSheetId="0">Water!$K$73:$T$129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L9" i="1"/>
  <c r="J9" i="1"/>
  <c r="I9" i="1"/>
  <c r="R129" i="1"/>
  <c r="T119" i="1"/>
  <c r="N120" i="1"/>
  <c r="T90" i="1"/>
  <c r="N91" i="1"/>
  <c r="N83" i="1"/>
  <c r="H106" i="1"/>
  <c r="G97" i="1"/>
  <c r="G96" i="1"/>
  <c r="G93" i="1"/>
  <c r="G92" i="1"/>
  <c r="G91" i="1"/>
  <c r="G85" i="1"/>
  <c r="G84" i="1"/>
  <c r="G83" i="1"/>
  <c r="Y107" i="1"/>
  <c r="R137" i="1"/>
  <c r="P128" i="1"/>
  <c r="R98" i="1"/>
  <c r="R95" i="1"/>
  <c r="R94" i="1"/>
  <c r="R89" i="1"/>
  <c r="R88" i="1"/>
  <c r="R117" i="1" s="1"/>
  <c r="P117" i="1" s="1"/>
  <c r="T117" i="1" s="1"/>
  <c r="R87" i="1"/>
  <c r="R86" i="1"/>
  <c r="R82" i="1"/>
  <c r="R81" i="1"/>
  <c r="R80" i="1"/>
  <c r="R79" i="1"/>
  <c r="R78" i="1"/>
  <c r="N125" i="1"/>
  <c r="N134" i="1" s="1"/>
  <c r="N112" i="1"/>
  <c r="T98" i="1"/>
  <c r="T95" i="1"/>
  <c r="T94" i="1"/>
  <c r="T89" i="1"/>
  <c r="T88" i="1"/>
  <c r="T87" i="1"/>
  <c r="T86" i="1"/>
  <c r="T82" i="1"/>
  <c r="T81" i="1"/>
  <c r="T80" i="1"/>
  <c r="T79" i="1"/>
  <c r="T78" i="1"/>
  <c r="P96" i="1"/>
  <c r="P91" i="1"/>
  <c r="P83" i="1"/>
  <c r="N96" i="1"/>
  <c r="N100" i="1" s="1"/>
  <c r="Z67" i="1"/>
  <c r="Y67" i="1"/>
  <c r="Z64" i="1"/>
  <c r="Y64" i="1"/>
  <c r="Z63" i="1"/>
  <c r="Y63" i="1"/>
  <c r="Z59" i="1"/>
  <c r="Y59" i="1"/>
  <c r="Z58" i="1"/>
  <c r="Y58" i="1"/>
  <c r="Z57" i="1"/>
  <c r="Y57" i="1"/>
  <c r="Z56" i="1"/>
  <c r="Y56" i="1"/>
  <c r="Z52" i="1"/>
  <c r="Y52" i="1"/>
  <c r="Z51" i="1"/>
  <c r="Y51" i="1"/>
  <c r="Z50" i="1"/>
  <c r="Y50" i="1"/>
  <c r="Z49" i="1"/>
  <c r="Y49" i="1"/>
  <c r="Z48" i="1"/>
  <c r="Y48" i="1"/>
  <c r="W67" i="1"/>
  <c r="V67" i="1"/>
  <c r="W64" i="1"/>
  <c r="V64" i="1"/>
  <c r="W63" i="1"/>
  <c r="V63" i="1"/>
  <c r="V65" i="1" s="1"/>
  <c r="W59" i="1"/>
  <c r="V59" i="1"/>
  <c r="W58" i="1"/>
  <c r="V58" i="1"/>
  <c r="W57" i="1"/>
  <c r="V57" i="1"/>
  <c r="W56" i="1"/>
  <c r="V56" i="1"/>
  <c r="W52" i="1"/>
  <c r="V52" i="1"/>
  <c r="W51" i="1"/>
  <c r="V51" i="1"/>
  <c r="W50" i="1"/>
  <c r="V50" i="1"/>
  <c r="W49" i="1"/>
  <c r="V49" i="1"/>
  <c r="W48" i="1"/>
  <c r="V48" i="1"/>
  <c r="T53" i="1"/>
  <c r="R53" i="1"/>
  <c r="P53" i="1"/>
  <c r="N53" i="1"/>
  <c r="T65" i="1"/>
  <c r="T60" i="1"/>
  <c r="R65" i="1"/>
  <c r="R60" i="1"/>
  <c r="P65" i="1"/>
  <c r="P60" i="1"/>
  <c r="N65" i="1"/>
  <c r="N60" i="1"/>
  <c r="G67" i="1"/>
  <c r="H67" i="1" s="1"/>
  <c r="G64" i="1"/>
  <c r="G63" i="1"/>
  <c r="H63" i="1" s="1"/>
  <c r="G59" i="1"/>
  <c r="H59" i="1" s="1"/>
  <c r="G58" i="1"/>
  <c r="H58" i="1" s="1"/>
  <c r="G57" i="1"/>
  <c r="H57" i="1" s="1"/>
  <c r="G56" i="1"/>
  <c r="H56" i="1" s="1"/>
  <c r="G52" i="1"/>
  <c r="H52" i="1" s="1"/>
  <c r="G51" i="1"/>
  <c r="H51" i="1" s="1"/>
  <c r="G50" i="1"/>
  <c r="G49" i="1"/>
  <c r="H49" i="1" s="1"/>
  <c r="G48" i="1"/>
  <c r="H48" i="1" s="1"/>
  <c r="E65" i="1"/>
  <c r="E60" i="1"/>
  <c r="E53" i="1"/>
  <c r="D65" i="1"/>
  <c r="D60" i="1"/>
  <c r="D53" i="1"/>
  <c r="T27" i="1"/>
  <c r="T26" i="1"/>
  <c r="T24" i="1"/>
  <c r="T23" i="1"/>
  <c r="T22" i="1"/>
  <c r="T19" i="1"/>
  <c r="T18" i="1"/>
  <c r="T17" i="1"/>
  <c r="T16" i="1"/>
  <c r="T14" i="1"/>
  <c r="T13" i="1"/>
  <c r="T12" i="1"/>
  <c r="T11" i="1"/>
  <c r="T10" i="1"/>
  <c r="T9" i="1"/>
  <c r="A27" i="1"/>
  <c r="A24" i="1"/>
  <c r="A21" i="1"/>
  <c r="A20" i="1"/>
  <c r="R26" i="1"/>
  <c r="A26" i="1" s="1"/>
  <c r="R23" i="1"/>
  <c r="A23" i="1" s="1"/>
  <c r="R22" i="1"/>
  <c r="A22" i="1" s="1"/>
  <c r="R19" i="1"/>
  <c r="A19" i="1" s="1"/>
  <c r="R18" i="1"/>
  <c r="A18" i="1" s="1"/>
  <c r="R17" i="1"/>
  <c r="A17" i="1" s="1"/>
  <c r="R16" i="1"/>
  <c r="A16" i="1" s="1"/>
  <c r="R14" i="1"/>
  <c r="A14" i="1" s="1"/>
  <c r="R13" i="1"/>
  <c r="A13" i="1" s="1"/>
  <c r="R12" i="1"/>
  <c r="A12" i="1" s="1"/>
  <c r="R11" i="1"/>
  <c r="A11" i="1" s="1"/>
  <c r="R10" i="1"/>
  <c r="A10" i="1" s="1"/>
  <c r="R9" i="1"/>
  <c r="A9" i="1" s="1"/>
  <c r="P15" i="1"/>
  <c r="W14" i="1"/>
  <c r="Y14" i="1" s="1"/>
  <c r="N15" i="1"/>
  <c r="N25" i="1" s="1"/>
  <c r="N28" i="1" s="1"/>
  <c r="N29" i="1" s="1"/>
  <c r="N30" i="1" s="1"/>
  <c r="M28" i="1"/>
  <c r="M27" i="1"/>
  <c r="M26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M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D64" i="2"/>
  <c r="K64" i="2" s="1"/>
  <c r="O52" i="2"/>
  <c r="N52" i="2"/>
  <c r="L52" i="2"/>
  <c r="K52" i="2"/>
  <c r="O27" i="2"/>
  <c r="N27" i="2"/>
  <c r="L27" i="2"/>
  <c r="K27" i="2"/>
  <c r="O17" i="2"/>
  <c r="N17" i="2"/>
  <c r="L17" i="2"/>
  <c r="K17" i="2"/>
  <c r="H65" i="2"/>
  <c r="O65" i="2" s="1"/>
  <c r="H64" i="2"/>
  <c r="O64" i="2" s="1"/>
  <c r="G65" i="2"/>
  <c r="N65" i="2" s="1"/>
  <c r="G64" i="2"/>
  <c r="N64" i="2" s="1"/>
  <c r="E65" i="2"/>
  <c r="L65" i="2" s="1"/>
  <c r="E64" i="2"/>
  <c r="L64" i="2" s="1"/>
  <c r="D65" i="2"/>
  <c r="K65" i="2" s="1"/>
  <c r="R91" i="1" l="1"/>
  <c r="R83" i="1"/>
  <c r="R96" i="1"/>
  <c r="Y65" i="1"/>
  <c r="G73" i="1"/>
  <c r="Z65" i="1"/>
  <c r="R110" i="1"/>
  <c r="P110" i="1" s="1"/>
  <c r="R127" i="1"/>
  <c r="P127" i="1" s="1"/>
  <c r="T127" i="1" s="1"/>
  <c r="R123" i="1"/>
  <c r="P123" i="1" s="1"/>
  <c r="T123" i="1" s="1"/>
  <c r="R109" i="1"/>
  <c r="R124" i="1"/>
  <c r="P124" i="1" s="1"/>
  <c r="T124" i="1" s="1"/>
  <c r="R111" i="1"/>
  <c r="P111" i="1" s="1"/>
  <c r="R116" i="1"/>
  <c r="P116" i="1" s="1"/>
  <c r="T116" i="1" s="1"/>
  <c r="T83" i="1"/>
  <c r="N129" i="1"/>
  <c r="Y53" i="1"/>
  <c r="Z53" i="1"/>
  <c r="P69" i="1"/>
  <c r="T91" i="1"/>
  <c r="T96" i="1"/>
  <c r="Z60" i="1"/>
  <c r="N69" i="1"/>
  <c r="W65" i="1"/>
  <c r="Y60" i="1"/>
  <c r="T69" i="1"/>
  <c r="Z69" i="1" s="1"/>
  <c r="W53" i="1"/>
  <c r="W60" i="1"/>
  <c r="V60" i="1"/>
  <c r="P100" i="1"/>
  <c r="V53" i="1"/>
  <c r="R69" i="1"/>
  <c r="G53" i="1"/>
  <c r="H53" i="1" s="1"/>
  <c r="G65" i="1"/>
  <c r="H65" i="1" s="1"/>
  <c r="D69" i="1"/>
  <c r="H69" i="1" s="1"/>
  <c r="G60" i="1"/>
  <c r="H60" i="1" s="1"/>
  <c r="H50" i="1"/>
  <c r="H64" i="1"/>
  <c r="E69" i="1"/>
  <c r="R15" i="1"/>
  <c r="R25" i="1" s="1"/>
  <c r="A25" i="1" s="1"/>
  <c r="T15" i="1"/>
  <c r="P25" i="1"/>
  <c r="V23" i="1"/>
  <c r="W23" i="1" s="1"/>
  <c r="V18" i="1"/>
  <c r="W18" i="1" s="1"/>
  <c r="Y18" i="1" s="1"/>
  <c r="V13" i="1"/>
  <c r="W13" i="1" s="1"/>
  <c r="Y13" i="1" s="1"/>
  <c r="V9" i="1"/>
  <c r="V22" i="1"/>
  <c r="W22" i="1" s="1"/>
  <c r="V17" i="1"/>
  <c r="W17" i="1" s="1"/>
  <c r="Y17" i="1" s="1"/>
  <c r="V12" i="1"/>
  <c r="W12" i="1" s="1"/>
  <c r="Y12" i="1" s="1"/>
  <c r="V27" i="1"/>
  <c r="W27" i="1" s="1"/>
  <c r="V20" i="1"/>
  <c r="V16" i="1"/>
  <c r="W16" i="1" s="1"/>
  <c r="Y16" i="1" s="1"/>
  <c r="V11" i="1"/>
  <c r="W11" i="1" s="1"/>
  <c r="Y11" i="1" s="1"/>
  <c r="V26" i="1"/>
  <c r="V19" i="1"/>
  <c r="W19" i="1" s="1"/>
  <c r="Y19" i="1" s="1"/>
  <c r="V10" i="1"/>
  <c r="W10" i="1" s="1"/>
  <c r="Y10" i="1" s="1"/>
  <c r="G67" i="2"/>
  <c r="N67" i="2" s="1"/>
  <c r="H67" i="2"/>
  <c r="O67" i="2" s="1"/>
  <c r="D67" i="2"/>
  <c r="K67" i="2" s="1"/>
  <c r="E67" i="2"/>
  <c r="L67" i="2" s="1"/>
  <c r="D74" i="1" l="1"/>
  <c r="G74" i="1" s="1"/>
  <c r="R100" i="1"/>
  <c r="R125" i="1"/>
  <c r="P125" i="1"/>
  <c r="T125" i="1" s="1"/>
  <c r="T100" i="1"/>
  <c r="W91" i="1" s="1"/>
  <c r="W69" i="1"/>
  <c r="V69" i="1"/>
  <c r="Y69" i="1"/>
  <c r="A15" i="1"/>
  <c r="P28" i="1"/>
  <c r="T28" i="1" s="1"/>
  <c r="T25" i="1"/>
  <c r="R28" i="1"/>
  <c r="A28" i="1" s="1"/>
  <c r="W26" i="1"/>
  <c r="W9" i="1"/>
  <c r="Y9" i="1" s="1"/>
  <c r="V15" i="1"/>
  <c r="W125" i="1" l="1"/>
  <c r="W83" i="1"/>
  <c r="W124" i="1"/>
  <c r="W127" i="1"/>
  <c r="W116" i="1"/>
  <c r="W123" i="1"/>
  <c r="W95" i="1"/>
  <c r="Z95" i="1"/>
  <c r="Z96" i="1" s="1"/>
  <c r="W80" i="1"/>
  <c r="W98" i="1"/>
  <c r="W89" i="1"/>
  <c r="W78" i="1"/>
  <c r="W86" i="1"/>
  <c r="W100" i="1"/>
  <c r="W82" i="1"/>
  <c r="W117" i="1"/>
  <c r="W88" i="1"/>
  <c r="W79" i="1"/>
  <c r="W94" i="1"/>
  <c r="W81" i="1"/>
  <c r="W87" i="1"/>
  <c r="W96" i="1"/>
  <c r="H81" i="1"/>
  <c r="H88" i="1"/>
  <c r="H86" i="1"/>
  <c r="H98" i="1"/>
  <c r="H82" i="1"/>
  <c r="H95" i="1"/>
  <c r="H94" i="1"/>
  <c r="H89" i="1"/>
  <c r="H87" i="1"/>
  <c r="H78" i="1"/>
  <c r="H80" i="1"/>
  <c r="H79" i="1"/>
  <c r="W15" i="1"/>
  <c r="V25" i="1"/>
  <c r="V28" i="1" s="1"/>
  <c r="H101" i="1" l="1"/>
  <c r="H102" i="1" s="1"/>
  <c r="R118" i="1"/>
  <c r="P118" i="1" s="1"/>
  <c r="T118" i="1" s="1"/>
  <c r="W118" i="1" s="1"/>
  <c r="G89" i="1"/>
  <c r="G79" i="1"/>
  <c r="R108" i="1"/>
  <c r="P108" i="1" s="1"/>
  <c r="T108" i="1" s="1"/>
  <c r="W108" i="1" s="1"/>
  <c r="R115" i="1"/>
  <c r="G86" i="1"/>
  <c r="R107" i="1"/>
  <c r="P107" i="1" s="1"/>
  <c r="T107" i="1" s="1"/>
  <c r="W107" i="1" s="1"/>
  <c r="G78" i="1"/>
  <c r="Z97" i="1"/>
  <c r="Z98" i="1"/>
  <c r="Y15" i="1"/>
  <c r="W25" i="1"/>
  <c r="W28" i="1" s="1"/>
  <c r="G98" i="1" l="1"/>
  <c r="E89" i="1" s="1"/>
  <c r="D89" i="1" s="1"/>
  <c r="E78" i="1"/>
  <c r="D78" i="1" s="1"/>
  <c r="E86" i="1"/>
  <c r="D86" i="1" s="1"/>
  <c r="P115" i="1"/>
  <c r="R120" i="1"/>
  <c r="E79" i="1"/>
  <c r="D79" i="1" s="1"/>
  <c r="T110" i="1"/>
  <c r="W110" i="1" s="1"/>
  <c r="T111" i="1"/>
  <c r="W111" i="1" s="1"/>
  <c r="P109" i="1"/>
  <c r="P112" i="1" s="1"/>
  <c r="R112" i="1"/>
  <c r="T115" i="1" l="1"/>
  <c r="W115" i="1" s="1"/>
  <c r="P120" i="1"/>
  <c r="T120" i="1" s="1"/>
  <c r="W120" i="1" s="1"/>
  <c r="R134" i="1"/>
  <c r="T134" i="1" s="1"/>
  <c r="V134" i="1" s="1"/>
  <c r="T109" i="1"/>
  <c r="W109" i="1" s="1"/>
  <c r="T112" i="1"/>
  <c r="W112" i="1" s="1"/>
  <c r="P129" i="1" l="1"/>
  <c r="R135" i="1"/>
  <c r="P133" i="1" l="1"/>
  <c r="T129" i="1"/>
  <c r="W1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Mierzwa</author>
  </authors>
  <commentList>
    <comment ref="T53" authorId="0" shapeId="0" xr:uid="{0331A23E-BCFD-426E-8FD5-EF522583E27C}">
      <text>
        <r>
          <rPr>
            <b/>
            <sz val="9"/>
            <color indexed="81"/>
            <rFont val="Tahoma"/>
            <family val="2"/>
          </rPr>
          <t>Jerry Mierzwa: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<sst xmlns="http://schemas.openxmlformats.org/spreadsheetml/2006/main" count="219" uniqueCount="90">
  <si>
    <t xml:space="preserve">PROJECTED WATER RECEIPTS </t>
  </si>
  <si>
    <t>(in thousands of dollars)</t>
  </si>
  <si>
    <t>Table 3-7</t>
  </si>
  <si>
    <t>LINE</t>
  </si>
  <si>
    <t>Existing Rates</t>
  </si>
  <si>
    <t>Proposed Rates</t>
  </si>
  <si>
    <t>NO.</t>
  </si>
  <si>
    <t>DESCRIPTION</t>
  </si>
  <si>
    <t>Water System ($000s)</t>
  </si>
  <si>
    <t>Increase 1</t>
  </si>
  <si>
    <t>Increase 2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</si>
  <si>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</si>
  <si>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</si>
  <si>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</si>
  <si>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</si>
  <si>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</si>
  <si>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</si>
  <si>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</si>
  <si>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</si>
  <si>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</si>
  <si>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</si>
  <si>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</si>
  <si>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</si>
  <si>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</si>
  <si>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</si>
  <si>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</si>
  <si>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</si>
  <si>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</si>
  <si>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Note:</t>
  </si>
  <si>
    <t>Tables developed using Finplan25_26.xls model file and proposed rate schedules.</t>
  </si>
  <si>
    <t>PROJECTED WASTEWATER RECEIPTS</t>
  </si>
  <si>
    <t>Table 6-11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</si>
  <si>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</si>
  <si>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</si>
  <si>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</si>
  <si>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</si>
  <si>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</si>
  <si>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</si>
  <si>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</si>
  <si>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</si>
  <si>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</si>
  <si>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Table 6-12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</si>
  <si>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</si>
  <si>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</si>
  <si>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</si>
  <si>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</si>
  <si>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</si>
  <si>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</si>
  <si>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</si>
  <si>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</si>
  <si>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Wastewater System ($000s)</t>
  </si>
  <si>
    <t>Sanitary Sewer Receipts</t>
  </si>
  <si>
    <t>Stormwater Receipts</t>
  </si>
  <si>
    <t>Total Wastewater Service Receipts</t>
  </si>
  <si>
    <t>BV COS 25%</t>
  </si>
  <si>
    <t>BV COS 100%</t>
  </si>
  <si>
    <t>Change</t>
  </si>
  <si>
    <t>General Service</t>
  </si>
  <si>
    <t xml:space="preserve">   Subtotal:</t>
  </si>
  <si>
    <t>Other Services</t>
  </si>
  <si>
    <t>Fire Protection Service</t>
  </si>
  <si>
    <t>Private Fire</t>
  </si>
  <si>
    <t>Public Fire</t>
  </si>
  <si>
    <t xml:space="preserve">   Subtotal: </t>
  </si>
  <si>
    <t xml:space="preserve">   Total:</t>
  </si>
  <si>
    <t>Class Cost of Service Study</t>
  </si>
  <si>
    <t>Advocate</t>
  </si>
  <si>
    <t xml:space="preserve"> (1)</t>
  </si>
  <si>
    <t xml:space="preserve"> (2)</t>
  </si>
  <si>
    <t>Difference</t>
  </si>
  <si>
    <t>Percent</t>
  </si>
  <si>
    <t xml:space="preserve"> (3) = (2) - (1)</t>
  </si>
  <si>
    <t>Table 1.</t>
  </si>
  <si>
    <t>PWD (1)</t>
  </si>
  <si>
    <t>(1) Adjusted cost of service reflecting the recovery of discounts.</t>
  </si>
  <si>
    <t>(4) = (3) / (1)</t>
  </si>
  <si>
    <t xml:space="preserve">Comparison of PWD Filed and Public Advocate Revised Cost of Service Study Results </t>
  </si>
  <si>
    <t>Table 2.</t>
  </si>
  <si>
    <t>(1) Per Table 3-7.</t>
  </si>
  <si>
    <t>Comparison of Present and PWD Proposed Rates  (1)</t>
  </si>
  <si>
    <t>FY 2026</t>
  </si>
  <si>
    <t>FY 2027</t>
  </si>
  <si>
    <t>Increase</t>
  </si>
  <si>
    <t>Percent Increase</t>
  </si>
  <si>
    <t>Existing</t>
  </si>
  <si>
    <t>Rates</t>
  </si>
  <si>
    <t>Proposed</t>
  </si>
  <si>
    <t>Philadelphia Water Department</t>
  </si>
  <si>
    <t>Table 3. Comparison of PWD and Public Advocate Revenue Distributions</t>
  </si>
  <si>
    <t>Public Advocate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</si>
</sst>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000_);_(* \(#,##0.0000000\);_(* &quot;-&quot;??_);_(@_)"/>
    <numFmt numFmtId="168" formatCode="_(* #,##0.00000000_);_(* \(#,##0.00000000\);_(* &quot;-&quot;??_);_(@_)"/>
    <numFmt numFmtId="169" formatCode="0.000%"/>
  </numFmts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>
      <alignment horizontal="centerContinuous"/>
    </xf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  <xf numFmtId="42" fontId="0" fillId="0" borderId="0" xfId="0" applyNumberFormat="1"/>
    <xf numFmtId="41" fontId="0" fillId="0" borderId="0" xfId="0" applyNumberFormat="1"/>
    <xf numFmtId="16" fontId="0" fillId="0" borderId="0" xfId="0" applyNumberFormat="1"/>
    <xf numFmtId="164" fontId="0" fillId="0" borderId="0" xfId="3" applyNumberFormat="1" applyFont="1"/>
    <xf numFmtId="165" fontId="0" fillId="0" borderId="0" xfId="4" applyNumberFormat="1" applyFont="1"/>
    <xf numFmtId="10" fontId="0" fillId="0" borderId="0" xfId="3" applyNumberFormat="1" applyFont="1"/>
    <xf numFmtId="165" fontId="13" fillId="0" borderId="0" xfId="4" applyNumberFormat="1" applyFont="1"/>
    <xf numFmtId="165" fontId="0" fillId="0" borderId="0" xfId="0" applyNumberFormat="1"/>
    <xf numFmtId="9" fontId="0" fillId="0" borderId="0" xfId="3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49" fontId="0" fillId="0" borderId="0" xfId="0" applyNumberFormat="1" applyAlignment="1">
      <alignment horizontal="center"/>
    </xf>
    <xf numFmtId="44" fontId="0" fillId="0" borderId="0" xfId="5" applyFont="1"/>
    <xf numFmtId="166" fontId="0" fillId="0" borderId="0" xfId="5" applyNumberFormat="1" applyFont="1"/>
    <xf numFmtId="166" fontId="0" fillId="0" borderId="0" xfId="0" applyNumberFormat="1"/>
    <xf numFmtId="0" fontId="0" fillId="0" borderId="1" xfId="0" applyBorder="1"/>
    <xf numFmtId="165" fontId="0" fillId="0" borderId="1" xfId="4" applyNumberFormat="1" applyFont="1" applyBorder="1"/>
    <xf numFmtId="165" fontId="0" fillId="0" borderId="0" xfId="4" applyNumberFormat="1" applyFont="1" applyAlignment="1">
      <alignment horizontal="centerContinuous"/>
    </xf>
    <xf numFmtId="165" fontId="0" fillId="0" borderId="1" xfId="4" applyNumberFormat="1" applyFont="1" applyBorder="1" applyAlignment="1">
      <alignment horizontal="centerContinuous"/>
    </xf>
    <xf numFmtId="165" fontId="0" fillId="0" borderId="0" xfId="4" applyNumberFormat="1" applyFont="1" applyAlignment="1">
      <alignment horizontal="center"/>
    </xf>
    <xf numFmtId="165" fontId="13" fillId="0" borderId="0" xfId="4" applyNumberFormat="1" applyFont="1" applyAlignment="1">
      <alignment horizontal="center"/>
    </xf>
    <xf numFmtId="165" fontId="13" fillId="0" borderId="1" xfId="4" applyNumberFormat="1" applyFont="1" applyBorder="1" applyAlignment="1">
      <alignment horizontal="center"/>
    </xf>
    <xf numFmtId="0" fontId="13" fillId="0" borderId="0" xfId="0" applyFont="1" applyAlignment="1">
      <alignment horizontal="centerContinuous"/>
    </xf>
    <xf numFmtId="43" fontId="0" fillId="0" borderId="0" xfId="4" applyFont="1"/>
    <xf numFmtId="2" fontId="0" fillId="0" borderId="0" xfId="0" applyNumberFormat="1"/>
    <xf numFmtId="167" fontId="0" fillId="0" borderId="0" xfId="4" applyNumberFormat="1" applyFont="1"/>
    <xf numFmtId="168" fontId="0" fillId="0" borderId="0" xfId="4" applyNumberFormat="1" applyFont="1"/>
    <xf numFmtId="167" fontId="0" fillId="0" borderId="0" xfId="0" applyNumberFormat="1"/>
    <xf numFmtId="43" fontId="0" fillId="0" borderId="0" xfId="0" applyNumberFormat="1"/>
    <xf numFmtId="169" fontId="0" fillId="0" borderId="0" xfId="3" applyNumberFormat="1" applyFont="1"/>
    <xf numFmtId="0" fontId="16" fillId="0" borderId="0" xfId="0" applyFont="1"/>
    <xf numFmtId="43" fontId="16" fillId="0" borderId="0" xfId="0" applyNumberFormat="1" applyFont="1"/>
    <xf numFmtId="43" fontId="16" fillId="0" borderId="0" xfId="4" applyFont="1"/>
    <xf numFmtId="165" fontId="16" fillId="0" borderId="0" xfId="4" applyNumberFormat="1" applyFont="1"/>
    <xf numFmtId="37" fontId="17" fillId="4" borderId="0" xfId="0" applyNumberFormat="1" applyFont="1" applyFill="1" applyAlignment="1">
      <alignment vertical="center"/>
    </xf>
    <xf numFmtId="164" fontId="16" fillId="0" borderId="0" xfId="3" applyNumberFormat="1" applyFont="1"/>
    <xf numFmtId="2" fontId="16" fillId="0" borderId="0" xfId="0" applyNumberFormat="1" applyFont="1"/>
    <xf numFmtId="1" fontId="16" fillId="0" borderId="0" xfId="4" applyNumberFormat="1" applyFont="1"/>
    <xf numFmtId="166" fontId="16" fillId="0" borderId="0" xfId="5" applyNumberFormat="1" applyFont="1"/>
    <xf numFmtId="166" fontId="16" fillId="0" borderId="0" xfId="0" applyNumberFormat="1" applyFont="1"/>
  </cellXfs>
  <cellStyles count="6">
    <cellStyle name="Comma" xfId="4" builtinId="3"/>
    <cellStyle name="Currency" xfId="5" builtinId="4"/>
    <cellStyle name="Normal" xfId="0" builtinId="0"/>
    <cellStyle name="Normal 371 2" xfId="1" xr:uid="{C9BECC70-E297-455E-9F10-A0813025C2EC}"/>
    <cellStyle name="Percent" xfId="3" builtinId="5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sheetPr>
    <pageSetUpPr fitToPage="1"/>
  </sheetPr>
  <dimension ref="A2:AD137"/>
  <sheetViews>
    <sheetView tabSelected="1" topLeftCell="J120" workbookViewId="0">
      <selection activeCell="R9" sqref="R9"/>
    </sheetView>
  </sheetViews>
  <sheetFormatPr defaultRowHeight="14.5" x14ac:dyDescent="0.35"/>
  <cols>
    <col min="1" max="1" width="12.26953125" bestFit="1" customWidth="1"/>
    <col min="3" max="3" width="30.26953125" bestFit="1" customWidth="1"/>
    <col min="4" max="4" width="16.26953125" bestFit="1" customWidth="1"/>
    <col min="5" max="5" width="14" customWidth="1"/>
    <col min="6" max="6" width="3.7265625" customWidth="1"/>
    <col min="7" max="8" width="15" bestFit="1" customWidth="1"/>
    <col min="9" max="12" width="9.81640625" bestFit="1" customWidth="1"/>
    <col min="13" max="13" width="13.81640625" customWidth="1"/>
    <col min="14" max="14" width="13.7265625" style="36" bestFit="1" customWidth="1"/>
    <col min="15" max="15" width="2.7265625" style="36" customWidth="1"/>
    <col min="16" max="16" width="15.54296875" style="36" customWidth="1"/>
    <col min="17" max="17" width="2.54296875" style="36" customWidth="1"/>
    <col min="18" max="18" width="15.54296875" style="36" customWidth="1"/>
    <col min="19" max="19" width="2.7265625" style="36" customWidth="1"/>
    <col min="20" max="20" width="13.7265625" style="36" bestFit="1" customWidth="1"/>
    <col min="21" max="21" width="2.7265625" style="36" customWidth="1"/>
    <col min="22" max="22" width="13.7265625" style="36" bestFit="1" customWidth="1"/>
    <col min="23" max="23" width="13.7265625" bestFit="1" customWidth="1"/>
    <col min="24" max="24" width="2.81640625" customWidth="1"/>
    <col min="25" max="25" width="11" bestFit="1" customWidth="1"/>
    <col min="26" max="26" width="9.7265625" bestFit="1" customWidth="1"/>
  </cols>
  <sheetData>
    <row r="2" spans="1:30" ht="18" x14ac:dyDescent="0.4">
      <c r="B2" s="17" t="s">
        <v>0</v>
      </c>
      <c r="C2" s="17"/>
      <c r="D2" s="17"/>
      <c r="E2" s="17"/>
      <c r="F2" s="17"/>
      <c r="G2" s="17"/>
      <c r="H2" s="17"/>
    </row>
    <row r="3" spans="1:30" ht="18" x14ac:dyDescent="0.4">
      <c r="B3" s="18" t="s">
        <v>1</v>
      </c>
      <c r="C3" s="18"/>
      <c r="D3" s="18"/>
      <c r="E3" s="18"/>
      <c r="F3" s="18"/>
      <c r="G3" s="18"/>
      <c r="H3" s="18"/>
    </row>
    <row r="4" spans="1:30" x14ac:dyDescent="0.35">
      <c r="AD4" s="34"/>
    </row>
    <row r="5" spans="1:30" ht="18.5" x14ac:dyDescent="0.65">
      <c r="B5" s="1"/>
      <c r="C5" s="2"/>
      <c r="D5" s="3" t="s">
        <v>2</v>
      </c>
      <c r="E5" s="3"/>
      <c r="F5" s="2"/>
      <c r="G5" s="3"/>
      <c r="H5" s="3"/>
      <c r="AD5" s="34"/>
    </row>
    <row r="6" spans="1:30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1:30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1:30" ht="15.5" x14ac:dyDescent="0.35">
      <c r="B8" s="4" t="s">
        <v>8</v>
      </c>
      <c r="C8" s="5"/>
      <c r="D8" s="5"/>
      <c r="E8" s="5"/>
      <c r="F8" s="5"/>
      <c r="G8" s="5"/>
      <c r="H8" s="5"/>
      <c r="I8" t="s">
        <v>9</v>
      </c>
      <c r="J8" t="s">
        <v>10</v>
      </c>
      <c r="K8" t="s">
        <v>9</v>
      </c>
      <c r="L8" t="s">
        <v>10</v>
      </c>
      <c r="N8" s="38" t="s">
        <v>54</v>
      </c>
      <c r="O8" s="38"/>
      <c r="P8" s="38" t="s">
        <v>55</v>
      </c>
      <c r="Q8" s="38"/>
      <c r="R8" s="38" t="s">
        <v>56</v>
      </c>
      <c r="S8" s="38"/>
      <c r="T8" s="38"/>
      <c r="U8" s="38"/>
    </row>
    <row r="9" spans="1:30" ht="15.5" x14ac:dyDescent="0.35">
      <c r="A9" s="39">
        <f>+R9</f>
        <v>-22482000</v>
      </c>
      <c r="B9" s="6">
        <v>1</v>
      </c>
      <c r="C9" s="7" t="s">
        <v>11</v>
      </c>
      <c r="D9" s="22">
        <v>203528.02548481303</v>
      </c>
      <c r="E9" s="22">
        <v>200728.85973158068</v>
      </c>
      <c r="F9" s="7"/>
      <c r="G9" s="22">
        <v>222416.27020155784</v>
      </c>
      <c r="H9" s="22">
        <v>232614.96736725731</v>
      </c>
      <c r="I9" s="35">
        <f>+G9/D9-1</f>
        <v>9.2804146612006644E-2</v>
      </c>
      <c r="J9" s="35">
        <f>+H9/E9-1</f>
        <v>0.15885163537677371</v>
      </c>
      <c r="K9" s="32">
        <f>+G9-D9</f>
        <v>18888.244716744812</v>
      </c>
      <c r="L9" s="32">
        <f>+H9-E9</f>
        <v>31886.107635676628</v>
      </c>
      <c r="M9" s="35">
        <f>+H9/G9-1</f>
        <v>4.58540967189911E-2</v>
      </c>
      <c r="N9" s="36">
        <v>227262000</v>
      </c>
      <c r="P9" s="36">
        <v>204780000</v>
      </c>
      <c r="R9" s="36">
        <f>+P9-N9</f>
        <v>-22482000</v>
      </c>
      <c r="T9" s="40">
        <f>+P9/N9</f>
        <v>0.90107453071784993</v>
      </c>
      <c r="U9" s="40"/>
      <c r="V9" s="36">
        <f>+N9*$N$30</f>
        <v>221800860.31432089</v>
      </c>
      <c r="W9" s="36">
        <f>+G9-(V9/1000)</f>
        <v>615.40988723695045</v>
      </c>
      <c r="X9" s="36"/>
      <c r="Y9" s="37">
        <f>+W9/G9</f>
        <v>2.7669283667029142E-3</v>
      </c>
    </row>
    <row r="10" spans="1:30" ht="15.5" x14ac:dyDescent="0.35">
      <c r="A10" s="39">
        <f t="shared" ref="A10:A28" si="0">+R10</f>
        <v>-601000</v>
      </c>
      <c r="B10" s="6">
        <v>2</v>
      </c>
      <c r="C10" s="7" t="s">
        <v>12</v>
      </c>
      <c r="D10" s="8">
        <v>6564.0390292121483</v>
      </c>
      <c r="E10" s="8">
        <v>6537.5341996924899</v>
      </c>
      <c r="F10" s="8"/>
      <c r="G10" s="8">
        <v>7171.6340262695558</v>
      </c>
      <c r="H10" s="8">
        <v>7568.4813093984785</v>
      </c>
      <c r="I10" s="35">
        <f t="shared" ref="I10:I28" si="1">+G10/D10-1</f>
        <v>9.2564196275099597E-2</v>
      </c>
      <c r="J10" s="35">
        <f t="shared" ref="J10:J28" si="2">+H10/E10-1</f>
        <v>0.15769662967950238</v>
      </c>
      <c r="K10" s="32">
        <f t="shared" ref="K10:K28" si="3">+G10-D10</f>
        <v>607.59499705740745</v>
      </c>
      <c r="L10" s="32">
        <f t="shared" ref="L10:L28" si="4">+H10-E10</f>
        <v>1030.9471097059886</v>
      </c>
      <c r="M10" s="35">
        <f t="shared" ref="M10:M28" si="5">+H10/G10-1</f>
        <v>5.5335685239274568E-2</v>
      </c>
      <c r="N10" s="36">
        <v>7314000</v>
      </c>
      <c r="P10" s="36">
        <v>6713000</v>
      </c>
      <c r="R10" s="36">
        <f t="shared" ref="R10:R19" si="6">+P10-N10</f>
        <v>-601000</v>
      </c>
      <c r="T10" s="40">
        <f t="shared" ref="T10:T28" si="7">+P10/N10</f>
        <v>0.91782882143833744</v>
      </c>
      <c r="U10" s="40"/>
      <c r="V10" s="36">
        <f t="shared" ref="V10:V13" si="8">+N10*$N$30</f>
        <v>7138243.491384143</v>
      </c>
      <c r="W10" s="36">
        <f t="shared" ref="W10:W19" si="9">+G10-(V10/1000)</f>
        <v>33.390534885412308</v>
      </c>
      <c r="X10" s="36"/>
      <c r="Y10" s="37">
        <f t="shared" ref="Y10:Y19" si="10">+W10/G10</f>
        <v>4.6559172934792026E-3</v>
      </c>
    </row>
    <row r="11" spans="1:30" ht="15.5" x14ac:dyDescent="0.35">
      <c r="A11" s="39">
        <f t="shared" si="0"/>
        <v>4401000</v>
      </c>
      <c r="B11" s="6">
        <v>3</v>
      </c>
      <c r="C11" s="7" t="s">
        <v>13</v>
      </c>
      <c r="D11" s="8">
        <v>97538.448191149073</v>
      </c>
      <c r="E11" s="8">
        <v>98045.300746069843</v>
      </c>
      <c r="F11" s="8"/>
      <c r="G11" s="8">
        <v>106395.79313787624</v>
      </c>
      <c r="H11" s="8">
        <v>115901.16950741824</v>
      </c>
      <c r="I11" s="35">
        <f t="shared" si="1"/>
        <v>9.0808753993801172E-2</v>
      </c>
      <c r="J11" s="35">
        <f t="shared" si="2"/>
        <v>0.18211855770215624</v>
      </c>
      <c r="K11" s="32">
        <f t="shared" si="3"/>
        <v>8857.3449467271712</v>
      </c>
      <c r="L11" s="32">
        <f t="shared" si="4"/>
        <v>17855.868761348393</v>
      </c>
      <c r="M11" s="35">
        <f t="shared" si="5"/>
        <v>8.9339776406611948E-2</v>
      </c>
      <c r="N11" s="36">
        <v>107728000</v>
      </c>
      <c r="P11" s="36">
        <v>112129000</v>
      </c>
      <c r="R11" s="36">
        <f t="shared" si="6"/>
        <v>4401000</v>
      </c>
      <c r="T11" s="40">
        <f t="shared" si="7"/>
        <v>1.0408528887568691</v>
      </c>
      <c r="U11" s="40"/>
      <c r="V11" s="36">
        <f t="shared" si="8"/>
        <v>105139280.12576304</v>
      </c>
      <c r="W11" s="36">
        <f t="shared" si="9"/>
        <v>1256.5130121131951</v>
      </c>
      <c r="X11" s="36"/>
      <c r="Y11" s="37">
        <f t="shared" si="10"/>
        <v>1.1809799758576021E-2</v>
      </c>
    </row>
    <row r="12" spans="1:30" ht="15.5" x14ac:dyDescent="0.35">
      <c r="A12" s="39">
        <f t="shared" si="0"/>
        <v>1196000</v>
      </c>
      <c r="B12" s="6">
        <v>4</v>
      </c>
      <c r="C12" s="7" t="s">
        <v>14</v>
      </c>
      <c r="D12" s="8">
        <v>4086.2936528631753</v>
      </c>
      <c r="E12" s="8">
        <v>3991.8338719881845</v>
      </c>
      <c r="F12" s="8"/>
      <c r="G12" s="8">
        <v>4455.4961511260035</v>
      </c>
      <c r="H12" s="8">
        <v>4729.4896404157835</v>
      </c>
      <c r="I12" s="35">
        <f t="shared" si="1"/>
        <v>9.0351435708526662E-2</v>
      </c>
      <c r="J12" s="35">
        <f t="shared" si="2"/>
        <v>0.18479119925404119</v>
      </c>
      <c r="K12" s="32">
        <f t="shared" si="3"/>
        <v>369.20249826282816</v>
      </c>
      <c r="L12" s="32">
        <f t="shared" si="4"/>
        <v>737.65576842759901</v>
      </c>
      <c r="M12" s="35">
        <f t="shared" si="5"/>
        <v>6.1495617995436014E-2</v>
      </c>
      <c r="N12" s="36">
        <v>4234000</v>
      </c>
      <c r="P12" s="36">
        <v>5430000</v>
      </c>
      <c r="R12" s="36">
        <f t="shared" si="6"/>
        <v>1196000</v>
      </c>
      <c r="T12" s="40">
        <f t="shared" si="7"/>
        <v>1.2824752007557865</v>
      </c>
      <c r="U12" s="40"/>
      <c r="V12" s="36">
        <f t="shared" si="8"/>
        <v>4132256.3498113835</v>
      </c>
      <c r="W12" s="36">
        <f t="shared" si="9"/>
        <v>323.23980131462031</v>
      </c>
      <c r="X12" s="36"/>
      <c r="Y12" s="37">
        <f t="shared" si="10"/>
        <v>7.254855359552502E-2</v>
      </c>
    </row>
    <row r="13" spans="1:30" ht="15.5" x14ac:dyDescent="0.35">
      <c r="A13" s="39">
        <f t="shared" si="0"/>
        <v>823000</v>
      </c>
      <c r="B13" s="6">
        <v>5</v>
      </c>
      <c r="C13" s="7" t="s">
        <v>15</v>
      </c>
      <c r="D13" s="8">
        <v>816.98341321738394</v>
      </c>
      <c r="E13" s="8">
        <v>852.76547510819762</v>
      </c>
      <c r="F13" s="8"/>
      <c r="G13" s="8">
        <v>894.58303152214035</v>
      </c>
      <c r="H13" s="8">
        <v>1014.4715695301135</v>
      </c>
      <c r="I13" s="35">
        <f t="shared" si="1"/>
        <v>9.4983101308212969E-2</v>
      </c>
      <c r="J13" s="35">
        <f t="shared" si="2"/>
        <v>0.18962551738084699</v>
      </c>
      <c r="K13" s="32">
        <f t="shared" si="3"/>
        <v>77.599618304756405</v>
      </c>
      <c r="L13" s="32">
        <f t="shared" si="4"/>
        <v>161.70609442191585</v>
      </c>
      <c r="M13" s="35">
        <f t="shared" si="5"/>
        <v>0.13401611005742176</v>
      </c>
      <c r="N13" s="36">
        <v>934000</v>
      </c>
      <c r="P13" s="36">
        <v>1757000</v>
      </c>
      <c r="R13" s="36">
        <f t="shared" si="6"/>
        <v>823000</v>
      </c>
      <c r="T13" s="40">
        <f t="shared" si="7"/>
        <v>1.8811563169164882</v>
      </c>
      <c r="U13" s="40"/>
      <c r="V13" s="36">
        <f t="shared" si="8"/>
        <v>911555.8409834276</v>
      </c>
      <c r="W13" s="36">
        <f t="shared" si="9"/>
        <v>-16.972809461287284</v>
      </c>
      <c r="X13" s="36"/>
      <c r="Y13" s="37">
        <f t="shared" si="10"/>
        <v>-1.8972872123907726E-2</v>
      </c>
    </row>
    <row r="14" spans="1:30" ht="2.25" customHeight="1" x14ac:dyDescent="0.35">
      <c r="A14" s="39">
        <f t="shared" si="0"/>
        <v>0</v>
      </c>
      <c r="B14" s="5"/>
      <c r="C14" s="5"/>
      <c r="D14" s="5"/>
      <c r="E14" s="5"/>
      <c r="F14" s="5"/>
      <c r="G14" s="5"/>
      <c r="H14" s="5"/>
      <c r="I14" s="35" t="e">
        <f t="shared" si="1"/>
        <v>#DIV/0!</v>
      </c>
      <c r="J14" s="35" t="e">
        <f t="shared" si="2"/>
        <v>#DIV/0!</v>
      </c>
      <c r="K14" s="32">
        <f t="shared" si="3"/>
        <v>0</v>
      </c>
      <c r="L14" s="32">
        <f t="shared" si="4"/>
        <v>0</v>
      </c>
      <c r="M14" s="35" t="e">
        <f t="shared" si="5"/>
        <v>#DIV/0!</v>
      </c>
      <c r="R14" s="36">
        <f t="shared" si="6"/>
        <v>0</v>
      </c>
      <c r="T14" s="40" t="e">
        <f t="shared" si="7"/>
        <v>#DIV/0!</v>
      </c>
      <c r="U14" s="40"/>
      <c r="W14" s="36">
        <f t="shared" si="9"/>
        <v>0</v>
      </c>
      <c r="X14" s="36"/>
      <c r="Y14" s="37" t="e">
        <f t="shared" si="10"/>
        <v>#DIV/0!</v>
      </c>
    </row>
    <row r="15" spans="1:30" ht="15.5" x14ac:dyDescent="0.35">
      <c r="A15" s="39">
        <f t="shared" si="0"/>
        <v>-16663000</v>
      </c>
      <c r="B15" s="9">
        <v>6</v>
      </c>
      <c r="C15" s="10" t="s">
        <v>16</v>
      </c>
      <c r="D15" s="11">
        <v>312533.78977125481</v>
      </c>
      <c r="E15" s="11">
        <v>310156.29402443935</v>
      </c>
      <c r="F15" s="11"/>
      <c r="G15" s="11">
        <v>341333.7765483518</v>
      </c>
      <c r="H15" s="11">
        <v>361828.57939401997</v>
      </c>
      <c r="I15" s="35">
        <f t="shared" si="1"/>
        <v>9.2149993759637505E-2</v>
      </c>
      <c r="J15" s="35">
        <f t="shared" si="2"/>
        <v>0.16660079567983543</v>
      </c>
      <c r="K15" s="32">
        <f t="shared" si="3"/>
        <v>28799.986777096987</v>
      </c>
      <c r="L15" s="32">
        <f t="shared" si="4"/>
        <v>51672.285369580612</v>
      </c>
      <c r="M15" s="35">
        <f t="shared" si="5"/>
        <v>6.0043289746817496E-2</v>
      </c>
      <c r="N15" s="36">
        <f>SUM(N9:N13)</f>
        <v>347472000</v>
      </c>
      <c r="P15" s="36">
        <f>SUM(P9:P13)</f>
        <v>330809000</v>
      </c>
      <c r="R15" s="36">
        <f t="shared" si="6"/>
        <v>-16663000</v>
      </c>
      <c r="T15" s="40">
        <f t="shared" si="7"/>
        <v>0.95204505686789154</v>
      </c>
      <c r="U15" s="40"/>
      <c r="V15" s="36">
        <f>SUM(V9:V13)</f>
        <v>339122196.1222629</v>
      </c>
      <c r="W15" s="36">
        <f t="shared" si="9"/>
        <v>2211.5804260888835</v>
      </c>
      <c r="X15" s="36"/>
      <c r="Y15" s="37">
        <f t="shared" si="10"/>
        <v>6.479231116395541E-3</v>
      </c>
    </row>
    <row r="16" spans="1:30" ht="15.5" x14ac:dyDescent="0.35">
      <c r="A16" s="39">
        <f t="shared" si="0"/>
        <v>-687000</v>
      </c>
      <c r="B16" s="6">
        <v>7</v>
      </c>
      <c r="C16" s="7" t="s">
        <v>17</v>
      </c>
      <c r="D16" s="8">
        <v>7773.6215678341769</v>
      </c>
      <c r="E16" s="8">
        <v>7814.5300738115975</v>
      </c>
      <c r="F16" s="8"/>
      <c r="G16" s="8">
        <v>8460.993756957967</v>
      </c>
      <c r="H16" s="8">
        <v>9153.4301513690971</v>
      </c>
      <c r="I16" s="35">
        <f t="shared" si="1"/>
        <v>8.8423675261992463E-2</v>
      </c>
      <c r="J16" s="35">
        <f t="shared" si="2"/>
        <v>0.17133468870309709</v>
      </c>
      <c r="K16" s="32">
        <f t="shared" si="3"/>
        <v>687.37218912379012</v>
      </c>
      <c r="L16" s="32">
        <f t="shared" si="4"/>
        <v>1338.9000775574996</v>
      </c>
      <c r="M16" s="35">
        <f t="shared" si="5"/>
        <v>8.1838660363234395E-2</v>
      </c>
      <c r="N16" s="36">
        <v>8829000</v>
      </c>
      <c r="P16" s="36">
        <v>8142000</v>
      </c>
      <c r="R16" s="36">
        <f t="shared" si="6"/>
        <v>-687000</v>
      </c>
      <c r="T16" s="40">
        <f t="shared" si="7"/>
        <v>0.92218824328916071</v>
      </c>
      <c r="U16" s="40"/>
      <c r="V16" s="36">
        <f t="shared" ref="V16:V23" si="11">+N16*$N$30</f>
        <v>8616837.8158915229</v>
      </c>
      <c r="W16" s="36">
        <f t="shared" si="9"/>
        <v>-155.84405893355506</v>
      </c>
      <c r="X16" s="36"/>
      <c r="Y16" s="37">
        <f t="shared" si="10"/>
        <v>-1.8419119953302816E-2</v>
      </c>
    </row>
    <row r="17" spans="1:25" ht="15.5" x14ac:dyDescent="0.35">
      <c r="A17" s="39">
        <f t="shared" si="0"/>
        <v>2505000</v>
      </c>
      <c r="B17" s="6">
        <v>8</v>
      </c>
      <c r="C17" s="7" t="s">
        <v>18</v>
      </c>
      <c r="D17" s="8">
        <v>6159.164085104022</v>
      </c>
      <c r="E17" s="8">
        <v>6651.9997772734796</v>
      </c>
      <c r="F17" s="8"/>
      <c r="G17" s="8">
        <v>6730.0012930809307</v>
      </c>
      <c r="H17" s="8">
        <v>7880.0977542400306</v>
      </c>
      <c r="I17" s="35">
        <f t="shared" si="1"/>
        <v>9.2680954767462964E-2</v>
      </c>
      <c r="J17" s="35">
        <f t="shared" si="2"/>
        <v>0.18462086862394989</v>
      </c>
      <c r="K17" s="32">
        <f t="shared" si="3"/>
        <v>570.83720797690876</v>
      </c>
      <c r="L17" s="32">
        <f t="shared" si="4"/>
        <v>1228.097976966551</v>
      </c>
      <c r="M17" s="35">
        <f t="shared" si="5"/>
        <v>0.17089097179542989</v>
      </c>
      <c r="N17" s="36">
        <v>7025000</v>
      </c>
      <c r="P17" s="36">
        <v>9530000</v>
      </c>
      <c r="R17" s="36">
        <f t="shared" si="6"/>
        <v>2505000</v>
      </c>
      <c r="T17" s="40">
        <f t="shared" si="7"/>
        <v>1.3565836298932383</v>
      </c>
      <c r="U17" s="40"/>
      <c r="V17" s="36">
        <f t="shared" si="11"/>
        <v>6856188.2043989068</v>
      </c>
      <c r="W17" s="36">
        <f t="shared" si="9"/>
        <v>-126.18691131797641</v>
      </c>
      <c r="X17" s="36"/>
      <c r="Y17" s="37">
        <f t="shared" si="10"/>
        <v>-1.8749908926125814E-2</v>
      </c>
    </row>
    <row r="18" spans="1:25" ht="15.5" x14ac:dyDescent="0.35">
      <c r="A18" s="39">
        <f t="shared" si="0"/>
        <v>1464000</v>
      </c>
      <c r="B18" s="6">
        <v>9</v>
      </c>
      <c r="C18" s="7" t="s">
        <v>19</v>
      </c>
      <c r="D18" s="8">
        <v>5191.1570588346794</v>
      </c>
      <c r="E18" s="8">
        <v>5588.770806782647</v>
      </c>
      <c r="F18" s="8"/>
      <c r="G18" s="8">
        <v>5655.7652184683457</v>
      </c>
      <c r="H18" s="8">
        <v>6447.0827873739854</v>
      </c>
      <c r="I18" s="35">
        <f t="shared" si="1"/>
        <v>8.9499923498358225E-2</v>
      </c>
      <c r="J18" s="35">
        <f t="shared" si="2"/>
        <v>0.15357795305358968</v>
      </c>
      <c r="K18" s="32">
        <f t="shared" si="3"/>
        <v>464.60815963366622</v>
      </c>
      <c r="L18" s="32">
        <f t="shared" si="4"/>
        <v>858.3119805913384</v>
      </c>
      <c r="M18" s="35">
        <f t="shared" si="5"/>
        <v>0.13991344023999974</v>
      </c>
      <c r="N18" s="36">
        <v>5026000</v>
      </c>
      <c r="P18" s="36">
        <v>6490000</v>
      </c>
      <c r="R18" s="36">
        <f t="shared" si="6"/>
        <v>1464000</v>
      </c>
      <c r="T18" s="40">
        <f t="shared" si="7"/>
        <v>1.2912853163549542</v>
      </c>
      <c r="U18" s="40"/>
      <c r="V18" s="36">
        <f t="shared" si="11"/>
        <v>4905224.4719300931</v>
      </c>
      <c r="W18" s="36">
        <f t="shared" si="9"/>
        <v>750.54074653825228</v>
      </c>
      <c r="X18" s="36"/>
      <c r="Y18" s="37">
        <f t="shared" si="10"/>
        <v>0.13270366034421571</v>
      </c>
    </row>
    <row r="19" spans="1:25" ht="15.5" x14ac:dyDescent="0.35">
      <c r="A19" s="39">
        <f t="shared" si="0"/>
        <v>-1892000</v>
      </c>
      <c r="B19" s="6">
        <v>10</v>
      </c>
      <c r="C19" s="7" t="s">
        <v>20</v>
      </c>
      <c r="D19" s="8">
        <v>15535.039300241522</v>
      </c>
      <c r="E19" s="8">
        <v>14540.763378334221</v>
      </c>
      <c r="F19" s="8"/>
      <c r="G19" s="8">
        <v>16866.769751095788</v>
      </c>
      <c r="H19" s="8">
        <v>17285.755879745673</v>
      </c>
      <c r="I19" s="35">
        <f t="shared" si="1"/>
        <v>8.5724305237744769E-2</v>
      </c>
      <c r="J19" s="35">
        <f t="shared" si="2"/>
        <v>0.18877911908679423</v>
      </c>
      <c r="K19" s="32">
        <f t="shared" si="3"/>
        <v>1331.7304508542657</v>
      </c>
      <c r="L19" s="32">
        <f t="shared" si="4"/>
        <v>2744.9925014114524</v>
      </c>
      <c r="M19" s="35">
        <f t="shared" si="5"/>
        <v>2.4840923000248205E-2</v>
      </c>
      <c r="N19" s="36">
        <v>19237000</v>
      </c>
      <c r="P19" s="36">
        <v>17345000</v>
      </c>
      <c r="R19" s="36">
        <f t="shared" si="6"/>
        <v>-1892000</v>
      </c>
      <c r="T19" s="40">
        <f t="shared" si="7"/>
        <v>0.90164786609138636</v>
      </c>
      <c r="U19" s="40"/>
      <c r="V19" s="36">
        <f t="shared" si="11"/>
        <v>18774732.026764665</v>
      </c>
      <c r="W19" s="36">
        <f t="shared" si="9"/>
        <v>-1907.9622756688768</v>
      </c>
      <c r="X19" s="36"/>
      <c r="Y19" s="37">
        <f t="shared" si="10"/>
        <v>-0.11311960166794366</v>
      </c>
    </row>
    <row r="20" spans="1:25" ht="15.5" x14ac:dyDescent="0.35">
      <c r="A20" s="39">
        <f t="shared" si="0"/>
        <v>0</v>
      </c>
      <c r="B20" s="6">
        <v>11</v>
      </c>
      <c r="C20" s="7" t="s">
        <v>21</v>
      </c>
      <c r="D20" s="8">
        <v>1.3222465863333333</v>
      </c>
      <c r="E20" s="8">
        <v>1.1398936833333333</v>
      </c>
      <c r="F20" s="8"/>
      <c r="G20" s="8">
        <v>1.4469846343333335</v>
      </c>
      <c r="H20" s="8">
        <v>1.3203632265833338</v>
      </c>
      <c r="I20" s="35">
        <f t="shared" si="1"/>
        <v>9.4337961836533202E-2</v>
      </c>
      <c r="J20" s="35">
        <f t="shared" si="2"/>
        <v>0.15832138197508261</v>
      </c>
      <c r="K20" s="32">
        <f t="shared" si="3"/>
        <v>0.12473804800000021</v>
      </c>
      <c r="L20" s="32">
        <f t="shared" si="4"/>
        <v>0.18046954325000053</v>
      </c>
      <c r="M20" s="35">
        <f t="shared" si="5"/>
        <v>-8.750708524858497E-2</v>
      </c>
      <c r="N20" s="36">
        <v>0</v>
      </c>
      <c r="T20" s="40"/>
      <c r="U20" s="40"/>
      <c r="V20" s="36">
        <f t="shared" si="11"/>
        <v>0</v>
      </c>
    </row>
    <row r="21" spans="1:25" ht="15.5" x14ac:dyDescent="0.35">
      <c r="A21" s="39">
        <f t="shared" si="0"/>
        <v>0</v>
      </c>
      <c r="B21" s="12"/>
      <c r="C21" s="13" t="s">
        <v>22</v>
      </c>
      <c r="D21" s="14"/>
      <c r="E21" s="14"/>
      <c r="F21" s="14"/>
      <c r="G21" s="14"/>
      <c r="H21" s="14"/>
      <c r="I21" s="35"/>
      <c r="J21" s="35"/>
      <c r="K21" s="32"/>
      <c r="L21" s="32"/>
      <c r="M21" s="35"/>
      <c r="T21" s="40"/>
      <c r="U21" s="40"/>
    </row>
    <row r="22" spans="1:25" ht="15.5" x14ac:dyDescent="0.35">
      <c r="A22" s="39">
        <f t="shared" si="0"/>
        <v>3678000</v>
      </c>
      <c r="B22" s="6">
        <v>12</v>
      </c>
      <c r="C22" s="7" t="s">
        <v>23</v>
      </c>
      <c r="D22" s="8">
        <v>5495.0557006536792</v>
      </c>
      <c r="E22" s="8">
        <v>5495.0557006536792</v>
      </c>
      <c r="F22" s="8"/>
      <c r="G22" s="8">
        <v>6470.3131664442299</v>
      </c>
      <c r="H22" s="8">
        <v>7576.3868197519423</v>
      </c>
      <c r="I22" s="35">
        <f t="shared" si="1"/>
        <v>0.1774790864584932</v>
      </c>
      <c r="J22" s="35">
        <f t="shared" si="2"/>
        <v>0.37876433515508734</v>
      </c>
      <c r="K22" s="32">
        <f t="shared" si="3"/>
        <v>975.25746579055067</v>
      </c>
      <c r="L22" s="32">
        <f t="shared" si="4"/>
        <v>2081.3311190982631</v>
      </c>
      <c r="M22" s="35">
        <f t="shared" si="5"/>
        <v>0.17094592253183882</v>
      </c>
      <c r="N22" s="36">
        <v>6694000</v>
      </c>
      <c r="P22" s="36">
        <v>10372000</v>
      </c>
      <c r="R22" s="36">
        <f t="shared" ref="R22:R23" si="12">+P22-N22</f>
        <v>3678000</v>
      </c>
      <c r="T22" s="40">
        <f t="shared" si="7"/>
        <v>1.549447266208545</v>
      </c>
      <c r="U22" s="40"/>
      <c r="V22" s="36">
        <f t="shared" si="11"/>
        <v>6533142.1836649505</v>
      </c>
      <c r="W22" s="36">
        <f t="shared" ref="W22:W23" si="13">+G22-(V22/1000)</f>
        <v>-62.829017220720743</v>
      </c>
      <c r="X22" s="36"/>
    </row>
    <row r="23" spans="1:25" ht="15.5" x14ac:dyDescent="0.35">
      <c r="A23" s="39">
        <f t="shared" si="0"/>
        <v>10450000</v>
      </c>
      <c r="B23" s="6">
        <v>13</v>
      </c>
      <c r="C23" s="7" t="s">
        <v>24</v>
      </c>
      <c r="D23" s="8">
        <v>8248</v>
      </c>
      <c r="E23" s="8">
        <v>8248</v>
      </c>
      <c r="F23" s="8"/>
      <c r="G23" s="8">
        <v>10363</v>
      </c>
      <c r="H23" s="8">
        <v>13286</v>
      </c>
      <c r="I23" s="35">
        <f t="shared" si="1"/>
        <v>0.25642580019398653</v>
      </c>
      <c r="J23" s="35">
        <f t="shared" si="2"/>
        <v>0.61081474296799221</v>
      </c>
      <c r="K23" s="32">
        <f t="shared" si="3"/>
        <v>2115</v>
      </c>
      <c r="L23" s="32">
        <f t="shared" si="4"/>
        <v>5038</v>
      </c>
      <c r="M23" s="35">
        <f t="shared" si="5"/>
        <v>0.28206117919521367</v>
      </c>
      <c r="N23" s="36">
        <v>10786000</v>
      </c>
      <c r="P23" s="36">
        <v>21236000</v>
      </c>
      <c r="R23" s="36">
        <f t="shared" si="12"/>
        <v>10450000</v>
      </c>
      <c r="T23" s="40">
        <f t="shared" si="7"/>
        <v>1.9688485073243094</v>
      </c>
      <c r="U23" s="40"/>
      <c r="V23" s="36">
        <f t="shared" si="11"/>
        <v>10526810.814611616</v>
      </c>
      <c r="W23" s="36">
        <f t="shared" si="13"/>
        <v>-163.81081461161557</v>
      </c>
      <c r="X23" s="36"/>
    </row>
    <row r="24" spans="1:25" ht="2.25" customHeight="1" x14ac:dyDescent="0.35">
      <c r="A24" s="39">
        <f t="shared" si="0"/>
        <v>0</v>
      </c>
      <c r="B24" s="5"/>
      <c r="C24" s="5"/>
      <c r="D24" s="5"/>
      <c r="E24" s="5"/>
      <c r="F24" s="5"/>
      <c r="G24" s="5"/>
      <c r="H24" s="5"/>
      <c r="I24" s="35" t="e">
        <f t="shared" si="1"/>
        <v>#DIV/0!</v>
      </c>
      <c r="J24" s="35" t="e">
        <f t="shared" si="2"/>
        <v>#DIV/0!</v>
      </c>
      <c r="K24" s="32">
        <f t="shared" si="3"/>
        <v>0</v>
      </c>
      <c r="L24" s="32">
        <f t="shared" si="4"/>
        <v>0</v>
      </c>
      <c r="M24" s="35" t="e">
        <f t="shared" si="5"/>
        <v>#DIV/0!</v>
      </c>
      <c r="T24" s="40" t="e">
        <f t="shared" si="7"/>
        <v>#DIV/0!</v>
      </c>
      <c r="U24" s="40"/>
    </row>
    <row r="25" spans="1:25" ht="15.5" x14ac:dyDescent="0.35">
      <c r="A25" s="39">
        <f t="shared" si="0"/>
        <v>-1145000</v>
      </c>
      <c r="B25" s="9">
        <v>14</v>
      </c>
      <c r="C25" s="10" t="s">
        <v>25</v>
      </c>
      <c r="D25" s="11">
        <v>360937.14973050921</v>
      </c>
      <c r="E25" s="11">
        <v>358496.55365497834</v>
      </c>
      <c r="F25" s="11"/>
      <c r="G25" s="11">
        <v>395882.06671903341</v>
      </c>
      <c r="H25" s="11">
        <v>423458.65314972727</v>
      </c>
      <c r="I25" s="35">
        <f t="shared" si="1"/>
        <v>9.6817179984425294E-2</v>
      </c>
      <c r="J25" s="35">
        <f t="shared" si="2"/>
        <v>0.18120704043718439</v>
      </c>
      <c r="K25" s="32">
        <f t="shared" si="3"/>
        <v>34944.916988524201</v>
      </c>
      <c r="L25" s="32">
        <f t="shared" si="4"/>
        <v>64962.099494748923</v>
      </c>
      <c r="M25" s="35">
        <f t="shared" si="5"/>
        <v>6.9658589638175172E-2</v>
      </c>
      <c r="N25" s="36">
        <f>SUM(N15:N23)</f>
        <v>405069000</v>
      </c>
      <c r="P25" s="36">
        <f>SUM(P15:P23)</f>
        <v>403924000</v>
      </c>
      <c r="R25" s="36">
        <f>SUM(R15:R23)</f>
        <v>-1145000</v>
      </c>
      <c r="T25" s="40">
        <f t="shared" si="7"/>
        <v>0.99717332108850587</v>
      </c>
      <c r="U25" s="40"/>
      <c r="V25" s="36">
        <f>SUM(V15:V23)</f>
        <v>395335131.6395247</v>
      </c>
      <c r="W25" s="36">
        <f>SUM(W15:W23)</f>
        <v>545.48809487439121</v>
      </c>
      <c r="X25" s="36"/>
    </row>
    <row r="26" spans="1:25" ht="15.5" x14ac:dyDescent="0.35">
      <c r="A26" s="39">
        <f t="shared" si="0"/>
        <v>1143000</v>
      </c>
      <c r="B26" s="6">
        <v>15</v>
      </c>
      <c r="C26" s="7" t="s">
        <v>26</v>
      </c>
      <c r="D26" s="8">
        <v>4376.3495490000005</v>
      </c>
      <c r="E26" s="8">
        <v>4376.3495490000005</v>
      </c>
      <c r="F26" s="8"/>
      <c r="G26" s="8">
        <v>4508.5887494999997</v>
      </c>
      <c r="H26" s="8">
        <v>4618.0898692499995</v>
      </c>
      <c r="I26" s="35">
        <f t="shared" si="1"/>
        <v>3.021678205074263E-2</v>
      </c>
      <c r="J26" s="35">
        <f t="shared" si="2"/>
        <v>5.5237891202094991E-2</v>
      </c>
      <c r="K26" s="32">
        <f t="shared" si="3"/>
        <v>132.23920049999924</v>
      </c>
      <c r="L26" s="32">
        <f t="shared" si="4"/>
        <v>241.74032024999906</v>
      </c>
      <c r="M26" s="35">
        <f t="shared" si="5"/>
        <v>2.4287227297487224E-2</v>
      </c>
      <c r="N26" s="36">
        <v>5180000</v>
      </c>
      <c r="P26" s="36">
        <v>6323000</v>
      </c>
      <c r="R26" s="36">
        <f t="shared" ref="R26" si="14">+P26-N26</f>
        <v>1143000</v>
      </c>
      <c r="T26" s="40">
        <f t="shared" si="7"/>
        <v>1.2206563706563707</v>
      </c>
      <c r="U26" s="40"/>
      <c r="V26" s="36">
        <f t="shared" ref="V26:V27" si="15">+N26*$N$30</f>
        <v>5055523.8290087311</v>
      </c>
      <c r="W26" s="36">
        <f t="shared" ref="W26:W27" si="16">+G26-(V26/1000)</f>
        <v>-546.93507950873118</v>
      </c>
      <c r="X26" s="36"/>
    </row>
    <row r="27" spans="1:25" ht="2.25" customHeight="1" x14ac:dyDescent="0.35">
      <c r="A27" s="39">
        <f t="shared" si="0"/>
        <v>0</v>
      </c>
      <c r="B27" s="5"/>
      <c r="C27" s="5"/>
      <c r="D27" s="5"/>
      <c r="E27" s="5"/>
      <c r="F27" s="5"/>
      <c r="G27" s="5"/>
      <c r="H27" s="5"/>
      <c r="I27" s="35" t="e">
        <f t="shared" si="1"/>
        <v>#DIV/0!</v>
      </c>
      <c r="J27" s="35" t="e">
        <f t="shared" si="2"/>
        <v>#DIV/0!</v>
      </c>
      <c r="K27" s="32">
        <f t="shared" si="3"/>
        <v>0</v>
      </c>
      <c r="L27" s="32">
        <f t="shared" si="4"/>
        <v>0</v>
      </c>
      <c r="M27" s="35" t="e">
        <f t="shared" si="5"/>
        <v>#DIV/0!</v>
      </c>
      <c r="T27" s="40" t="e">
        <f t="shared" si="7"/>
        <v>#DIV/0!</v>
      </c>
      <c r="U27" s="40"/>
      <c r="V27" s="36">
        <f t="shared" si="15"/>
        <v>0</v>
      </c>
      <c r="W27" s="36">
        <f t="shared" si="16"/>
        <v>0</v>
      </c>
      <c r="X27" s="36"/>
    </row>
    <row r="28" spans="1:25" ht="15.5" x14ac:dyDescent="0.35">
      <c r="A28" s="39">
        <f t="shared" si="0"/>
        <v>-2000</v>
      </c>
      <c r="B28" s="9">
        <v>16</v>
      </c>
      <c r="C28" s="16" t="s">
        <v>27</v>
      </c>
      <c r="D28" s="23">
        <v>365313.49927950918</v>
      </c>
      <c r="E28" s="23">
        <v>362872.90320397832</v>
      </c>
      <c r="F28" s="16"/>
      <c r="G28" s="23">
        <v>400390.6554685334</v>
      </c>
      <c r="H28" s="23">
        <v>428076.74301897729</v>
      </c>
      <c r="I28" s="35">
        <f t="shared" si="1"/>
        <v>9.6019326573491659E-2</v>
      </c>
      <c r="J28" s="35">
        <f t="shared" si="2"/>
        <v>0.17968781697195646</v>
      </c>
      <c r="K28" s="32">
        <f t="shared" si="3"/>
        <v>35077.156189024216</v>
      </c>
      <c r="L28" s="32">
        <f t="shared" si="4"/>
        <v>65203.839814998966</v>
      </c>
      <c r="M28" s="35">
        <f t="shared" si="5"/>
        <v>6.9147686571370937E-2</v>
      </c>
      <c r="N28" s="36">
        <f>+N26+N25</f>
        <v>410249000</v>
      </c>
      <c r="P28" s="36">
        <f>+P26+P25</f>
        <v>410247000</v>
      </c>
      <c r="R28" s="36">
        <f>+R26+R25</f>
        <v>-2000</v>
      </c>
      <c r="T28" s="40">
        <f t="shared" si="7"/>
        <v>0.99999512491194376</v>
      </c>
      <c r="U28" s="40"/>
      <c r="V28" s="36">
        <f>+V26+V25</f>
        <v>400390655.46853346</v>
      </c>
      <c r="W28" s="36">
        <f>+W26+W25</f>
        <v>-1.4469846343399695</v>
      </c>
      <c r="X28" s="36"/>
    </row>
    <row r="29" spans="1:25" x14ac:dyDescent="0.35">
      <c r="N29" s="36">
        <f>+N28/1000</f>
        <v>410249</v>
      </c>
    </row>
    <row r="30" spans="1:25" x14ac:dyDescent="0.35">
      <c r="N30" s="35">
        <f>+G28/N29</f>
        <v>0.97596985115998669</v>
      </c>
      <c r="O30" s="35"/>
      <c r="P30" s="35"/>
      <c r="Q30" s="35"/>
      <c r="R30" s="35"/>
      <c r="S30" s="35"/>
      <c r="T30" s="35"/>
      <c r="U30" s="35"/>
    </row>
    <row r="32" spans="1:25" x14ac:dyDescent="0.35">
      <c r="B32" t="s">
        <v>28</v>
      </c>
      <c r="C32" t="s">
        <v>29</v>
      </c>
    </row>
    <row r="39" spans="3:26" x14ac:dyDescent="0.35">
      <c r="C39" s="43" t="s">
        <v>72</v>
      </c>
      <c r="D39" s="43"/>
      <c r="E39" s="43"/>
      <c r="F39" s="43"/>
      <c r="G39" s="43"/>
      <c r="H39" s="43"/>
    </row>
    <row r="40" spans="3:26" x14ac:dyDescent="0.35">
      <c r="C40" s="43" t="s">
        <v>76</v>
      </c>
      <c r="D40" s="43"/>
      <c r="E40" s="43"/>
      <c r="F40" s="43"/>
      <c r="G40" s="43"/>
      <c r="H40" s="43"/>
      <c r="K40" s="43" t="s">
        <v>77</v>
      </c>
      <c r="L40" s="43"/>
      <c r="M40" s="43"/>
      <c r="N40" s="51"/>
      <c r="O40" s="51"/>
      <c r="P40" s="51"/>
      <c r="Q40" s="51"/>
      <c r="R40" s="51"/>
      <c r="S40" s="51"/>
      <c r="T40" s="51"/>
      <c r="U40" s="51"/>
      <c r="V40" s="51"/>
      <c r="W40" s="43"/>
      <c r="X40" s="43"/>
      <c r="Y40" s="43"/>
      <c r="Z40" s="43"/>
    </row>
    <row r="41" spans="3:26" x14ac:dyDescent="0.35">
      <c r="C41" s="49"/>
      <c r="D41" s="49"/>
      <c r="E41" s="49"/>
      <c r="F41" s="49"/>
      <c r="G41" s="49"/>
      <c r="H41" s="49"/>
      <c r="K41" s="43" t="s">
        <v>79</v>
      </c>
      <c r="L41" s="43"/>
      <c r="M41" s="43"/>
      <c r="N41" s="51"/>
      <c r="O41" s="51"/>
      <c r="P41" s="51"/>
      <c r="Q41" s="51"/>
      <c r="R41" s="51"/>
      <c r="S41" s="51"/>
      <c r="T41" s="51"/>
      <c r="U41" s="51"/>
      <c r="V41" s="51"/>
      <c r="W41" s="43"/>
      <c r="X41" s="43"/>
      <c r="Y41" s="43"/>
      <c r="Z41" s="43"/>
    </row>
    <row r="42" spans="3:26" x14ac:dyDescent="0.35">
      <c r="K42" s="49"/>
      <c r="L42" s="49"/>
      <c r="M42" s="49"/>
      <c r="N42" s="50"/>
      <c r="O42" s="50"/>
      <c r="P42" s="50"/>
      <c r="Q42" s="50"/>
      <c r="R42" s="50"/>
      <c r="S42" s="50"/>
      <c r="T42" s="50"/>
      <c r="U42" s="50"/>
      <c r="V42" s="50"/>
      <c r="W42" s="49"/>
      <c r="X42" s="49"/>
      <c r="Y42" s="49"/>
      <c r="Z42" s="49"/>
    </row>
    <row r="43" spans="3:26" x14ac:dyDescent="0.35">
      <c r="D43" s="44" t="s">
        <v>65</v>
      </c>
      <c r="E43" s="44"/>
    </row>
    <row r="44" spans="3:26" x14ac:dyDescent="0.35">
      <c r="D44" s="42"/>
      <c r="E44" s="42" t="s">
        <v>24</v>
      </c>
    </row>
    <row r="45" spans="3:26" x14ac:dyDescent="0.35">
      <c r="D45" s="42" t="s">
        <v>73</v>
      </c>
      <c r="E45" s="42" t="s">
        <v>66</v>
      </c>
      <c r="G45" s="42" t="s">
        <v>69</v>
      </c>
      <c r="H45" s="42" t="s">
        <v>70</v>
      </c>
      <c r="N45" s="52" t="s">
        <v>4</v>
      </c>
      <c r="O45" s="52"/>
      <c r="P45" s="52"/>
      <c r="R45" s="52" t="s">
        <v>5</v>
      </c>
      <c r="S45" s="52"/>
      <c r="T45" s="52"/>
      <c r="V45" s="52" t="s">
        <v>82</v>
      </c>
      <c r="W45" s="44"/>
      <c r="Y45" s="44" t="s">
        <v>83</v>
      </c>
      <c r="Z45" s="44"/>
    </row>
    <row r="46" spans="3:26" x14ac:dyDescent="0.35">
      <c r="D46" s="45" t="s">
        <v>67</v>
      </c>
      <c r="E46" s="45" t="s">
        <v>68</v>
      </c>
      <c r="G46" s="45" t="s">
        <v>71</v>
      </c>
      <c r="H46" s="45" t="s">
        <v>75</v>
      </c>
      <c r="N46" s="53" t="s">
        <v>80</v>
      </c>
      <c r="O46" s="53"/>
      <c r="P46" s="53" t="s">
        <v>81</v>
      </c>
      <c r="Q46" s="53"/>
      <c r="R46" s="53" t="s">
        <v>80</v>
      </c>
      <c r="S46" s="53"/>
      <c r="T46" s="53" t="s">
        <v>81</v>
      </c>
      <c r="U46" s="53"/>
      <c r="V46" s="53" t="s">
        <v>80</v>
      </c>
      <c r="W46" s="53" t="s">
        <v>81</v>
      </c>
      <c r="X46" s="53"/>
      <c r="Y46" s="53" t="s">
        <v>80</v>
      </c>
      <c r="Z46" s="53" t="s">
        <v>81</v>
      </c>
    </row>
    <row r="47" spans="3:26" x14ac:dyDescent="0.35">
      <c r="C47" s="41" t="s">
        <v>57</v>
      </c>
      <c r="K47" s="41" t="s">
        <v>57</v>
      </c>
    </row>
    <row r="48" spans="3:26" ht="15.5" x14ac:dyDescent="0.35">
      <c r="C48" s="7" t="s">
        <v>11</v>
      </c>
      <c r="D48" s="47">
        <v>227262000</v>
      </c>
      <c r="E48" s="47">
        <v>204780000</v>
      </c>
      <c r="G48" s="47">
        <f>+E48-D48</f>
        <v>-22482000</v>
      </c>
      <c r="H48" s="35">
        <f>+G48/D48</f>
        <v>-9.8925469282150111E-2</v>
      </c>
      <c r="K48" s="7" t="s">
        <v>11</v>
      </c>
      <c r="N48" s="47">
        <v>203528000</v>
      </c>
      <c r="O48" s="47"/>
      <c r="P48" s="47">
        <v>200729000</v>
      </c>
      <c r="R48" s="47">
        <v>222416000</v>
      </c>
      <c r="S48" s="47"/>
      <c r="T48" s="47">
        <v>232615000</v>
      </c>
      <c r="V48" s="47">
        <f>+R48-N48</f>
        <v>18888000</v>
      </c>
      <c r="W48" s="47">
        <f>+T48-P48</f>
        <v>31886000</v>
      </c>
      <c r="Y48" s="35">
        <f>+R48/N48-1</f>
        <v>9.2802955858653391E-2</v>
      </c>
      <c r="Z48" s="35">
        <f>+T48/P48-1</f>
        <v>0.15885098814819987</v>
      </c>
    </row>
    <row r="49" spans="3:26" ht="15.5" x14ac:dyDescent="0.35">
      <c r="C49" s="7" t="s">
        <v>12</v>
      </c>
      <c r="D49" s="36">
        <v>7314000</v>
      </c>
      <c r="E49" s="36">
        <v>6713000</v>
      </c>
      <c r="G49" s="36">
        <f>+E49-D49</f>
        <v>-601000</v>
      </c>
      <c r="H49" s="35">
        <f t="shared" ref="H49:H53" si="17">+G49/D49</f>
        <v>-8.2171178561662561E-2</v>
      </c>
      <c r="K49" s="7" t="s">
        <v>12</v>
      </c>
      <c r="N49" s="36">
        <v>6564000</v>
      </c>
      <c r="P49" s="36">
        <v>6538000</v>
      </c>
      <c r="R49" s="36">
        <v>7172000</v>
      </c>
      <c r="T49" s="36">
        <v>7568000</v>
      </c>
      <c r="V49" s="36">
        <f>+R49-N49</f>
        <v>608000</v>
      </c>
      <c r="W49" s="36">
        <f>+T49-P49</f>
        <v>1030000</v>
      </c>
      <c r="Y49" s="35">
        <f t="shared" ref="Y49:Y53" si="18">+R49/N49-1</f>
        <v>9.2626447288238989E-2</v>
      </c>
      <c r="Z49" s="35">
        <f t="shared" ref="Z49:Z53" si="19">+T49/P49-1</f>
        <v>0.15754053227286624</v>
      </c>
    </row>
    <row r="50" spans="3:26" ht="15.5" x14ac:dyDescent="0.35">
      <c r="C50" s="7" t="s">
        <v>13</v>
      </c>
      <c r="D50" s="36">
        <v>107728000</v>
      </c>
      <c r="E50" s="36">
        <v>112129000</v>
      </c>
      <c r="G50" s="36">
        <f t="shared" ref="G50:G52" si="20">+E50-D50</f>
        <v>4401000</v>
      </c>
      <c r="H50" s="35">
        <f t="shared" si="17"/>
        <v>4.0852888756869155E-2</v>
      </c>
      <c r="K50" s="7" t="s">
        <v>13</v>
      </c>
      <c r="N50" s="36">
        <v>97538000</v>
      </c>
      <c r="P50" s="36">
        <v>98045000</v>
      </c>
      <c r="R50" s="36">
        <v>106396000</v>
      </c>
      <c r="T50" s="36">
        <v>115901000</v>
      </c>
      <c r="V50" s="36">
        <f t="shared" ref="V50:V52" si="21">+R50-N50</f>
        <v>8858000</v>
      </c>
      <c r="W50" s="36">
        <f t="shared" ref="W50:W52" si="22">+T50-P50</f>
        <v>17856000</v>
      </c>
      <c r="Y50" s="35">
        <f t="shared" si="18"/>
        <v>9.0815887141421747E-2</v>
      </c>
      <c r="Z50" s="35">
        <f t="shared" si="19"/>
        <v>0.1821204548931612</v>
      </c>
    </row>
    <row r="51" spans="3:26" ht="15.5" x14ac:dyDescent="0.35">
      <c r="C51" s="7" t="s">
        <v>14</v>
      </c>
      <c r="D51" s="36">
        <v>4234000</v>
      </c>
      <c r="E51" s="36">
        <v>5430000</v>
      </c>
      <c r="G51" s="36">
        <f t="shared" si="20"/>
        <v>1196000</v>
      </c>
      <c r="H51" s="35">
        <f t="shared" si="17"/>
        <v>0.28247520075578647</v>
      </c>
      <c r="K51" s="7" t="s">
        <v>14</v>
      </c>
      <c r="N51" s="36">
        <v>4086000</v>
      </c>
      <c r="P51" s="36">
        <v>3992000</v>
      </c>
      <c r="R51" s="36">
        <v>4455000</v>
      </c>
      <c r="T51" s="36">
        <v>4729000</v>
      </c>
      <c r="V51" s="36">
        <f t="shared" si="21"/>
        <v>369000</v>
      </c>
      <c r="W51" s="36">
        <f t="shared" si="22"/>
        <v>737000</v>
      </c>
      <c r="Y51" s="35">
        <f t="shared" si="18"/>
        <v>9.0308370044052788E-2</v>
      </c>
      <c r="Z51" s="35">
        <f t="shared" si="19"/>
        <v>0.18461923847695383</v>
      </c>
    </row>
    <row r="52" spans="3:26" ht="15.5" x14ac:dyDescent="0.35">
      <c r="C52" s="7" t="s">
        <v>15</v>
      </c>
      <c r="D52" s="36">
        <v>934000</v>
      </c>
      <c r="E52" s="36">
        <v>1757000</v>
      </c>
      <c r="G52" s="36">
        <f t="shared" si="20"/>
        <v>823000</v>
      </c>
      <c r="H52" s="35">
        <f t="shared" si="17"/>
        <v>0.88115631691648821</v>
      </c>
      <c r="K52" s="7" t="s">
        <v>15</v>
      </c>
      <c r="N52" s="36">
        <v>817000</v>
      </c>
      <c r="P52" s="36">
        <v>853000</v>
      </c>
      <c r="R52" s="36">
        <v>895000</v>
      </c>
      <c r="T52" s="36">
        <v>1014000</v>
      </c>
      <c r="V52" s="36">
        <f t="shared" si="21"/>
        <v>78000</v>
      </c>
      <c r="W52" s="36">
        <f t="shared" si="22"/>
        <v>161000</v>
      </c>
      <c r="Y52" s="35">
        <f t="shared" si="18"/>
        <v>9.5471236230110224E-2</v>
      </c>
      <c r="Z52" s="35">
        <f t="shared" si="19"/>
        <v>0.18874560375146543</v>
      </c>
    </row>
    <row r="53" spans="3:26" ht="15.5" x14ac:dyDescent="0.35">
      <c r="C53" s="16" t="s">
        <v>58</v>
      </c>
      <c r="D53" s="48">
        <f>SUM(D48:D52)</f>
        <v>347472000</v>
      </c>
      <c r="E53" s="48">
        <f>SUM(E48:E52)</f>
        <v>330809000</v>
      </c>
      <c r="G53" s="48">
        <f>SUM(G48:G52)</f>
        <v>-16663000</v>
      </c>
      <c r="H53" s="35">
        <f t="shared" si="17"/>
        <v>-4.7954943132108484E-2</v>
      </c>
      <c r="K53" s="16" t="s">
        <v>58</v>
      </c>
      <c r="N53" s="48">
        <f>SUM(N48:N52)</f>
        <v>312533000</v>
      </c>
      <c r="O53" s="48"/>
      <c r="P53" s="48">
        <f>SUM(P48:P52)</f>
        <v>310157000</v>
      </c>
      <c r="R53" s="48">
        <f>SUM(R48:R52)</f>
        <v>341334000</v>
      </c>
      <c r="S53" s="48"/>
      <c r="T53" s="48">
        <f>SUM(T48:T52)+2000</f>
        <v>361829000</v>
      </c>
      <c r="V53" s="48">
        <f>SUM(V48:V52)</f>
        <v>28801000</v>
      </c>
      <c r="W53" s="48">
        <f>SUM(W48:W52)</f>
        <v>51670000</v>
      </c>
      <c r="Y53" s="35">
        <f t="shared" si="18"/>
        <v>9.2153468593716426E-2</v>
      </c>
      <c r="Z53" s="35">
        <f t="shared" si="19"/>
        <v>0.16659949638408933</v>
      </c>
    </row>
    <row r="54" spans="3:26" x14ac:dyDescent="0.35">
      <c r="N54"/>
      <c r="O54"/>
      <c r="P54"/>
      <c r="R54"/>
      <c r="S54"/>
      <c r="T54"/>
      <c r="V54"/>
    </row>
    <row r="55" spans="3:26" ht="15.5" x14ac:dyDescent="0.35">
      <c r="C55" s="16" t="s">
        <v>59</v>
      </c>
      <c r="K55" s="16" t="s">
        <v>59</v>
      </c>
      <c r="N55"/>
      <c r="O55"/>
      <c r="P55"/>
      <c r="R55"/>
      <c r="S55"/>
      <c r="T55"/>
      <c r="V55"/>
    </row>
    <row r="56" spans="3:26" ht="15.5" x14ac:dyDescent="0.35">
      <c r="C56" s="7" t="s">
        <v>17</v>
      </c>
      <c r="D56" s="47">
        <v>8829000</v>
      </c>
      <c r="E56" s="47">
        <v>8142000</v>
      </c>
      <c r="G56" s="47">
        <f>+E56-D56</f>
        <v>-687000</v>
      </c>
      <c r="H56" s="35">
        <f t="shared" ref="H56:H60" si="23">+G56/D56</f>
        <v>-7.7811756710839286E-2</v>
      </c>
      <c r="K56" s="7" t="s">
        <v>17</v>
      </c>
      <c r="N56" s="47">
        <v>7774000</v>
      </c>
      <c r="O56" s="47"/>
      <c r="P56" s="47">
        <v>7815000</v>
      </c>
      <c r="R56" s="47">
        <v>8461000</v>
      </c>
      <c r="S56" s="47"/>
      <c r="T56" s="47">
        <v>9153000</v>
      </c>
      <c r="V56" s="47">
        <f>+R56-N56</f>
        <v>687000</v>
      </c>
      <c r="W56" s="47">
        <f>+T56-P56</f>
        <v>1338000</v>
      </c>
      <c r="Y56" s="35">
        <f t="shared" ref="Y56:Y60" si="24">+R56/N56-1</f>
        <v>8.8371494726009692E-2</v>
      </c>
      <c r="Z56" s="35">
        <f t="shared" ref="Z56:Z60" si="25">+T56/P56-1</f>
        <v>0.17120921305182346</v>
      </c>
    </row>
    <row r="57" spans="3:26" ht="15.5" x14ac:dyDescent="0.35">
      <c r="C57" s="7" t="s">
        <v>18</v>
      </c>
      <c r="D57" s="36">
        <v>7025000</v>
      </c>
      <c r="E57" s="36">
        <v>9530000</v>
      </c>
      <c r="G57" s="36">
        <f>+E57-D57</f>
        <v>2505000</v>
      </c>
      <c r="H57" s="35">
        <f t="shared" si="23"/>
        <v>0.35658362989323844</v>
      </c>
      <c r="K57" s="7" t="s">
        <v>18</v>
      </c>
      <c r="N57" s="36">
        <v>6159000</v>
      </c>
      <c r="P57" s="36">
        <v>6652000</v>
      </c>
      <c r="R57" s="36">
        <v>6730000</v>
      </c>
      <c r="T57" s="36">
        <v>7880000</v>
      </c>
      <c r="V57" s="36">
        <f>+R57-N57</f>
        <v>571000</v>
      </c>
      <c r="W57" s="36">
        <f>+T57-P57</f>
        <v>1228000</v>
      </c>
      <c r="Y57" s="35">
        <f t="shared" si="24"/>
        <v>9.2709855496022175E-2</v>
      </c>
      <c r="Z57" s="35">
        <f t="shared" si="25"/>
        <v>0.18460613349368615</v>
      </c>
    </row>
    <row r="58" spans="3:26" ht="15.5" x14ac:dyDescent="0.35">
      <c r="C58" s="7" t="s">
        <v>19</v>
      </c>
      <c r="D58" s="36">
        <v>5026000</v>
      </c>
      <c r="E58" s="36">
        <v>6490000</v>
      </c>
      <c r="G58" s="36">
        <f t="shared" ref="G58:G59" si="26">+E58-D58</f>
        <v>1464000</v>
      </c>
      <c r="H58" s="35">
        <f t="shared" si="23"/>
        <v>0.29128531635495425</v>
      </c>
      <c r="K58" s="7" t="s">
        <v>19</v>
      </c>
      <c r="N58" s="36">
        <v>5191000</v>
      </c>
      <c r="P58" s="36">
        <v>5589000</v>
      </c>
      <c r="R58" s="36">
        <v>5656000</v>
      </c>
      <c r="T58" s="36">
        <v>6447000</v>
      </c>
      <c r="V58" s="36">
        <f t="shared" ref="V58:V59" si="27">+R58-N58</f>
        <v>465000</v>
      </c>
      <c r="W58" s="36">
        <f t="shared" ref="W58:W59" si="28">+T58-P58</f>
        <v>858000</v>
      </c>
      <c r="Y58" s="35">
        <f t="shared" si="24"/>
        <v>8.9578115969948024E-2</v>
      </c>
      <c r="Z58" s="35">
        <f t="shared" si="25"/>
        <v>0.15351583467525498</v>
      </c>
    </row>
    <row r="59" spans="3:26" ht="15.5" x14ac:dyDescent="0.35">
      <c r="C59" s="7" t="s">
        <v>20</v>
      </c>
      <c r="D59" s="36">
        <v>19237000</v>
      </c>
      <c r="E59" s="36">
        <v>17345000</v>
      </c>
      <c r="G59" s="36">
        <f t="shared" si="26"/>
        <v>-1892000</v>
      </c>
      <c r="H59" s="35">
        <f t="shared" si="23"/>
        <v>-9.8352133908613609E-2</v>
      </c>
      <c r="K59" s="7" t="s">
        <v>20</v>
      </c>
      <c r="N59" s="36">
        <v>15535000</v>
      </c>
      <c r="P59" s="36">
        <v>14541000</v>
      </c>
      <c r="R59" s="36">
        <v>16867000</v>
      </c>
      <c r="T59" s="36">
        <v>17286000</v>
      </c>
      <c r="V59" s="36">
        <f t="shared" si="27"/>
        <v>1332000</v>
      </c>
      <c r="W59" s="36">
        <f t="shared" si="28"/>
        <v>2745000</v>
      </c>
      <c r="Y59" s="35">
        <f t="shared" si="24"/>
        <v>8.5741873189571827E-2</v>
      </c>
      <c r="Z59" s="35">
        <f t="shared" si="25"/>
        <v>0.18877656282236432</v>
      </c>
    </row>
    <row r="60" spans="3:26" ht="15.5" x14ac:dyDescent="0.35">
      <c r="C60" s="16" t="s">
        <v>58</v>
      </c>
      <c r="D60" s="48">
        <f>SUM(D56:D59)</f>
        <v>40117000</v>
      </c>
      <c r="E60" s="48">
        <f>SUM(E56:E59)</f>
        <v>41507000</v>
      </c>
      <c r="G60" s="48">
        <f>SUM(G56:G59)</f>
        <v>1390000</v>
      </c>
      <c r="H60" s="35">
        <f t="shared" si="23"/>
        <v>3.4648652690879175E-2</v>
      </c>
      <c r="K60" s="16" t="s">
        <v>58</v>
      </c>
      <c r="N60" s="48">
        <f>SUM(N56:N59)</f>
        <v>34659000</v>
      </c>
      <c r="O60" s="48"/>
      <c r="P60" s="48">
        <f>SUM(P56:P59)</f>
        <v>34597000</v>
      </c>
      <c r="R60" s="48">
        <f>SUM(R56:R59)</f>
        <v>37714000</v>
      </c>
      <c r="S60" s="48"/>
      <c r="T60" s="48">
        <f>SUM(T56:T59)</f>
        <v>40766000</v>
      </c>
      <c r="V60" s="48">
        <f>SUM(V56:V59)</f>
        <v>3055000</v>
      </c>
      <c r="W60" s="48">
        <f>SUM(W56:W59)</f>
        <v>6169000</v>
      </c>
      <c r="Y60" s="35">
        <f t="shared" si="24"/>
        <v>8.8144493493753417E-2</v>
      </c>
      <c r="Z60" s="35">
        <f t="shared" si="25"/>
        <v>0.17831025811486545</v>
      </c>
    </row>
    <row r="61" spans="3:26" x14ac:dyDescent="0.35">
      <c r="N61"/>
      <c r="O61"/>
      <c r="P61"/>
      <c r="R61"/>
      <c r="S61"/>
      <c r="T61"/>
      <c r="V61"/>
    </row>
    <row r="62" spans="3:26" ht="15.5" x14ac:dyDescent="0.35">
      <c r="C62" s="16" t="s">
        <v>60</v>
      </c>
      <c r="K62" s="16" t="s">
        <v>60</v>
      </c>
      <c r="N62"/>
      <c r="O62"/>
      <c r="P62"/>
      <c r="R62"/>
      <c r="S62"/>
      <c r="T62"/>
      <c r="V62"/>
    </row>
    <row r="63" spans="3:26" x14ac:dyDescent="0.35">
      <c r="C63" t="s">
        <v>61</v>
      </c>
      <c r="D63" s="47">
        <v>6694000</v>
      </c>
      <c r="E63" s="47">
        <v>10372000</v>
      </c>
      <c r="G63" s="47">
        <f>+E63-D63</f>
        <v>3678000</v>
      </c>
      <c r="H63" s="35">
        <f t="shared" ref="H63:H69" si="29">+G63/D63</f>
        <v>0.549447266208545</v>
      </c>
      <c r="K63" t="s">
        <v>61</v>
      </c>
      <c r="N63" s="47">
        <v>5495000</v>
      </c>
      <c r="O63" s="47"/>
      <c r="P63" s="47">
        <v>5495000</v>
      </c>
      <c r="R63" s="47">
        <v>6470000</v>
      </c>
      <c r="S63" s="47"/>
      <c r="T63" s="47">
        <v>7576000</v>
      </c>
      <c r="V63" s="47">
        <f>+R63-N63</f>
        <v>975000</v>
      </c>
      <c r="W63" s="47">
        <f>+T63-P63</f>
        <v>2081000</v>
      </c>
      <c r="Y63" s="35">
        <f t="shared" ref="Y63:Y65" si="30">+R63/N63-1</f>
        <v>0.17743403093721555</v>
      </c>
      <c r="Z63" s="35">
        <f t="shared" ref="Z63:Z65" si="31">+T63/P63-1</f>
        <v>0.3787079162875342</v>
      </c>
    </row>
    <row r="64" spans="3:26" x14ac:dyDescent="0.35">
      <c r="C64" t="s">
        <v>62</v>
      </c>
      <c r="D64" s="36">
        <v>10786000</v>
      </c>
      <c r="E64" s="36">
        <v>21236000</v>
      </c>
      <c r="G64" s="36">
        <f>+E64-D64</f>
        <v>10450000</v>
      </c>
      <c r="H64" s="35">
        <f t="shared" si="29"/>
        <v>0.96884850732430927</v>
      </c>
      <c r="K64" t="s">
        <v>62</v>
      </c>
      <c r="N64" s="36">
        <v>8248000</v>
      </c>
      <c r="P64" s="36">
        <v>8248000</v>
      </c>
      <c r="R64" s="36">
        <v>10363000</v>
      </c>
      <c r="T64" s="36">
        <v>13286000</v>
      </c>
      <c r="V64" s="36">
        <f>+R64-N64</f>
        <v>2115000</v>
      </c>
      <c r="W64" s="36">
        <f>+T64-P64</f>
        <v>5038000</v>
      </c>
      <c r="Y64" s="35">
        <f t="shared" si="30"/>
        <v>0.25642580019398653</v>
      </c>
      <c r="Z64" s="35">
        <f t="shared" si="31"/>
        <v>0.61081474296799221</v>
      </c>
    </row>
    <row r="65" spans="3:26" x14ac:dyDescent="0.35">
      <c r="C65" s="41" t="s">
        <v>63</v>
      </c>
      <c r="D65" s="48">
        <f>SUM(D63:D64)</f>
        <v>17480000</v>
      </c>
      <c r="E65" s="48">
        <f>SUM(E63:E64)</f>
        <v>31608000</v>
      </c>
      <c r="G65" s="48">
        <f>SUM(G63:G64)</f>
        <v>14128000</v>
      </c>
      <c r="H65" s="35">
        <f t="shared" si="29"/>
        <v>0.80823798627002286</v>
      </c>
      <c r="K65" s="41" t="s">
        <v>63</v>
      </c>
      <c r="N65" s="48">
        <f>SUM(N63:N64)</f>
        <v>13743000</v>
      </c>
      <c r="O65" s="48"/>
      <c r="P65" s="48">
        <f>SUM(P63:P64)</f>
        <v>13743000</v>
      </c>
      <c r="R65" s="48">
        <f>SUM(R63:R64)</f>
        <v>16833000</v>
      </c>
      <c r="S65" s="48"/>
      <c r="T65" s="48">
        <f>SUM(T63:T64)</f>
        <v>20862000</v>
      </c>
      <c r="V65" s="48">
        <f>SUM(V63:V64)</f>
        <v>3090000</v>
      </c>
      <c r="W65" s="48">
        <f>SUM(W63:W64)</f>
        <v>7119000</v>
      </c>
      <c r="Y65" s="35">
        <f t="shared" si="30"/>
        <v>0.2248417376118752</v>
      </c>
      <c r="Z65" s="35">
        <f t="shared" si="31"/>
        <v>0.51800916830386368</v>
      </c>
    </row>
    <row r="66" spans="3:26" x14ac:dyDescent="0.35">
      <c r="H66" s="35"/>
      <c r="L66" s="46"/>
      <c r="N66"/>
      <c r="O66"/>
      <c r="P66"/>
      <c r="R66"/>
      <c r="S66"/>
      <c r="T66"/>
      <c r="V66"/>
    </row>
    <row r="67" spans="3:26" x14ac:dyDescent="0.35">
      <c r="C67" t="s">
        <v>38</v>
      </c>
      <c r="D67" s="47">
        <v>5180000</v>
      </c>
      <c r="E67" s="47">
        <v>6323000</v>
      </c>
      <c r="G67" s="47">
        <f>+E67-D67</f>
        <v>1143000</v>
      </c>
      <c r="H67" s="35">
        <f t="shared" si="29"/>
        <v>0.22065637065637064</v>
      </c>
      <c r="K67" t="s">
        <v>38</v>
      </c>
      <c r="N67" s="47">
        <v>4376000</v>
      </c>
      <c r="O67" s="47"/>
      <c r="P67" s="47">
        <v>4376000</v>
      </c>
      <c r="R67" s="47">
        <v>4509000</v>
      </c>
      <c r="S67" s="47"/>
      <c r="T67" s="47">
        <v>4618000</v>
      </c>
      <c r="V67" s="47">
        <f>+R67-N67</f>
        <v>133000</v>
      </c>
      <c r="W67" s="47">
        <f>+T67-P67</f>
        <v>242000</v>
      </c>
      <c r="Y67" s="35">
        <f t="shared" ref="Y67" si="32">+R67/N67-1</f>
        <v>3.0393053016453342E-2</v>
      </c>
      <c r="Z67" s="35">
        <f t="shared" ref="Z67" si="33">+T67/P67-1</f>
        <v>5.5301645338208472E-2</v>
      </c>
    </row>
    <row r="68" spans="3:26" x14ac:dyDescent="0.35">
      <c r="N68"/>
      <c r="O68"/>
      <c r="P68"/>
      <c r="R68"/>
      <c r="S68"/>
      <c r="T68"/>
      <c r="V68"/>
    </row>
    <row r="69" spans="3:26" x14ac:dyDescent="0.35">
      <c r="C69" s="41" t="s">
        <v>64</v>
      </c>
      <c r="D69" s="48">
        <f>+D67+D65+D60+D53</f>
        <v>410249000</v>
      </c>
      <c r="E69" s="48">
        <f>+E67+E65+E60+E53</f>
        <v>410247000</v>
      </c>
      <c r="G69" s="46">
        <v>0</v>
      </c>
      <c r="H69" s="35">
        <f t="shared" si="29"/>
        <v>0</v>
      </c>
      <c r="K69" s="41" t="s">
        <v>64</v>
      </c>
      <c r="N69" s="48">
        <f>+N67+N65+N60+N53+1000</f>
        <v>365312000</v>
      </c>
      <c r="O69" s="48"/>
      <c r="P69" s="48">
        <f>+P67+P65+P60+P53</f>
        <v>362873000</v>
      </c>
      <c r="R69" s="48">
        <f>+R67+R65+R60+R53+1000</f>
        <v>400391000</v>
      </c>
      <c r="S69" s="48"/>
      <c r="T69" s="48">
        <f>+T67+T65+T60+T53+2000</f>
        <v>428077000</v>
      </c>
      <c r="V69" s="48">
        <f>+V67+V65+V60+V53+1000</f>
        <v>35080000</v>
      </c>
      <c r="W69" s="48">
        <f>+W67+W65+W60+W53+1000</f>
        <v>65201000</v>
      </c>
      <c r="Y69" s="35">
        <f t="shared" ref="Y69" si="34">+R69/N69-1</f>
        <v>9.6024767869656635E-2</v>
      </c>
      <c r="Z69" s="35">
        <f t="shared" ref="Z69" si="35">+T69/P69-1</f>
        <v>0.17968821047584149</v>
      </c>
    </row>
    <row r="70" spans="3:26" x14ac:dyDescent="0.35">
      <c r="C70" s="49"/>
      <c r="D70" s="49"/>
      <c r="E70" s="49"/>
      <c r="F70" s="49"/>
      <c r="G70" s="49"/>
      <c r="H70" s="49"/>
      <c r="K70" s="49"/>
      <c r="L70" s="49"/>
      <c r="M70" s="49"/>
      <c r="N70" s="50"/>
      <c r="O70" s="50"/>
      <c r="P70" s="50"/>
      <c r="Q70" s="50"/>
      <c r="R70" s="50"/>
      <c r="S70" s="50"/>
      <c r="T70" s="50"/>
      <c r="U70" s="50"/>
      <c r="V70" s="50"/>
      <c r="W70" s="49"/>
      <c r="X70" s="49"/>
      <c r="Y70" s="49"/>
      <c r="Z70" s="49"/>
    </row>
    <row r="71" spans="3:26" x14ac:dyDescent="0.35">
      <c r="C71" t="s">
        <v>74</v>
      </c>
      <c r="K71" t="s">
        <v>78</v>
      </c>
    </row>
    <row r="73" spans="3:26" x14ac:dyDescent="0.35">
      <c r="G73" s="48">
        <f>+G59+G56+G49+G48</f>
        <v>-25662000</v>
      </c>
      <c r="K73" s="56" t="s">
        <v>88</v>
      </c>
      <c r="L73" s="43"/>
      <c r="M73" s="43"/>
      <c r="N73" s="51"/>
      <c r="O73" s="51"/>
      <c r="P73" s="51"/>
      <c r="Q73" s="51"/>
      <c r="R73" s="51"/>
      <c r="S73" s="51"/>
      <c r="T73" s="51"/>
    </row>
    <row r="74" spans="3:26" x14ac:dyDescent="0.35">
      <c r="D74" s="63">
        <f>+R69/D69</f>
        <v>0.97597069097060563</v>
      </c>
      <c r="G74">
        <f>+G73*D74</f>
        <v>-25045359.87168768</v>
      </c>
    </row>
    <row r="75" spans="3:26" x14ac:dyDescent="0.35">
      <c r="K75" s="41" t="s">
        <v>87</v>
      </c>
      <c r="P75" s="53"/>
    </row>
    <row r="76" spans="3:26" x14ac:dyDescent="0.35">
      <c r="N76" s="54" t="s">
        <v>84</v>
      </c>
      <c r="O76" s="54"/>
      <c r="P76" s="54" t="s">
        <v>86</v>
      </c>
      <c r="Q76" s="38"/>
      <c r="R76" s="54"/>
      <c r="S76" s="54"/>
      <c r="T76" s="54" t="s">
        <v>70</v>
      </c>
    </row>
    <row r="77" spans="3:26" x14ac:dyDescent="0.35">
      <c r="K77" s="41" t="s">
        <v>57</v>
      </c>
      <c r="N77" s="55" t="s">
        <v>85</v>
      </c>
      <c r="O77" s="54"/>
      <c r="P77" s="55" t="s">
        <v>85</v>
      </c>
      <c r="Q77" s="38"/>
      <c r="R77" s="55" t="s">
        <v>82</v>
      </c>
      <c r="S77" s="54"/>
      <c r="T77" s="55" t="s">
        <v>82</v>
      </c>
    </row>
    <row r="78" spans="3:26" ht="15.5" x14ac:dyDescent="0.35">
      <c r="D78" s="62">
        <f>+E78*$Z$98</f>
        <v>-446588.20585369715</v>
      </c>
      <c r="E78" s="62">
        <f>+G78/$G$98</f>
        <v>0.87608136544306758</v>
      </c>
      <c r="G78" s="57">
        <f>+H78/2</f>
        <v>-10970886.537200578</v>
      </c>
      <c r="H78" s="36">
        <f>+G48*$D$74</f>
        <v>-21941773.074401155</v>
      </c>
      <c r="K78" s="7" t="s">
        <v>11</v>
      </c>
      <c r="N78" s="47">
        <v>203528000</v>
      </c>
      <c r="O78" s="47"/>
      <c r="P78" s="47">
        <v>222416000</v>
      </c>
      <c r="R78" s="47">
        <f>+P78-N78</f>
        <v>18888000</v>
      </c>
      <c r="S78" s="47"/>
      <c r="T78" s="35">
        <f>+P78/N78-1</f>
        <v>9.2802955858653391E-2</v>
      </c>
      <c r="W78" s="58">
        <f t="shared" ref="W78:W83" si="36">+T78/$T$100</f>
        <v>0.95367313324122338</v>
      </c>
    </row>
    <row r="79" spans="3:26" ht="15.5" x14ac:dyDescent="0.35">
      <c r="D79" s="62">
        <f>+E79*$Z$98</f>
        <v>-11938.417921807311</v>
      </c>
      <c r="E79" s="62">
        <f>+G79/$G$98</f>
        <v>2.3419842568778739E-2</v>
      </c>
      <c r="G79" s="57">
        <f t="shared" ref="G79:G97" si="37">+H79/2</f>
        <v>-293279.19263666699</v>
      </c>
      <c r="H79" s="36">
        <f t="shared" ref="H79:H82" si="38">+G49*$D$74</f>
        <v>-586558.38527333399</v>
      </c>
      <c r="K79" s="7" t="s">
        <v>12</v>
      </c>
      <c r="N79" s="36">
        <v>6564000</v>
      </c>
      <c r="P79" s="36">
        <v>7172000</v>
      </c>
      <c r="R79" s="36">
        <f>+P79-N79</f>
        <v>608000</v>
      </c>
      <c r="T79" s="35">
        <f t="shared" ref="T79:T83" si="39">+P79/N79-1</f>
        <v>9.2626447288238989E-2</v>
      </c>
      <c r="W79" s="58">
        <f t="shared" si="36"/>
        <v>0.95185927419079164</v>
      </c>
    </row>
    <row r="80" spans="3:26" ht="15.5" x14ac:dyDescent="0.35">
      <c r="G80" s="57"/>
      <c r="H80" s="36">
        <f t="shared" si="38"/>
        <v>4295247.010961635</v>
      </c>
      <c r="K80" s="7" t="s">
        <v>13</v>
      </c>
      <c r="N80" s="36">
        <v>97538000</v>
      </c>
      <c r="P80" s="36">
        <v>106396000</v>
      </c>
      <c r="R80" s="36">
        <f t="shared" ref="R80:R82" si="40">+P80-N80</f>
        <v>8858000</v>
      </c>
      <c r="T80" s="35">
        <f t="shared" si="39"/>
        <v>9.0815887141421747E-2</v>
      </c>
      <c r="W80" s="58">
        <f t="shared" si="36"/>
        <v>0.93325337363341321</v>
      </c>
    </row>
    <row r="81" spans="4:26" ht="15.5" x14ac:dyDescent="0.35">
      <c r="G81" s="57"/>
      <c r="H81" s="36">
        <f t="shared" si="38"/>
        <v>1167260.9464008443</v>
      </c>
      <c r="K81" s="7" t="s">
        <v>14</v>
      </c>
      <c r="N81" s="36">
        <v>4086000</v>
      </c>
      <c r="P81" s="36">
        <v>4455000</v>
      </c>
      <c r="R81" s="36">
        <f t="shared" si="40"/>
        <v>369000</v>
      </c>
      <c r="T81" s="35">
        <f t="shared" si="39"/>
        <v>9.0308370044052788E-2</v>
      </c>
      <c r="W81" s="58">
        <f t="shared" si="36"/>
        <v>0.92803796410315509</v>
      </c>
    </row>
    <row r="82" spans="4:26" ht="15.5" x14ac:dyDescent="0.35">
      <c r="G82" s="57"/>
      <c r="H82" s="36">
        <f t="shared" si="38"/>
        <v>803223.87866880838</v>
      </c>
      <c r="K82" s="7" t="s">
        <v>15</v>
      </c>
      <c r="N82" s="36">
        <v>817000</v>
      </c>
      <c r="P82" s="36">
        <v>895000</v>
      </c>
      <c r="R82" s="36">
        <f t="shared" si="40"/>
        <v>78000</v>
      </c>
      <c r="T82" s="35">
        <f t="shared" si="39"/>
        <v>9.5471236230110224E-2</v>
      </c>
      <c r="W82" s="58">
        <f t="shared" si="36"/>
        <v>0.98109324371797402</v>
      </c>
    </row>
    <row r="83" spans="4:26" ht="15.5" x14ac:dyDescent="0.35">
      <c r="G83" s="57">
        <f t="shared" si="37"/>
        <v>0</v>
      </c>
      <c r="K83" s="16" t="s">
        <v>58</v>
      </c>
      <c r="N83" s="48">
        <f>SUM(N78:N82)+1000</f>
        <v>312534000</v>
      </c>
      <c r="O83" s="48"/>
      <c r="P83" s="48">
        <f>SUM(P78:P82)</f>
        <v>341334000</v>
      </c>
      <c r="R83" s="48">
        <f>SUM(R78:R82)</f>
        <v>28801000</v>
      </c>
      <c r="S83" s="48"/>
      <c r="T83" s="35">
        <f t="shared" si="39"/>
        <v>9.2149974082819774E-2</v>
      </c>
      <c r="W83" s="58">
        <f t="shared" si="36"/>
        <v>0.94696288171586107</v>
      </c>
    </row>
    <row r="84" spans="4:26" x14ac:dyDescent="0.35">
      <c r="G84" s="57">
        <f t="shared" si="37"/>
        <v>0</v>
      </c>
      <c r="N84"/>
      <c r="O84"/>
      <c r="P84"/>
      <c r="R84"/>
      <c r="S84"/>
    </row>
    <row r="85" spans="4:26" ht="15.5" x14ac:dyDescent="0.35">
      <c r="G85" s="57">
        <f t="shared" si="37"/>
        <v>0</v>
      </c>
      <c r="K85" s="16" t="s">
        <v>59</v>
      </c>
      <c r="N85"/>
      <c r="O85"/>
      <c r="P85"/>
      <c r="R85"/>
      <c r="S85"/>
    </row>
    <row r="86" spans="4:26" ht="15.5" x14ac:dyDescent="0.35">
      <c r="D86" s="62">
        <f>+E86*$Z$98</f>
        <v>-13646.743947223998</v>
      </c>
      <c r="E86" s="62">
        <f>+G86/$G$98</f>
        <v>2.6771101239186346E-2</v>
      </c>
      <c r="G86" s="57">
        <f t="shared" si="37"/>
        <v>-335245.93234840303</v>
      </c>
      <c r="H86" s="36">
        <f t="shared" ref="H86:H89" si="41">+G56*$D$74</f>
        <v>-670491.86469680606</v>
      </c>
      <c r="K86" s="7" t="s">
        <v>17</v>
      </c>
      <c r="N86" s="47">
        <v>7774000</v>
      </c>
      <c r="O86" s="47"/>
      <c r="P86" s="47">
        <v>8461000</v>
      </c>
      <c r="R86" s="47">
        <f>+P86-N86</f>
        <v>687000</v>
      </c>
      <c r="S86" s="47"/>
      <c r="T86" s="35">
        <f t="shared" ref="T86:T91" si="42">+P86/N86-1</f>
        <v>8.8371494726009692E-2</v>
      </c>
      <c r="W86" s="58">
        <f>+T86/$T$100</f>
        <v>0.90813400806894096</v>
      </c>
    </row>
    <row r="87" spans="4:26" ht="15.5" x14ac:dyDescent="0.35">
      <c r="G87" s="57"/>
      <c r="H87" s="36">
        <f t="shared" si="41"/>
        <v>2444806.580881367</v>
      </c>
      <c r="K87" s="7" t="s">
        <v>18</v>
      </c>
      <c r="N87" s="36">
        <v>6159000</v>
      </c>
      <c r="P87" s="36">
        <v>6730000</v>
      </c>
      <c r="R87" s="36">
        <f>+P87-N87</f>
        <v>571000</v>
      </c>
      <c r="T87" s="35">
        <f t="shared" si="42"/>
        <v>9.2709855496022175E-2</v>
      </c>
      <c r="W87" s="58">
        <f>+T87/$T$100</f>
        <v>0.9527164038599778</v>
      </c>
    </row>
    <row r="88" spans="4:26" ht="15.5" x14ac:dyDescent="0.35">
      <c r="G88" s="57"/>
      <c r="H88" s="36">
        <f t="shared" si="41"/>
        <v>1428821.0915809667</v>
      </c>
      <c r="K88" s="7" t="s">
        <v>19</v>
      </c>
      <c r="N88" s="36">
        <v>5191000</v>
      </c>
      <c r="P88" s="36">
        <v>5656000</v>
      </c>
      <c r="R88" s="36">
        <f t="shared" ref="R88:R89" si="43">+P88-N88</f>
        <v>465000</v>
      </c>
      <c r="T88" s="35">
        <f t="shared" si="42"/>
        <v>8.9578115969948024E-2</v>
      </c>
      <c r="W88" s="58">
        <f>+T88/$T$100</f>
        <v>0.92053363749555894</v>
      </c>
    </row>
    <row r="89" spans="4:26" ht="15.5" x14ac:dyDescent="0.35">
      <c r="D89" s="62">
        <f>+E89*$Z$98</f>
        <v>-37583.172559167113</v>
      </c>
      <c r="E89" s="62">
        <f>+G89/$G$98</f>
        <v>7.3727690748967345E-2</v>
      </c>
      <c r="G89" s="57">
        <f t="shared" si="37"/>
        <v>-923268.27365819295</v>
      </c>
      <c r="H89" s="36">
        <f t="shared" si="41"/>
        <v>-1846536.5473163859</v>
      </c>
      <c r="K89" s="7" t="s">
        <v>20</v>
      </c>
      <c r="N89" s="36">
        <v>15535000</v>
      </c>
      <c r="P89" s="36">
        <v>16867000</v>
      </c>
      <c r="R89" s="36">
        <f t="shared" si="43"/>
        <v>1332000</v>
      </c>
      <c r="T89" s="35">
        <f t="shared" si="42"/>
        <v>8.5741873189571827E-2</v>
      </c>
      <c r="W89" s="58">
        <f>+T89/$T$100</f>
        <v>0.88111116826076841</v>
      </c>
    </row>
    <row r="90" spans="4:26" s="64" customFormat="1" ht="15.5" x14ac:dyDescent="0.35">
      <c r="D90" s="65"/>
      <c r="E90" s="65"/>
      <c r="G90" s="66"/>
      <c r="H90" s="36"/>
      <c r="K90" s="68" t="s">
        <v>21</v>
      </c>
      <c r="N90" s="67">
        <v>1000</v>
      </c>
      <c r="O90" s="67"/>
      <c r="P90" s="67">
        <v>1000</v>
      </c>
      <c r="Q90" s="67"/>
      <c r="R90" s="71">
        <v>0</v>
      </c>
      <c r="S90" s="67"/>
      <c r="T90" s="69">
        <f t="shared" si="42"/>
        <v>0</v>
      </c>
      <c r="U90" s="67"/>
      <c r="V90" s="67"/>
      <c r="W90" s="70"/>
    </row>
    <row r="91" spans="4:26" ht="15.5" x14ac:dyDescent="0.35">
      <c r="G91" s="57">
        <f t="shared" si="37"/>
        <v>0</v>
      </c>
      <c r="K91" s="16" t="s">
        <v>58</v>
      </c>
      <c r="N91" s="48">
        <f>SUM(N86:N90)</f>
        <v>34660000</v>
      </c>
      <c r="O91" s="48"/>
      <c r="P91" s="48">
        <f>SUM(P86:P89)</f>
        <v>37714000</v>
      </c>
      <c r="R91" s="48">
        <f>SUM(R86:R89)</f>
        <v>3055000</v>
      </c>
      <c r="S91" s="48"/>
      <c r="T91" s="35">
        <f t="shared" si="42"/>
        <v>8.8113098672821799E-2</v>
      </c>
      <c r="W91" s="58">
        <f>+T91/$T$100</f>
        <v>0.90547864681044621</v>
      </c>
    </row>
    <row r="92" spans="4:26" x14ac:dyDescent="0.35">
      <c r="G92" s="57">
        <f t="shared" si="37"/>
        <v>0</v>
      </c>
      <c r="N92"/>
      <c r="O92"/>
      <c r="P92"/>
      <c r="R92"/>
      <c r="S92"/>
      <c r="T92" s="35"/>
    </row>
    <row r="93" spans="4:26" ht="15.5" x14ac:dyDescent="0.35">
      <c r="G93" s="57">
        <f t="shared" si="37"/>
        <v>0</v>
      </c>
      <c r="K93" s="16" t="s">
        <v>60</v>
      </c>
      <c r="N93"/>
      <c r="O93"/>
      <c r="P93"/>
      <c r="R93"/>
      <c r="S93"/>
    </row>
    <row r="94" spans="4:26" x14ac:dyDescent="0.35">
      <c r="G94" s="57"/>
      <c r="H94" s="36">
        <f>+G63*$D$74</f>
        <v>3589620.2013898874</v>
      </c>
      <c r="K94" t="s">
        <v>61</v>
      </c>
      <c r="N94" s="47">
        <v>5495000</v>
      </c>
      <c r="O94" s="47"/>
      <c r="P94" s="47">
        <v>6470000</v>
      </c>
      <c r="R94" s="47">
        <f>+P94-N94</f>
        <v>975000</v>
      </c>
      <c r="S94" s="47"/>
      <c r="T94" s="35">
        <f>+P94/N94-1</f>
        <v>0.17743403093721555</v>
      </c>
      <c r="W94" s="58">
        <f t="shared" ref="W94:W100" si="44">+T94/$T$100</f>
        <v>1.823369381523166</v>
      </c>
    </row>
    <row r="95" spans="4:26" x14ac:dyDescent="0.35">
      <c r="G95" s="57"/>
      <c r="H95" s="36">
        <f>+G64*$D$74</f>
        <v>10198893.720642829</v>
      </c>
      <c r="K95" t="s">
        <v>62</v>
      </c>
      <c r="N95" s="36">
        <v>8248000</v>
      </c>
      <c r="P95" s="36">
        <v>10363000</v>
      </c>
      <c r="R95" s="36">
        <f>+P95-N95</f>
        <v>2115000</v>
      </c>
      <c r="T95" s="35">
        <f>+P95/N95-1</f>
        <v>0.25642580019398653</v>
      </c>
      <c r="W95" s="58">
        <f t="shared" si="44"/>
        <v>2.6351143026882839</v>
      </c>
      <c r="Z95">
        <f>+T100*2</f>
        <v>0.19462214594060434</v>
      </c>
    </row>
    <row r="96" spans="4:26" x14ac:dyDescent="0.35">
      <c r="G96" s="57">
        <f t="shared" si="37"/>
        <v>0</v>
      </c>
      <c r="K96" s="41" t="s">
        <v>63</v>
      </c>
      <c r="N96" s="48">
        <f>SUM(N94:N95)</f>
        <v>13743000</v>
      </c>
      <c r="O96" s="48"/>
      <c r="P96" s="48">
        <f>SUM(P94:P95)</f>
        <v>16833000</v>
      </c>
      <c r="R96" s="48">
        <f>SUM(R94:R95)</f>
        <v>3090000</v>
      </c>
      <c r="S96" s="48"/>
      <c r="T96" s="35">
        <f>+P96/N96-1</f>
        <v>0.2248417376118752</v>
      </c>
      <c r="W96" s="58">
        <f t="shared" si="44"/>
        <v>2.3105462795636158</v>
      </c>
      <c r="Z96">
        <f>+N95*(1+Z95)</f>
        <v>9853243.4597181045</v>
      </c>
    </row>
    <row r="97" spans="7:26" x14ac:dyDescent="0.35">
      <c r="G97" s="57">
        <f t="shared" si="37"/>
        <v>0</v>
      </c>
      <c r="N97"/>
      <c r="O97"/>
      <c r="P97"/>
      <c r="R97"/>
      <c r="S97"/>
      <c r="T97" s="35"/>
      <c r="W97" s="58"/>
      <c r="Z97" s="62">
        <f>+Z96/N95-1</f>
        <v>0.19462214594060434</v>
      </c>
    </row>
    <row r="98" spans="7:26" x14ac:dyDescent="0.35">
      <c r="G98" s="57">
        <f>SUM(G78:G97)</f>
        <v>-12522679.93584384</v>
      </c>
      <c r="H98" s="36">
        <f t="shared" ref="H98" si="45">+G67*$D$74</f>
        <v>1115534.4997794023</v>
      </c>
      <c r="K98" t="s">
        <v>38</v>
      </c>
      <c r="N98" s="47">
        <v>4376000</v>
      </c>
      <c r="O98" s="47"/>
      <c r="P98" s="72">
        <v>4980000</v>
      </c>
      <c r="Q98" s="67"/>
      <c r="R98" s="72">
        <f>+P98-N98</f>
        <v>604000</v>
      </c>
      <c r="S98" s="72"/>
      <c r="T98" s="69">
        <f>+P98/N98-1</f>
        <v>0.13802559414990867</v>
      </c>
      <c r="W98" s="58">
        <f t="shared" si="44"/>
        <v>1.4183955631856195</v>
      </c>
      <c r="Z98" s="39">
        <f>+Z96-P95</f>
        <v>-509756.54028189555</v>
      </c>
    </row>
    <row r="99" spans="7:26" x14ac:dyDescent="0.35">
      <c r="H99" s="36"/>
      <c r="N99"/>
      <c r="O99"/>
      <c r="P99"/>
      <c r="R99"/>
      <c r="S99"/>
    </row>
    <row r="100" spans="7:26" x14ac:dyDescent="0.35">
      <c r="H100" s="39"/>
      <c r="K100" s="41" t="s">
        <v>64</v>
      </c>
      <c r="N100" s="48">
        <f>+N98+N96+N91+N83</f>
        <v>365313000</v>
      </c>
      <c r="O100" s="48"/>
      <c r="P100" s="73">
        <f>+P98+P96+P91+P83+1000</f>
        <v>400862000</v>
      </c>
      <c r="Q100" s="67"/>
      <c r="R100" s="73">
        <f>+R98+R96+R91+R83+1000-2000</f>
        <v>35549000</v>
      </c>
      <c r="S100" s="73"/>
      <c r="T100" s="69">
        <f>+P100/N100-1</f>
        <v>9.731107297030217E-2</v>
      </c>
      <c r="W100" s="58">
        <f t="shared" si="44"/>
        <v>1</v>
      </c>
    </row>
    <row r="101" spans="7:26" x14ac:dyDescent="0.35">
      <c r="H101" s="39">
        <f>+H89+H86+H79+H78</f>
        <v>-25045359.87168768</v>
      </c>
      <c r="W101" s="58"/>
    </row>
    <row r="102" spans="7:26" x14ac:dyDescent="0.35">
      <c r="H102">
        <f>+H101/0.98</f>
        <v>-25556489.66498743</v>
      </c>
      <c r="K102" s="49"/>
      <c r="L102" s="49"/>
      <c r="M102" s="49"/>
      <c r="N102" s="50"/>
      <c r="O102" s="50"/>
      <c r="P102" s="50"/>
      <c r="Q102" s="50"/>
      <c r="R102" s="50"/>
      <c r="S102" s="50"/>
      <c r="T102" s="50"/>
      <c r="W102" s="58"/>
    </row>
    <row r="103" spans="7:26" x14ac:dyDescent="0.35">
      <c r="W103" s="58"/>
    </row>
    <row r="104" spans="7:26" x14ac:dyDescent="0.35">
      <c r="H104">
        <v>401937000</v>
      </c>
      <c r="K104" s="41" t="s">
        <v>89</v>
      </c>
      <c r="W104" s="58"/>
    </row>
    <row r="105" spans="7:26" x14ac:dyDescent="0.35">
      <c r="H105">
        <v>410249000</v>
      </c>
      <c r="N105" s="54" t="s">
        <v>84</v>
      </c>
      <c r="O105" s="54"/>
      <c r="P105" s="54" t="s">
        <v>86</v>
      </c>
      <c r="Q105" s="38"/>
      <c r="R105" s="54"/>
      <c r="S105" s="54"/>
      <c r="T105" s="54" t="s">
        <v>70</v>
      </c>
      <c r="Y105">
        <v>-0.5</v>
      </c>
    </row>
    <row r="106" spans="7:26" x14ac:dyDescent="0.35">
      <c r="H106">
        <f>+H104/H105</f>
        <v>0.97973913403810853</v>
      </c>
      <c r="K106" s="41" t="s">
        <v>57</v>
      </c>
      <c r="N106" s="55" t="s">
        <v>85</v>
      </c>
      <c r="O106" s="54"/>
      <c r="P106" s="55" t="s">
        <v>85</v>
      </c>
      <c r="Q106" s="38"/>
      <c r="R106" s="55" t="s">
        <v>82</v>
      </c>
      <c r="S106" s="54"/>
      <c r="T106" s="55" t="s">
        <v>82</v>
      </c>
      <c r="Y106">
        <v>0.5</v>
      </c>
    </row>
    <row r="107" spans="7:26" ht="15.5" x14ac:dyDescent="0.35">
      <c r="K107" s="7" t="s">
        <v>11</v>
      </c>
      <c r="N107" s="47">
        <v>203528000</v>
      </c>
      <c r="O107" s="47"/>
      <c r="P107" s="47">
        <f>+N107+R107</f>
        <v>214498886.53720057</v>
      </c>
      <c r="R107" s="47">
        <f>+$Y$105*H78</f>
        <v>10970886.537200578</v>
      </c>
      <c r="S107" s="47"/>
      <c r="T107" s="35">
        <f>+P107/N107-1</f>
        <v>5.3903573646872038E-2</v>
      </c>
      <c r="W107" s="58">
        <f>+T107/$T$100</f>
        <v>0.55393052405580367</v>
      </c>
      <c r="Y107">
        <f>1-Y106</f>
        <v>0.5</v>
      </c>
    </row>
    <row r="108" spans="7:26" ht="15.5" x14ac:dyDescent="0.35">
      <c r="K108" s="7" t="s">
        <v>12</v>
      </c>
      <c r="N108" s="36">
        <v>6564000</v>
      </c>
      <c r="P108" s="36">
        <f>+N108+R108</f>
        <v>6857279.1926366668</v>
      </c>
      <c r="R108" s="36">
        <f>+$Y$105*H79</f>
        <v>293279.19263666699</v>
      </c>
      <c r="T108" s="35">
        <f t="shared" ref="T108:T112" si="46">+P108/N108-1</f>
        <v>4.4679950127462842E-2</v>
      </c>
      <c r="W108" s="58">
        <f t="shared" ref="W108:W112" si="47">+T108/$T$100</f>
        <v>0.45914559118157572</v>
      </c>
    </row>
    <row r="109" spans="7:26" ht="15.5" x14ac:dyDescent="0.35">
      <c r="K109" s="7" t="s">
        <v>13</v>
      </c>
      <c r="N109" s="36">
        <v>97538000</v>
      </c>
      <c r="P109" s="36">
        <f>+N109+R109</f>
        <v>112071381.18872</v>
      </c>
      <c r="R109" s="36">
        <f>+R80*Y109</f>
        <v>14533381.188720001</v>
      </c>
      <c r="T109" s="35">
        <f t="shared" si="46"/>
        <v>0.14900224721359878</v>
      </c>
      <c r="W109" s="58">
        <f t="shared" si="47"/>
        <v>1.5311951935734174</v>
      </c>
      <c r="Y109" s="61">
        <v>1.64070684</v>
      </c>
    </row>
    <row r="110" spans="7:26" ht="15.5" x14ac:dyDescent="0.35">
      <c r="K110" s="7" t="s">
        <v>14</v>
      </c>
      <c r="N110" s="36">
        <v>4086000</v>
      </c>
      <c r="P110" s="36">
        <f t="shared" ref="P110:P111" si="48">+N110+R110</f>
        <v>4691420.8239599997</v>
      </c>
      <c r="R110" s="36">
        <f>+R81*Y109</f>
        <v>605420.82395999995</v>
      </c>
      <c r="T110" s="35">
        <f t="shared" si="46"/>
        <v>0.14816956044052865</v>
      </c>
      <c r="W110" s="58">
        <f t="shared" si="47"/>
        <v>1.5226382354837225</v>
      </c>
    </row>
    <row r="111" spans="7:26" ht="15.5" x14ac:dyDescent="0.35">
      <c r="K111" s="7" t="s">
        <v>15</v>
      </c>
      <c r="N111" s="36">
        <v>817000</v>
      </c>
      <c r="P111" s="36">
        <f t="shared" si="48"/>
        <v>944975.13352000003</v>
      </c>
      <c r="R111" s="36">
        <f>+R82*Y109</f>
        <v>127975.13352</v>
      </c>
      <c r="T111" s="35">
        <f t="shared" si="46"/>
        <v>0.15664031030599768</v>
      </c>
      <c r="W111" s="58">
        <f t="shared" si="47"/>
        <v>1.6096863956458671</v>
      </c>
    </row>
    <row r="112" spans="7:26" ht="15.5" x14ac:dyDescent="0.35">
      <c r="K112" s="16" t="s">
        <v>58</v>
      </c>
      <c r="N112" s="48">
        <f>SUM(N107:N111)</f>
        <v>312533000</v>
      </c>
      <c r="O112" s="48"/>
      <c r="P112" s="48">
        <f>SUM(P107:P111)</f>
        <v>339063942.87603724</v>
      </c>
      <c r="R112" s="48">
        <f>SUM(R107:R111)</f>
        <v>26530942.876037244</v>
      </c>
      <c r="S112" s="48"/>
      <c r="T112" s="35">
        <f t="shared" si="46"/>
        <v>8.4890052813741956E-2</v>
      </c>
      <c r="W112" s="58">
        <f t="shared" si="47"/>
        <v>0.87235758709236599</v>
      </c>
    </row>
    <row r="113" spans="11:23" x14ac:dyDescent="0.35">
      <c r="N113"/>
      <c r="O113"/>
      <c r="P113"/>
      <c r="R113"/>
      <c r="S113"/>
    </row>
    <row r="114" spans="11:23" ht="15.5" x14ac:dyDescent="0.35">
      <c r="K114" s="16" t="s">
        <v>59</v>
      </c>
      <c r="N114"/>
      <c r="O114"/>
      <c r="P114"/>
      <c r="R114"/>
      <c r="S114"/>
    </row>
    <row r="115" spans="11:23" ht="15.5" x14ac:dyDescent="0.35">
      <c r="K115" s="7" t="s">
        <v>17</v>
      </c>
      <c r="N115" s="47">
        <v>7774000</v>
      </c>
      <c r="O115" s="47"/>
      <c r="P115" s="47">
        <f>+N115+R115</f>
        <v>8109245.9323484031</v>
      </c>
      <c r="R115" s="47">
        <f>+$Y$105*H86</f>
        <v>335245.93234840303</v>
      </c>
      <c r="S115" s="47"/>
      <c r="T115" s="35">
        <f t="shared" ref="T115:T120" si="49">+P115/N115-1</f>
        <v>4.3123994384924424E-2</v>
      </c>
      <c r="W115" s="58">
        <f t="shared" ref="W115:W120" si="50">+T115/$T$100</f>
        <v>0.44315608767447462</v>
      </c>
    </row>
    <row r="116" spans="11:23" ht="15.5" x14ac:dyDescent="0.35">
      <c r="K116" s="7" t="s">
        <v>18</v>
      </c>
      <c r="N116" s="36">
        <v>6159000</v>
      </c>
      <c r="P116" s="36">
        <f>+N116+R116</f>
        <v>7095843.6056399997</v>
      </c>
      <c r="R116" s="36">
        <f>+R87*Y109</f>
        <v>936843.60563999997</v>
      </c>
      <c r="T116" s="35">
        <f t="shared" si="49"/>
        <v>0.15210969404773489</v>
      </c>
      <c r="W116" s="58">
        <f t="shared" si="50"/>
        <v>1.5631283203932651</v>
      </c>
    </row>
    <row r="117" spans="11:23" ht="15.5" x14ac:dyDescent="0.35">
      <c r="K117" s="7" t="s">
        <v>19</v>
      </c>
      <c r="N117" s="36">
        <v>5191000</v>
      </c>
      <c r="P117" s="36">
        <f>+N117+R117</f>
        <v>5953928.6805999996</v>
      </c>
      <c r="R117" s="36">
        <f>+R88*Y109</f>
        <v>762928.68059999996</v>
      </c>
      <c r="T117" s="35">
        <f t="shared" si="49"/>
        <v>0.14697142758620685</v>
      </c>
      <c r="W117" s="58">
        <f t="shared" si="50"/>
        <v>1.510325835489043</v>
      </c>
    </row>
    <row r="118" spans="11:23" ht="15.5" x14ac:dyDescent="0.35">
      <c r="K118" s="7" t="s">
        <v>20</v>
      </c>
      <c r="N118" s="36">
        <v>15535000</v>
      </c>
      <c r="P118" s="36">
        <f t="shared" ref="P118" si="51">+N118+R118</f>
        <v>16458268.273658194</v>
      </c>
      <c r="R118" s="36">
        <f>+$Y$105*H89</f>
        <v>923268.27365819295</v>
      </c>
      <c r="T118" s="35">
        <f t="shared" si="49"/>
        <v>5.9431494924891748E-2</v>
      </c>
      <c r="W118" s="58">
        <f t="shared" si="50"/>
        <v>0.6107372276434494</v>
      </c>
    </row>
    <row r="119" spans="11:23" ht="15.5" x14ac:dyDescent="0.35">
      <c r="K119" s="68" t="s">
        <v>21</v>
      </c>
      <c r="L119" s="64"/>
      <c r="M119" s="64"/>
      <c r="N119" s="67">
        <v>1000</v>
      </c>
      <c r="O119" s="67"/>
      <c r="P119" s="67">
        <v>1000</v>
      </c>
      <c r="Q119" s="67"/>
      <c r="R119" s="71">
        <v>0</v>
      </c>
      <c r="S119" s="67"/>
      <c r="T119" s="69">
        <f t="shared" si="49"/>
        <v>0</v>
      </c>
      <c r="W119" s="58"/>
    </row>
    <row r="120" spans="11:23" ht="15.5" x14ac:dyDescent="0.35">
      <c r="K120" s="16" t="s">
        <v>58</v>
      </c>
      <c r="N120" s="48">
        <f>SUM(N115:N119)</f>
        <v>34660000</v>
      </c>
      <c r="O120" s="48"/>
      <c r="P120" s="48">
        <f>SUM(P115:P118)</f>
        <v>37617286.492246598</v>
      </c>
      <c r="R120" s="48">
        <f>SUM(R115:R118)</f>
        <v>2958286.4922465961</v>
      </c>
      <c r="S120" s="48"/>
      <c r="T120" s="35">
        <f t="shared" si="49"/>
        <v>8.5322749343525572E-2</v>
      </c>
      <c r="W120" s="58">
        <f t="shared" si="50"/>
        <v>0.87680411631639033</v>
      </c>
    </row>
    <row r="121" spans="11:23" x14ac:dyDescent="0.35">
      <c r="N121"/>
      <c r="O121"/>
      <c r="P121"/>
      <c r="R121"/>
      <c r="S121"/>
      <c r="T121" s="35"/>
    </row>
    <row r="122" spans="11:23" ht="15.5" x14ac:dyDescent="0.35">
      <c r="K122" s="16" t="s">
        <v>60</v>
      </c>
      <c r="N122"/>
      <c r="O122"/>
      <c r="P122"/>
      <c r="R122"/>
      <c r="S122"/>
    </row>
    <row r="123" spans="11:23" x14ac:dyDescent="0.35">
      <c r="K123" t="s">
        <v>61</v>
      </c>
      <c r="N123" s="47">
        <v>5495000</v>
      </c>
      <c r="O123" s="47"/>
      <c r="P123" s="47">
        <f>+N123+R123</f>
        <v>7094689.1689999998</v>
      </c>
      <c r="R123" s="48">
        <f>+R94*Y109</f>
        <v>1599689.169</v>
      </c>
      <c r="S123" s="47"/>
      <c r="T123" s="35">
        <f>+P123/N123-1</f>
        <v>0.29111722820746122</v>
      </c>
      <c r="W123" s="58">
        <f t="shared" ref="W123:W129" si="52">+T123/$T$100</f>
        <v>2.9916146161116286</v>
      </c>
    </row>
    <row r="124" spans="11:23" x14ac:dyDescent="0.35">
      <c r="K124" t="s">
        <v>62</v>
      </c>
      <c r="N124" s="36">
        <v>8248000</v>
      </c>
      <c r="P124" s="36">
        <f>+N124+R124</f>
        <v>11718094.966600001</v>
      </c>
      <c r="R124" s="36">
        <f>+R95*Y109</f>
        <v>3470094.9665999999</v>
      </c>
      <c r="T124" s="35">
        <f>+P124/N124-1</f>
        <v>0.42071956433074686</v>
      </c>
      <c r="W124" s="58">
        <f t="shared" si="52"/>
        <v>4.3234500606024966</v>
      </c>
    </row>
    <row r="125" spans="11:23" x14ac:dyDescent="0.35">
      <c r="K125" s="41" t="s">
        <v>63</v>
      </c>
      <c r="N125" s="48">
        <f>SUM(N123:N124)</f>
        <v>13743000</v>
      </c>
      <c r="O125" s="48"/>
      <c r="P125" s="48">
        <f>SUM(P123:P124)</f>
        <v>18812784.135600001</v>
      </c>
      <c r="R125" s="48">
        <f>SUM(R123:R124)</f>
        <v>5069784.1355999997</v>
      </c>
      <c r="S125" s="48"/>
      <c r="T125" s="35">
        <f>+P125/N125-1</f>
        <v>0.36889937681728879</v>
      </c>
      <c r="W125" s="58">
        <f t="shared" si="52"/>
        <v>3.7909290850165753</v>
      </c>
    </row>
    <row r="126" spans="11:23" x14ac:dyDescent="0.35">
      <c r="N126"/>
      <c r="O126"/>
      <c r="P126"/>
      <c r="R126"/>
      <c r="S126"/>
      <c r="T126" s="35"/>
      <c r="W126" s="58"/>
    </row>
    <row r="127" spans="11:23" x14ac:dyDescent="0.35">
      <c r="K127" t="s">
        <v>38</v>
      </c>
      <c r="N127" s="47">
        <v>4376000</v>
      </c>
      <c r="O127" s="47"/>
      <c r="P127" s="72">
        <f>+N127+R127</f>
        <v>5366986.9313599998</v>
      </c>
      <c r="Q127" s="67"/>
      <c r="R127" s="73">
        <f>+R98*Y109</f>
        <v>990986.93136000005</v>
      </c>
      <c r="S127" s="72"/>
      <c r="T127" s="69">
        <f>+P127/N127-1</f>
        <v>0.22645953641681893</v>
      </c>
      <c r="W127" s="58">
        <f t="shared" si="52"/>
        <v>2.3271713023442961</v>
      </c>
    </row>
    <row r="128" spans="11:23" x14ac:dyDescent="0.35">
      <c r="N128"/>
      <c r="O128"/>
      <c r="P128" s="36">
        <f>+N128+R128</f>
        <v>0</v>
      </c>
      <c r="R128"/>
      <c r="S128"/>
    </row>
    <row r="129" spans="11:23" x14ac:dyDescent="0.35">
      <c r="K129" s="41" t="s">
        <v>64</v>
      </c>
      <c r="N129" s="48">
        <f>+N127+N125+N120+N112+1000</f>
        <v>365313000</v>
      </c>
      <c r="O129" s="48"/>
      <c r="P129" s="73">
        <f>+P127+P125+P120+P112+1000</f>
        <v>400862000.43524384</v>
      </c>
      <c r="Q129" s="67"/>
      <c r="R129" s="73">
        <f>+R127+R125+R120+R112-1000</f>
        <v>35549000.435243838</v>
      </c>
      <c r="S129" s="73"/>
      <c r="T129" s="69">
        <f>+P129/N129-1</f>
        <v>9.731107416172935E-2</v>
      </c>
      <c r="W129" s="58">
        <f t="shared" si="52"/>
        <v>1.0000000122434902</v>
      </c>
    </row>
    <row r="133" spans="11:23" x14ac:dyDescent="0.35">
      <c r="P133" s="36">
        <f>+P129-P100</f>
        <v>0.43524384498596191</v>
      </c>
      <c r="R133" s="36">
        <v>35080000</v>
      </c>
    </row>
    <row r="134" spans="11:23" x14ac:dyDescent="0.35">
      <c r="N134" s="36">
        <f>+N125+N117++N116+N111+N110+N109</f>
        <v>127534000</v>
      </c>
      <c r="R134" s="36">
        <f>+R133-R129</f>
        <v>-469000.43524383754</v>
      </c>
      <c r="T134" s="36">
        <f>+R134+N134</f>
        <v>127064999.56475616</v>
      </c>
      <c r="V134" s="40">
        <f>+T134/N134-1</f>
        <v>-3.6774541317911025E-3</v>
      </c>
    </row>
    <row r="135" spans="11:23" x14ac:dyDescent="0.35">
      <c r="R135" s="59">
        <f>+R133/R129</f>
        <v>0.98680693044806789</v>
      </c>
    </row>
    <row r="136" spans="11:23" x14ac:dyDescent="0.35">
      <c r="R136" s="36">
        <v>8993320</v>
      </c>
    </row>
    <row r="137" spans="11:23" x14ac:dyDescent="0.35">
      <c r="R137" s="60">
        <f>+R133/R136</f>
        <v>3.9006729439183752</v>
      </c>
    </row>
  </sheetData>
  <pageMargins left="0.7" right="0.7" top="0.75" bottom="0.75" header="0.3" footer="0.3"/>
  <pageSetup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dimension ref="B2:O72"/>
  <sheetViews>
    <sheetView topLeftCell="A27" workbookViewId="0">
      <selection activeCell="D27" sqref="D27"/>
    </sheetView>
  </sheetViews>
  <sheetFormatPr defaultRowHeight="14.5" x14ac:dyDescent="0.35"/>
  <cols>
    <col min="3" max="3" width="38.81640625" bestFit="1" customWidth="1"/>
    <col min="4" max="4" width="11.54296875" bestFit="1" customWidth="1"/>
    <col min="5" max="5" width="11" bestFit="1" customWidth="1"/>
    <col min="6" max="6" width="4.7265625" customWidth="1"/>
    <col min="7" max="8" width="11" bestFit="1" customWidth="1"/>
  </cols>
  <sheetData>
    <row r="2" spans="2:8" ht="18" x14ac:dyDescent="0.4">
      <c r="B2" s="17" t="s">
        <v>30</v>
      </c>
      <c r="C2" s="17"/>
      <c r="D2" s="17"/>
      <c r="E2" s="17"/>
      <c r="F2" s="17"/>
      <c r="G2" s="17"/>
      <c r="H2" s="17"/>
    </row>
    <row r="3" spans="2:8" ht="18" x14ac:dyDescent="0.4">
      <c r="B3" s="18" t="s">
        <v>1</v>
      </c>
      <c r="C3" s="18"/>
      <c r="D3" s="18"/>
      <c r="E3" s="18"/>
      <c r="F3" s="18"/>
      <c r="G3" s="18"/>
      <c r="H3" s="18"/>
    </row>
    <row r="4" spans="2:8" x14ac:dyDescent="0.35">
      <c r="B4" s="19"/>
      <c r="C4" s="19"/>
      <c r="F4" s="19"/>
    </row>
    <row r="5" spans="2:8" ht="18.5" x14ac:dyDescent="0.65">
      <c r="B5" s="1"/>
      <c r="C5" s="2"/>
      <c r="D5" s="3" t="s">
        <v>31</v>
      </c>
      <c r="E5" s="3"/>
      <c r="F5" s="2"/>
      <c r="G5" s="3"/>
      <c r="H5" s="3"/>
    </row>
    <row r="6" spans="2:8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8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8" ht="15.5" x14ac:dyDescent="0.35">
      <c r="B8" s="20" t="s">
        <v>32</v>
      </c>
      <c r="C8" s="21"/>
      <c r="D8" s="21"/>
      <c r="E8" s="21"/>
      <c r="F8" s="21"/>
      <c r="G8" s="21"/>
      <c r="H8" s="21"/>
    </row>
    <row r="9" spans="2:8" ht="15.5" x14ac:dyDescent="0.35">
      <c r="B9" s="6">
        <v>1</v>
      </c>
      <c r="C9" s="7" t="s">
        <v>11</v>
      </c>
      <c r="D9" s="22">
        <v>154446.4952799117</v>
      </c>
      <c r="E9" s="22">
        <v>152637.80219026882</v>
      </c>
      <c r="F9" s="7"/>
      <c r="G9" s="22">
        <v>168639.9339701022</v>
      </c>
      <c r="H9" s="22">
        <v>180433.20090536133</v>
      </c>
    </row>
    <row r="10" spans="2:8" ht="15.5" x14ac:dyDescent="0.35">
      <c r="B10" s="6">
        <v>2</v>
      </c>
      <c r="C10" s="7" t="s">
        <v>12</v>
      </c>
      <c r="D10" s="8">
        <v>5083.4792105797987</v>
      </c>
      <c r="E10" s="8">
        <v>5067.0978973015381</v>
      </c>
      <c r="F10" s="7"/>
      <c r="G10" s="8">
        <v>5543.6139472320774</v>
      </c>
      <c r="H10" s="8">
        <v>5980.0400872060018</v>
      </c>
    </row>
    <row r="11" spans="2:8" ht="15.5" x14ac:dyDescent="0.35">
      <c r="B11" s="6">
        <v>3</v>
      </c>
      <c r="C11" s="7" t="s">
        <v>13</v>
      </c>
      <c r="D11" s="8">
        <v>74415.811252194486</v>
      </c>
      <c r="E11" s="8">
        <v>74770.2483075778</v>
      </c>
      <c r="F11" s="7"/>
      <c r="G11" s="8">
        <v>81873.920761093206</v>
      </c>
      <c r="H11" s="8">
        <v>89294.794549335318</v>
      </c>
    </row>
    <row r="12" spans="2:8" ht="15.5" x14ac:dyDescent="0.35">
      <c r="B12" s="6">
        <v>4</v>
      </c>
      <c r="C12" s="7" t="s">
        <v>14</v>
      </c>
      <c r="D12" s="8">
        <v>3164.2605951938026</v>
      </c>
      <c r="E12" s="8">
        <v>3093.0068235062304</v>
      </c>
      <c r="F12" s="7"/>
      <c r="G12" s="8">
        <v>3482.3118792488581</v>
      </c>
      <c r="H12" s="8">
        <v>3695.0884251192178</v>
      </c>
    </row>
    <row r="13" spans="2:8" ht="15.5" x14ac:dyDescent="0.35">
      <c r="B13" s="6">
        <v>5</v>
      </c>
      <c r="C13" s="7" t="s">
        <v>15</v>
      </c>
      <c r="D13" s="8">
        <v>655.85475525439176</v>
      </c>
      <c r="E13" s="8">
        <v>682.10649558826822</v>
      </c>
      <c r="F13" s="7"/>
      <c r="G13" s="8">
        <v>720.23286740514436</v>
      </c>
      <c r="H13" s="8">
        <v>813.36400038267402</v>
      </c>
    </row>
    <row r="14" spans="2:8" ht="15.5" x14ac:dyDescent="0.35">
      <c r="B14" s="6">
        <v>6</v>
      </c>
      <c r="C14" s="7" t="s">
        <v>33</v>
      </c>
      <c r="D14" s="8">
        <v>2606.1825880536035</v>
      </c>
      <c r="E14" s="8">
        <v>2611.5314831308574</v>
      </c>
      <c r="F14" s="7"/>
      <c r="G14" s="8">
        <v>2878.275438537215</v>
      </c>
      <c r="H14" s="8">
        <v>3132.8874561250577</v>
      </c>
    </row>
    <row r="15" spans="2:8" ht="15.5" x14ac:dyDescent="0.35">
      <c r="B15" s="6">
        <v>7</v>
      </c>
      <c r="C15" s="7" t="s">
        <v>34</v>
      </c>
      <c r="D15" s="8">
        <v>2927.7297520826669</v>
      </c>
      <c r="E15" s="8">
        <v>2939.3314002940006</v>
      </c>
      <c r="F15" s="7"/>
      <c r="G15" s="8">
        <v>3134.8097059236666</v>
      </c>
      <c r="H15" s="8">
        <v>3382.6402449627499</v>
      </c>
    </row>
    <row r="16" spans="2:8" ht="2.25" customHeight="1" x14ac:dyDescent="0.35">
      <c r="B16" s="21"/>
      <c r="C16" s="21"/>
      <c r="D16" s="21"/>
      <c r="E16" s="21"/>
      <c r="F16" s="21"/>
      <c r="G16" s="21"/>
      <c r="H16" s="21"/>
    </row>
    <row r="17" spans="2:15" ht="15.5" x14ac:dyDescent="0.35">
      <c r="B17" s="6">
        <v>8</v>
      </c>
      <c r="C17" s="10" t="s">
        <v>16</v>
      </c>
      <c r="D17" s="11">
        <v>243299.81343327046</v>
      </c>
      <c r="E17" s="11">
        <v>241801.12459766751</v>
      </c>
      <c r="F17" s="10"/>
      <c r="G17" s="11">
        <v>266273.09856954234</v>
      </c>
      <c r="H17" s="11">
        <v>286732.01566849236</v>
      </c>
      <c r="K17" s="32">
        <f>+D17-SUM(D9:D16)</f>
        <v>0</v>
      </c>
      <c r="L17" s="32">
        <f>+E17-SUM(E9:E16)</f>
        <v>0</v>
      </c>
      <c r="M17" s="32"/>
      <c r="N17" s="32">
        <f>+G17-SUM(G9:G16)</f>
        <v>0</v>
      </c>
      <c r="O17" s="32">
        <f>+H17-SUM(H9:H16)</f>
        <v>0</v>
      </c>
    </row>
    <row r="18" spans="2:15" ht="15.5" x14ac:dyDescent="0.35">
      <c r="B18" s="6">
        <v>9</v>
      </c>
      <c r="C18" s="7" t="s">
        <v>17</v>
      </c>
      <c r="D18" s="8">
        <v>5890.732663363603</v>
      </c>
      <c r="E18" s="8">
        <v>5918.8999697802747</v>
      </c>
      <c r="F18" s="7"/>
      <c r="G18" s="8">
        <v>6477.5012102640012</v>
      </c>
      <c r="H18" s="8">
        <v>7062.1821417848432</v>
      </c>
    </row>
    <row r="19" spans="2:15" ht="15.5" x14ac:dyDescent="0.35">
      <c r="B19" s="6">
        <v>10</v>
      </c>
      <c r="C19" s="7" t="s">
        <v>18</v>
      </c>
      <c r="D19" s="8">
        <v>4716.1205845602626</v>
      </c>
      <c r="E19" s="8">
        <v>5063.3817255440581</v>
      </c>
      <c r="F19" s="7"/>
      <c r="G19" s="8">
        <v>5187.2582981365786</v>
      </c>
      <c r="H19" s="8">
        <v>6048.805058594915</v>
      </c>
    </row>
    <row r="20" spans="2:15" ht="15.5" x14ac:dyDescent="0.35">
      <c r="B20" s="6">
        <v>11</v>
      </c>
      <c r="C20" s="7" t="s">
        <v>35</v>
      </c>
      <c r="D20" s="8">
        <v>3438.8627985251846</v>
      </c>
      <c r="E20" s="8">
        <v>3695.7735729011015</v>
      </c>
      <c r="F20" s="7"/>
      <c r="G20" s="8">
        <v>3798.8840787830036</v>
      </c>
      <c r="H20" s="8">
        <v>4434.5327145352294</v>
      </c>
    </row>
    <row r="21" spans="2:15" ht="15.5" x14ac:dyDescent="0.35">
      <c r="B21" s="6">
        <v>12</v>
      </c>
      <c r="C21" s="7" t="s">
        <v>20</v>
      </c>
      <c r="D21" s="8">
        <v>9533.1960998342893</v>
      </c>
      <c r="E21" s="8">
        <v>8678.3790219524271</v>
      </c>
      <c r="F21" s="7"/>
      <c r="G21" s="8">
        <v>10507.405342785691</v>
      </c>
      <c r="H21" s="8">
        <v>10385.838332033143</v>
      </c>
    </row>
    <row r="22" spans="2:15" ht="15.5" x14ac:dyDescent="0.35">
      <c r="B22" s="6">
        <v>13</v>
      </c>
      <c r="C22" s="7" t="s">
        <v>36</v>
      </c>
      <c r="D22" s="8">
        <v>1.0968674540000001</v>
      </c>
      <c r="E22" s="8">
        <v>0.9806370900000001</v>
      </c>
      <c r="F22" s="7"/>
      <c r="G22" s="8">
        <v>1.1880575086666667</v>
      </c>
      <c r="H22" s="8">
        <v>1.1444101520416665</v>
      </c>
    </row>
    <row r="23" spans="2:15" ht="15.5" x14ac:dyDescent="0.35">
      <c r="B23" s="6">
        <v>14</v>
      </c>
      <c r="C23" s="7" t="s">
        <v>37</v>
      </c>
      <c r="D23" s="8">
        <v>57.266230000000007</v>
      </c>
      <c r="E23" s="8">
        <v>57.266230000000007</v>
      </c>
      <c r="F23" s="7"/>
      <c r="G23" s="8">
        <v>64.191761666666679</v>
      </c>
      <c r="H23" s="8">
        <v>69.620398749999993</v>
      </c>
    </row>
    <row r="24" spans="2:15" ht="15.5" x14ac:dyDescent="0.35">
      <c r="B24" s="6">
        <v>15</v>
      </c>
      <c r="C24" s="7" t="s">
        <v>38</v>
      </c>
      <c r="D24" s="8">
        <v>46849.367353313915</v>
      </c>
      <c r="E24" s="8">
        <v>46849.367353313915</v>
      </c>
      <c r="F24" s="7"/>
      <c r="G24" s="8">
        <v>51562.71570392482</v>
      </c>
      <c r="H24" s="8">
        <v>54121.10894184783</v>
      </c>
    </row>
    <row r="25" spans="2:15" ht="15.5" x14ac:dyDescent="0.35">
      <c r="B25" s="6">
        <v>16</v>
      </c>
      <c r="C25" s="7" t="s">
        <v>39</v>
      </c>
      <c r="D25" s="8">
        <v>7162</v>
      </c>
      <c r="E25" s="8">
        <v>7162</v>
      </c>
      <c r="F25" s="7"/>
      <c r="G25" s="8">
        <v>7162</v>
      </c>
      <c r="H25" s="8">
        <v>7162</v>
      </c>
    </row>
    <row r="26" spans="2:15" ht="2.25" customHeight="1" x14ac:dyDescent="0.35">
      <c r="B26" s="21"/>
      <c r="C26" s="21"/>
      <c r="D26" s="21"/>
      <c r="E26" s="21"/>
      <c r="F26" s="21"/>
      <c r="G26" s="21"/>
      <c r="H26" s="21"/>
    </row>
    <row r="27" spans="2:15" ht="15.5" x14ac:dyDescent="0.35">
      <c r="B27" s="6">
        <v>17</v>
      </c>
      <c r="C27" s="10" t="s">
        <v>40</v>
      </c>
      <c r="D27" s="23">
        <v>320948.45603032171</v>
      </c>
      <c r="E27" s="23">
        <v>319227.17310824926</v>
      </c>
      <c r="F27" s="10"/>
      <c r="G27" s="23">
        <v>351034.24302261177</v>
      </c>
      <c r="H27" s="23">
        <v>376017.24766619038</v>
      </c>
      <c r="K27" s="32">
        <f>+D27-SUM(D17:D26)</f>
        <v>0</v>
      </c>
      <c r="L27" s="32">
        <f>+E27-SUM(E17:E26)</f>
        <v>0</v>
      </c>
      <c r="N27" s="32">
        <f>+G27-SUM(G17:G26)</f>
        <v>0</v>
      </c>
      <c r="O27" s="32">
        <f>+H27-SUM(H17:H26)</f>
        <v>0</v>
      </c>
    </row>
    <row r="28" spans="2:15" ht="2.25" customHeight="1" x14ac:dyDescent="0.35">
      <c r="B28" s="24"/>
      <c r="C28" s="24"/>
      <c r="D28" s="25"/>
      <c r="E28" s="25"/>
      <c r="F28" s="24"/>
      <c r="G28" s="25"/>
      <c r="H28" s="25"/>
    </row>
    <row r="29" spans="2:15" ht="15.5" x14ac:dyDescent="0.35">
      <c r="B29" s="15"/>
      <c r="C29" s="7"/>
      <c r="D29" s="26"/>
      <c r="E29" s="26"/>
      <c r="F29" s="7"/>
      <c r="G29" s="26"/>
      <c r="H29" s="26"/>
    </row>
    <row r="30" spans="2:15" ht="15.5" x14ac:dyDescent="0.35">
      <c r="B30" s="15"/>
      <c r="C30" s="7"/>
      <c r="D30" s="26"/>
      <c r="E30" s="26"/>
      <c r="F30" s="7"/>
      <c r="G30" s="26"/>
      <c r="H30" s="26"/>
    </row>
    <row r="31" spans="2:15" ht="15.5" x14ac:dyDescent="0.35">
      <c r="B31" s="15"/>
      <c r="C31" s="7"/>
      <c r="D31" s="26"/>
      <c r="E31" s="26"/>
      <c r="F31" s="7"/>
      <c r="G31" s="26"/>
      <c r="H31" s="26"/>
    </row>
    <row r="32" spans="2:15" ht="18" x14ac:dyDescent="0.4">
      <c r="B32" s="17" t="s">
        <v>30</v>
      </c>
      <c r="C32" s="17"/>
      <c r="D32" s="17"/>
      <c r="E32" s="17"/>
      <c r="F32" s="17"/>
      <c r="G32" s="17"/>
      <c r="H32" s="17"/>
    </row>
    <row r="33" spans="2:8" ht="18" x14ac:dyDescent="0.4">
      <c r="B33" s="18" t="s">
        <v>1</v>
      </c>
      <c r="C33" s="18"/>
      <c r="D33" s="18"/>
      <c r="E33" s="18"/>
      <c r="F33" s="18"/>
      <c r="G33" s="18"/>
      <c r="H33" s="18"/>
    </row>
    <row r="34" spans="2:8" x14ac:dyDescent="0.35">
      <c r="B34" s="19"/>
      <c r="C34" s="19"/>
      <c r="F34" s="19"/>
    </row>
    <row r="35" spans="2:8" ht="18.5" x14ac:dyDescent="0.65">
      <c r="B35" s="1"/>
      <c r="C35" s="2"/>
      <c r="D35" s="3" t="s">
        <v>41</v>
      </c>
      <c r="E35" s="3"/>
      <c r="F35" s="2"/>
      <c r="G35" s="3"/>
      <c r="H35" s="3"/>
    </row>
    <row r="36" spans="2:8" ht="18.5" x14ac:dyDescent="0.65">
      <c r="B36" s="1" t="s">
        <v>3</v>
      </c>
      <c r="C36" s="2"/>
      <c r="D36" s="3" t="s">
        <v>4</v>
      </c>
      <c r="E36" s="3"/>
      <c r="F36" s="2"/>
      <c r="G36" s="3" t="s">
        <v>5</v>
      </c>
      <c r="H36" s="3"/>
    </row>
    <row r="37" spans="2:8" ht="15.5" x14ac:dyDescent="0.35">
      <c r="B37" s="1" t="s">
        <v>6</v>
      </c>
      <c r="C37" s="1" t="s">
        <v>7</v>
      </c>
      <c r="D37" s="1">
        <v>2026</v>
      </c>
      <c r="E37" s="1">
        <v>2027</v>
      </c>
      <c r="F37" s="1"/>
      <c r="G37" s="1">
        <v>2026</v>
      </c>
      <c r="H37" s="1">
        <v>2027</v>
      </c>
    </row>
    <row r="38" spans="2:8" ht="15.5" x14ac:dyDescent="0.35">
      <c r="B38" s="20" t="s">
        <v>42</v>
      </c>
      <c r="C38" s="27"/>
      <c r="D38" s="27"/>
      <c r="E38" s="27"/>
      <c r="F38" s="27"/>
      <c r="G38" s="27"/>
      <c r="H38" s="27"/>
    </row>
    <row r="39" spans="2:8" ht="15.5" x14ac:dyDescent="0.35">
      <c r="B39" s="28"/>
      <c r="C39" s="29" t="s">
        <v>11</v>
      </c>
      <c r="D39" s="28"/>
      <c r="E39" s="28"/>
      <c r="F39" s="29"/>
      <c r="G39" s="28"/>
      <c r="H39" s="28"/>
    </row>
    <row r="40" spans="2:8" ht="15.5" x14ac:dyDescent="0.35">
      <c r="B40" s="6">
        <v>1</v>
      </c>
      <c r="C40" s="7" t="s">
        <v>43</v>
      </c>
      <c r="D40" s="22">
        <v>103479.370851386</v>
      </c>
      <c r="E40" s="22">
        <v>103896.451264002</v>
      </c>
      <c r="F40" s="7"/>
      <c r="G40" s="22">
        <v>107600.07827109552</v>
      </c>
      <c r="H40" s="22">
        <v>117642.75806181952</v>
      </c>
    </row>
    <row r="41" spans="2:8" ht="15.5" x14ac:dyDescent="0.35">
      <c r="B41" s="6">
        <v>2</v>
      </c>
      <c r="C41" s="7" t="s">
        <v>44</v>
      </c>
      <c r="D41" s="8">
        <v>3889.6332532792503</v>
      </c>
      <c r="E41" s="8">
        <v>3904.9997646645006</v>
      </c>
      <c r="F41" s="7"/>
      <c r="G41" s="8">
        <v>4044.6790640718755</v>
      </c>
      <c r="H41" s="8">
        <v>4422.2422963260005</v>
      </c>
    </row>
    <row r="42" spans="2:8" ht="15.5" x14ac:dyDescent="0.35">
      <c r="B42" s="6">
        <v>3</v>
      </c>
      <c r="C42" s="7" t="s">
        <v>45</v>
      </c>
      <c r="D42" s="8">
        <v>828.13339894450007</v>
      </c>
      <c r="E42" s="8">
        <v>831.54827987140015</v>
      </c>
      <c r="F42" s="7"/>
      <c r="G42" s="8">
        <v>861.10720116095001</v>
      </c>
      <c r="H42" s="8">
        <v>941.40981897860001</v>
      </c>
    </row>
    <row r="43" spans="2:8" ht="15.5" x14ac:dyDescent="0.35">
      <c r="B43" s="28"/>
      <c r="C43" s="29" t="s">
        <v>46</v>
      </c>
      <c r="D43" s="28"/>
      <c r="E43" s="28"/>
      <c r="F43" s="29"/>
      <c r="G43" s="28"/>
      <c r="H43" s="28"/>
    </row>
    <row r="44" spans="2:8" ht="15.5" x14ac:dyDescent="0.35">
      <c r="B44" s="6">
        <v>4</v>
      </c>
      <c r="C44" s="7" t="s">
        <v>43</v>
      </c>
      <c r="D44" s="8">
        <v>95422.20812367239</v>
      </c>
      <c r="E44" s="8">
        <v>95072.004950029645</v>
      </c>
      <c r="F44" s="7"/>
      <c r="G44" s="8">
        <v>98730.303664446343</v>
      </c>
      <c r="H44" s="8">
        <v>107140.96174343469</v>
      </c>
    </row>
    <row r="45" spans="2:8" ht="15.5" x14ac:dyDescent="0.35">
      <c r="B45" s="6">
        <v>5</v>
      </c>
      <c r="C45" s="7" t="s">
        <v>44</v>
      </c>
      <c r="D45" s="8">
        <v>8090.5167969250115</v>
      </c>
      <c r="E45" s="8">
        <v>8089.2132546569419</v>
      </c>
      <c r="F45" s="7"/>
      <c r="G45" s="8">
        <v>8365.5355943086943</v>
      </c>
      <c r="H45" s="8">
        <v>9112.8765786626373</v>
      </c>
    </row>
    <row r="46" spans="2:8" ht="15.5" x14ac:dyDescent="0.35">
      <c r="B46" s="6">
        <v>6</v>
      </c>
      <c r="C46" s="7" t="s">
        <v>45</v>
      </c>
      <c r="D46" s="8">
        <v>1520.1286359457945</v>
      </c>
      <c r="E46" s="8">
        <v>1527.1989851297124</v>
      </c>
      <c r="F46" s="7"/>
      <c r="G46" s="8">
        <v>1573.9136722292285</v>
      </c>
      <c r="H46" s="8">
        <v>1721.2568162398245</v>
      </c>
    </row>
    <row r="47" spans="2:8" ht="15.5" x14ac:dyDescent="0.35">
      <c r="B47" s="28"/>
      <c r="C47" s="29" t="s">
        <v>47</v>
      </c>
      <c r="D47" s="28"/>
      <c r="E47" s="28"/>
      <c r="F47" s="29"/>
      <c r="G47" s="28"/>
      <c r="H47" s="28"/>
    </row>
    <row r="48" spans="2:8" ht="15.5" x14ac:dyDescent="0.35">
      <c r="B48" s="6">
        <v>7</v>
      </c>
      <c r="C48" s="7" t="s">
        <v>43</v>
      </c>
      <c r="D48" s="8">
        <v>3854.1683615861803</v>
      </c>
      <c r="E48" s="8">
        <v>3839.4980000323153</v>
      </c>
      <c r="F48" s="7"/>
      <c r="G48" s="8">
        <v>3985.1230231957038</v>
      </c>
      <c r="H48" s="8">
        <v>4323.8676442035558</v>
      </c>
    </row>
    <row r="49" spans="2:15" ht="15.5" x14ac:dyDescent="0.35">
      <c r="B49" s="6">
        <v>8</v>
      </c>
      <c r="C49" s="7" t="s">
        <v>48</v>
      </c>
      <c r="D49" s="8">
        <v>115.17948585198964</v>
      </c>
      <c r="E49" s="8">
        <v>114.59444786220141</v>
      </c>
      <c r="F49" s="7"/>
      <c r="G49" s="8">
        <v>119.38584686023556</v>
      </c>
      <c r="H49" s="8">
        <v>129.28512505338813</v>
      </c>
    </row>
    <row r="50" spans="2:15" ht="15.5" x14ac:dyDescent="0.35">
      <c r="B50" s="6">
        <v>9</v>
      </c>
      <c r="C50" s="7" t="s">
        <v>45</v>
      </c>
      <c r="D50" s="8">
        <v>1.0552910213471203</v>
      </c>
      <c r="E50" s="8">
        <v>1.0596879043977201</v>
      </c>
      <c r="F50" s="7"/>
      <c r="G50" s="8">
        <v>1.0912985363153702</v>
      </c>
      <c r="H50" s="8">
        <v>1.19385526032545</v>
      </c>
    </row>
    <row r="51" spans="2:15" ht="2.25" customHeight="1" x14ac:dyDescent="0.35">
      <c r="B51" s="27"/>
      <c r="C51" s="27"/>
      <c r="D51" s="27"/>
      <c r="E51" s="27"/>
      <c r="F51" s="27"/>
      <c r="G51" s="27"/>
      <c r="H51" s="27"/>
      <c r="K51" s="32"/>
    </row>
    <row r="52" spans="2:15" ht="15.5" x14ac:dyDescent="0.35">
      <c r="B52" s="9">
        <v>10</v>
      </c>
      <c r="C52" s="16" t="s">
        <v>49</v>
      </c>
      <c r="D52" s="23">
        <v>217200.39419861246</v>
      </c>
      <c r="E52" s="23">
        <v>217276.56863415311</v>
      </c>
      <c r="F52" s="16"/>
      <c r="G52" s="23">
        <v>225281.21763590488</v>
      </c>
      <c r="H52" s="23">
        <v>245435.85193997854</v>
      </c>
      <c r="K52" s="32">
        <f>+D52-SUM(D40:D51)</f>
        <v>0</v>
      </c>
      <c r="L52" s="32">
        <f>+E52-SUM(E40:E51)</f>
        <v>0</v>
      </c>
      <c r="M52" s="32"/>
      <c r="N52" s="32">
        <f>+G52-SUM(G40:G51)</f>
        <v>0</v>
      </c>
      <c r="O52" s="32">
        <f>+H52-SUM(H40:H51)</f>
        <v>0</v>
      </c>
    </row>
    <row r="53" spans="2:15" ht="2.25" customHeight="1" x14ac:dyDescent="0.35">
      <c r="B53" s="24"/>
      <c r="C53" s="24"/>
      <c r="D53" s="25"/>
      <c r="E53" s="25"/>
      <c r="F53" s="24"/>
      <c r="G53" s="25"/>
      <c r="H53" s="25"/>
    </row>
    <row r="57" spans="2:15" ht="18" x14ac:dyDescent="0.4">
      <c r="B57" s="17" t="s">
        <v>30</v>
      </c>
      <c r="C57" s="17"/>
      <c r="D57" s="17"/>
      <c r="E57" s="17"/>
      <c r="F57" s="17"/>
      <c r="G57" s="17"/>
      <c r="H57" s="17"/>
    </row>
    <row r="58" spans="2:15" ht="18" x14ac:dyDescent="0.4">
      <c r="B58" s="18" t="s">
        <v>1</v>
      </c>
      <c r="C58" s="18"/>
      <c r="D58" s="18"/>
      <c r="E58" s="18"/>
      <c r="F58" s="18"/>
      <c r="G58" s="18"/>
      <c r="H58" s="18"/>
    </row>
    <row r="59" spans="2:15" ht="15.5" x14ac:dyDescent="0.35">
      <c r="B59" s="30"/>
      <c r="C59" s="31"/>
      <c r="D59" s="31"/>
      <c r="E59" s="31"/>
    </row>
    <row r="60" spans="2:15" ht="18.5" x14ac:dyDescent="0.65">
      <c r="B60" s="1" t="s">
        <v>3</v>
      </c>
      <c r="C60" s="2"/>
      <c r="D60" s="3"/>
      <c r="E60" s="3"/>
      <c r="F60" s="2"/>
      <c r="G60" s="3"/>
      <c r="H60" s="3"/>
    </row>
    <row r="61" spans="2:15" ht="18.5" x14ac:dyDescent="0.65">
      <c r="B61" s="1"/>
      <c r="C61" s="2"/>
      <c r="D61" s="3" t="s">
        <v>4</v>
      </c>
      <c r="E61" s="3"/>
      <c r="F61" s="2"/>
      <c r="G61" s="3" t="s">
        <v>5</v>
      </c>
      <c r="H61" s="3"/>
    </row>
    <row r="62" spans="2:15" ht="15.5" x14ac:dyDescent="0.35">
      <c r="B62" s="1" t="s">
        <v>6</v>
      </c>
      <c r="C62" s="1" t="s">
        <v>7</v>
      </c>
      <c r="D62" s="1">
        <v>2026</v>
      </c>
      <c r="E62" s="1">
        <v>2027</v>
      </c>
      <c r="F62" s="1"/>
      <c r="G62" s="1">
        <v>2026</v>
      </c>
      <c r="H62" s="1">
        <v>2027</v>
      </c>
    </row>
    <row r="63" spans="2:15" ht="15.5" x14ac:dyDescent="0.35">
      <c r="B63" s="20" t="s">
        <v>50</v>
      </c>
      <c r="C63" s="21"/>
      <c r="D63" s="21"/>
      <c r="E63" s="21"/>
      <c r="F63" s="21"/>
      <c r="G63" s="21"/>
      <c r="H63" s="21"/>
    </row>
    <row r="64" spans="2:15" ht="15.5" x14ac:dyDescent="0.35">
      <c r="B64" s="6">
        <v>1</v>
      </c>
      <c r="C64" s="7" t="s">
        <v>51</v>
      </c>
      <c r="D64" s="8">
        <f>+D27</f>
        <v>320948.45603032171</v>
      </c>
      <c r="E64" s="8">
        <f>+E27</f>
        <v>319227.17310824926</v>
      </c>
      <c r="F64" s="7"/>
      <c r="G64" s="8">
        <f>+G27</f>
        <v>351034.24302261177</v>
      </c>
      <c r="H64" s="8">
        <f>+H27</f>
        <v>376017.24766619038</v>
      </c>
      <c r="K64" s="32">
        <f>+D64-D27</f>
        <v>0</v>
      </c>
      <c r="L64" s="32">
        <f>+E64-E27</f>
        <v>0</v>
      </c>
      <c r="N64" s="32">
        <f>+G64-G27</f>
        <v>0</v>
      </c>
      <c r="O64" s="32">
        <f>+H64-H27</f>
        <v>0</v>
      </c>
    </row>
    <row r="65" spans="2:15" ht="15.5" x14ac:dyDescent="0.35">
      <c r="B65" s="6">
        <v>2</v>
      </c>
      <c r="C65" s="7" t="s">
        <v>52</v>
      </c>
      <c r="D65" s="8">
        <f>+D52</f>
        <v>217200.39419861246</v>
      </c>
      <c r="E65" s="8">
        <f>+E52</f>
        <v>217276.56863415311</v>
      </c>
      <c r="F65" s="7"/>
      <c r="G65" s="8">
        <f>+G52</f>
        <v>225281.21763590488</v>
      </c>
      <c r="H65" s="8">
        <f>+H52</f>
        <v>245435.85193997854</v>
      </c>
      <c r="K65" s="32">
        <f>+D65-D52</f>
        <v>0</v>
      </c>
      <c r="L65" s="32">
        <f>+E65-E52</f>
        <v>0</v>
      </c>
      <c r="N65" s="32">
        <f>+G65-G52</f>
        <v>0</v>
      </c>
      <c r="O65" s="32">
        <f>+H65-H52</f>
        <v>0</v>
      </c>
    </row>
    <row r="66" spans="2:15" ht="2.25" customHeight="1" x14ac:dyDescent="0.35">
      <c r="B66" s="27"/>
      <c r="C66" s="27"/>
      <c r="D66" s="27"/>
      <c r="E66" s="27"/>
      <c r="F66" s="27"/>
      <c r="G66" s="27"/>
      <c r="H66" s="27"/>
    </row>
    <row r="67" spans="2:15" ht="15.5" x14ac:dyDescent="0.35">
      <c r="B67" s="9">
        <v>3</v>
      </c>
      <c r="C67" s="16" t="s">
        <v>53</v>
      </c>
      <c r="D67" s="23">
        <f>+D64+D65</f>
        <v>538148.8502289342</v>
      </c>
      <c r="E67" s="23">
        <f>+E64+E65</f>
        <v>536503.74174240232</v>
      </c>
      <c r="G67" s="23">
        <f>+G64+G65</f>
        <v>576315.46065851662</v>
      </c>
      <c r="H67" s="23">
        <f>+H64+H65</f>
        <v>621453.09960616892</v>
      </c>
      <c r="K67" s="33">
        <f>+D67-D65-D64</f>
        <v>0</v>
      </c>
      <c r="L67" s="33">
        <f>+E67-E65-E64</f>
        <v>0</v>
      </c>
      <c r="N67" s="33">
        <f>+G67-G65-G64</f>
        <v>0</v>
      </c>
      <c r="O67" s="33">
        <f>+H67-H65-H64</f>
        <v>0</v>
      </c>
    </row>
    <row r="72" spans="2:15" x14ac:dyDescent="0.35">
      <c r="B72" t="s">
        <v>28</v>
      </c>
      <c r="C72" t="s">
        <v>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6D3B4-C0B9-442B-903C-C2A8323AD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B0625-A5C2-4382-9960-1254AF1A0442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3.xml><?xml version="1.0" encoding="utf-8"?>
<ds:datastoreItem xmlns:ds="http://schemas.openxmlformats.org/officeDocument/2006/customXml" ds:itemID="{F275E876-09B0-46AB-A08E-54BAC11165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Water</vt:lpstr>
      <vt:lpstr>Wastewater</vt:lpstr>
      <vt:lpstr>Water!Print_Area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Robert Ballenger</cp:lastModifiedBy>
  <cp:revision/>
  <cp:lastPrinted>2025-04-17T10:34:04Z</cp:lastPrinted>
  <dcterms:created xsi:type="dcterms:W3CDTF">2021-03-02T01:49:01Z</dcterms:created>
  <dcterms:modified xsi:type="dcterms:W3CDTF">2025-05-08T16:51:24Z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