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709 - 2025 TAP-R Annual Adjustment/TAP-R testimony/Testimony Excels/Revised schedules/"/>
    </mc:Choice>
  </mc:AlternateContent>
  <xr:revisionPtr revIDLastSave="3" documentId="14_{858A151B-1687-48F2-B504-1446EC12F69F}" xr6:coauthVersionLast="47" xr6:coauthVersionMax="47" xr10:uidLastSave="{827FD7F9-E45B-4BD1-8876-EC7DBF7E7625}"/>
  <bookViews>
    <workbookView xWindow="-18510" yWindow="1510" windowWidth="17280" windowHeight="8880" firstSheet="3" activeTab="3" xr2:uid="{AD90B2B1-0A52-46C7-967A-7C291D301DA6}"/>
  </bookViews>
  <sheets>
    <sheet name="Home" sheetId="7" r:id="rId1"/>
    <sheet name="Table of Contents" sheetId="20" r:id="rId2"/>
    <sheet name="Customer" sheetId="19" r:id="rId3"/>
    <sheet name="Assumptions and Inputs" sheetId="3" r:id="rId4"/>
    <sheet name="Summary LKM-1" sheetId="1" r:id="rId5"/>
    <sheet name="C-Factor LKM-2" sheetId="5" r:id="rId6"/>
    <sheet name="E-Factor LKM-3" sheetId="18" r:id="rId7"/>
    <sheet name="E-Factor PRIOR LKM-4" sheetId="21" r:id="rId8"/>
    <sheet name="I-FactorLKM-5" sheetId="14" r:id="rId9"/>
    <sheet name="I-Factor PRIOR LKM-6" sheetId="22" r:id="rId10"/>
    <sheet name="Rates" sheetId="6" r:id="rId11"/>
  </sheets>
  <externalReferences>
    <externalReference r:id="rId12"/>
  </externalReferences>
  <definedNames>
    <definedName name="_xlnm.Print_Area" localSheetId="5">'C-Factor LKM-2'!$B$4:$K$14</definedName>
    <definedName name="_xlnm.Print_Area" localSheetId="6">'E-Factor LKM-3'!$A$2:$K$67</definedName>
    <definedName name="_xlnm.Print_Area" localSheetId="7">'E-Factor PRIOR LKM-4'!$B$2:$M$65</definedName>
    <definedName name="_xlnm.Print_Area" localSheetId="9">'I-Factor PRIOR LKM-6'!$B$2:$H$56</definedName>
    <definedName name="_xlnm.Print_Area" localSheetId="8">'I-FactorLKM-5'!$B$2:$H$63</definedName>
    <definedName name="_xlnm.Print_Area" localSheetId="10">Rates!$B$3:$H$19</definedName>
    <definedName name="_xlnm.Print_Area" localSheetId="4">'Summary LKM-1'!$B$6:$K$32</definedName>
    <definedName name="_xlnm.Print_Area" localSheetId="1">'Table of Contents'!$A$1:$B$17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11" i="3"/>
  <c r="C9" i="3"/>
  <c r="C96" i="3" l="1"/>
  <c r="C95" i="3"/>
  <c r="D31" i="1"/>
  <c r="B67" i="21"/>
  <c r="B16" i="6" l="1"/>
  <c r="CJ24" i="19"/>
  <c r="CA24" i="19"/>
  <c r="CK24" i="19"/>
  <c r="CI9" i="19" l="1"/>
  <c r="CW8" i="19" l="1"/>
  <c r="B74" i="18" l="1"/>
  <c r="B36" i="18"/>
  <c r="D30" i="1"/>
  <c r="CY24" i="19"/>
  <c r="CY25" i="19"/>
  <c r="CY26" i="19"/>
  <c r="CY27" i="19"/>
  <c r="B33" i="14"/>
  <c r="H43" i="14"/>
  <c r="H9" i="14"/>
  <c r="F43" i="14"/>
  <c r="E42" i="14"/>
  <c r="E43" i="14" s="1"/>
  <c r="F9" i="14"/>
  <c r="E8" i="14"/>
  <c r="E9" i="14" l="1"/>
  <c r="BY55" i="19" l="1"/>
  <c r="BZ55" i="19"/>
  <c r="CA55" i="19"/>
  <c r="CB55" i="19"/>
  <c r="CC55" i="19"/>
  <c r="CD55" i="19"/>
  <c r="CE55" i="19"/>
  <c r="CF55" i="19"/>
  <c r="CG55" i="19"/>
  <c r="CH55" i="19"/>
  <c r="CI55" i="19"/>
  <c r="CJ55" i="19"/>
  <c r="CK55" i="19"/>
  <c r="CL55" i="19"/>
  <c r="CM55" i="19"/>
  <c r="CN55" i="19"/>
  <c r="CO55" i="19"/>
  <c r="CP55" i="19"/>
  <c r="CQ55" i="19"/>
  <c r="CQ61" i="19" s="1"/>
  <c r="CR55" i="19"/>
  <c r="CS55" i="19"/>
  <c r="CT55" i="19"/>
  <c r="CU55" i="19"/>
  <c r="BY56" i="19"/>
  <c r="BZ56" i="19"/>
  <c r="CA56" i="19"/>
  <c r="CB56" i="19"/>
  <c r="CC56" i="19"/>
  <c r="CD56" i="19"/>
  <c r="CE56" i="19"/>
  <c r="CF56" i="19"/>
  <c r="CG56" i="19"/>
  <c r="CH56" i="19"/>
  <c r="CI56" i="19"/>
  <c r="CJ56" i="19"/>
  <c r="CK56" i="19"/>
  <c r="CL56" i="19"/>
  <c r="CM56" i="19"/>
  <c r="CN56" i="19"/>
  <c r="CO56" i="19"/>
  <c r="CP56" i="19"/>
  <c r="CQ56" i="19"/>
  <c r="CR56" i="19"/>
  <c r="CS56" i="19"/>
  <c r="CT56" i="19"/>
  <c r="CU56" i="19"/>
  <c r="BY57" i="19"/>
  <c r="BZ57" i="19"/>
  <c r="CA57" i="19"/>
  <c r="CB57" i="19"/>
  <c r="CC57" i="19"/>
  <c r="CD57" i="19"/>
  <c r="CE57" i="19"/>
  <c r="CF57" i="19"/>
  <c r="CG57" i="19"/>
  <c r="CH57" i="19"/>
  <c r="CI57" i="19"/>
  <c r="CJ57" i="19"/>
  <c r="CK57" i="19"/>
  <c r="CL57" i="19"/>
  <c r="CM57" i="19"/>
  <c r="CN57" i="19"/>
  <c r="CO57" i="19"/>
  <c r="CP57" i="19"/>
  <c r="CQ57" i="19"/>
  <c r="CR57" i="19"/>
  <c r="CS57" i="19"/>
  <c r="CT57" i="19"/>
  <c r="CU57" i="19"/>
  <c r="BY58" i="19"/>
  <c r="BZ58" i="19"/>
  <c r="CA58" i="19"/>
  <c r="CB58" i="19"/>
  <c r="CC58" i="19"/>
  <c r="CD58" i="19"/>
  <c r="CE58" i="19"/>
  <c r="CF58" i="19"/>
  <c r="CG58" i="19"/>
  <c r="CH58" i="19"/>
  <c r="CI58" i="19"/>
  <c r="CJ58" i="19"/>
  <c r="CK58" i="19"/>
  <c r="CL58" i="19"/>
  <c r="CM58" i="19"/>
  <c r="CN58" i="19"/>
  <c r="CO58" i="19"/>
  <c r="CP58" i="19"/>
  <c r="CQ58" i="19"/>
  <c r="CR58" i="19"/>
  <c r="CS58" i="19"/>
  <c r="CT58" i="19"/>
  <c r="CU58" i="19"/>
  <c r="BX57" i="19"/>
  <c r="BX56" i="19"/>
  <c r="BX55" i="19"/>
  <c r="BX58" i="19"/>
  <c r="B58" i="19"/>
  <c r="B57" i="19"/>
  <c r="B56" i="19"/>
  <c r="B55" i="19"/>
  <c r="BY30" i="19"/>
  <c r="BZ30" i="19"/>
  <c r="BY31" i="19"/>
  <c r="BZ31" i="19"/>
  <c r="BY32" i="19"/>
  <c r="BZ32" i="19"/>
  <c r="BY33" i="19"/>
  <c r="BZ33" i="19"/>
  <c r="BX32" i="19"/>
  <c r="BX31" i="19"/>
  <c r="BX30" i="19"/>
  <c r="BX33" i="19"/>
  <c r="B33" i="19"/>
  <c r="B32" i="19"/>
  <c r="B31" i="19"/>
  <c r="B30" i="19"/>
  <c r="C13" i="18"/>
  <c r="C12" i="18"/>
  <c r="L53" i="21"/>
  <c r="BY61" i="19" l="1"/>
  <c r="CL61" i="19"/>
  <c r="CS61" i="19"/>
  <c r="CG61" i="19"/>
  <c r="CE61" i="19"/>
  <c r="BX36" i="19"/>
  <c r="CM61" i="19"/>
  <c r="CA61" i="19"/>
  <c r="BZ61" i="19"/>
  <c r="CJ61" i="19"/>
  <c r="BX61" i="19"/>
  <c r="CK61" i="19"/>
  <c r="CU61" i="19"/>
  <c r="CI61" i="19"/>
  <c r="CT61" i="19"/>
  <c r="CH61" i="19"/>
  <c r="CR61" i="19"/>
  <c r="CF61" i="19"/>
  <c r="CP61" i="19"/>
  <c r="CD61" i="19"/>
  <c r="CO61" i="19"/>
  <c r="CC61" i="19"/>
  <c r="CN61" i="19"/>
  <c r="CB61" i="19"/>
  <c r="BZ36" i="19"/>
  <c r="BY36" i="19"/>
  <c r="CB49" i="19"/>
  <c r="CC49" i="19"/>
  <c r="CD49" i="19"/>
  <c r="CE49" i="19"/>
  <c r="CF49" i="19"/>
  <c r="CG49" i="19"/>
  <c r="CH49" i="19"/>
  <c r="CI49" i="19"/>
  <c r="CJ49" i="19"/>
  <c r="CK49" i="19"/>
  <c r="CL49" i="19"/>
  <c r="CM49" i="19"/>
  <c r="CN49" i="19"/>
  <c r="CO49" i="19"/>
  <c r="CP49" i="19"/>
  <c r="CQ49" i="19"/>
  <c r="CR49" i="19"/>
  <c r="CS49" i="19"/>
  <c r="CT49" i="19"/>
  <c r="CU49" i="19"/>
  <c r="CB50" i="19"/>
  <c r="CC50" i="19"/>
  <c r="CD50" i="19"/>
  <c r="CE50" i="19"/>
  <c r="CF50" i="19"/>
  <c r="CG50" i="19"/>
  <c r="CH50" i="19"/>
  <c r="CI50" i="19"/>
  <c r="CJ50" i="19"/>
  <c r="CK50" i="19"/>
  <c r="CL50" i="19"/>
  <c r="CM50" i="19"/>
  <c r="CN50" i="19"/>
  <c r="CO50" i="19"/>
  <c r="CP50" i="19"/>
  <c r="CQ50" i="19"/>
  <c r="CR50" i="19"/>
  <c r="CS50" i="19"/>
  <c r="CT50" i="19"/>
  <c r="CU50" i="19"/>
  <c r="CB51" i="19"/>
  <c r="CC51" i="19"/>
  <c r="CD51" i="19"/>
  <c r="CE51" i="19"/>
  <c r="CF51" i="19"/>
  <c r="CG51" i="19"/>
  <c r="CH51" i="19"/>
  <c r="CI51" i="19"/>
  <c r="CJ51" i="19"/>
  <c r="CK51" i="19"/>
  <c r="CL51" i="19"/>
  <c r="CM51" i="19"/>
  <c r="CN51" i="19"/>
  <c r="CO51" i="19"/>
  <c r="CP51" i="19"/>
  <c r="CQ51" i="19"/>
  <c r="CR51" i="19"/>
  <c r="CS51" i="19"/>
  <c r="CT51" i="19"/>
  <c r="CU51" i="19"/>
  <c r="CB52" i="19"/>
  <c r="CC52" i="19"/>
  <c r="CD52" i="19"/>
  <c r="CE52" i="19"/>
  <c r="CF52" i="19"/>
  <c r="CG52" i="19"/>
  <c r="CH52" i="19"/>
  <c r="CI52" i="19"/>
  <c r="CJ52" i="19"/>
  <c r="CK52" i="19"/>
  <c r="CL52" i="19"/>
  <c r="CM52" i="19"/>
  <c r="CN52" i="19"/>
  <c r="CO52" i="19"/>
  <c r="CP52" i="19"/>
  <c r="CQ52" i="19"/>
  <c r="CR52" i="19"/>
  <c r="CS52" i="19"/>
  <c r="CT52" i="19"/>
  <c r="CU52" i="19"/>
  <c r="CB24" i="19"/>
  <c r="CC24" i="19"/>
  <c r="CD24" i="19"/>
  <c r="CE24" i="19"/>
  <c r="CF24" i="19"/>
  <c r="CG24" i="19"/>
  <c r="CH24" i="19"/>
  <c r="CI24" i="19"/>
  <c r="CL24" i="19"/>
  <c r="CM24" i="19"/>
  <c r="CN24" i="19"/>
  <c r="CO24" i="19"/>
  <c r="CP24" i="19"/>
  <c r="CQ24" i="19"/>
  <c r="CR24" i="19"/>
  <c r="CS24" i="19"/>
  <c r="CT24" i="19"/>
  <c r="CU24" i="19"/>
  <c r="CB25" i="19"/>
  <c r="CC25" i="19"/>
  <c r="CD25" i="19"/>
  <c r="CE25" i="19"/>
  <c r="CF25" i="19"/>
  <c r="CG25" i="19"/>
  <c r="CH25" i="19"/>
  <c r="CI25" i="19"/>
  <c r="CJ25" i="19"/>
  <c r="CK25" i="19"/>
  <c r="CL25" i="19"/>
  <c r="CM25" i="19"/>
  <c r="CN25" i="19"/>
  <c r="CO25" i="19"/>
  <c r="CP25" i="19"/>
  <c r="CQ25" i="19"/>
  <c r="CR25" i="19"/>
  <c r="CS25" i="19"/>
  <c r="CT25" i="19"/>
  <c r="CU25" i="19"/>
  <c r="CB26" i="19"/>
  <c r="CC26" i="19"/>
  <c r="CD26" i="19"/>
  <c r="CE26" i="19"/>
  <c r="CF26" i="19"/>
  <c r="CG26" i="19"/>
  <c r="CH26" i="19"/>
  <c r="CI26" i="19"/>
  <c r="CJ26" i="19"/>
  <c r="CK26" i="19"/>
  <c r="CL26" i="19"/>
  <c r="CM26" i="19"/>
  <c r="CN26" i="19"/>
  <c r="CO26" i="19"/>
  <c r="CP26" i="19"/>
  <c r="CQ26" i="19"/>
  <c r="CR26" i="19"/>
  <c r="CS26" i="19"/>
  <c r="CT26" i="19"/>
  <c r="CU26" i="19"/>
  <c r="CB27" i="19"/>
  <c r="CB33" i="19" s="1"/>
  <c r="CC27" i="19"/>
  <c r="CC33" i="19" s="1"/>
  <c r="CD27" i="19"/>
  <c r="CD33" i="19" s="1"/>
  <c r="CE27" i="19"/>
  <c r="CE33" i="19" s="1"/>
  <c r="CF27" i="19"/>
  <c r="CF33" i="19" s="1"/>
  <c r="CG27" i="19"/>
  <c r="CG33" i="19" s="1"/>
  <c r="CH27" i="19"/>
  <c r="CH33" i="19" s="1"/>
  <c r="CI27" i="19"/>
  <c r="CI33" i="19" s="1"/>
  <c r="CJ27" i="19"/>
  <c r="CJ33" i="19" s="1"/>
  <c r="CK27" i="19"/>
  <c r="CK33" i="19" s="1"/>
  <c r="CL27" i="19"/>
  <c r="CL33" i="19" s="1"/>
  <c r="CM27" i="19"/>
  <c r="CM33" i="19" s="1"/>
  <c r="CN27" i="19"/>
  <c r="CN33" i="19" s="1"/>
  <c r="CO27" i="19"/>
  <c r="CO33" i="19" s="1"/>
  <c r="CP27" i="19"/>
  <c r="CP33" i="19" s="1"/>
  <c r="CQ27" i="19"/>
  <c r="CQ33" i="19" s="1"/>
  <c r="CR27" i="19"/>
  <c r="CR33" i="19" s="1"/>
  <c r="CS27" i="19"/>
  <c r="CS33" i="19" s="1"/>
  <c r="CT27" i="19"/>
  <c r="CT33" i="19" s="1"/>
  <c r="CU27" i="19"/>
  <c r="CU33" i="19" s="1"/>
  <c r="CA50" i="19"/>
  <c r="CA51" i="19"/>
  <c r="CA49" i="19"/>
  <c r="CA25" i="19"/>
  <c r="CA26" i="19"/>
  <c r="CA27" i="19"/>
  <c r="CA33" i="19" s="1"/>
  <c r="CS32" i="19" l="1"/>
  <c r="CK30" i="19"/>
  <c r="CN31" i="19"/>
  <c r="CU30" i="19"/>
  <c r="CD32" i="19"/>
  <c r="CH30" i="19"/>
  <c r="CO32" i="19"/>
  <c r="CS30" i="19"/>
  <c r="CN32" i="19"/>
  <c r="CR30" i="19"/>
  <c r="CU31" i="19"/>
  <c r="CQ30" i="19"/>
  <c r="CL32" i="19"/>
  <c r="CT31" i="19"/>
  <c r="CH31" i="19"/>
  <c r="CP30" i="19"/>
  <c r="CD30" i="19"/>
  <c r="CO31" i="19"/>
  <c r="CR32" i="19"/>
  <c r="CB31" i="19"/>
  <c r="CM31" i="19"/>
  <c r="CA30" i="19"/>
  <c r="CA36" i="19" s="1"/>
  <c r="CP32" i="19"/>
  <c r="CL31" i="19"/>
  <c r="CC32" i="19"/>
  <c r="CG30" i="19"/>
  <c r="CB32" i="19"/>
  <c r="CF30" i="19"/>
  <c r="CA31" i="19"/>
  <c r="CM32" i="19"/>
  <c r="CE30" i="19"/>
  <c r="CK32" i="19"/>
  <c r="CS31" i="19"/>
  <c r="CG31" i="19"/>
  <c r="CO30" i="19"/>
  <c r="CC30" i="19"/>
  <c r="CC31" i="19"/>
  <c r="CF32" i="19"/>
  <c r="CE32" i="19"/>
  <c r="CK31" i="19"/>
  <c r="CA32" i="19"/>
  <c r="CJ31" i="19"/>
  <c r="CI31" i="19"/>
  <c r="CJ32" i="19"/>
  <c r="CR31" i="19"/>
  <c r="CF31" i="19"/>
  <c r="CN30" i="19"/>
  <c r="CB30" i="19"/>
  <c r="CY58" i="19"/>
  <c r="CY33" i="19"/>
  <c r="CJ30" i="19"/>
  <c r="CQ32" i="19"/>
  <c r="CI30" i="19"/>
  <c r="CT30" i="19"/>
  <c r="CU32" i="19"/>
  <c r="CI32" i="19"/>
  <c r="CQ31" i="19"/>
  <c r="CE31" i="19"/>
  <c r="CM30" i="19"/>
  <c r="CT32" i="19"/>
  <c r="CH32" i="19"/>
  <c r="CP31" i="19"/>
  <c r="CD31" i="19"/>
  <c r="CL30" i="19"/>
  <c r="CG32" i="19"/>
  <c r="CM36" i="19" l="1"/>
  <c r="CI36" i="19"/>
  <c r="CU36" i="19"/>
  <c r="CP36" i="19"/>
  <c r="CR36" i="19"/>
  <c r="CL36" i="19"/>
  <c r="CF36" i="19"/>
  <c r="CY32" i="19"/>
  <c r="CG36" i="19"/>
  <c r="CS36" i="19"/>
  <c r="CE36" i="19"/>
  <c r="CB36" i="19"/>
  <c r="CC36" i="19"/>
  <c r="CQ36" i="19"/>
  <c r="CH36" i="19"/>
  <c r="CY31" i="19"/>
  <c r="CY57" i="19"/>
  <c r="CT36" i="19"/>
  <c r="CN36" i="19"/>
  <c r="CO36" i="19"/>
  <c r="CD36" i="19"/>
  <c r="CY55" i="19"/>
  <c r="CY30" i="19"/>
  <c r="CJ36" i="19"/>
  <c r="CK36" i="19"/>
  <c r="CY56" i="19"/>
  <c r="C94" i="21" l="1"/>
  <c r="C93" i="21"/>
  <c r="C92" i="21"/>
  <c r="C91" i="21"/>
  <c r="C90" i="21"/>
  <c r="C89" i="21"/>
  <c r="C88" i="21"/>
  <c r="C87" i="21"/>
  <c r="C86" i="21"/>
  <c r="C85" i="21"/>
  <c r="C84" i="21"/>
  <c r="C83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51" i="18"/>
  <c r="C50" i="18"/>
  <c r="C49" i="18"/>
  <c r="C11" i="18"/>
  <c r="CY16" i="19" l="1"/>
  <c r="CY8" i="19"/>
  <c r="CY51" i="19"/>
  <c r="CW51" i="19"/>
  <c r="B3" i="6"/>
  <c r="CW25" i="19" l="1"/>
  <c r="CW26" i="19"/>
  <c r="CW57" i="19" l="1"/>
  <c r="CW32" i="19"/>
  <c r="CW31" i="19"/>
  <c r="CW56" i="19"/>
  <c r="BP61" i="19" l="1"/>
  <c r="BP36" i="19"/>
  <c r="BI12" i="19" l="1"/>
  <c r="L45" i="21"/>
  <c r="J45" i="21"/>
  <c r="L10" i="21"/>
  <c r="J10" i="21"/>
  <c r="C17" i="5"/>
  <c r="B17" i="6"/>
  <c r="BX60" i="19" l="1"/>
  <c r="D49" i="18" s="1"/>
  <c r="BY60" i="19"/>
  <c r="D50" i="18" s="1"/>
  <c r="BZ60" i="19"/>
  <c r="D51" i="18" s="1"/>
  <c r="BX35" i="19"/>
  <c r="BY35" i="19"/>
  <c r="D12" i="18" s="1"/>
  <c r="BZ35" i="19"/>
  <c r="D13" i="18" s="1"/>
  <c r="BX14" i="19"/>
  <c r="BY14" i="19"/>
  <c r="BZ14" i="19"/>
  <c r="BX15" i="19"/>
  <c r="BY15" i="19"/>
  <c r="BZ15" i="19"/>
  <c r="D11" i="18" l="1"/>
  <c r="BY16" i="19"/>
  <c r="BX16" i="19"/>
  <c r="BZ16" i="19"/>
  <c r="CW27" i="19" l="1"/>
  <c r="CW33" i="19" s="1"/>
  <c r="B145" i="21"/>
  <c r="B49" i="18" l="1"/>
  <c r="G52" i="22"/>
  <c r="G22" i="22"/>
  <c r="L57" i="21"/>
  <c r="L22" i="21"/>
  <c r="B22" i="21"/>
  <c r="G11" i="22"/>
  <c r="C57" i="21"/>
  <c r="C136" i="21" l="1"/>
  <c r="I87" i="22" l="1"/>
  <c r="B84" i="22"/>
  <c r="B22" i="22" s="1"/>
  <c r="B134" i="21"/>
  <c r="B57" i="21" s="1"/>
  <c r="B133" i="21"/>
  <c r="B132" i="21"/>
  <c r="B131" i="21"/>
  <c r="B130" i="21"/>
  <c r="B129" i="21"/>
  <c r="B128" i="21"/>
  <c r="B127" i="21"/>
  <c r="B126" i="21"/>
  <c r="B125" i="21"/>
  <c r="B124" i="21"/>
  <c r="B123" i="21"/>
  <c r="S98" i="21"/>
  <c r="B113" i="22" l="1"/>
  <c r="B52" i="22" s="1"/>
  <c r="C22" i="21"/>
  <c r="BL60" i="19"/>
  <c r="D123" i="21" s="1"/>
  <c r="BM60" i="19"/>
  <c r="D124" i="21" s="1"/>
  <c r="BN60" i="19"/>
  <c r="D125" i="21" s="1"/>
  <c r="BO60" i="19"/>
  <c r="D126" i="21" s="1"/>
  <c r="BP60" i="19"/>
  <c r="D127" i="21" s="1"/>
  <c r="BQ60" i="19"/>
  <c r="D128" i="21" s="1"/>
  <c r="BR60" i="19"/>
  <c r="D129" i="21" s="1"/>
  <c r="BS60" i="19"/>
  <c r="D130" i="21" s="1"/>
  <c r="BT60" i="19"/>
  <c r="BU60" i="19"/>
  <c r="D132" i="21" s="1"/>
  <c r="BV60" i="19"/>
  <c r="D133" i="21" s="1"/>
  <c r="BW60" i="19"/>
  <c r="D134" i="21" s="1"/>
  <c r="BL35" i="19"/>
  <c r="D83" i="21" s="1"/>
  <c r="BM35" i="19"/>
  <c r="D84" i="21" s="1"/>
  <c r="BN35" i="19"/>
  <c r="D85" i="21" s="1"/>
  <c r="BO35" i="19"/>
  <c r="D86" i="21" s="1"/>
  <c r="BP35" i="19"/>
  <c r="D87" i="21" s="1"/>
  <c r="BQ35" i="19"/>
  <c r="D88" i="21" s="1"/>
  <c r="BR35" i="19"/>
  <c r="D89" i="21" s="1"/>
  <c r="BS35" i="19"/>
  <c r="D90" i="21" s="1"/>
  <c r="BT35" i="19"/>
  <c r="D91" i="21" s="1"/>
  <c r="BU35" i="19"/>
  <c r="D92" i="21" s="1"/>
  <c r="BV35" i="19"/>
  <c r="D93" i="21" s="1"/>
  <c r="BW35" i="19"/>
  <c r="D94" i="21" s="1"/>
  <c r="BL14" i="19"/>
  <c r="BM14" i="19"/>
  <c r="BN14" i="19"/>
  <c r="BO14" i="19"/>
  <c r="BP14" i="19"/>
  <c r="BQ14" i="19"/>
  <c r="BR14" i="19"/>
  <c r="BS14" i="19"/>
  <c r="BT14" i="19"/>
  <c r="BU14" i="19"/>
  <c r="BV14" i="19"/>
  <c r="BW14" i="19"/>
  <c r="BL15" i="19"/>
  <c r="BM15" i="19"/>
  <c r="BN15" i="19"/>
  <c r="BO15" i="19"/>
  <c r="BP15" i="19"/>
  <c r="BQ15" i="19"/>
  <c r="BR15" i="19"/>
  <c r="BS15" i="19"/>
  <c r="BT15" i="19"/>
  <c r="BU15" i="19"/>
  <c r="BV15" i="19"/>
  <c r="BW15" i="19"/>
  <c r="BT61" i="19" l="1"/>
  <c r="D131" i="21"/>
  <c r="BS61" i="19"/>
  <c r="BS36" i="19"/>
  <c r="BT36" i="19"/>
  <c r="BU61" i="19"/>
  <c r="BW61" i="19"/>
  <c r="BV61" i="19"/>
  <c r="BU36" i="19"/>
  <c r="BW36" i="19"/>
  <c r="BV36" i="19"/>
  <c r="BR61" i="19"/>
  <c r="BR36" i="19"/>
  <c r="BU16" i="19"/>
  <c r="BQ16" i="19"/>
  <c r="BM16" i="19"/>
  <c r="BR16" i="19"/>
  <c r="BN16" i="19"/>
  <c r="BL16" i="19"/>
  <c r="BP16" i="19"/>
  <c r="BT16" i="19"/>
  <c r="BS16" i="19"/>
  <c r="BW16" i="19"/>
  <c r="BO16" i="19"/>
  <c r="BV16" i="19"/>
  <c r="C96" i="21"/>
  <c r="CA52" i="19" l="1"/>
  <c r="BQ61" i="19"/>
  <c r="BQ36" i="19"/>
  <c r="AZ60" i="19"/>
  <c r="BA60" i="19"/>
  <c r="BB60" i="19"/>
  <c r="BC60" i="19"/>
  <c r="BD60" i="19"/>
  <c r="BE60" i="19"/>
  <c r="BF60" i="19"/>
  <c r="BG60" i="19"/>
  <c r="BH60" i="19"/>
  <c r="BI60" i="19"/>
  <c r="BJ60" i="19"/>
  <c r="BK60" i="19"/>
  <c r="AZ35" i="19"/>
  <c r="BA35" i="19"/>
  <c r="BB35" i="19"/>
  <c r="BC35" i="19"/>
  <c r="BD35" i="19"/>
  <c r="BE35" i="19"/>
  <c r="BF35" i="19"/>
  <c r="BG35" i="19"/>
  <c r="BH35" i="19"/>
  <c r="BI35" i="19"/>
  <c r="BJ35" i="19"/>
  <c r="BK35" i="19"/>
  <c r="AZ14" i="19"/>
  <c r="BA14" i="19"/>
  <c r="BB14" i="19"/>
  <c r="BC14" i="19"/>
  <c r="BD14" i="19"/>
  <c r="BE14" i="19"/>
  <c r="BF14" i="19"/>
  <c r="BG14" i="19"/>
  <c r="BH14" i="19"/>
  <c r="BI14" i="19"/>
  <c r="BJ14" i="19"/>
  <c r="BK14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CY52" i="19" l="1"/>
  <c r="CW52" i="19"/>
  <c r="CW58" i="19" s="1"/>
  <c r="BF16" i="19"/>
  <c r="BD16" i="19"/>
  <c r="BH16" i="19"/>
  <c r="AZ16" i="19"/>
  <c r="BK16" i="19"/>
  <c r="BG16" i="19"/>
  <c r="BJ16" i="19"/>
  <c r="BB16" i="19"/>
  <c r="BC16" i="19"/>
  <c r="BI16" i="19"/>
  <c r="BA16" i="19"/>
  <c r="BE16" i="19"/>
  <c r="H8" i="5" l="1"/>
  <c r="G8" i="5"/>
  <c r="I116" i="22" l="1"/>
  <c r="AN60" i="19" l="1"/>
  <c r="AO60" i="19"/>
  <c r="AP60" i="19"/>
  <c r="AQ60" i="19"/>
  <c r="AR60" i="19"/>
  <c r="AS60" i="19"/>
  <c r="AT60" i="19"/>
  <c r="AU60" i="19"/>
  <c r="AV60" i="19"/>
  <c r="AW60" i="19"/>
  <c r="AX60" i="19"/>
  <c r="AY60" i="19"/>
  <c r="D57" i="21" s="1"/>
  <c r="AN61" i="19"/>
  <c r="AO61" i="19"/>
  <c r="AO65" i="19" s="1"/>
  <c r="AP61" i="19"/>
  <c r="AP65" i="19" s="1"/>
  <c r="AN35" i="19"/>
  <c r="AO35" i="19"/>
  <c r="AP35" i="19"/>
  <c r="AQ35" i="19"/>
  <c r="AR35" i="19"/>
  <c r="AS35" i="19"/>
  <c r="AT35" i="19"/>
  <c r="AU35" i="19"/>
  <c r="AV35" i="19"/>
  <c r="AW35" i="19"/>
  <c r="AX35" i="19"/>
  <c r="AY35" i="19"/>
  <c r="D22" i="21" s="1"/>
  <c r="AN36" i="19"/>
  <c r="AO36" i="19"/>
  <c r="AO40" i="19" s="1"/>
  <c r="AP36" i="19"/>
  <c r="AP40" i="19" s="1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D96" i="21" l="1"/>
  <c r="D136" i="21"/>
  <c r="AN63" i="19"/>
  <c r="AN40" i="19"/>
  <c r="AN65" i="19"/>
  <c r="AN38" i="19"/>
  <c r="AP16" i="19"/>
  <c r="AO16" i="19"/>
  <c r="AO63" i="19"/>
  <c r="AS16" i="19"/>
  <c r="AN16" i="19"/>
  <c r="AR16" i="19"/>
  <c r="AY16" i="19"/>
  <c r="AP63" i="19"/>
  <c r="AP38" i="19"/>
  <c r="AO38" i="19"/>
  <c r="AW16" i="19"/>
  <c r="AV16" i="19"/>
  <c r="AU16" i="19"/>
  <c r="AT16" i="19"/>
  <c r="AX16" i="19"/>
  <c r="AQ16" i="19"/>
  <c r="AQ61" i="19"/>
  <c r="AQ63" i="19" s="1"/>
  <c r="AS61" i="19"/>
  <c r="AR61" i="19"/>
  <c r="AQ36" i="19"/>
  <c r="B151" i="21"/>
  <c r="B111" i="21"/>
  <c r="B31" i="21"/>
  <c r="B66" i="21"/>
  <c r="B63" i="21"/>
  <c r="B140" i="21"/>
  <c r="B28" i="21"/>
  <c r="B105" i="21"/>
  <c r="B100" i="21"/>
  <c r="I120" i="21"/>
  <c r="I80" i="21"/>
  <c r="F120" i="21"/>
  <c r="F80" i="21"/>
  <c r="AT61" i="19" l="1"/>
  <c r="AT65" i="19" s="1"/>
  <c r="AZ61" i="19"/>
  <c r="AZ65" i="19" s="1"/>
  <c r="AY61" i="19"/>
  <c r="AY65" i="19" s="1"/>
  <c r="AV61" i="19"/>
  <c r="AV65" i="19" s="1"/>
  <c r="AW61" i="19"/>
  <c r="AQ65" i="19"/>
  <c r="AU61" i="19"/>
  <c r="AU63" i="19" s="1"/>
  <c r="AX61" i="19"/>
  <c r="AS63" i="19"/>
  <c r="AS65" i="19"/>
  <c r="AR63" i="19"/>
  <c r="AR65" i="19"/>
  <c r="AQ38" i="19"/>
  <c r="AQ40" i="19"/>
  <c r="AR36" i="19"/>
  <c r="AX65" i="19" l="1"/>
  <c r="AW65" i="19"/>
  <c r="BC61" i="19"/>
  <c r="AT63" i="19"/>
  <c r="BA61" i="19"/>
  <c r="AV63" i="19"/>
  <c r="AX63" i="19"/>
  <c r="AY63" i="19"/>
  <c r="AW63" i="19"/>
  <c r="AU65" i="19"/>
  <c r="BB61" i="19"/>
  <c r="BB65" i="19" s="1"/>
  <c r="AZ63" i="19"/>
  <c r="AR38" i="19"/>
  <c r="AR40" i="19"/>
  <c r="AS36" i="19"/>
  <c r="B65" i="21"/>
  <c r="B30" i="21"/>
  <c r="BC65" i="19" l="1"/>
  <c r="BC36" i="19"/>
  <c r="BA65" i="19"/>
  <c r="BA63" i="19"/>
  <c r="BB63" i="19"/>
  <c r="AS38" i="19"/>
  <c r="AS40" i="19"/>
  <c r="AT36" i="19"/>
  <c r="B22" i="14"/>
  <c r="B60" i="18"/>
  <c r="B56" i="14" s="1"/>
  <c r="BC40" i="19" l="1"/>
  <c r="BC63" i="19"/>
  <c r="BD61" i="19"/>
  <c r="AT38" i="19"/>
  <c r="AT40" i="19"/>
  <c r="AU36" i="19"/>
  <c r="E100" i="22"/>
  <c r="B67" i="14"/>
  <c r="B119" i="22"/>
  <c r="B90" i="22"/>
  <c r="B59" i="22"/>
  <c r="B29" i="22"/>
  <c r="BD65" i="19" l="1"/>
  <c r="BD63" i="19"/>
  <c r="BE61" i="19"/>
  <c r="BE65" i="19" s="1"/>
  <c r="AV36" i="19"/>
  <c r="AU38" i="19"/>
  <c r="AU40" i="19"/>
  <c r="BE63" i="19" l="1"/>
  <c r="BF61" i="19"/>
  <c r="BF65" i="19" s="1"/>
  <c r="AV38" i="19"/>
  <c r="AV40" i="19"/>
  <c r="AW36" i="19"/>
  <c r="AW40" i="19" s="1"/>
  <c r="B150" i="21"/>
  <c r="B110" i="21"/>
  <c r="B72" i="18"/>
  <c r="B73" i="18"/>
  <c r="B35" i="18"/>
  <c r="B34" i="18"/>
  <c r="BF63" i="19" l="1"/>
  <c r="BG61" i="19"/>
  <c r="BG65" i="19" s="1"/>
  <c r="AW38" i="19"/>
  <c r="AX36" i="19"/>
  <c r="AX40" i="19" l="1"/>
  <c r="BH61" i="19"/>
  <c r="BH65" i="19" s="1"/>
  <c r="AZ36" i="19"/>
  <c r="AZ40" i="19" s="1"/>
  <c r="BG63" i="19"/>
  <c r="AX38" i="19"/>
  <c r="AY36" i="19"/>
  <c r="AY40" i="19" s="1"/>
  <c r="H8" i="18"/>
  <c r="AZ38" i="19" l="1"/>
  <c r="BA36" i="19"/>
  <c r="BA40" i="19" s="1"/>
  <c r="BH63" i="19"/>
  <c r="BI61" i="19"/>
  <c r="BI65" i="19" s="1"/>
  <c r="AY38" i="19"/>
  <c r="J48" i="18"/>
  <c r="J10" i="18"/>
  <c r="BJ61" i="19" l="1"/>
  <c r="BJ65" i="19" s="1"/>
  <c r="BB36" i="19"/>
  <c r="BB40" i="19" s="1"/>
  <c r="BA38" i="19"/>
  <c r="BI63" i="19"/>
  <c r="S138" i="21"/>
  <c r="BB38" i="19" l="1"/>
  <c r="BJ63" i="19"/>
  <c r="BK61" i="19"/>
  <c r="BK65" i="19" l="1"/>
  <c r="BL61" i="19"/>
  <c r="BD36" i="19"/>
  <c r="BC38" i="19"/>
  <c r="BK63" i="19"/>
  <c r="C7" i="5"/>
  <c r="BL65" i="19" l="1"/>
  <c r="G123" i="21" s="1"/>
  <c r="BD40" i="19"/>
  <c r="BM61" i="19"/>
  <c r="BM65" i="19" s="1"/>
  <c r="G124" i="21" s="1"/>
  <c r="BL63" i="19"/>
  <c r="BD38" i="19"/>
  <c r="BE36" i="19"/>
  <c r="BE40" i="19" s="1"/>
  <c r="AC60" i="19"/>
  <c r="AD60" i="19"/>
  <c r="AE60" i="19"/>
  <c r="AF60" i="19"/>
  <c r="AG60" i="19"/>
  <c r="AH60" i="19"/>
  <c r="AI60" i="19"/>
  <c r="AJ60" i="19"/>
  <c r="AK60" i="19"/>
  <c r="AL60" i="19"/>
  <c r="AM60" i="19"/>
  <c r="AC61" i="19"/>
  <c r="AD61" i="19"/>
  <c r="AD65" i="19" s="1"/>
  <c r="AE61" i="19"/>
  <c r="AE65" i="19" s="1"/>
  <c r="AF61" i="19"/>
  <c r="AF65" i="19" s="1"/>
  <c r="AC35" i="19"/>
  <c r="AD35" i="19"/>
  <c r="AE35" i="19"/>
  <c r="AF35" i="19"/>
  <c r="AG35" i="19"/>
  <c r="AH35" i="19"/>
  <c r="AI35" i="19"/>
  <c r="AJ35" i="19"/>
  <c r="AK35" i="19"/>
  <c r="AL35" i="19"/>
  <c r="AM35" i="19"/>
  <c r="AC36" i="19"/>
  <c r="AD36" i="19"/>
  <c r="AD40" i="19" s="1"/>
  <c r="AE36" i="19"/>
  <c r="AE40" i="19" s="1"/>
  <c r="AF36" i="19"/>
  <c r="AF40" i="19" s="1"/>
  <c r="AC14" i="19"/>
  <c r="AD14" i="19"/>
  <c r="AE14" i="19"/>
  <c r="AF14" i="19"/>
  <c r="AG14" i="19"/>
  <c r="AH14" i="19"/>
  <c r="AI14" i="19"/>
  <c r="AJ14" i="19"/>
  <c r="AK14" i="19"/>
  <c r="AL14" i="19"/>
  <c r="AM14" i="19"/>
  <c r="AC15" i="19"/>
  <c r="AD15" i="19"/>
  <c r="AE15" i="19"/>
  <c r="AF15" i="19"/>
  <c r="AG15" i="19"/>
  <c r="AH15" i="19"/>
  <c r="AI15" i="19"/>
  <c r="AJ15" i="19"/>
  <c r="AK15" i="19"/>
  <c r="AL15" i="19"/>
  <c r="AM15" i="19"/>
  <c r="BM63" i="19" l="1"/>
  <c r="BN61" i="19"/>
  <c r="BN65" i="19" s="1"/>
  <c r="G125" i="21" s="1"/>
  <c r="AL16" i="19"/>
  <c r="BE38" i="19"/>
  <c r="BF36" i="19"/>
  <c r="AK16" i="19"/>
  <c r="AD16" i="19"/>
  <c r="AJ16" i="19"/>
  <c r="AI16" i="19"/>
  <c r="AG16" i="19"/>
  <c r="AH16" i="19"/>
  <c r="AF16" i="19"/>
  <c r="AC16" i="19"/>
  <c r="AM16" i="19"/>
  <c r="AE16" i="19"/>
  <c r="AC65" i="19"/>
  <c r="AC40" i="19"/>
  <c r="AF63" i="19"/>
  <c r="AC63" i="19"/>
  <c r="AE38" i="19"/>
  <c r="AD38" i="19"/>
  <c r="AD63" i="19"/>
  <c r="AF38" i="19"/>
  <c r="AC38" i="19"/>
  <c r="AE63" i="19"/>
  <c r="BF40" i="19" l="1"/>
  <c r="BN63" i="19"/>
  <c r="BO61" i="19"/>
  <c r="BF38" i="19"/>
  <c r="BG36" i="19"/>
  <c r="BG40" i="19" s="1"/>
  <c r="B21" i="14"/>
  <c r="B59" i="18"/>
  <c r="B55" i="14" s="1"/>
  <c r="AB60" i="19"/>
  <c r="AB14" i="19"/>
  <c r="AB15" i="19"/>
  <c r="AB35" i="19"/>
  <c r="BO65" i="19" l="1"/>
  <c r="G126" i="21" s="1"/>
  <c r="BP65" i="19"/>
  <c r="G127" i="21" s="1"/>
  <c r="BO63" i="19"/>
  <c r="BG38" i="19"/>
  <c r="BH36" i="19"/>
  <c r="BH40" i="19" s="1"/>
  <c r="AB16" i="19"/>
  <c r="B68" i="14"/>
  <c r="B34" i="14"/>
  <c r="BQ65" i="19" l="1"/>
  <c r="G128" i="21" s="1"/>
  <c r="BP63" i="19"/>
  <c r="BH38" i="19"/>
  <c r="BI36" i="19"/>
  <c r="BI40" i="19" s="1"/>
  <c r="G16" i="22"/>
  <c r="H37" i="22"/>
  <c r="H36" i="22"/>
  <c r="H35" i="22"/>
  <c r="G53" i="22"/>
  <c r="G55" i="22" s="1"/>
  <c r="G51" i="22"/>
  <c r="G50" i="22"/>
  <c r="G49" i="22"/>
  <c r="G48" i="22"/>
  <c r="G47" i="22"/>
  <c r="G46" i="22"/>
  <c r="G45" i="22"/>
  <c r="G44" i="22"/>
  <c r="G43" i="22"/>
  <c r="G42" i="22"/>
  <c r="G41" i="22"/>
  <c r="G38" i="22"/>
  <c r="G37" i="22"/>
  <c r="G36" i="22"/>
  <c r="G35" i="22"/>
  <c r="B53" i="22"/>
  <c r="D39" i="22"/>
  <c r="C39" i="22"/>
  <c r="E38" i="22"/>
  <c r="C38" i="22"/>
  <c r="E37" i="22"/>
  <c r="D37" i="22"/>
  <c r="C37" i="22"/>
  <c r="E36" i="22"/>
  <c r="D36" i="22"/>
  <c r="C36" i="22"/>
  <c r="B36" i="22"/>
  <c r="E35" i="22"/>
  <c r="D35" i="22"/>
  <c r="C35" i="22"/>
  <c r="B35" i="22"/>
  <c r="C34" i="22"/>
  <c r="B33" i="22"/>
  <c r="B32" i="22"/>
  <c r="G6" i="22"/>
  <c r="H7" i="22"/>
  <c r="H6" i="22"/>
  <c r="G15" i="22"/>
  <c r="G14" i="22"/>
  <c r="G13" i="22"/>
  <c r="G12" i="22"/>
  <c r="G8" i="22"/>
  <c r="G7" i="22"/>
  <c r="B23" i="22"/>
  <c r="D9" i="22"/>
  <c r="C9" i="22"/>
  <c r="E8" i="22"/>
  <c r="C8" i="22"/>
  <c r="E7" i="22"/>
  <c r="D7" i="22"/>
  <c r="C7" i="22"/>
  <c r="E6" i="22"/>
  <c r="D6" i="22"/>
  <c r="C6" i="22"/>
  <c r="B6" i="22"/>
  <c r="H5" i="22"/>
  <c r="E5" i="22"/>
  <c r="D5" i="22"/>
  <c r="C5" i="22"/>
  <c r="B5" i="22"/>
  <c r="C4" i="22"/>
  <c r="B3" i="22"/>
  <c r="B2" i="22"/>
  <c r="E39" i="22"/>
  <c r="E71" i="22"/>
  <c r="E9" i="22" s="1"/>
  <c r="BQ63" i="19" l="1"/>
  <c r="BR65" i="19"/>
  <c r="G129" i="21" s="1"/>
  <c r="BI38" i="19"/>
  <c r="BJ36" i="19"/>
  <c r="BJ40" i="19" s="1"/>
  <c r="G17" i="22"/>
  <c r="M40" i="21"/>
  <c r="L56" i="21"/>
  <c r="L55" i="21"/>
  <c r="L54" i="21"/>
  <c r="L52" i="21"/>
  <c r="L51" i="21"/>
  <c r="L50" i="21"/>
  <c r="L49" i="21"/>
  <c r="L48" i="21"/>
  <c r="L47" i="21"/>
  <c r="L46" i="21"/>
  <c r="L41" i="21"/>
  <c r="L40" i="21"/>
  <c r="L39" i="21"/>
  <c r="C39" i="21"/>
  <c r="B38" i="21"/>
  <c r="B37" i="21"/>
  <c r="J44" i="21"/>
  <c r="G44" i="21"/>
  <c r="D44" i="21"/>
  <c r="C44" i="21"/>
  <c r="D43" i="21"/>
  <c r="I42" i="21"/>
  <c r="G42" i="21"/>
  <c r="F42" i="21"/>
  <c r="E42" i="21"/>
  <c r="D42" i="21"/>
  <c r="C42" i="21"/>
  <c r="J41" i="21"/>
  <c r="I41" i="21"/>
  <c r="H41" i="21"/>
  <c r="G41" i="21"/>
  <c r="F41" i="21"/>
  <c r="E41" i="21"/>
  <c r="D41" i="21"/>
  <c r="C41" i="21"/>
  <c r="B41" i="21"/>
  <c r="J40" i="21"/>
  <c r="I40" i="21"/>
  <c r="H40" i="21"/>
  <c r="G40" i="21"/>
  <c r="F40" i="21"/>
  <c r="E40" i="21"/>
  <c r="D40" i="21"/>
  <c r="C40" i="21"/>
  <c r="B40" i="21"/>
  <c r="L21" i="21"/>
  <c r="L20" i="21"/>
  <c r="L19" i="21"/>
  <c r="L18" i="21"/>
  <c r="L17" i="21"/>
  <c r="L16" i="21"/>
  <c r="L15" i="21"/>
  <c r="L14" i="21"/>
  <c r="L13" i="21"/>
  <c r="L12" i="21"/>
  <c r="L11" i="21"/>
  <c r="L24" i="21" s="1"/>
  <c r="M5" i="21"/>
  <c r="L6" i="21"/>
  <c r="L5" i="21"/>
  <c r="C4" i="21"/>
  <c r="J9" i="21"/>
  <c r="G9" i="21"/>
  <c r="D9" i="21"/>
  <c r="C9" i="21"/>
  <c r="I7" i="21"/>
  <c r="G7" i="21"/>
  <c r="F7" i="21"/>
  <c r="E7" i="21"/>
  <c r="D7" i="21"/>
  <c r="J6" i="21"/>
  <c r="I6" i="21"/>
  <c r="H6" i="21"/>
  <c r="G6" i="21"/>
  <c r="F6" i="21"/>
  <c r="E6" i="21"/>
  <c r="D6" i="21"/>
  <c r="J5" i="21"/>
  <c r="I5" i="21"/>
  <c r="H5" i="21"/>
  <c r="G5" i="21"/>
  <c r="F5" i="21"/>
  <c r="E5" i="21"/>
  <c r="D5" i="21"/>
  <c r="C7" i="21"/>
  <c r="C6" i="21"/>
  <c r="C5" i="21"/>
  <c r="B21" i="21"/>
  <c r="B20" i="21"/>
  <c r="B19" i="21"/>
  <c r="B18" i="21"/>
  <c r="B17" i="21"/>
  <c r="B16" i="21"/>
  <c r="B15" i="21"/>
  <c r="B14" i="21"/>
  <c r="B13" i="21"/>
  <c r="B12" i="21"/>
  <c r="B11" i="21"/>
  <c r="B34" i="21" s="1"/>
  <c r="B6" i="21"/>
  <c r="B5" i="21"/>
  <c r="B3" i="21"/>
  <c r="B2" i="21"/>
  <c r="L59" i="21" l="1"/>
  <c r="L61" i="21" s="1"/>
  <c r="L26" i="21"/>
  <c r="BS65" i="19"/>
  <c r="G130" i="21" s="1"/>
  <c r="BR63" i="19"/>
  <c r="BJ38" i="19"/>
  <c r="BK36" i="19"/>
  <c r="G18" i="22"/>
  <c r="BK40" i="19" l="1"/>
  <c r="BS63" i="19"/>
  <c r="BL36" i="19"/>
  <c r="BL40" i="19" s="1"/>
  <c r="G83" i="21" s="1"/>
  <c r="BT65" i="19"/>
  <c r="G131" i="21" s="1"/>
  <c r="BK38" i="19"/>
  <c r="G19" i="22"/>
  <c r="B83" i="22"/>
  <c r="B21" i="22" s="1"/>
  <c r="B82" i="22"/>
  <c r="B20" i="22" s="1"/>
  <c r="B81" i="22"/>
  <c r="B19" i="22" s="1"/>
  <c r="B80" i="22"/>
  <c r="B18" i="22" s="1"/>
  <c r="B79" i="22"/>
  <c r="B17" i="22" s="1"/>
  <c r="B78" i="22"/>
  <c r="B16" i="22" s="1"/>
  <c r="B77" i="22"/>
  <c r="B15" i="22" s="1"/>
  <c r="B76" i="22"/>
  <c r="B14" i="22" s="1"/>
  <c r="B75" i="22"/>
  <c r="B13" i="22" s="1"/>
  <c r="B74" i="22"/>
  <c r="B12" i="22" s="1"/>
  <c r="B73" i="22"/>
  <c r="B11" i="22" s="1"/>
  <c r="BU65" i="19" l="1"/>
  <c r="G132" i="21" s="1"/>
  <c r="BT63" i="19"/>
  <c r="BM36" i="19"/>
  <c r="BM40" i="19" s="1"/>
  <c r="G84" i="21" s="1"/>
  <c r="BL38" i="19"/>
  <c r="G20" i="22"/>
  <c r="D28" i="1"/>
  <c r="BM38" i="19" l="1"/>
  <c r="BN36" i="19"/>
  <c r="BN40" i="19" s="1"/>
  <c r="G85" i="21" s="1"/>
  <c r="BV65" i="19"/>
  <c r="G133" i="21" s="1"/>
  <c r="BU63" i="19"/>
  <c r="G21" i="22"/>
  <c r="H46" i="18"/>
  <c r="E46" i="18"/>
  <c r="E8" i="18"/>
  <c r="U61" i="19"/>
  <c r="U65" i="19" s="1"/>
  <c r="T61" i="19"/>
  <c r="T65" i="19" s="1"/>
  <c r="S61" i="19"/>
  <c r="S65" i="19" s="1"/>
  <c r="R61" i="19"/>
  <c r="R65" i="19" s="1"/>
  <c r="Q61" i="19"/>
  <c r="Q65" i="19" s="1"/>
  <c r="P61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U36" i="19"/>
  <c r="U40" i="19" s="1"/>
  <c r="T36" i="19"/>
  <c r="T40" i="19" s="1"/>
  <c r="S36" i="19"/>
  <c r="S40" i="19" s="1"/>
  <c r="R36" i="19"/>
  <c r="R40" i="19" s="1"/>
  <c r="Q36" i="19"/>
  <c r="Q40" i="19" s="1"/>
  <c r="P36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J35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C56" i="21"/>
  <c r="C55" i="21"/>
  <c r="C54" i="21"/>
  <c r="C53" i="21"/>
  <c r="C52" i="21"/>
  <c r="C51" i="21"/>
  <c r="C50" i="21"/>
  <c r="C49" i="21"/>
  <c r="C48" i="21"/>
  <c r="C47" i="21"/>
  <c r="I43" i="21"/>
  <c r="H120" i="21"/>
  <c r="E120" i="21"/>
  <c r="C21" i="21"/>
  <c r="C20" i="21"/>
  <c r="C19" i="21"/>
  <c r="C18" i="21"/>
  <c r="C17" i="21"/>
  <c r="C16" i="21"/>
  <c r="C15" i="21"/>
  <c r="C14" i="21"/>
  <c r="C13" i="21"/>
  <c r="C12" i="21"/>
  <c r="I8" i="21"/>
  <c r="H80" i="21"/>
  <c r="E80" i="21"/>
  <c r="E94" i="21" s="1"/>
  <c r="BW65" i="19" l="1"/>
  <c r="G134" i="21" s="1"/>
  <c r="F94" i="21"/>
  <c r="F22" i="21" s="1"/>
  <c r="E22" i="21"/>
  <c r="BV63" i="19"/>
  <c r="BO36" i="19"/>
  <c r="BO40" i="19" s="1"/>
  <c r="G86" i="21" s="1"/>
  <c r="BN38" i="19"/>
  <c r="E49" i="18"/>
  <c r="E11" i="18"/>
  <c r="E134" i="21"/>
  <c r="E123" i="21"/>
  <c r="H134" i="21"/>
  <c r="H123" i="21"/>
  <c r="I123" i="21" s="1"/>
  <c r="H83" i="21"/>
  <c r="E50" i="18"/>
  <c r="E51" i="18"/>
  <c r="E91" i="21"/>
  <c r="F91" i="21" s="1"/>
  <c r="E90" i="21"/>
  <c r="F90" i="21" s="1"/>
  <c r="E84" i="21"/>
  <c r="F84" i="21" s="1"/>
  <c r="E92" i="21"/>
  <c r="F92" i="21" s="1"/>
  <c r="E83" i="21"/>
  <c r="E85" i="21"/>
  <c r="F85" i="21" s="1"/>
  <c r="E93" i="21"/>
  <c r="F93" i="21" s="1"/>
  <c r="S38" i="19"/>
  <c r="E86" i="21"/>
  <c r="F86" i="21" s="1"/>
  <c r="T38" i="19"/>
  <c r="E87" i="21"/>
  <c r="F87" i="21" s="1"/>
  <c r="E88" i="21"/>
  <c r="F88" i="21" s="1"/>
  <c r="H84" i="21"/>
  <c r="I84" i="21" s="1"/>
  <c r="E89" i="21"/>
  <c r="F89" i="21" s="1"/>
  <c r="H85" i="21"/>
  <c r="I85" i="21" s="1"/>
  <c r="H86" i="21"/>
  <c r="I86" i="21" s="1"/>
  <c r="Q16" i="19"/>
  <c r="H43" i="21"/>
  <c r="C11" i="21"/>
  <c r="C24" i="21" s="1"/>
  <c r="C46" i="21"/>
  <c r="C59" i="21" s="1"/>
  <c r="E8" i="21"/>
  <c r="E43" i="21"/>
  <c r="G23" i="22"/>
  <c r="G25" i="22" s="1"/>
  <c r="Q38" i="19"/>
  <c r="P16" i="19"/>
  <c r="Q63" i="19"/>
  <c r="U16" i="19"/>
  <c r="Y16" i="19"/>
  <c r="X16" i="19"/>
  <c r="B46" i="21"/>
  <c r="B69" i="21" s="1"/>
  <c r="B102" i="22"/>
  <c r="B41" i="22" s="1"/>
  <c r="B48" i="21"/>
  <c r="B104" i="22"/>
  <c r="B43" i="22" s="1"/>
  <c r="B50" i="21"/>
  <c r="B106" i="22"/>
  <c r="B45" i="22" s="1"/>
  <c r="B52" i="21"/>
  <c r="B108" i="22"/>
  <c r="B47" i="22" s="1"/>
  <c r="B54" i="21"/>
  <c r="B110" i="22"/>
  <c r="B49" i="22" s="1"/>
  <c r="B56" i="21"/>
  <c r="B112" i="22"/>
  <c r="B51" i="22" s="1"/>
  <c r="B47" i="21"/>
  <c r="B103" i="22"/>
  <c r="B42" i="22" s="1"/>
  <c r="B49" i="21"/>
  <c r="B105" i="22"/>
  <c r="B44" i="22" s="1"/>
  <c r="B51" i="21"/>
  <c r="B107" i="22"/>
  <c r="B46" i="22" s="1"/>
  <c r="B53" i="21"/>
  <c r="B109" i="22"/>
  <c r="B48" i="22" s="1"/>
  <c r="B55" i="21"/>
  <c r="B111" i="22"/>
  <c r="B50" i="22" s="1"/>
  <c r="I81" i="21"/>
  <c r="I9" i="21" s="1"/>
  <c r="F8" i="21"/>
  <c r="I121" i="21"/>
  <c r="I44" i="21" s="1"/>
  <c r="F43" i="21"/>
  <c r="T63" i="19"/>
  <c r="U63" i="19"/>
  <c r="R63" i="19"/>
  <c r="T16" i="19"/>
  <c r="S63" i="19"/>
  <c r="U38" i="19"/>
  <c r="P65" i="19"/>
  <c r="P40" i="19"/>
  <c r="P63" i="19"/>
  <c r="P38" i="19"/>
  <c r="AA16" i="19"/>
  <c r="W16" i="19"/>
  <c r="S16" i="19"/>
  <c r="V61" i="19"/>
  <c r="V65" i="19" s="1"/>
  <c r="Z16" i="19"/>
  <c r="V16" i="19"/>
  <c r="R16" i="19"/>
  <c r="V36" i="19"/>
  <c r="V40" i="19" s="1"/>
  <c r="R38" i="19"/>
  <c r="H81" i="21"/>
  <c r="H9" i="21" s="1"/>
  <c r="H121" i="21"/>
  <c r="H44" i="21" s="1"/>
  <c r="F121" i="21"/>
  <c r="F44" i="21" s="1"/>
  <c r="E81" i="21"/>
  <c r="E9" i="21" s="1"/>
  <c r="F81" i="21"/>
  <c r="F9" i="21" s="1"/>
  <c r="E121" i="21"/>
  <c r="E44" i="21" s="1"/>
  <c r="G57" i="21" l="1"/>
  <c r="G136" i="21"/>
  <c r="BX63" i="19"/>
  <c r="BX65" i="19"/>
  <c r="G49" i="18" s="1"/>
  <c r="D45" i="14" s="1"/>
  <c r="E45" i="14" s="1"/>
  <c r="I134" i="21"/>
  <c r="H57" i="21"/>
  <c r="BP40" i="19"/>
  <c r="G87" i="21" s="1"/>
  <c r="F134" i="21"/>
  <c r="F57" i="21" s="1"/>
  <c r="E57" i="21"/>
  <c r="BO38" i="19"/>
  <c r="BW63" i="19"/>
  <c r="I83" i="21"/>
  <c r="E96" i="21"/>
  <c r="F83" i="21"/>
  <c r="F96" i="21" s="1"/>
  <c r="J84" i="21"/>
  <c r="U84" i="21" s="1"/>
  <c r="J85" i="21"/>
  <c r="U85" i="21" s="1"/>
  <c r="J86" i="21"/>
  <c r="U86" i="21" s="1"/>
  <c r="Y36" i="19"/>
  <c r="Y40" i="19" s="1"/>
  <c r="W36" i="19"/>
  <c r="W40" i="19" s="1"/>
  <c r="X36" i="19"/>
  <c r="X40" i="19" s="1"/>
  <c r="W61" i="19"/>
  <c r="V63" i="19"/>
  <c r="V38" i="19"/>
  <c r="B20" i="14"/>
  <c r="B19" i="14"/>
  <c r="B18" i="14"/>
  <c r="B17" i="14"/>
  <c r="B16" i="14"/>
  <c r="B15" i="14"/>
  <c r="B14" i="14"/>
  <c r="B13" i="14"/>
  <c r="B12" i="14"/>
  <c r="B11" i="14"/>
  <c r="H49" i="18" l="1"/>
  <c r="BY63" i="19"/>
  <c r="BY65" i="19"/>
  <c r="G50" i="18" s="1"/>
  <c r="D46" i="14" s="1"/>
  <c r="E46" i="14" s="1"/>
  <c r="BP38" i="19"/>
  <c r="J134" i="21"/>
  <c r="I57" i="21"/>
  <c r="J83" i="21"/>
  <c r="U83" i="21" s="1"/>
  <c r="W38" i="19"/>
  <c r="Z36" i="19"/>
  <c r="Z40" i="19" s="1"/>
  <c r="Z61" i="19"/>
  <c r="Z65" i="19" s="1"/>
  <c r="Y61" i="19"/>
  <c r="Y65" i="19" s="1"/>
  <c r="X38" i="19"/>
  <c r="X61" i="19"/>
  <c r="Y38" i="19"/>
  <c r="W65" i="19"/>
  <c r="W63" i="19"/>
  <c r="AA61" i="19"/>
  <c r="BQ40" i="19" l="1"/>
  <c r="G88" i="21" s="1"/>
  <c r="BZ63" i="19"/>
  <c r="BZ65" i="19"/>
  <c r="G51" i="18" s="1"/>
  <c r="D47" i="14" s="1"/>
  <c r="E47" i="14" s="1"/>
  <c r="BR40" i="19"/>
  <c r="G89" i="21" s="1"/>
  <c r="BQ38" i="19"/>
  <c r="J57" i="21"/>
  <c r="M57" i="21" s="1"/>
  <c r="C113" i="22"/>
  <c r="C52" i="22" s="1"/>
  <c r="U134" i="21"/>
  <c r="Z38" i="19"/>
  <c r="AG61" i="19"/>
  <c r="Z63" i="19"/>
  <c r="AB61" i="19"/>
  <c r="AB63" i="19" s="1"/>
  <c r="AB36" i="19"/>
  <c r="Y63" i="19"/>
  <c r="X65" i="19"/>
  <c r="X63" i="19"/>
  <c r="AA65" i="19"/>
  <c r="AA63" i="19"/>
  <c r="BS40" i="19" l="1"/>
  <c r="G90" i="21" s="1"/>
  <c r="BR38" i="19"/>
  <c r="AB65" i="19"/>
  <c r="AG36" i="19"/>
  <c r="AH61" i="19"/>
  <c r="AA36" i="19"/>
  <c r="AA38" i="19" s="1"/>
  <c r="AB40" i="19"/>
  <c r="AG63" i="19"/>
  <c r="AG65" i="19"/>
  <c r="AB38" i="19"/>
  <c r="B58" i="18"/>
  <c r="B57" i="18"/>
  <c r="B56" i="18"/>
  <c r="B55" i="18"/>
  <c r="B54" i="18"/>
  <c r="B53" i="18"/>
  <c r="B52" i="18"/>
  <c r="B51" i="18"/>
  <c r="B50" i="18"/>
  <c r="BT40" i="19" l="1"/>
  <c r="BS38" i="19"/>
  <c r="AA40" i="19"/>
  <c r="AI61" i="19"/>
  <c r="AG40" i="19"/>
  <c r="H87" i="21" s="1"/>
  <c r="AG38" i="19"/>
  <c r="AH36" i="19"/>
  <c r="AH65" i="19"/>
  <c r="AH63" i="19"/>
  <c r="B54" i="14"/>
  <c r="B53" i="14"/>
  <c r="B52" i="14"/>
  <c r="B51" i="14"/>
  <c r="B50" i="14"/>
  <c r="B49" i="14"/>
  <c r="B48" i="14"/>
  <c r="B47" i="14"/>
  <c r="B46" i="14"/>
  <c r="B45" i="14"/>
  <c r="G91" i="21" l="1"/>
  <c r="BT38" i="19"/>
  <c r="BU40" i="19"/>
  <c r="G92" i="21" s="1"/>
  <c r="I87" i="21"/>
  <c r="AH40" i="19"/>
  <c r="H88" i="21" s="1"/>
  <c r="I88" i="21" s="1"/>
  <c r="J88" i="21" s="1"/>
  <c r="U88" i="21" s="1"/>
  <c r="AH38" i="19"/>
  <c r="AI36" i="19"/>
  <c r="AI63" i="19"/>
  <c r="AI65" i="19"/>
  <c r="AJ61" i="19"/>
  <c r="B70" i="18"/>
  <c r="B32" i="18"/>
  <c r="BV40" i="19" l="1"/>
  <c r="BU38" i="19"/>
  <c r="J87" i="21"/>
  <c r="U87" i="21" s="1"/>
  <c r="AJ36" i="19"/>
  <c r="AI38" i="19"/>
  <c r="AI40" i="19"/>
  <c r="H89" i="21" s="1"/>
  <c r="AK61" i="19"/>
  <c r="AJ65" i="19"/>
  <c r="AJ63" i="19"/>
  <c r="B15" i="19"/>
  <c r="B14" i="19"/>
  <c r="G93" i="21" l="1"/>
  <c r="BV38" i="19"/>
  <c r="I89" i="21"/>
  <c r="AL61" i="19"/>
  <c r="AJ38" i="19"/>
  <c r="AJ40" i="19"/>
  <c r="H90" i="21" s="1"/>
  <c r="I90" i="21" s="1"/>
  <c r="J90" i="21" s="1"/>
  <c r="U90" i="21" s="1"/>
  <c r="AK65" i="19"/>
  <c r="AK63" i="19"/>
  <c r="AK36" i="19"/>
  <c r="I46" i="18"/>
  <c r="F46" i="18"/>
  <c r="F8" i="18"/>
  <c r="I8" i="18"/>
  <c r="J60" i="19"/>
  <c r="K60" i="19"/>
  <c r="L60" i="19"/>
  <c r="M60" i="19"/>
  <c r="N60" i="19"/>
  <c r="O60" i="19"/>
  <c r="N35" i="19"/>
  <c r="I35" i="19"/>
  <c r="K35" i="19"/>
  <c r="O35" i="19"/>
  <c r="I61" i="19"/>
  <c r="H61" i="19"/>
  <c r="G61" i="19"/>
  <c r="F61" i="19"/>
  <c r="E61" i="19"/>
  <c r="D61" i="19"/>
  <c r="I60" i="19"/>
  <c r="H60" i="19"/>
  <c r="G60" i="19"/>
  <c r="F60" i="19"/>
  <c r="E60" i="19"/>
  <c r="D60" i="19"/>
  <c r="F35" i="19"/>
  <c r="G35" i="19"/>
  <c r="E36" i="19"/>
  <c r="F36" i="19"/>
  <c r="G36" i="19"/>
  <c r="H36" i="19"/>
  <c r="I36" i="19"/>
  <c r="D36" i="19"/>
  <c r="H93" i="21" l="1"/>
  <c r="BW40" i="19"/>
  <c r="G94" i="21" s="1"/>
  <c r="BX40" i="19"/>
  <c r="G11" i="18" s="1"/>
  <c r="D11" i="14" s="1"/>
  <c r="E11" i="14" s="1"/>
  <c r="BX38" i="19"/>
  <c r="I49" i="18"/>
  <c r="BW38" i="19"/>
  <c r="F49" i="18"/>
  <c r="F11" i="18"/>
  <c r="J89" i="21"/>
  <c r="U89" i="21" s="1"/>
  <c r="AM61" i="19"/>
  <c r="AM65" i="19" s="1"/>
  <c r="AK40" i="19"/>
  <c r="H91" i="21" s="1"/>
  <c r="I91" i="21" s="1"/>
  <c r="J91" i="21" s="1"/>
  <c r="U91" i="21" s="1"/>
  <c r="AK38" i="19"/>
  <c r="AL65" i="19"/>
  <c r="AL63" i="19"/>
  <c r="AL36" i="19"/>
  <c r="D46" i="21"/>
  <c r="I47" i="18"/>
  <c r="I9" i="18"/>
  <c r="E125" i="21"/>
  <c r="D48" i="21"/>
  <c r="E133" i="21"/>
  <c r="D56" i="21"/>
  <c r="E129" i="21"/>
  <c r="D52" i="21"/>
  <c r="E126" i="21"/>
  <c r="D49" i="21"/>
  <c r="E132" i="21"/>
  <c r="D55" i="21"/>
  <c r="E127" i="21"/>
  <c r="D50" i="21"/>
  <c r="E131" i="21"/>
  <c r="D54" i="21"/>
  <c r="E124" i="21"/>
  <c r="D47" i="21"/>
  <c r="E128" i="21"/>
  <c r="D51" i="21"/>
  <c r="E130" i="21"/>
  <c r="D53" i="21"/>
  <c r="D17" i="21"/>
  <c r="D18" i="21"/>
  <c r="D14" i="21"/>
  <c r="D16" i="21"/>
  <c r="D13" i="21"/>
  <c r="D21" i="21"/>
  <c r="E13" i="18"/>
  <c r="F13" i="18" s="1"/>
  <c r="E12" i="18"/>
  <c r="F12" i="18" s="1"/>
  <c r="I40" i="19"/>
  <c r="E40" i="19"/>
  <c r="G65" i="19"/>
  <c r="D40" i="19"/>
  <c r="H40" i="19"/>
  <c r="D65" i="19"/>
  <c r="H65" i="19"/>
  <c r="G40" i="19"/>
  <c r="E65" i="19"/>
  <c r="I65" i="19"/>
  <c r="F40" i="19"/>
  <c r="F65" i="19"/>
  <c r="M15" i="19"/>
  <c r="M35" i="19"/>
  <c r="E15" i="19"/>
  <c r="E35" i="19"/>
  <c r="D15" i="19"/>
  <c r="L14" i="19"/>
  <c r="L35" i="19"/>
  <c r="H15" i="19"/>
  <c r="H35" i="19"/>
  <c r="O15" i="19"/>
  <c r="K15" i="19"/>
  <c r="G15" i="19"/>
  <c r="N15" i="19"/>
  <c r="J15" i="19"/>
  <c r="F15" i="19"/>
  <c r="M14" i="19"/>
  <c r="I14" i="19"/>
  <c r="E14" i="19"/>
  <c r="L15" i="19"/>
  <c r="D14" i="19"/>
  <c r="I15" i="19"/>
  <c r="H14" i="19"/>
  <c r="F9" i="18"/>
  <c r="F47" i="18"/>
  <c r="O14" i="19"/>
  <c r="K14" i="19"/>
  <c r="G14" i="19"/>
  <c r="N14" i="19"/>
  <c r="J14" i="19"/>
  <c r="F14" i="19"/>
  <c r="J61" i="19"/>
  <c r="J65" i="19" s="1"/>
  <c r="G38" i="19"/>
  <c r="J36" i="19"/>
  <c r="J40" i="19" s="1"/>
  <c r="G17" i="21" s="1"/>
  <c r="F38" i="19"/>
  <c r="I38" i="19"/>
  <c r="D63" i="19"/>
  <c r="H63" i="19"/>
  <c r="E63" i="19"/>
  <c r="I63" i="19"/>
  <c r="F63" i="19"/>
  <c r="G63" i="19"/>
  <c r="H11" i="18" l="1"/>
  <c r="I11" i="18" s="1"/>
  <c r="J11" i="18" s="1"/>
  <c r="G22" i="21"/>
  <c r="H94" i="21"/>
  <c r="G96" i="21"/>
  <c r="BY38" i="19"/>
  <c r="BY40" i="19"/>
  <c r="G12" i="18" s="1"/>
  <c r="D59" i="21"/>
  <c r="J49" i="18"/>
  <c r="E136" i="21"/>
  <c r="AM63" i="19"/>
  <c r="AM36" i="19"/>
  <c r="AL38" i="19"/>
  <c r="AL40" i="19"/>
  <c r="H92" i="21" s="1"/>
  <c r="E46" i="21"/>
  <c r="F130" i="21"/>
  <c r="F53" i="21" s="1"/>
  <c r="E53" i="21"/>
  <c r="F128" i="21"/>
  <c r="F51" i="21" s="1"/>
  <c r="E51" i="21"/>
  <c r="F131" i="21"/>
  <c r="F54" i="21" s="1"/>
  <c r="E54" i="21"/>
  <c r="F132" i="21"/>
  <c r="F55" i="21" s="1"/>
  <c r="E55" i="21"/>
  <c r="F129" i="21"/>
  <c r="F52" i="21" s="1"/>
  <c r="E52" i="21"/>
  <c r="F125" i="21"/>
  <c r="F48" i="21" s="1"/>
  <c r="E48" i="21"/>
  <c r="H129" i="21"/>
  <c r="G52" i="21"/>
  <c r="F124" i="21"/>
  <c r="F47" i="21" s="1"/>
  <c r="E47" i="21"/>
  <c r="F127" i="21"/>
  <c r="F50" i="21" s="1"/>
  <c r="E50" i="21"/>
  <c r="F126" i="21"/>
  <c r="F49" i="21" s="1"/>
  <c r="E49" i="21"/>
  <c r="F133" i="21"/>
  <c r="F56" i="21" s="1"/>
  <c r="E56" i="21"/>
  <c r="D20" i="21"/>
  <c r="F13" i="21"/>
  <c r="E13" i="21"/>
  <c r="F14" i="21"/>
  <c r="E14" i="21"/>
  <c r="F17" i="21"/>
  <c r="E17" i="21"/>
  <c r="D15" i="21"/>
  <c r="D12" i="21"/>
  <c r="F21" i="21"/>
  <c r="E21" i="21"/>
  <c r="F16" i="21"/>
  <c r="E16" i="21"/>
  <c r="F18" i="21"/>
  <c r="E18" i="21"/>
  <c r="D19" i="21"/>
  <c r="H51" i="18"/>
  <c r="I51" i="18" s="1"/>
  <c r="H50" i="18"/>
  <c r="I50" i="18" s="1"/>
  <c r="F123" i="21"/>
  <c r="J123" i="21" s="1"/>
  <c r="H17" i="21"/>
  <c r="D16" i="19"/>
  <c r="E16" i="19"/>
  <c r="L16" i="19"/>
  <c r="H16" i="19"/>
  <c r="M16" i="19"/>
  <c r="G16" i="19"/>
  <c r="E38" i="19"/>
  <c r="F16" i="19"/>
  <c r="K16" i="19"/>
  <c r="D35" i="19"/>
  <c r="H38" i="19"/>
  <c r="F51" i="18"/>
  <c r="K61" i="19"/>
  <c r="K36" i="19"/>
  <c r="K40" i="19" s="1"/>
  <c r="N16" i="19"/>
  <c r="I16" i="19"/>
  <c r="F50" i="18"/>
  <c r="J16" i="19"/>
  <c r="O16" i="19"/>
  <c r="J38" i="19"/>
  <c r="J63" i="19"/>
  <c r="D12" i="14" l="1"/>
  <c r="E12" i="14" s="1"/>
  <c r="H12" i="18"/>
  <c r="I12" i="18" s="1"/>
  <c r="J12" i="18" s="1"/>
  <c r="H22" i="21"/>
  <c r="I94" i="21"/>
  <c r="BZ38" i="19"/>
  <c r="BZ40" i="19"/>
  <c r="G13" i="18" s="1"/>
  <c r="D13" i="14" s="1"/>
  <c r="E13" i="14" s="1"/>
  <c r="E59" i="21"/>
  <c r="I92" i="21"/>
  <c r="H96" i="21"/>
  <c r="F136" i="21"/>
  <c r="AM40" i="19"/>
  <c r="I93" i="21" s="1"/>
  <c r="J93" i="21" s="1"/>
  <c r="U93" i="21" s="1"/>
  <c r="AM38" i="19"/>
  <c r="D11" i="21"/>
  <c r="D24" i="21" s="1"/>
  <c r="G46" i="21"/>
  <c r="I129" i="21"/>
  <c r="H52" i="21"/>
  <c r="F46" i="21"/>
  <c r="F59" i="21" s="1"/>
  <c r="H128" i="21"/>
  <c r="G51" i="21"/>
  <c r="H125" i="21"/>
  <c r="G48" i="21"/>
  <c r="H126" i="21"/>
  <c r="G49" i="21"/>
  <c r="H124" i="21"/>
  <c r="G47" i="21"/>
  <c r="H127" i="21"/>
  <c r="G50" i="21"/>
  <c r="G18" i="21"/>
  <c r="G11" i="21"/>
  <c r="F12" i="21"/>
  <c r="E12" i="21"/>
  <c r="G16" i="21"/>
  <c r="G14" i="21"/>
  <c r="G12" i="21"/>
  <c r="F19" i="21"/>
  <c r="E19" i="21"/>
  <c r="F15" i="21"/>
  <c r="E15" i="21"/>
  <c r="F20" i="21"/>
  <c r="E20" i="21"/>
  <c r="G13" i="21"/>
  <c r="G15" i="21"/>
  <c r="J51" i="18"/>
  <c r="J50" i="18"/>
  <c r="I17" i="21"/>
  <c r="K63" i="19"/>
  <c r="K65" i="19"/>
  <c r="D38" i="19"/>
  <c r="K38" i="19"/>
  <c r="L36" i="19"/>
  <c r="L61" i="19"/>
  <c r="L65" i="19" s="1"/>
  <c r="C12" i="14" l="1"/>
  <c r="F12" i="14" s="1"/>
  <c r="H13" i="18"/>
  <c r="I13" i="18" s="1"/>
  <c r="J13" i="18" s="1"/>
  <c r="J94" i="21"/>
  <c r="I22" i="21"/>
  <c r="C46" i="14"/>
  <c r="F46" i="14" s="1"/>
  <c r="J92" i="21"/>
  <c r="I96" i="21"/>
  <c r="C11" i="14"/>
  <c r="E11" i="21"/>
  <c r="E24" i="21" s="1"/>
  <c r="H46" i="21"/>
  <c r="H131" i="21"/>
  <c r="G54" i="21"/>
  <c r="I128" i="21"/>
  <c r="H51" i="21"/>
  <c r="J129" i="21"/>
  <c r="U129" i="21" s="1"/>
  <c r="I52" i="21"/>
  <c r="I124" i="21"/>
  <c r="J124" i="21" s="1"/>
  <c r="H47" i="21"/>
  <c r="I125" i="21"/>
  <c r="H48" i="21"/>
  <c r="H130" i="21"/>
  <c r="G53" i="21"/>
  <c r="I127" i="21"/>
  <c r="H50" i="21"/>
  <c r="I126" i="21"/>
  <c r="H49" i="21"/>
  <c r="H13" i="21"/>
  <c r="H12" i="21"/>
  <c r="H16" i="21"/>
  <c r="H11" i="21"/>
  <c r="H15" i="21"/>
  <c r="H14" i="21"/>
  <c r="H18" i="21"/>
  <c r="C47" i="14"/>
  <c r="F47" i="14" s="1"/>
  <c r="J17" i="21"/>
  <c r="M17" i="21" s="1"/>
  <c r="L38" i="19"/>
  <c r="L40" i="19"/>
  <c r="M61" i="19"/>
  <c r="L63" i="19"/>
  <c r="M36" i="19"/>
  <c r="M40" i="19" s="1"/>
  <c r="F11" i="14" l="1"/>
  <c r="G11" i="14" s="1"/>
  <c r="C13" i="14"/>
  <c r="F13" i="14" s="1"/>
  <c r="U94" i="21"/>
  <c r="J22" i="21"/>
  <c r="M22" i="21" s="1"/>
  <c r="C84" i="22"/>
  <c r="C22" i="22" s="1"/>
  <c r="J96" i="21"/>
  <c r="U96" i="21" s="1"/>
  <c r="U92" i="21"/>
  <c r="C45" i="14"/>
  <c r="F45" i="14" s="1"/>
  <c r="G45" i="14" s="1"/>
  <c r="G46" i="14" s="1"/>
  <c r="G47" i="14" s="1"/>
  <c r="G19" i="21"/>
  <c r="I46" i="21"/>
  <c r="F11" i="21"/>
  <c r="F24" i="21" s="1"/>
  <c r="I11" i="21"/>
  <c r="J125" i="21"/>
  <c r="U125" i="21" s="1"/>
  <c r="I48" i="21"/>
  <c r="J52" i="21"/>
  <c r="M52" i="21" s="1"/>
  <c r="C108" i="22"/>
  <c r="C47" i="22" s="1"/>
  <c r="I131" i="21"/>
  <c r="H54" i="21"/>
  <c r="J126" i="21"/>
  <c r="U126" i="21" s="1"/>
  <c r="I49" i="21"/>
  <c r="I130" i="21"/>
  <c r="H53" i="21"/>
  <c r="U124" i="21"/>
  <c r="I47" i="21"/>
  <c r="J128" i="21"/>
  <c r="U128" i="21" s="1"/>
  <c r="I51" i="21"/>
  <c r="J127" i="21"/>
  <c r="I50" i="21"/>
  <c r="I14" i="21"/>
  <c r="I12" i="21"/>
  <c r="I18" i="21"/>
  <c r="I15" i="21"/>
  <c r="I16" i="21"/>
  <c r="I13" i="21"/>
  <c r="G20" i="21"/>
  <c r="C79" i="22"/>
  <c r="C17" i="22" s="1"/>
  <c r="N36" i="19"/>
  <c r="N40" i="19" s="1"/>
  <c r="M63" i="19"/>
  <c r="M65" i="19"/>
  <c r="M38" i="19"/>
  <c r="O61" i="19"/>
  <c r="N61" i="19"/>
  <c r="N65" i="19" s="1"/>
  <c r="G12" i="14" l="1"/>
  <c r="H11" i="14"/>
  <c r="G13" i="14"/>
  <c r="H45" i="14"/>
  <c r="H12" i="14"/>
  <c r="J98" i="21"/>
  <c r="U98" i="21" s="1"/>
  <c r="U123" i="21"/>
  <c r="U127" i="21"/>
  <c r="H19" i="21"/>
  <c r="J11" i="21"/>
  <c r="H133" i="21"/>
  <c r="G56" i="21"/>
  <c r="C102" i="22"/>
  <c r="C41" i="22" s="1"/>
  <c r="J46" i="21"/>
  <c r="J51" i="21"/>
  <c r="M51" i="21" s="1"/>
  <c r="C107" i="22"/>
  <c r="C46" i="22" s="1"/>
  <c r="J130" i="21"/>
  <c r="I53" i="21"/>
  <c r="J131" i="21"/>
  <c r="U131" i="21" s="1"/>
  <c r="I54" i="21"/>
  <c r="J50" i="21"/>
  <c r="M50" i="21" s="1"/>
  <c r="C106" i="22"/>
  <c r="C45" i="22" s="1"/>
  <c r="J47" i="21"/>
  <c r="M47" i="21" s="1"/>
  <c r="C103" i="22"/>
  <c r="C42" i="22" s="1"/>
  <c r="J49" i="21"/>
  <c r="C105" i="22"/>
  <c r="C44" i="22" s="1"/>
  <c r="J48" i="21"/>
  <c r="M48" i="21" s="1"/>
  <c r="C104" i="22"/>
  <c r="C43" i="22" s="1"/>
  <c r="J13" i="21"/>
  <c r="M13" i="21" s="1"/>
  <c r="C75" i="22"/>
  <c r="C13" i="22" s="1"/>
  <c r="J15" i="21"/>
  <c r="M15" i="21" s="1"/>
  <c r="C77" i="22"/>
  <c r="C15" i="22" s="1"/>
  <c r="J12" i="21"/>
  <c r="M12" i="21" s="1"/>
  <c r="C74" i="22"/>
  <c r="C12" i="22" s="1"/>
  <c r="G21" i="21"/>
  <c r="G24" i="21" s="1"/>
  <c r="H20" i="21"/>
  <c r="J16" i="21"/>
  <c r="M16" i="21" s="1"/>
  <c r="C78" i="22"/>
  <c r="C16" i="22" s="1"/>
  <c r="J18" i="21"/>
  <c r="M18" i="21" s="1"/>
  <c r="C80" i="22"/>
  <c r="C18" i="22" s="1"/>
  <c r="J14" i="21"/>
  <c r="C76" i="22"/>
  <c r="C14" i="22" s="1"/>
  <c r="C73" i="22"/>
  <c r="C11" i="22" s="1"/>
  <c r="N38" i="19"/>
  <c r="O63" i="19"/>
  <c r="O65" i="19"/>
  <c r="N63" i="19"/>
  <c r="O36" i="19"/>
  <c r="H13" i="14" l="1"/>
  <c r="H46" i="14"/>
  <c r="M49" i="21"/>
  <c r="M14" i="21"/>
  <c r="U130" i="21"/>
  <c r="M11" i="21"/>
  <c r="I19" i="21"/>
  <c r="G55" i="21"/>
  <c r="G59" i="21" s="1"/>
  <c r="M46" i="21"/>
  <c r="J54" i="21"/>
  <c r="M54" i="21" s="1"/>
  <c r="C110" i="22"/>
  <c r="C49" i="22" s="1"/>
  <c r="I133" i="21"/>
  <c r="H56" i="21"/>
  <c r="J53" i="21"/>
  <c r="M53" i="21" s="1"/>
  <c r="C109" i="22"/>
  <c r="C48" i="22" s="1"/>
  <c r="H21" i="21"/>
  <c r="H24" i="21" s="1"/>
  <c r="I20" i="21"/>
  <c r="H132" i="21"/>
  <c r="H136" i="21" s="1"/>
  <c r="O38" i="19"/>
  <c r="O40" i="19"/>
  <c r="H47" i="14" l="1"/>
  <c r="J19" i="21"/>
  <c r="H55" i="21"/>
  <c r="H59" i="21" s="1"/>
  <c r="J133" i="21"/>
  <c r="I56" i="21"/>
  <c r="J20" i="21"/>
  <c r="M20" i="21" s="1"/>
  <c r="C82" i="22"/>
  <c r="C20" i="22" s="1"/>
  <c r="I21" i="21"/>
  <c r="I24" i="21" s="1"/>
  <c r="C81" i="22"/>
  <c r="C19" i="22" s="1"/>
  <c r="I132" i="21"/>
  <c r="I136" i="21" s="1"/>
  <c r="E47" i="18"/>
  <c r="H47" i="18"/>
  <c r="H9" i="18"/>
  <c r="U133" i="21" l="1"/>
  <c r="M19" i="21"/>
  <c r="I55" i="21"/>
  <c r="I59" i="21" s="1"/>
  <c r="J56" i="21"/>
  <c r="M56" i="21" s="1"/>
  <c r="C112" i="22"/>
  <c r="C51" i="22" s="1"/>
  <c r="J21" i="21"/>
  <c r="M21" i="21" s="1"/>
  <c r="C83" i="22"/>
  <c r="C21" i="22" s="1"/>
  <c r="J132" i="21"/>
  <c r="J136" i="21" s="1"/>
  <c r="E9" i="18"/>
  <c r="J24" i="21" l="1"/>
  <c r="J26" i="21" s="1"/>
  <c r="M26" i="21" s="1"/>
  <c r="M24" i="21"/>
  <c r="J138" i="21"/>
  <c r="U132" i="21"/>
  <c r="J55" i="21"/>
  <c r="J59" i="21" s="1"/>
  <c r="C111" i="22"/>
  <c r="C50" i="22" s="1"/>
  <c r="M55" i="21" l="1"/>
  <c r="M59" i="21" s="1"/>
  <c r="J61" i="21"/>
  <c r="M61" i="21" s="1"/>
  <c r="U138" i="21"/>
  <c r="J64" i="18" s="1"/>
  <c r="U136" i="21"/>
  <c r="B8" i="6"/>
  <c r="B9" i="6" s="1"/>
  <c r="B10" i="6" s="1"/>
  <c r="B13" i="6" s="1"/>
  <c r="J26" i="18" l="1"/>
  <c r="D73" i="22"/>
  <c r="D11" i="22" l="1"/>
  <c r="E73" i="22"/>
  <c r="D74" i="22"/>
  <c r="E74" i="22" s="1"/>
  <c r="D12" i="22" l="1"/>
  <c r="E12" i="22"/>
  <c r="H12" i="22" s="1"/>
  <c r="K73" i="22"/>
  <c r="E11" i="22"/>
  <c r="H11" i="22" s="1"/>
  <c r="D75" i="22"/>
  <c r="E75" i="22" s="1"/>
  <c r="D102" i="22"/>
  <c r="D41" i="22" s="1"/>
  <c r="K74" i="22" l="1"/>
  <c r="D13" i="22"/>
  <c r="K75" i="22"/>
  <c r="D76" i="22"/>
  <c r="E76" i="22" s="1"/>
  <c r="D103" i="22"/>
  <c r="D42" i="22" s="1"/>
  <c r="E102" i="22"/>
  <c r="K102" i="22" l="1"/>
  <c r="E41" i="22"/>
  <c r="H41" i="22" s="1"/>
  <c r="E14" i="22"/>
  <c r="H14" i="22" s="1"/>
  <c r="D14" i="22"/>
  <c r="E13" i="22"/>
  <c r="H13" i="22" s="1"/>
  <c r="D77" i="22"/>
  <c r="E77" i="22" s="1"/>
  <c r="E103" i="22"/>
  <c r="D104" i="22"/>
  <c r="D43" i="22" s="1"/>
  <c r="K103" i="22" l="1"/>
  <c r="E42" i="22"/>
  <c r="H42" i="22" s="1"/>
  <c r="K76" i="22"/>
  <c r="D15" i="22"/>
  <c r="E15" i="22"/>
  <c r="H15" i="22" s="1"/>
  <c r="E104" i="22"/>
  <c r="D105" i="22"/>
  <c r="D44" i="22" s="1"/>
  <c r="D78" i="22"/>
  <c r="E78" i="22" s="1"/>
  <c r="K104" i="22" l="1"/>
  <c r="E43" i="22"/>
  <c r="H43" i="22" s="1"/>
  <c r="D16" i="22"/>
  <c r="K78" i="22"/>
  <c r="K77" i="22"/>
  <c r="D79" i="22"/>
  <c r="E79" i="22" s="1"/>
  <c r="E105" i="22"/>
  <c r="D106" i="22"/>
  <c r="D45" i="22" s="1"/>
  <c r="K105" i="22" l="1"/>
  <c r="E44" i="22"/>
  <c r="H44" i="22" s="1"/>
  <c r="D17" i="22"/>
  <c r="E17" i="22"/>
  <c r="H17" i="22" s="1"/>
  <c r="E16" i="22"/>
  <c r="H16" i="22" s="1"/>
  <c r="D80" i="22"/>
  <c r="E80" i="22" s="1"/>
  <c r="E106" i="22"/>
  <c r="D107" i="22"/>
  <c r="D46" i="22" s="1"/>
  <c r="K106" i="22" l="1"/>
  <c r="E45" i="22"/>
  <c r="H45" i="22" s="1"/>
  <c r="K79" i="22"/>
  <c r="D18" i="22"/>
  <c r="E107" i="22"/>
  <c r="D108" i="22"/>
  <c r="D47" i="22" s="1"/>
  <c r="D81" i="22"/>
  <c r="E81" i="22" s="1"/>
  <c r="K107" i="22" l="1"/>
  <c r="E46" i="22"/>
  <c r="H46" i="22" s="1"/>
  <c r="E18" i="22"/>
  <c r="H18" i="22" s="1"/>
  <c r="D19" i="22"/>
  <c r="E19" i="22"/>
  <c r="H19" i="22" s="1"/>
  <c r="K80" i="22"/>
  <c r="D82" i="22"/>
  <c r="E82" i="22" s="1"/>
  <c r="E108" i="22"/>
  <c r="D109" i="22"/>
  <c r="D48" i="22" s="1"/>
  <c r="K108" i="22" l="1"/>
  <c r="E47" i="22"/>
  <c r="H47" i="22" s="1"/>
  <c r="K81" i="22"/>
  <c r="D20" i="22"/>
  <c r="E20" i="22"/>
  <c r="H20" i="22" s="1"/>
  <c r="E109" i="22"/>
  <c r="D110" i="22"/>
  <c r="D49" i="22" s="1"/>
  <c r="D83" i="22"/>
  <c r="E83" i="22" s="1"/>
  <c r="E21" i="22" l="1"/>
  <c r="H21" i="22" s="1"/>
  <c r="D84" i="22"/>
  <c r="E84" i="22" s="1"/>
  <c r="K109" i="22"/>
  <c r="E48" i="22"/>
  <c r="H48" i="22" s="1"/>
  <c r="K82" i="22"/>
  <c r="D21" i="22"/>
  <c r="E110" i="22"/>
  <c r="D111" i="22"/>
  <c r="D50" i="22" s="1"/>
  <c r="K84" i="22" l="1"/>
  <c r="D22" i="22"/>
  <c r="K110" i="22"/>
  <c r="E49" i="22"/>
  <c r="H49" i="22" s="1"/>
  <c r="K83" i="22"/>
  <c r="E111" i="22"/>
  <c r="K111" i="22" s="1"/>
  <c r="D112" i="22"/>
  <c r="E22" i="22" l="1"/>
  <c r="H22" i="22" s="1"/>
  <c r="E85" i="22"/>
  <c r="E23" i="22" s="1"/>
  <c r="D51" i="22"/>
  <c r="D113" i="22"/>
  <c r="E50" i="22"/>
  <c r="H50" i="22" s="1"/>
  <c r="E112" i="22"/>
  <c r="K112" i="22" s="1"/>
  <c r="E113" i="22" l="1"/>
  <c r="D52" i="22"/>
  <c r="K85" i="22"/>
  <c r="E51" i="22"/>
  <c r="H51" i="22" s="1"/>
  <c r="E52" i="22" l="1"/>
  <c r="H52" i="22" s="1"/>
  <c r="K113" i="22"/>
  <c r="E114" i="22"/>
  <c r="K114" i="22" s="1"/>
  <c r="E87" i="22"/>
  <c r="E53" i="22" l="1"/>
  <c r="H53" i="22" s="1"/>
  <c r="K87" i="22"/>
  <c r="H23" i="22"/>
  <c r="E25" i="22"/>
  <c r="H25" i="22" s="1"/>
  <c r="E116" i="22"/>
  <c r="E55" i="22" l="1"/>
  <c r="H55" i="22" s="1"/>
  <c r="H25" i="14"/>
  <c r="K116" i="22"/>
  <c r="H59" i="14" l="1"/>
  <c r="CA40" i="19" l="1"/>
  <c r="G14" i="18" s="1"/>
  <c r="D14" i="14" s="1"/>
  <c r="E14" i="14" s="1"/>
  <c r="H14" i="18" l="1"/>
  <c r="CH40" i="19"/>
  <c r="G21" i="18" s="1"/>
  <c r="D21" i="14" s="1"/>
  <c r="E21" i="14" s="1"/>
  <c r="CS40" i="19"/>
  <c r="CM40" i="19"/>
  <c r="CD40" i="19"/>
  <c r="G17" i="18" s="1"/>
  <c r="D17" i="14" s="1"/>
  <c r="E17" i="14" s="1"/>
  <c r="CR40" i="19"/>
  <c r="H21" i="18" l="1"/>
  <c r="I21" i="18" s="1"/>
  <c r="H17" i="18"/>
  <c r="I17" i="18" s="1"/>
  <c r="CC40" i="19"/>
  <c r="G16" i="18" s="1"/>
  <c r="D16" i="14" s="1"/>
  <c r="E16" i="14" s="1"/>
  <c r="I14" i="18"/>
  <c r="CO40" i="19"/>
  <c r="CW24" i="19"/>
  <c r="CY36" i="19"/>
  <c r="CJ40" i="19"/>
  <c r="CG40" i="19"/>
  <c r="G20" i="18" s="1"/>
  <c r="D20" i="14" s="1"/>
  <c r="E20" i="14" s="1"/>
  <c r="CI40" i="19"/>
  <c r="G22" i="18" s="1"/>
  <c r="D22" i="14" s="1"/>
  <c r="E22" i="14" s="1"/>
  <c r="CP40" i="19"/>
  <c r="CT40" i="19"/>
  <c r="CQ40" i="19"/>
  <c r="CK40" i="19"/>
  <c r="CN40" i="19"/>
  <c r="CU40" i="19"/>
  <c r="CE40" i="19"/>
  <c r="G18" i="18" s="1"/>
  <c r="D18" i="14" s="1"/>
  <c r="E18" i="14" s="1"/>
  <c r="CF40" i="19"/>
  <c r="G19" i="18" s="1"/>
  <c r="D19" i="14" s="1"/>
  <c r="E19" i="14" s="1"/>
  <c r="CL40" i="19"/>
  <c r="CW36" i="19"/>
  <c r="CB40" i="19"/>
  <c r="G15" i="18" s="1"/>
  <c r="D15" i="14" s="1"/>
  <c r="E15" i="14" s="1"/>
  <c r="H22" i="18" l="1"/>
  <c r="I22" i="18" s="1"/>
  <c r="H16" i="18"/>
  <c r="I16" i="18" s="1"/>
  <c r="H19" i="18"/>
  <c r="I19" i="18" s="1"/>
  <c r="H20" i="18"/>
  <c r="I20" i="18" s="1"/>
  <c r="H18" i="18"/>
  <c r="I18" i="18" s="1"/>
  <c r="CW30" i="19"/>
  <c r="CW55" i="19"/>
  <c r="H15" i="18"/>
  <c r="G24" i="18"/>
  <c r="CW40" i="19"/>
  <c r="CY40" i="19"/>
  <c r="G21" i="1" s="1"/>
  <c r="I15" i="18" l="1"/>
  <c r="H24" i="18"/>
  <c r="CW49" i="19"/>
  <c r="CY49" i="19"/>
  <c r="CS65" i="19"/>
  <c r="CN65" i="19"/>
  <c r="CC65" i="19"/>
  <c r="G54" i="18" s="1"/>
  <c r="D50" i="14" s="1"/>
  <c r="E50" i="14" s="1"/>
  <c r="CE65" i="19"/>
  <c r="G56" i="18" s="1"/>
  <c r="D52" i="14" s="1"/>
  <c r="E52" i="14" s="1"/>
  <c r="CW50" i="19"/>
  <c r="CD65" i="19"/>
  <c r="G55" i="18" s="1"/>
  <c r="D51" i="14" s="1"/>
  <c r="E51" i="14" s="1"/>
  <c r="CB65" i="19"/>
  <c r="G53" i="18" s="1"/>
  <c r="D49" i="14" s="1"/>
  <c r="E49" i="14" s="1"/>
  <c r="CP65" i="19"/>
  <c r="CH65" i="19"/>
  <c r="G59" i="18" s="1"/>
  <c r="D55" i="14" s="1"/>
  <c r="E55" i="14" s="1"/>
  <c r="CA65" i="19"/>
  <c r="G52" i="18" s="1"/>
  <c r="D48" i="14" s="1"/>
  <c r="E48" i="14" s="1"/>
  <c r="CL65" i="19"/>
  <c r="CY50" i="19"/>
  <c r="H52" i="18" l="1"/>
  <c r="H53" i="18"/>
  <c r="I53" i="18" s="1"/>
  <c r="H55" i="18"/>
  <c r="I55" i="18" s="1"/>
  <c r="H56" i="18"/>
  <c r="I56" i="18" s="1"/>
  <c r="H59" i="18"/>
  <c r="I59" i="18" s="1"/>
  <c r="H54" i="18"/>
  <c r="I54" i="18" s="1"/>
  <c r="I24" i="18"/>
  <c r="CG65" i="19"/>
  <c r="G58" i="18" s="1"/>
  <c r="D54" i="14" s="1"/>
  <c r="E54" i="14" s="1"/>
  <c r="CT65" i="19"/>
  <c r="CK65" i="19"/>
  <c r="CU65" i="19"/>
  <c r="CO65" i="19"/>
  <c r="CQ65" i="19"/>
  <c r="CY61" i="19"/>
  <c r="CM65" i="19"/>
  <c r="CF65" i="19"/>
  <c r="G57" i="18" s="1"/>
  <c r="D53" i="14" s="1"/>
  <c r="E53" i="14" s="1"/>
  <c r="I52" i="18"/>
  <c r="CJ65" i="19"/>
  <c r="CR65" i="19"/>
  <c r="H58" i="18" l="1"/>
  <c r="I58" i="18" s="1"/>
  <c r="H57" i="18"/>
  <c r="I57" i="18" s="1"/>
  <c r="CY65" i="19"/>
  <c r="J21" i="1" s="1"/>
  <c r="CI65" i="19"/>
  <c r="G60" i="18" s="1"/>
  <c r="D56" i="14" s="1"/>
  <c r="E56" i="14" s="1"/>
  <c r="CW61" i="19"/>
  <c r="CW65" i="19"/>
  <c r="H60" i="18" l="1"/>
  <c r="I60" i="18" s="1"/>
  <c r="H62" i="18"/>
  <c r="I62" i="18"/>
  <c r="G62" i="18"/>
  <c r="CA21" i="19" l="1"/>
  <c r="CT46" i="19"/>
  <c r="CT60" i="19" s="1"/>
  <c r="CT63" i="19" s="1"/>
  <c r="CN46" i="19"/>
  <c r="CN60" i="19" s="1"/>
  <c r="CN63" i="19" s="1"/>
  <c r="CE46" i="19"/>
  <c r="CE60" i="19" s="1"/>
  <c r="CB21" i="19"/>
  <c r="CB35" i="19" s="1"/>
  <c r="CT21" i="19"/>
  <c r="CT35" i="19" s="1"/>
  <c r="CT38" i="19" s="1"/>
  <c r="CN21" i="19"/>
  <c r="CN35" i="19" s="1"/>
  <c r="CN38" i="19" s="1"/>
  <c r="CF46" i="19"/>
  <c r="CF60" i="19" s="1"/>
  <c r="CO21" i="19"/>
  <c r="CO35" i="19" s="1"/>
  <c r="CO38" i="19" s="1"/>
  <c r="CQ46" i="19"/>
  <c r="CQ60" i="19" s="1"/>
  <c r="CQ63" i="19" s="1"/>
  <c r="CR46" i="19"/>
  <c r="CR60" i="19" s="1"/>
  <c r="CR63" i="19" s="1"/>
  <c r="CR21" i="19"/>
  <c r="CR35" i="19" s="1"/>
  <c r="CR38" i="19" s="1"/>
  <c r="CM46" i="19"/>
  <c r="CM60" i="19" s="1"/>
  <c r="CM63" i="19" s="1"/>
  <c r="CM21" i="19"/>
  <c r="CM35" i="19" s="1"/>
  <c r="CM38" i="19" s="1"/>
  <c r="CC21" i="19"/>
  <c r="CC35" i="19" s="1"/>
  <c r="CU46" i="19"/>
  <c r="CU60" i="19" s="1"/>
  <c r="CU63" i="19" s="1"/>
  <c r="CO46" i="19"/>
  <c r="CO60" i="19" s="1"/>
  <c r="CO63" i="19" s="1"/>
  <c r="CH46" i="19"/>
  <c r="CH60" i="19" s="1"/>
  <c r="CD21" i="19"/>
  <c r="CD35" i="19" s="1"/>
  <c r="CU21" i="19"/>
  <c r="CU35" i="19" s="1"/>
  <c r="CU38" i="19" s="1"/>
  <c r="CI46" i="19"/>
  <c r="CI60" i="19" s="1"/>
  <c r="CL46" i="19"/>
  <c r="CL60" i="19" s="1"/>
  <c r="CL63" i="19" s="1"/>
  <c r="CL21" i="19"/>
  <c r="CL35" i="19" s="1"/>
  <c r="CL38" i="19" s="1"/>
  <c r="CG21" i="19"/>
  <c r="CG35" i="19" s="1"/>
  <c r="CA46" i="19"/>
  <c r="CJ46" i="19"/>
  <c r="CP46" i="19"/>
  <c r="CP60" i="19" s="1"/>
  <c r="CP63" i="19" s="1"/>
  <c r="CE21" i="19"/>
  <c r="CE35" i="19" s="1"/>
  <c r="CB46" i="19"/>
  <c r="CB60" i="19" s="1"/>
  <c r="CJ21" i="19"/>
  <c r="CP21" i="19"/>
  <c r="CP35" i="19" s="1"/>
  <c r="CP38" i="19" s="1"/>
  <c r="CC46" i="19"/>
  <c r="CC60" i="19" s="1"/>
  <c r="CK46" i="19"/>
  <c r="CK60" i="19" s="1"/>
  <c r="CK63" i="19" s="1"/>
  <c r="CQ21" i="19"/>
  <c r="CQ35" i="19" s="1"/>
  <c r="CQ38" i="19" s="1"/>
  <c r="CD46" i="19"/>
  <c r="CD60" i="19" s="1"/>
  <c r="CK21" i="19"/>
  <c r="CK35" i="19" s="1"/>
  <c r="CK38" i="19" s="1"/>
  <c r="CF21" i="19"/>
  <c r="CF35" i="19" s="1"/>
  <c r="CS46" i="19"/>
  <c r="CS60" i="19" s="1"/>
  <c r="CS63" i="19" s="1"/>
  <c r="CH21" i="19"/>
  <c r="CH35" i="19" s="1"/>
  <c r="CG46" i="19"/>
  <c r="CG60" i="19" s="1"/>
  <c r="CS21" i="19"/>
  <c r="CS35" i="19" s="1"/>
  <c r="CS38" i="19" s="1"/>
  <c r="CI21" i="19"/>
  <c r="CI35" i="19" s="1"/>
  <c r="CQ11" i="19"/>
  <c r="CC11" i="19"/>
  <c r="CM11" i="19"/>
  <c r="CN11" i="19"/>
  <c r="CB11" i="19"/>
  <c r="CL11" i="19"/>
  <c r="CH11" i="19"/>
  <c r="CR11" i="19"/>
  <c r="CD11" i="19"/>
  <c r="CI11" i="19"/>
  <c r="CJ11" i="19"/>
  <c r="CK11" i="19"/>
  <c r="C16" i="5"/>
  <c r="CS11" i="19"/>
  <c r="CE11" i="19"/>
  <c r="CA11" i="19"/>
  <c r="CO11" i="19"/>
  <c r="CT11" i="19"/>
  <c r="CF11" i="19"/>
  <c r="CU11" i="19"/>
  <c r="CP11" i="19"/>
  <c r="CG11" i="19"/>
  <c r="C15" i="3"/>
  <c r="E10" i="5" s="1"/>
  <c r="CQ15" i="19" l="1"/>
  <c r="CQ14" i="19"/>
  <c r="CD38" i="19"/>
  <c r="D17" i="18"/>
  <c r="E17" i="18" s="1"/>
  <c r="CK14" i="19"/>
  <c r="CK15" i="19"/>
  <c r="CI38" i="19"/>
  <c r="D22" i="18"/>
  <c r="E22" i="18" s="1"/>
  <c r="CJ15" i="19"/>
  <c r="CY11" i="19"/>
  <c r="CJ14" i="19"/>
  <c r="CO14" i="19"/>
  <c r="CO15" i="19"/>
  <c r="CD63" i="19"/>
  <c r="D55" i="18"/>
  <c r="E55" i="18" s="1"/>
  <c r="CC63" i="19"/>
  <c r="D54" i="18"/>
  <c r="E54" i="18" s="1"/>
  <c r="CJ35" i="19"/>
  <c r="CY21" i="19"/>
  <c r="C15" i="18"/>
  <c r="C53" i="18"/>
  <c r="CB14" i="19"/>
  <c r="CB15" i="19"/>
  <c r="C52" i="18"/>
  <c r="CA14" i="19"/>
  <c r="C14" i="18"/>
  <c r="CW11" i="19"/>
  <c r="CA15" i="19"/>
  <c r="D59" i="18"/>
  <c r="E59" i="18" s="1"/>
  <c r="CH63" i="19"/>
  <c r="CT15" i="19"/>
  <c r="CT14" i="19"/>
  <c r="CL14" i="19"/>
  <c r="CL15" i="19"/>
  <c r="CG38" i="19"/>
  <c r="D20" i="18"/>
  <c r="E20" i="18" s="1"/>
  <c r="F20" i="18" s="1"/>
  <c r="J20" i="18" s="1"/>
  <c r="C20" i="14" s="1"/>
  <c r="F20" i="14" s="1"/>
  <c r="CN15" i="19"/>
  <c r="CN14" i="19"/>
  <c r="C18" i="18"/>
  <c r="CE14" i="19"/>
  <c r="C56" i="18"/>
  <c r="F56" i="18" s="1"/>
  <c r="J56" i="18" s="1"/>
  <c r="C52" i="14" s="1"/>
  <c r="F52" i="14" s="1"/>
  <c r="CE15" i="19"/>
  <c r="CM15" i="19"/>
  <c r="CM14" i="19"/>
  <c r="D60" i="18"/>
  <c r="E60" i="18" s="1"/>
  <c r="CI63" i="19"/>
  <c r="CS14" i="19"/>
  <c r="CS15" i="19"/>
  <c r="C54" i="18"/>
  <c r="C16" i="18"/>
  <c r="CC14" i="19"/>
  <c r="CC15" i="19"/>
  <c r="D57" i="18"/>
  <c r="E57" i="18" s="1"/>
  <c r="CF63" i="19"/>
  <c r="G10" i="5"/>
  <c r="G13" i="1" s="1"/>
  <c r="H10" i="5"/>
  <c r="J13" i="1" s="1"/>
  <c r="CB63" i="19"/>
  <c r="D53" i="18"/>
  <c r="E53" i="18" s="1"/>
  <c r="D15" i="18"/>
  <c r="E15" i="18" s="1"/>
  <c r="CB38" i="19"/>
  <c r="C58" i="18"/>
  <c r="CG15" i="19"/>
  <c r="C20" i="18"/>
  <c r="CG14" i="19"/>
  <c r="CG16" i="19" s="1"/>
  <c r="C60" i="18"/>
  <c r="CI14" i="19"/>
  <c r="CI15" i="19"/>
  <c r="C22" i="18"/>
  <c r="D58" i="18"/>
  <c r="E58" i="18" s="1"/>
  <c r="CG63" i="19"/>
  <c r="D18" i="18"/>
  <c r="E18" i="18" s="1"/>
  <c r="CE38" i="19"/>
  <c r="D56" i="18"/>
  <c r="E56" i="18" s="1"/>
  <c r="CE63" i="19"/>
  <c r="CP14" i="19"/>
  <c r="CP15" i="19"/>
  <c r="C17" i="18"/>
  <c r="CD14" i="19"/>
  <c r="CD15" i="19"/>
  <c r="C55" i="18"/>
  <c r="F55" i="18" s="1"/>
  <c r="J55" i="18" s="1"/>
  <c r="C51" i="14" s="1"/>
  <c r="F51" i="14" s="1"/>
  <c r="D21" i="18"/>
  <c r="E21" i="18" s="1"/>
  <c r="CH38" i="19"/>
  <c r="D16" i="18"/>
  <c r="E16" i="18" s="1"/>
  <c r="F16" i="18" s="1"/>
  <c r="J16" i="18" s="1"/>
  <c r="C16" i="14" s="1"/>
  <c r="F16" i="14" s="1"/>
  <c r="CC38" i="19"/>
  <c r="CU15" i="19"/>
  <c r="CU14" i="19"/>
  <c r="CR15" i="19"/>
  <c r="CR14" i="19"/>
  <c r="CJ60" i="19"/>
  <c r="CY46" i="19"/>
  <c r="CF15" i="19"/>
  <c r="C19" i="18"/>
  <c r="F19" i="18" s="1"/>
  <c r="J19" i="18" s="1"/>
  <c r="C19" i="14" s="1"/>
  <c r="F19" i="14" s="1"/>
  <c r="CF14" i="19"/>
  <c r="CF16" i="19" s="1"/>
  <c r="C57" i="18"/>
  <c r="F57" i="18" s="1"/>
  <c r="J57" i="18" s="1"/>
  <c r="C53" i="14" s="1"/>
  <c r="F53" i="14" s="1"/>
  <c r="CH15" i="19"/>
  <c r="C59" i="18"/>
  <c r="F59" i="18" s="1"/>
  <c r="J59" i="18" s="1"/>
  <c r="C55" i="14" s="1"/>
  <c r="F55" i="14" s="1"/>
  <c r="CH14" i="19"/>
  <c r="C21" i="18"/>
  <c r="D19" i="18"/>
  <c r="E19" i="18" s="1"/>
  <c r="CF38" i="19"/>
  <c r="CW46" i="19"/>
  <c r="CA60" i="19"/>
  <c r="CW21" i="19"/>
  <c r="CA35" i="19"/>
  <c r="F22" i="18" l="1"/>
  <c r="J22" i="18" s="1"/>
  <c r="C22" i="14" s="1"/>
  <c r="F22" i="14" s="1"/>
  <c r="F17" i="18"/>
  <c r="J17" i="18" s="1"/>
  <c r="C17" i="14" s="1"/>
  <c r="F17" i="14" s="1"/>
  <c r="CY14" i="19"/>
  <c r="F53" i="18"/>
  <c r="J53" i="18" s="1"/>
  <c r="C49" i="14" s="1"/>
  <c r="F49" i="14" s="1"/>
  <c r="CI16" i="19"/>
  <c r="CY60" i="19"/>
  <c r="CJ63" i="19"/>
  <c r="CY63" i="19" s="1"/>
  <c r="F60" i="18"/>
  <c r="J60" i="18" s="1"/>
  <c r="C56" i="14" s="1"/>
  <c r="F56" i="14" s="1"/>
  <c r="C62" i="18"/>
  <c r="CB16" i="19"/>
  <c r="F15" i="18"/>
  <c r="J15" i="18" s="1"/>
  <c r="C15" i="14" s="1"/>
  <c r="F15" i="14" s="1"/>
  <c r="CW15" i="19"/>
  <c r="CY15" i="19"/>
  <c r="D14" i="18"/>
  <c r="CW35" i="19"/>
  <c r="CA38" i="19"/>
  <c r="CW38" i="19" s="1"/>
  <c r="E13" i="1"/>
  <c r="D52" i="18"/>
  <c r="CA63" i="19"/>
  <c r="CW63" i="19" s="1"/>
  <c r="CW60" i="19"/>
  <c r="CD16" i="19"/>
  <c r="CY35" i="19"/>
  <c r="CJ38" i="19"/>
  <c r="CY38" i="19" s="1"/>
  <c r="CE16" i="19"/>
  <c r="CC16" i="19"/>
  <c r="F18" i="18"/>
  <c r="J18" i="18" s="1"/>
  <c r="C18" i="14" s="1"/>
  <c r="F18" i="14" s="1"/>
  <c r="F21" i="18"/>
  <c r="J21" i="18" s="1"/>
  <c r="C21" i="14" s="1"/>
  <c r="F21" i="14" s="1"/>
  <c r="C24" i="18"/>
  <c r="CH16" i="19"/>
  <c r="F58" i="18"/>
  <c r="J58" i="18" s="1"/>
  <c r="C54" i="14" s="1"/>
  <c r="F54" i="14" s="1"/>
  <c r="F54" i="18"/>
  <c r="J54" i="18" s="1"/>
  <c r="C50" i="14" s="1"/>
  <c r="F50" i="14" s="1"/>
  <c r="CA16" i="19"/>
  <c r="CW14" i="19"/>
  <c r="D62" i="18" l="1"/>
  <c r="E52" i="18"/>
  <c r="D24" i="18"/>
  <c r="E14" i="18"/>
  <c r="E24" i="18" l="1"/>
  <c r="F14" i="18"/>
  <c r="E62" i="18"/>
  <c r="F52" i="18"/>
  <c r="F62" i="18" l="1"/>
  <c r="J52" i="18"/>
  <c r="F24" i="18"/>
  <c r="J14" i="18"/>
  <c r="C14" i="14" l="1"/>
  <c r="F14" i="14" s="1"/>
  <c r="G14" i="14" s="1"/>
  <c r="J24" i="18"/>
  <c r="J28" i="18" s="1"/>
  <c r="G15" i="1" s="1"/>
  <c r="C48" i="14"/>
  <c r="F48" i="14" s="1"/>
  <c r="G48" i="14" s="1"/>
  <c r="J62" i="18"/>
  <c r="J66" i="18" s="1"/>
  <c r="J70" i="18" l="1"/>
  <c r="J15" i="1"/>
  <c r="G49" i="14"/>
  <c r="H48" i="14"/>
  <c r="E15" i="1"/>
  <c r="H14" i="14"/>
  <c r="G15" i="14"/>
  <c r="G16" i="14" l="1"/>
  <c r="H15" i="14"/>
  <c r="G50" i="14"/>
  <c r="H49" i="14"/>
  <c r="G51" i="14" l="1"/>
  <c r="H50" i="14"/>
  <c r="G17" i="14"/>
  <c r="H16" i="14"/>
  <c r="G18" i="14" l="1"/>
  <c r="H17" i="14"/>
  <c r="G52" i="14"/>
  <c r="H51" i="14"/>
  <c r="G53" i="14" l="1"/>
  <c r="H52" i="14"/>
  <c r="G19" i="14"/>
  <c r="H18" i="14"/>
  <c r="G20" i="14" l="1"/>
  <c r="H19" i="14"/>
  <c r="G54" i="14"/>
  <c r="H53" i="14"/>
  <c r="G55" i="14" l="1"/>
  <c r="H54" i="14"/>
  <c r="G21" i="14"/>
  <c r="H20" i="14"/>
  <c r="G22" i="14" l="1"/>
  <c r="H22" i="14" s="1"/>
  <c r="H21" i="14"/>
  <c r="G56" i="14"/>
  <c r="H56" i="14" s="1"/>
  <c r="H55" i="14"/>
  <c r="H57" i="14" l="1"/>
  <c r="H61" i="14" s="1"/>
  <c r="J17" i="1" s="1"/>
  <c r="J19" i="1" s="1"/>
  <c r="J23" i="1" s="1"/>
  <c r="E13" i="6" s="1"/>
  <c r="F13" i="6" s="1"/>
  <c r="H23" i="14"/>
  <c r="H27" i="14" s="1"/>
  <c r="G17" i="1" s="1"/>
  <c r="E17" i="1" l="1"/>
  <c r="G19" i="1"/>
  <c r="G23" i="1" l="1"/>
  <c r="E19" i="1"/>
  <c r="E10" i="6" l="1"/>
  <c r="F10" i="6" s="1"/>
  <c r="E7" i="6"/>
  <c r="F7" i="6" s="1"/>
  <c r="E8" i="6"/>
  <c r="F8" i="6" s="1"/>
  <c r="E9" i="6"/>
  <c r="F9" i="6" s="1"/>
</calcChain>
</file>

<file path=xl/sharedStrings.xml><?xml version="1.0" encoding="utf-8"?>
<sst xmlns="http://schemas.openxmlformats.org/spreadsheetml/2006/main" count="880" uniqueCount="331">
  <si>
    <t>CONFIDENTIAL</t>
  </si>
  <si>
    <t>DO NOT DUPLICATE</t>
  </si>
  <si>
    <t>TAP RATE RIDER 
RECONCILIATION MODEL</t>
  </si>
  <si>
    <t>Last Revised</t>
  </si>
  <si>
    <t xml:space="preserve">©Black &amp; Veatch Corporation, 2015. All Rights Reserved. The Black &amp; Veatch </t>
  </si>
  <si>
    <t>name and logo are registered trademarks of Black &amp; Veatch Holding Company.</t>
  </si>
  <si>
    <t>PHILADELPHIA WATER DEPARTMENT</t>
  </si>
  <si>
    <t>TAP RATE RIDER RECONCILATION WORKBOOK - SHEET INDEX</t>
  </si>
  <si>
    <t>Sheet Title</t>
  </si>
  <si>
    <t xml:space="preserve">Description </t>
  </si>
  <si>
    <t>Home</t>
  </si>
  <si>
    <t>Home screen with model revision and data input dates</t>
  </si>
  <si>
    <t>Table of Contents</t>
  </si>
  <si>
    <t xml:space="preserve">Assumptions and Inputs </t>
  </si>
  <si>
    <t>Summary of assumptions and inputs including codified factors and adjustment dashboard</t>
  </si>
  <si>
    <t>Customer</t>
  </si>
  <si>
    <t xml:space="preserve">Customer data including actual and estimated TAP Program Discounts, Billed Water and Sewer Volume for the Most Recent Rate Period </t>
  </si>
  <si>
    <t xml:space="preserve">Summary </t>
  </si>
  <si>
    <t>Table 1 - Summary of TAP rate rider reconciliation calculations / Derivation of TAP-R Surcharges</t>
  </si>
  <si>
    <t>C-Factor</t>
  </si>
  <si>
    <t>Table 2 - Calculation of Projected TAP Lost Billings for the Next Rate Period</t>
  </si>
  <si>
    <t>E-Factor</t>
  </si>
  <si>
    <t>Table 3 - Calculation of Experienced &amp; Estimated Net Over/(Under) Collection (E-Factor) for Most Recent Period</t>
  </si>
  <si>
    <t>E-Factor Prior</t>
  </si>
  <si>
    <t>Table 3-A - Calculation of Experienced &amp; Estimated Net Over/(Under) Collection (E-Factor) for Prior Reconciliation Most Recent Period</t>
  </si>
  <si>
    <t>I-Factor</t>
  </si>
  <si>
    <t>Table 4 - Calculation of Interest on Experienced &amp; Estimated Net Over/(Under) Collection (I-Factor) for Most Recent Period</t>
  </si>
  <si>
    <t>I-Factor Prior</t>
  </si>
  <si>
    <t>Table 4-A - Calculation of Interest on Experienced &amp; Estimated Net Over/(Under) Collection (I-Factor) for Prior Reconciliation Most Recent Period</t>
  </si>
  <si>
    <t>Rates</t>
  </si>
  <si>
    <t xml:space="preserve">Table 5 - Application of TAP-R surcharge to adopted water and sewer quantity charges </t>
  </si>
  <si>
    <t xml:space="preserve">Philadelphia Water Department </t>
  </si>
  <si>
    <t>Tap Rate Rider - Assumptions and Inputs</t>
  </si>
  <si>
    <t>Description</t>
  </si>
  <si>
    <t>Source / Notes</t>
  </si>
  <si>
    <t xml:space="preserve">Location </t>
  </si>
  <si>
    <t>Additional Notes</t>
  </si>
  <si>
    <t>TAP Program Inputs</t>
  </si>
  <si>
    <t>Average Monthly Discount - Most Recent Period ($)</t>
  </si>
  <si>
    <t>Raftelis Financial Consultants</t>
  </si>
  <si>
    <t>TRR_Summary</t>
  </si>
  <si>
    <t xml:space="preserve">Average Monthly Usage - Most Recent Period (cf) </t>
  </si>
  <si>
    <t xml:space="preserve">Estimated TAP Participants - Next Rate Period </t>
  </si>
  <si>
    <t>Estimated TAP Total Discount</t>
  </si>
  <si>
    <t>Volume Projections</t>
  </si>
  <si>
    <t>Non-TAP Sales Adjustment Next Rate Period</t>
  </si>
  <si>
    <t>Not used at this time</t>
  </si>
  <si>
    <t>Convert CCF to MCF (Divide by)</t>
  </si>
  <si>
    <t>TAP Rider Rates</t>
  </si>
  <si>
    <t>Prior Rates September 1, 2023</t>
  </si>
  <si>
    <t>Water TAP-R ($/MCF)</t>
  </si>
  <si>
    <t>per MCF</t>
  </si>
  <si>
    <t>PWD Regulations - Rates and Charges Effective September 1, 2023</t>
  </si>
  <si>
    <t>Section 10.3(a)(1)</t>
  </si>
  <si>
    <t>Sewer TAP-R ($/MCF)</t>
  </si>
  <si>
    <t>Section 10.3(b)(1)</t>
  </si>
  <si>
    <t>Current Rates Effective September 1, 2024</t>
  </si>
  <si>
    <t>PWD Regulations - Rates and Charges Effective September 1, 2024</t>
  </si>
  <si>
    <t xml:space="preserve">Codified Factors </t>
  </si>
  <si>
    <t xml:space="preserve">Collection Factor </t>
  </si>
  <si>
    <t>Section 10.1(b)(3)</t>
  </si>
  <si>
    <t>Water TAP Cost Allocation (%)</t>
  </si>
  <si>
    <t>Section 10.1(a)(i)</t>
  </si>
  <si>
    <t>Sewer TAP Cost Allocation (%)</t>
  </si>
  <si>
    <t>Section 10.1(a)(ii)</t>
  </si>
  <si>
    <t>Prior Reconciliation Proceeding</t>
  </si>
  <si>
    <t>Interest Rate (%)</t>
  </si>
  <si>
    <t>Section 10.1(b)(4)</t>
  </si>
  <si>
    <r>
      <t xml:space="preserve">Downloaded from: </t>
    </r>
    <r>
      <rPr>
        <u val="singleAccounting"/>
        <sz val="11"/>
        <color theme="3"/>
        <rFont val="Roboto"/>
      </rPr>
      <t xml:space="preserve">https://www.federalreserve.gov/releases/h15/  </t>
    </r>
  </si>
  <si>
    <t>as of</t>
  </si>
  <si>
    <t>Current Reconciliation Proceeding</t>
  </si>
  <si>
    <t>Treasury Constant Maturities, 1 year</t>
  </si>
  <si>
    <t>Reconciliation Period</t>
  </si>
  <si>
    <t>Number of Months</t>
  </si>
  <si>
    <t>Other Inputs</t>
  </si>
  <si>
    <t>TAP Rider Rate Effective Date</t>
  </si>
  <si>
    <t>Next Rate Period End Date</t>
  </si>
  <si>
    <t>Cost of Service Study Start Year</t>
  </si>
  <si>
    <t>FY 2026</t>
  </si>
  <si>
    <t>Cost of Service Study End Year</t>
  </si>
  <si>
    <t>FY 2027</t>
  </si>
  <si>
    <t xml:space="preserve"> </t>
  </si>
  <si>
    <t>December 2024</t>
  </si>
  <si>
    <t>Estimate Period End</t>
  </si>
  <si>
    <t>August 2025</t>
  </si>
  <si>
    <t>Prior Reconciliation Factors</t>
  </si>
  <si>
    <t>Water</t>
  </si>
  <si>
    <t>Sewer</t>
  </si>
  <si>
    <t xml:space="preserve">E-Factor Adjustment </t>
  </si>
  <si>
    <t>From 2024 Annual Rate Adjustment Table 3-W</t>
  </si>
  <si>
    <t>From 2024 Annual Rate Adjustment Table 3-WW</t>
  </si>
  <si>
    <t xml:space="preserve">I-Factor Adjustment </t>
  </si>
  <si>
    <t>From 2024 Annual Rate Adjustment Table 4-W</t>
  </si>
  <si>
    <t>From 2024 Annual Rate Adjustment Table 4-WW</t>
  </si>
  <si>
    <t>S-Factor (MCF)</t>
  </si>
  <si>
    <t>From 2024 Annual Rate Adjustment Table 1</t>
  </si>
  <si>
    <t xml:space="preserve">E + I Factor Component </t>
  </si>
  <si>
    <t>$/MCF</t>
  </si>
  <si>
    <t>Discount Adjustments</t>
  </si>
  <si>
    <t>Senior Discount</t>
  </si>
  <si>
    <t>Section 5.2 (b)</t>
  </si>
  <si>
    <t>PHA Discount</t>
  </si>
  <si>
    <t>PWD Regulations - Rates and Charges Effective September 1, 2025</t>
  </si>
  <si>
    <t>Section 5.2 (d)</t>
  </si>
  <si>
    <t>Non-PHA Discount (Other discount)</t>
  </si>
  <si>
    <t>PWD Regulations - Rates and Charges Effective September 1, 2026</t>
  </si>
  <si>
    <t>Section 5.2 (a), (c) through (n)</t>
  </si>
  <si>
    <t xml:space="preserve">2019 Reconciliation Most Recent Period </t>
  </si>
  <si>
    <t xml:space="preserve">Prior Reconciliation Most Recent Period </t>
  </si>
  <si>
    <t xml:space="preserve">2020 Reconciliation Most Recent Period </t>
  </si>
  <si>
    <t xml:space="preserve">2021 Prior Reconciliation Period </t>
  </si>
  <si>
    <t xml:space="preserve">2022 Prior Reconciliation Period </t>
  </si>
  <si>
    <t xml:space="preserve">2023 Prior Reconciliation Period </t>
  </si>
  <si>
    <t>Most Recent Period</t>
  </si>
  <si>
    <t>Next Rate Period</t>
  </si>
  <si>
    <t>September</t>
  </si>
  <si>
    <t xml:space="preserve">October </t>
  </si>
  <si>
    <t>November</t>
  </si>
  <si>
    <t xml:space="preserve">December </t>
  </si>
  <si>
    <t xml:space="preserve">January </t>
  </si>
  <si>
    <t>February</t>
  </si>
  <si>
    <t>March</t>
  </si>
  <si>
    <t>April</t>
  </si>
  <si>
    <t xml:space="preserve">May </t>
  </si>
  <si>
    <t>June</t>
  </si>
  <si>
    <t xml:space="preserve">July </t>
  </si>
  <si>
    <t>August</t>
  </si>
  <si>
    <t>October</t>
  </si>
  <si>
    <t>December</t>
  </si>
  <si>
    <t>January</t>
  </si>
  <si>
    <t xml:space="preserve">February </t>
  </si>
  <si>
    <t>May</t>
  </si>
  <si>
    <t>July</t>
  </si>
  <si>
    <t>MOST RECENT PERIOD TOTAL</t>
  </si>
  <si>
    <t>NEXT RATE PERIOD TOTAL</t>
  </si>
  <si>
    <t>Source</t>
  </si>
  <si>
    <t>Notes</t>
  </si>
  <si>
    <t xml:space="preserve">TAP Program </t>
  </si>
  <si>
    <t>Actual</t>
  </si>
  <si>
    <t>Actuals (Prior Reconciliation Period)</t>
  </si>
  <si>
    <t>Actuals (Reconciliation Period)*</t>
  </si>
  <si>
    <t>Actuals (Reconciled Period)</t>
  </si>
  <si>
    <t>Most Recent Period (Actuals)</t>
  </si>
  <si>
    <t>Most Recent Period (Estimated)</t>
  </si>
  <si>
    <t xml:space="preserve">Estimated (Next Rate Period) </t>
  </si>
  <si>
    <t>Participants (#)</t>
  </si>
  <si>
    <t>Raftelis DR_3A &amp; TRR_Projections</t>
  </si>
  <si>
    <t>Totals</t>
  </si>
  <si>
    <t>Estimates reflect Raftelis' projections.</t>
  </si>
  <si>
    <t>TAP Discounts ($)</t>
  </si>
  <si>
    <t>Raftelis DR_4 &amp; TRR_Projections</t>
  </si>
  <si>
    <t>Allocated TAP Discounts</t>
  </si>
  <si>
    <t xml:space="preserve">Allocated share to Water </t>
  </si>
  <si>
    <t>Allocated share to Sewer</t>
  </si>
  <si>
    <t>check</t>
  </si>
  <si>
    <t>Water - Monthly Billed Water Volume (CCF)</t>
  </si>
  <si>
    <t>TAP</t>
  </si>
  <si>
    <t>Raftelis DR_1 &amp; TRR_Projections</t>
  </si>
  <si>
    <t>TAP Participants</t>
  </si>
  <si>
    <t>Non-TAP</t>
  </si>
  <si>
    <t>Raftelis DR_1</t>
  </si>
  <si>
    <t xml:space="preserve">Estimates assume constant monthly average based upon prior 12 months </t>
  </si>
  <si>
    <t>No Additional Discount</t>
  </si>
  <si>
    <t xml:space="preserve">Non-TAP (Adjusted for Discounts) </t>
  </si>
  <si>
    <t>DISCOUNT NOT APPLIED FOR PRIOR RECONCILIATIONS</t>
  </si>
  <si>
    <t>Total</t>
  </si>
  <si>
    <t>USE NON-TAP SALES</t>
  </si>
  <si>
    <t>Sewer - Monthly Billed Water Volume (CCF)</t>
  </si>
  <si>
    <t>Raftelis DR_2 &amp; TRR_Projections</t>
  </si>
  <si>
    <t>Estimates assume constant monthly average based upon prior 12 months</t>
  </si>
  <si>
    <t>Jan</t>
  </si>
  <si>
    <t>Feb</t>
  </si>
  <si>
    <t>Mar</t>
  </si>
  <si>
    <t>Apr</t>
  </si>
  <si>
    <t>TOTAL</t>
  </si>
  <si>
    <t xml:space="preserve">Water </t>
  </si>
  <si>
    <t xml:space="preserve">Wastewater </t>
  </si>
  <si>
    <t xml:space="preserve">Amount </t>
  </si>
  <si>
    <t>(1)</t>
  </si>
  <si>
    <t>(2)</t>
  </si>
  <si>
    <t>(3)</t>
  </si>
  <si>
    <t>(4)</t>
  </si>
  <si>
    <t>(5)</t>
  </si>
  <si>
    <t>(6)</t>
  </si>
  <si>
    <t>/MCF</t>
  </si>
  <si>
    <t xml:space="preserve">Notes: </t>
  </si>
  <si>
    <t>a</t>
  </si>
  <si>
    <t xml:space="preserve">Recoverable TAP Billing Loss for the Next Rate Period.  Refer to Table 2 for additional information. </t>
  </si>
  <si>
    <t>b</t>
  </si>
  <si>
    <t xml:space="preserve">Actual TAP Discounts versus TAP Revenue Collection for the Most Recent Period.  Refer to Tables 3-W and 3-WW for further information. </t>
  </si>
  <si>
    <t>c</t>
  </si>
  <si>
    <t>d</t>
  </si>
  <si>
    <t>Net Recoverable Costs.</t>
  </si>
  <si>
    <t>e</t>
  </si>
  <si>
    <t>f</t>
  </si>
  <si>
    <t>TAP-R Surcharge for the Next Rate Period.</t>
  </si>
  <si>
    <t>Period</t>
  </si>
  <si>
    <t>Billing</t>
  </si>
  <si>
    <t>Total Actual TAP</t>
  </si>
  <si>
    <t>Billed TAP</t>
  </si>
  <si>
    <t>Total TAP-R</t>
  </si>
  <si>
    <t>Adjusted Actual TAP</t>
  </si>
  <si>
    <t>Billed Non-TAP</t>
  </si>
  <si>
    <t>TAP-R Billed</t>
  </si>
  <si>
    <t>Estimated TAP-R</t>
  </si>
  <si>
    <t>Over/(Under)</t>
  </si>
  <si>
    <t>Discounts</t>
  </si>
  <si>
    <t>Water Sales</t>
  </si>
  <si>
    <t xml:space="preserve">Billed </t>
  </si>
  <si>
    <t>Non-Tap Water Sales</t>
  </si>
  <si>
    <t xml:space="preserve">Revenues </t>
  </si>
  <si>
    <t>Collection</t>
  </si>
  <si>
    <t xml:space="preserve">(Credits) </t>
  </si>
  <si>
    <t>(Mcf)</t>
  </si>
  <si>
    <t>to TAP Participants</t>
  </si>
  <si>
    <t>Experienced</t>
  </si>
  <si>
    <t>(8) = (7) - (4)</t>
  </si>
  <si>
    <t>Prior E &amp; I Factor Adjustments</t>
  </si>
  <si>
    <t>(a)</t>
  </si>
  <si>
    <t>(e)</t>
  </si>
  <si>
    <t>Adjustment for Prior Estimates</t>
  </si>
  <si>
    <t>From Table 3-W-A</t>
  </si>
  <si>
    <t>Notes:</t>
  </si>
  <si>
    <t>Total E-Factor Recovery</t>
  </si>
  <si>
    <t>Line 2 in Summary Table</t>
  </si>
  <si>
    <t>(a) - Actuals</t>
  </si>
  <si>
    <t>(e) - Estimated</t>
  </si>
  <si>
    <t>(2) - Estimated TAP Discount per participant and estimated billed sales volume per participant reflect projections developed by Raftelis. Refer to RFC-3.</t>
  </si>
  <si>
    <t xml:space="preserve">(8) - Over/(Under) Collection is based upon Rates that are inclusive of Prior E-Factor and I-Factor.  The presented "Prior E &amp; I Factor Adjustments" includes these amounts from 2024 Annual Rate Adjustment.  </t>
  </si>
  <si>
    <t>Table 3-WW - Experienced &amp; Estimated Net Over/(Under) Collection (E-Factor) for Most Recent Period</t>
  </si>
  <si>
    <t>Billed</t>
  </si>
  <si>
    <t>Sewer Volume</t>
  </si>
  <si>
    <t>From Table 3-WW-A</t>
  </si>
  <si>
    <t>(8) - Over/(Under) Collection is based upon Rates that are inclusive of Prior E-Factor and I-Factor.  The presented "Prior E &amp; I Factor Adjustments" includes these amounts from 2024 Annual Rate Adjustment.</t>
  </si>
  <si>
    <t>Original Estimates</t>
  </si>
  <si>
    <t>Adjustment</t>
  </si>
  <si>
    <t>(9)</t>
  </si>
  <si>
    <t>(10) = (8) - (9)</t>
  </si>
  <si>
    <t xml:space="preserve">Total </t>
  </si>
  <si>
    <t xml:space="preserve"> Included in Table 3-W</t>
  </si>
  <si>
    <t>(2) - Updated TAP Discounts and billed sales volume to reflect actuals for April 2024 through August 2024 as provided by Raftelis.  Refer to Schedule RFC-3.</t>
  </si>
  <si>
    <t xml:space="preserve">(5) - Billed Non-TAP Water Sales, updated to reflect actual billed water sales volumes for April 2024 through August 2024. </t>
  </si>
  <si>
    <t xml:space="preserve">(8) - Updated Over/(Under) Collection </t>
  </si>
  <si>
    <t xml:space="preserve">(10) - Difference between Updated Over/(Under) Collection and Original Estimates. </t>
  </si>
  <si>
    <t>Included in Table 3-WW</t>
  </si>
  <si>
    <t>DETAILED VIEW - MAKE EDITS BELOW FIRST</t>
  </si>
  <si>
    <t>Prior Reconciliation Period with Updated Actuals</t>
  </si>
  <si>
    <t>Prior Reconciliation Period with Original Estimates</t>
  </si>
  <si>
    <t xml:space="preserve">Delta </t>
  </si>
  <si>
    <t>Prior Period</t>
  </si>
  <si>
    <t>(3) = (2) * $ 0.150/Mcf</t>
  </si>
  <si>
    <t>(4) = [(1) - (3)]* 0.9699</t>
  </si>
  <si>
    <t>(6) = (5) * $ 0.150/Mcf</t>
  </si>
  <si>
    <t>(7) = (6) * 0.9699</t>
  </si>
  <si>
    <t>(17) = (8) - (16)</t>
  </si>
  <si>
    <t xml:space="preserve">Prior Reconciliation with Updated Actuals </t>
  </si>
  <si>
    <t>(5) - Updated to reflect actual billed water sales volumes for April 2024 through August 2024.</t>
  </si>
  <si>
    <t>Prior Reconciliation with Original Estimates</t>
  </si>
  <si>
    <t xml:space="preserve">(10) - TAP Discounts and billed sales volume reflect projections developed by Raftelis.  Refer to 2024 Annual Rate Adjustment. </t>
  </si>
  <si>
    <t>(13) - Estimated billed water sales volumes for April 2024 through August 2024 based upon average sales for prior 12 month period.</t>
  </si>
  <si>
    <t>All Calculations</t>
  </si>
  <si>
    <t xml:space="preserve">Table 3-WW-A - Prior Reconciliation Adjustment - Experienced &amp; Estimated Net Over/(Under) Collection (E-Factor) for Most Recent Period </t>
  </si>
  <si>
    <t>(3) = (2) * $ 1.630/Mcf</t>
  </si>
  <si>
    <t>(4) = [(1) - (3)]* 0.9732</t>
  </si>
  <si>
    <t>(6) = (5) * $ 1.630/Mcf</t>
  </si>
  <si>
    <t>(7) = (6) * 0.9732</t>
  </si>
  <si>
    <t>(5) - Updated to reflect actual billed sewer volumes for April 2024 through August 2024.</t>
  </si>
  <si>
    <t>(13) - Estimated billed sewer volumes for April 2024 through August 2024 based upon average sales for prior 12 month period.</t>
  </si>
  <si>
    <t>Table 4 -W - Interest on Experienced &amp; Estimated Net Over/(Under) Collection (I-Factor) for Most Recent Period</t>
  </si>
  <si>
    <t>Difference in</t>
  </si>
  <si>
    <t xml:space="preserve">Anticipated E+I </t>
  </si>
  <si>
    <t xml:space="preserve">Remaining E+I </t>
  </si>
  <si>
    <t xml:space="preserve">Cumulative </t>
  </si>
  <si>
    <t xml:space="preserve">Estimated Monthly </t>
  </si>
  <si>
    <t>Recovery</t>
  </si>
  <si>
    <t>Over/(Under) Collection</t>
  </si>
  <si>
    <t>Interest Owed/</t>
  </si>
  <si>
    <t>Water Portion</t>
  </si>
  <si>
    <t>Relative to Revenue Requirements</t>
  </si>
  <si>
    <t>(Interest to be Recouped)</t>
  </si>
  <si>
    <t>From Table 3-W</t>
  </si>
  <si>
    <t xml:space="preserve">(5) </t>
  </si>
  <si>
    <t>Total I-Factor Recovery</t>
  </si>
  <si>
    <t>Line 3 in Summary Table</t>
  </si>
  <si>
    <t>(1) Difference in collection from Total of Column 8 - Table 3-W.</t>
  </si>
  <si>
    <t>(2) Billed Water Sales Volume from Column 5 - Table 3-W.</t>
  </si>
  <si>
    <t xml:space="preserve">(3) Anticipated Water Portion of E+I Recovery based upon the rate component of the 2024 TAP-R Determination. </t>
  </si>
  <si>
    <t xml:space="preserve">(4) Remaining E+I to be recovered. </t>
  </si>
  <si>
    <t>Table 4 -WW - Interest on Experienced &amp; Estimated Net Over/(Under) Collection (I-Factor) for Most Recent Period</t>
  </si>
  <si>
    <t>Sewer Portion</t>
  </si>
  <si>
    <t>From Table 3-WW</t>
  </si>
  <si>
    <t>(1) Difference in collection from Total of Column 8 - Table 3-WW.</t>
  </si>
  <si>
    <t>(2) Billed Water Sales Volume from Column 5 - Table 3-WW.</t>
  </si>
  <si>
    <t>(3) Anticipated Sewer Portion of E+I Recovery based upon the rate component of the 2024 TAP-R Determination.</t>
  </si>
  <si>
    <t>(5) = (3) - (4)</t>
  </si>
  <si>
    <t>Included in Table 4-W</t>
  </si>
  <si>
    <t>(1) Difference in collection from Total of Column 8 - Table 3-W-A.</t>
  </si>
  <si>
    <t>(4) Difference in collection from Total of Column 8 - Table 3-W (Prior Reconciliation).</t>
  </si>
  <si>
    <t>Included in Table 4-WW</t>
  </si>
  <si>
    <t>(1) Difference in collection from Total of Column 8 - Table 3-WW-A.</t>
  </si>
  <si>
    <t>(4) Difference in collection from Total of Column 8 - Table 3-WW (Prior Reconciliation).</t>
  </si>
  <si>
    <t>Estimates</t>
  </si>
  <si>
    <t xml:space="preserve">(2) </t>
  </si>
  <si>
    <t>(3) = (2) * [4.80% / 12]</t>
  </si>
  <si>
    <t>(7) = (3) - (6)</t>
  </si>
  <si>
    <t xml:space="preserve">Base </t>
  </si>
  <si>
    <t>TAP-R  Surcharge</t>
  </si>
  <si>
    <t>Proposed</t>
  </si>
  <si>
    <t>Water Quantity Charges</t>
  </si>
  <si>
    <t>($/Mcf)</t>
  </si>
  <si>
    <t>0 to 2 Mcf</t>
  </si>
  <si>
    <t>2.1 to 100 Mcf</t>
  </si>
  <si>
    <t>100.1 to 2,000 Mcf</t>
  </si>
  <si>
    <t>2,000 + Mcf</t>
  </si>
  <si>
    <t xml:space="preserve">Sewer Quantity Charges </t>
  </si>
  <si>
    <t>Sewer Volume Rate</t>
  </si>
  <si>
    <t xml:space="preserve">The final quantity charges (including the TAP-R surcharge) will be in the final PWD Rates and Charges, if approved. </t>
  </si>
  <si>
    <t xml:space="preserve"> Calculation of TAP Rider Rates Effective September 01, 2025</t>
  </si>
  <si>
    <t>C = Projected TAP Billing Loss</t>
  </si>
  <si>
    <t>E = Experienced &amp; Estimated Net Over/Under Collection</t>
  </si>
  <si>
    <t>I = Interest on Experienced &amp; Estimated Net Over/Under Collection</t>
  </si>
  <si>
    <t>Net Recoverable Costs: (C) - (E + I)</t>
  </si>
  <si>
    <t>S = Projected Non-TAP Sales for Next Rate Period (MCF)</t>
  </si>
  <si>
    <r>
      <t>TAP-R Surcharge:</t>
    </r>
    <r>
      <rPr>
        <sz val="11"/>
        <color theme="1"/>
        <rFont val="Roboto"/>
      </rPr>
      <t xml:space="preserve">   (4)/(5)</t>
    </r>
  </si>
  <si>
    <t xml:space="preserve">Projected TAP Lost Revenue (C-Factor) for Next Rate Period </t>
  </si>
  <si>
    <t>Projected TAP Billing Loss</t>
  </si>
  <si>
    <t>Experienced &amp; Estimated Net Over/(Under) Collection (E-Factor) for Most Recent Period</t>
  </si>
  <si>
    <t xml:space="preserve"> Prior Reconciliation Adjustment - Experienced &amp; Estimated Net Over/(Under) Collection (E-Factor) for Most Recent Period</t>
  </si>
  <si>
    <r>
      <rPr>
        <b/>
        <sz val="10"/>
        <color theme="0"/>
        <rFont val="Roboto"/>
      </rPr>
      <t>Adjustment for Prior Estimates</t>
    </r>
    <r>
      <rPr>
        <sz val="10"/>
        <color theme="0"/>
        <rFont val="Roboto"/>
      </rPr>
      <t xml:space="preserve"> </t>
    </r>
  </si>
  <si>
    <t xml:space="preserve">Interest on Experienced &amp; Estimated Net Over/(Under) Collection (I-Factor) for Most Recent Period </t>
  </si>
  <si>
    <t>Interest on Experienced &amp; Estimated Net Over/(Under) Collection (I-Factor) for Most Recent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</si>
</sst>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  <numFmt numFmtId="168" formatCode="0.0%"/>
    <numFmt numFmtId="169" formatCode="[$-409]mmm\-yy;@"/>
    <numFmt numFmtId="170" formatCode="_(&quot;$&quot;* #,##0.00000_);_(&quot;$&quot;* \(#,##0.00000\);_(&quot;$&quot;* &quot;-&quot;??_);_(@_)"/>
    <numFmt numFmtId="171" formatCode="#\ ##/12"/>
    <numFmt numFmtId="172" formatCode="m/d;@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sz val="10"/>
      <color theme="1"/>
      <name val="Roboto"/>
    </font>
    <font>
      <b/>
      <sz val="11"/>
      <color rgb="FFFF0000"/>
      <name val="Roboto"/>
    </font>
    <font>
      <b/>
      <sz val="11"/>
      <name val="Roboto"/>
    </font>
    <font>
      <sz val="11"/>
      <color theme="3"/>
      <name val="Roboto"/>
    </font>
    <font>
      <sz val="11"/>
      <name val="Roboto"/>
    </font>
    <font>
      <sz val="11"/>
      <color theme="0"/>
      <name val="Roboto"/>
    </font>
    <font>
      <sz val="9"/>
      <color theme="0"/>
      <name val="Roboto"/>
    </font>
    <font>
      <sz val="8"/>
      <color theme="1"/>
      <name val="Roboto"/>
    </font>
    <font>
      <sz val="11"/>
      <color theme="2"/>
      <name val="Roboto"/>
    </font>
    <font>
      <b/>
      <sz val="10"/>
      <color theme="1"/>
      <name val="Roboto"/>
    </font>
    <font>
      <b/>
      <sz val="11"/>
      <color theme="3"/>
      <name val="Roboto"/>
    </font>
    <font>
      <sz val="11"/>
      <color theme="3" tint="-0.499984740745262"/>
      <name val="Roboto"/>
    </font>
    <font>
      <u/>
      <sz val="10"/>
      <color theme="1"/>
      <name val="Roboto"/>
    </font>
    <font>
      <b/>
      <u/>
      <sz val="12"/>
      <color theme="3"/>
      <name val="Roboto"/>
    </font>
    <font>
      <b/>
      <sz val="11"/>
      <color theme="1" tint="0.499984740745262"/>
      <name val="Roboto"/>
    </font>
    <font>
      <b/>
      <i/>
      <sz val="11"/>
      <color theme="1" tint="0.499984740745262"/>
      <name val="Roboto"/>
    </font>
    <font>
      <b/>
      <sz val="11"/>
      <color theme="0"/>
      <name val="Roboto"/>
    </font>
    <font>
      <i/>
      <sz val="11"/>
      <color theme="1"/>
      <name val="Roboto"/>
    </font>
    <font>
      <sz val="11"/>
      <color rgb="FF0000FF"/>
      <name val="Roboto"/>
    </font>
    <font>
      <b/>
      <sz val="11"/>
      <color rgb="FFC00000"/>
      <name val="Roboto"/>
    </font>
    <font>
      <b/>
      <sz val="12"/>
      <color rgb="FF626662"/>
      <name val="Roboto"/>
    </font>
    <font>
      <sz val="12"/>
      <color rgb="FF626662"/>
      <name val="Roboto"/>
    </font>
    <font>
      <sz val="12"/>
      <color theme="1"/>
      <name val="Roboto"/>
    </font>
    <font>
      <b/>
      <sz val="12"/>
      <color rgb="FFC00000"/>
      <name val="Roboto"/>
    </font>
    <font>
      <b/>
      <sz val="16"/>
      <color rgb="FF626662"/>
      <name val="Roboto"/>
    </font>
    <font>
      <sz val="16"/>
      <color rgb="FF626662"/>
      <name val="Roboto"/>
    </font>
    <font>
      <b/>
      <sz val="28"/>
      <color theme="6"/>
      <name val="Roboto"/>
    </font>
    <font>
      <b/>
      <sz val="12"/>
      <color rgb="FF0000FF"/>
      <name val="Roboto"/>
    </font>
    <font>
      <sz val="10"/>
      <name val="Roboto"/>
    </font>
    <font>
      <sz val="12"/>
      <color theme="6"/>
      <name val="Roboto"/>
    </font>
    <font>
      <sz val="12"/>
      <color theme="0"/>
      <name val="Roboto"/>
    </font>
    <font>
      <u/>
      <sz val="11"/>
      <color theme="10"/>
      <name val="Roboto"/>
    </font>
    <font>
      <sz val="11"/>
      <color rgb="FFFF0000"/>
      <name val="Roboto"/>
    </font>
    <font>
      <i/>
      <sz val="11"/>
      <name val="Roboto"/>
    </font>
    <font>
      <i/>
      <sz val="11"/>
      <color rgb="FFFF0000"/>
      <name val="Roboto"/>
    </font>
    <font>
      <sz val="11"/>
      <color theme="10"/>
      <name val="Roboto"/>
    </font>
    <font>
      <u val="singleAccounting"/>
      <sz val="11"/>
      <color theme="3"/>
      <name val="Roboto"/>
    </font>
    <font>
      <sz val="11"/>
      <color theme="7"/>
      <name val="Roboto"/>
    </font>
    <font>
      <b/>
      <sz val="11"/>
      <color theme="2"/>
      <name val="Roboto"/>
    </font>
    <font>
      <b/>
      <sz val="10"/>
      <name val="Roboto"/>
    </font>
    <font>
      <b/>
      <sz val="10"/>
      <color theme="1" tint="4.9989318521683403E-2"/>
      <name val="Roboto"/>
    </font>
    <font>
      <b/>
      <i/>
      <sz val="11"/>
      <color theme="0" tint="-0.499984740745262"/>
      <name val="Roboto"/>
    </font>
    <font>
      <sz val="11"/>
      <color theme="0" tint="-0.499984740745262"/>
      <name val="Roboto"/>
    </font>
    <font>
      <vertAlign val="superscript"/>
      <sz val="9"/>
      <color theme="1"/>
      <name val="Roboto"/>
    </font>
    <font>
      <sz val="9"/>
      <color theme="1"/>
      <name val="Roboto"/>
    </font>
    <font>
      <b/>
      <sz val="11"/>
      <color theme="1"/>
      <name val="Gisha"/>
      <family val="2"/>
    </font>
    <font>
      <b/>
      <u val="singleAccounting"/>
      <sz val="11"/>
      <color theme="1"/>
      <name val="Roboto"/>
    </font>
    <font>
      <sz val="10"/>
      <color theme="0"/>
      <name val="Roboto"/>
    </font>
    <font>
      <vertAlign val="superscript"/>
      <sz val="9"/>
      <color theme="0"/>
      <name val="Roboto"/>
    </font>
    <font>
      <sz val="9"/>
      <name val="Roboto"/>
    </font>
    <font>
      <sz val="8"/>
      <color theme="0"/>
      <name val="Roboto"/>
    </font>
    <font>
      <b/>
      <sz val="10"/>
      <color theme="0"/>
      <name val="Roboto"/>
    </font>
  </fonts>
  <fills count="5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2" borderId="26" applyNumberFormat="0" applyAlignment="0" applyProtection="0"/>
    <xf numFmtId="0" fontId="13" fillId="23" borderId="27" applyNumberFormat="0" applyAlignment="0" applyProtection="0"/>
    <xf numFmtId="0" fontId="14" fillId="23" borderId="26" applyNumberFormat="0" applyAlignment="0" applyProtection="0"/>
    <xf numFmtId="0" fontId="15" fillId="0" borderId="28" applyNumberFormat="0" applyFill="0" applyAlignment="0" applyProtection="0"/>
    <xf numFmtId="0" fontId="16" fillId="24" borderId="29" applyNumberFormat="0" applyAlignment="0" applyProtection="0"/>
    <xf numFmtId="0" fontId="17" fillId="0" borderId="0" applyNumberFormat="0" applyFill="0" applyBorder="0" applyAlignment="0" applyProtection="0"/>
    <xf numFmtId="0" fontId="1" fillId="25" borderId="3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2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21" fillId="21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37" borderId="0" applyNumberFormat="0" applyBorder="0" applyAlignment="0" applyProtection="0"/>
    <xf numFmtId="0" fontId="20" fillId="41" borderId="0" applyNumberFormat="0" applyBorder="0" applyAlignment="0" applyProtection="0"/>
    <xf numFmtId="0" fontId="20" fillId="45" borderId="0" applyNumberFormat="0" applyBorder="0" applyAlignment="0" applyProtection="0"/>
    <xf numFmtId="0" fontId="20" fillId="49" borderId="0" applyNumberFormat="0" applyBorder="0" applyAlignment="0" applyProtection="0"/>
    <xf numFmtId="0" fontId="3" fillId="0" borderId="0"/>
    <xf numFmtId="0" fontId="3" fillId="0" borderId="0"/>
  </cellStyleXfs>
  <cellXfs count="394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2" borderId="0" xfId="0" applyFont="1" applyFill="1" applyAlignment="1">
      <alignment horizontal="centerContinuous"/>
    </xf>
    <xf numFmtId="0" fontId="23" fillId="2" borderId="0" xfId="0" applyFont="1" applyFill="1" applyAlignment="1">
      <alignment horizontal="right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44" fontId="22" fillId="0" borderId="0" xfId="2" applyFont="1"/>
    <xf numFmtId="44" fontId="22" fillId="0" borderId="0" xfId="0" applyNumberFormat="1" applyFont="1"/>
    <xf numFmtId="0" fontId="25" fillId="0" borderId="0" xfId="0" applyFont="1"/>
    <xf numFmtId="165" fontId="22" fillId="0" borderId="0" xfId="1" applyNumberFormat="1" applyFont="1"/>
    <xf numFmtId="164" fontId="22" fillId="0" borderId="0" xfId="0" applyNumberFormat="1" applyFont="1"/>
    <xf numFmtId="165" fontId="22" fillId="0" borderId="0" xfId="0" applyNumberFormat="1" applyFont="1"/>
    <xf numFmtId="43" fontId="22" fillId="0" borderId="0" xfId="0" applyNumberFormat="1" applyFont="1"/>
    <xf numFmtId="0" fontId="25" fillId="0" borderId="0" xfId="0" applyFont="1" applyAlignment="1">
      <alignment horizontal="right"/>
    </xf>
    <xf numFmtId="167" fontId="22" fillId="0" borderId="0" xfId="2" applyNumberFormat="1" applyFont="1"/>
    <xf numFmtId="167" fontId="25" fillId="0" borderId="0" xfId="0" applyNumberFormat="1" applyFont="1"/>
    <xf numFmtId="167" fontId="26" fillId="0" borderId="0" xfId="0" quotePrefix="1" applyNumberFormat="1" applyFont="1" applyAlignment="1">
      <alignment horizontal="right"/>
    </xf>
    <xf numFmtId="2" fontId="22" fillId="0" borderId="0" xfId="2" applyNumberFormat="1" applyFont="1"/>
    <xf numFmtId="167" fontId="22" fillId="0" borderId="0" xfId="0" quotePrefix="1" applyNumberFormat="1" applyFont="1"/>
    <xf numFmtId="0" fontId="23" fillId="3" borderId="0" xfId="0" applyFont="1" applyFill="1" applyAlignment="1">
      <alignment horizontal="centerContinuous"/>
    </xf>
    <xf numFmtId="0" fontId="22" fillId="3" borderId="0" xfId="0" applyFont="1" applyFill="1" applyAlignment="1">
      <alignment horizontal="centerContinuous"/>
    </xf>
    <xf numFmtId="167" fontId="22" fillId="0" borderId="0" xfId="0" applyNumberFormat="1" applyFont="1"/>
    <xf numFmtId="14" fontId="22" fillId="0" borderId="0" xfId="0" applyNumberFormat="1" applyFont="1"/>
    <xf numFmtId="0" fontId="30" fillId="5" borderId="11" xfId="0" applyFont="1" applyFill="1" applyBorder="1" applyAlignment="1">
      <alignment horizontal="center"/>
    </xf>
    <xf numFmtId="0" fontId="30" fillId="5" borderId="12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166" fontId="31" fillId="5" borderId="12" xfId="2" applyNumberFormat="1" applyFont="1" applyFill="1" applyBorder="1"/>
    <xf numFmtId="10" fontId="31" fillId="5" borderId="12" xfId="3" applyNumberFormat="1" applyFont="1" applyFill="1" applyBorder="1" applyAlignment="1">
      <alignment horizontal="center"/>
    </xf>
    <xf numFmtId="168" fontId="31" fillId="5" borderId="12" xfId="0" applyNumberFormat="1" applyFont="1" applyFill="1" applyBorder="1" applyAlignment="1">
      <alignment horizontal="center"/>
    </xf>
    <xf numFmtId="0" fontId="30" fillId="5" borderId="13" xfId="0" applyFont="1" applyFill="1" applyBorder="1" applyAlignment="1">
      <alignment horizontal="center"/>
    </xf>
    <xf numFmtId="0" fontId="31" fillId="5" borderId="13" xfId="0" quotePrefix="1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23" fillId="11" borderId="0" xfId="0" applyFont="1" applyFill="1"/>
    <xf numFmtId="0" fontId="22" fillId="11" borderId="0" xfId="0" applyFont="1" applyFill="1"/>
    <xf numFmtId="0" fontId="23" fillId="11" borderId="0" xfId="0" applyFont="1" applyFill="1" applyAlignment="1">
      <alignment horizontal="right"/>
    </xf>
    <xf numFmtId="167" fontId="23" fillId="11" borderId="0" xfId="2" applyNumberFormat="1" applyFont="1" applyFill="1"/>
    <xf numFmtId="0" fontId="23" fillId="0" borderId="0" xfId="0" applyFont="1"/>
    <xf numFmtId="169" fontId="22" fillId="10" borderId="0" xfId="0" applyNumberFormat="1" applyFont="1" applyFill="1" applyAlignment="1">
      <alignment horizontal="right"/>
    </xf>
    <xf numFmtId="167" fontId="22" fillId="10" borderId="0" xfId="0" applyNumberFormat="1" applyFont="1" applyFill="1"/>
    <xf numFmtId="165" fontId="22" fillId="10" borderId="0" xfId="1" applyNumberFormat="1" applyFont="1" applyFill="1" applyBorder="1"/>
    <xf numFmtId="167" fontId="22" fillId="10" borderId="0" xfId="2" applyNumberFormat="1" applyFont="1" applyFill="1" applyBorder="1"/>
    <xf numFmtId="169" fontId="22" fillId="3" borderId="0" xfId="0" applyNumberFormat="1" applyFont="1" applyFill="1" applyAlignment="1">
      <alignment horizontal="right"/>
    </xf>
    <xf numFmtId="167" fontId="22" fillId="3" borderId="0" xfId="2" applyNumberFormat="1" applyFont="1" applyFill="1" applyBorder="1"/>
    <xf numFmtId="165" fontId="22" fillId="3" borderId="0" xfId="1" applyNumberFormat="1" applyFont="1" applyFill="1" applyBorder="1"/>
    <xf numFmtId="167" fontId="22" fillId="3" borderId="0" xfId="0" applyNumberFormat="1" applyFont="1" applyFill="1"/>
    <xf numFmtId="0" fontId="23" fillId="10" borderId="0" xfId="0" applyFont="1" applyFill="1"/>
    <xf numFmtId="167" fontId="22" fillId="0" borderId="0" xfId="2" applyNumberFormat="1" applyFont="1" applyFill="1"/>
    <xf numFmtId="165" fontId="22" fillId="0" borderId="0" xfId="1" applyNumberFormat="1" applyFont="1" applyFill="1"/>
    <xf numFmtId="167" fontId="22" fillId="3" borderId="0" xfId="2" applyNumberFormat="1" applyFont="1" applyFill="1"/>
    <xf numFmtId="0" fontId="32" fillId="0" borderId="0" xfId="0" applyFont="1" applyAlignment="1">
      <alignment horizontal="left" indent="1"/>
    </xf>
    <xf numFmtId="0" fontId="23" fillId="2" borderId="14" xfId="0" applyFont="1" applyFill="1" applyBorder="1"/>
    <xf numFmtId="167" fontId="23" fillId="2" borderId="15" xfId="0" applyNumberFormat="1" applyFont="1" applyFill="1" applyBorder="1"/>
    <xf numFmtId="0" fontId="25" fillId="0" borderId="0" xfId="0" applyFont="1" applyAlignment="1">
      <alignment horizontal="left" indent="1"/>
    </xf>
    <xf numFmtId="10" fontId="31" fillId="5" borderId="12" xfId="0" applyNumberFormat="1" applyFont="1" applyFill="1" applyBorder="1" applyAlignment="1">
      <alignment horizontal="center"/>
    </xf>
    <xf numFmtId="165" fontId="22" fillId="3" borderId="0" xfId="1" applyNumberFormat="1" applyFont="1" applyFill="1"/>
    <xf numFmtId="169" fontId="22" fillId="0" borderId="0" xfId="0" applyNumberFormat="1" applyFont="1"/>
    <xf numFmtId="3" fontId="22" fillId="0" borderId="0" xfId="0" applyNumberFormat="1" applyFont="1"/>
    <xf numFmtId="41" fontId="22" fillId="0" borderId="0" xfId="0" applyNumberFormat="1" applyFont="1"/>
    <xf numFmtId="0" fontId="23" fillId="16" borderId="16" xfId="0" applyFont="1" applyFill="1" applyBorder="1" applyAlignment="1">
      <alignment horizontal="centerContinuous"/>
    </xf>
    <xf numFmtId="0" fontId="23" fillId="16" borderId="17" xfId="0" applyFont="1" applyFill="1" applyBorder="1" applyAlignment="1">
      <alignment horizontal="centerContinuous"/>
    </xf>
    <xf numFmtId="0" fontId="23" fillId="16" borderId="18" xfId="0" applyFont="1" applyFill="1" applyBorder="1" applyAlignment="1">
      <alignment horizontal="centerContinuous"/>
    </xf>
    <xf numFmtId="167" fontId="23" fillId="2" borderId="20" xfId="0" applyNumberFormat="1" applyFont="1" applyFill="1" applyBorder="1" applyAlignment="1">
      <alignment horizontal="center" vertical="center"/>
    </xf>
    <xf numFmtId="0" fontId="33" fillId="0" borderId="0" xfId="0" applyFont="1"/>
    <xf numFmtId="165" fontId="22" fillId="10" borderId="0" xfId="1" applyNumberFormat="1" applyFont="1" applyFill="1"/>
    <xf numFmtId="167" fontId="22" fillId="10" borderId="0" xfId="2" applyNumberFormat="1" applyFont="1" applyFill="1"/>
    <xf numFmtId="167" fontId="23" fillId="2" borderId="19" xfId="0" applyNumberFormat="1" applyFont="1" applyFill="1" applyBorder="1"/>
    <xf numFmtId="0" fontId="25" fillId="0" borderId="0" xfId="0" quotePrefix="1" applyFont="1" applyAlignment="1">
      <alignment horizontal="left" indent="1"/>
    </xf>
    <xf numFmtId="0" fontId="35" fillId="18" borderId="0" xfId="0" applyFont="1" applyFill="1" applyAlignment="1">
      <alignment horizontal="centerContinuous"/>
    </xf>
    <xf numFmtId="0" fontId="25" fillId="18" borderId="0" xfId="0" quotePrefix="1" applyFont="1" applyFill="1" applyAlignment="1">
      <alignment horizontal="centerContinuous"/>
    </xf>
    <xf numFmtId="0" fontId="22" fillId="18" borderId="0" xfId="0" applyFont="1" applyFill="1" applyAlignment="1">
      <alignment horizontal="centerContinuous"/>
    </xf>
    <xf numFmtId="0" fontId="23" fillId="17" borderId="16" xfId="0" applyFont="1" applyFill="1" applyBorder="1" applyAlignment="1">
      <alignment horizontal="centerContinuous"/>
    </xf>
    <xf numFmtId="0" fontId="23" fillId="17" borderId="17" xfId="0" applyFont="1" applyFill="1" applyBorder="1" applyAlignment="1">
      <alignment horizontal="centerContinuous"/>
    </xf>
    <xf numFmtId="0" fontId="23" fillId="17" borderId="18" xfId="0" applyFont="1" applyFill="1" applyBorder="1" applyAlignment="1">
      <alignment horizontal="centerContinuous"/>
    </xf>
    <xf numFmtId="0" fontId="33" fillId="0" borderId="0" xfId="0" applyFont="1" applyAlignment="1">
      <alignment horizontal="right"/>
    </xf>
    <xf numFmtId="167" fontId="36" fillId="10" borderId="0" xfId="0" applyNumberFormat="1" applyFont="1" applyFill="1"/>
    <xf numFmtId="165" fontId="36" fillId="10" borderId="0" xfId="1" applyNumberFormat="1" applyFont="1" applyFill="1"/>
    <xf numFmtId="167" fontId="36" fillId="10" borderId="0" xfId="2" applyNumberFormat="1" applyFont="1" applyFill="1"/>
    <xf numFmtId="167" fontId="36" fillId="3" borderId="0" xfId="2" applyNumberFormat="1" applyFont="1" applyFill="1"/>
    <xf numFmtId="165" fontId="36" fillId="3" borderId="0" xfId="1" applyNumberFormat="1" applyFont="1" applyFill="1"/>
    <xf numFmtId="167" fontId="36" fillId="3" borderId="0" xfId="0" applyNumberFormat="1" applyFont="1" applyFill="1"/>
    <xf numFmtId="165" fontId="36" fillId="10" borderId="0" xfId="1" applyNumberFormat="1" applyFont="1" applyFill="1" applyBorder="1"/>
    <xf numFmtId="167" fontId="36" fillId="10" borderId="0" xfId="2" applyNumberFormat="1" applyFont="1" applyFill="1" applyBorder="1"/>
    <xf numFmtId="167" fontId="36" fillId="3" borderId="0" xfId="2" applyNumberFormat="1" applyFont="1" applyFill="1" applyBorder="1"/>
    <xf numFmtId="165" fontId="36" fillId="3" borderId="0" xfId="1" applyNumberFormat="1" applyFont="1" applyFill="1" applyBorder="1"/>
    <xf numFmtId="172" fontId="22" fillId="0" borderId="0" xfId="0" applyNumberFormat="1" applyFont="1"/>
    <xf numFmtId="0" fontId="37" fillId="0" borderId="0" xfId="0" applyFont="1" applyAlignment="1">
      <alignment horizontal="left" indent="1"/>
    </xf>
    <xf numFmtId="167" fontId="22" fillId="10" borderId="0" xfId="0" applyNumberFormat="1" applyFont="1" applyFill="1" applyAlignment="1">
      <alignment horizontal="right"/>
    </xf>
    <xf numFmtId="44" fontId="22" fillId="10" borderId="0" xfId="0" applyNumberFormat="1" applyFont="1" applyFill="1" applyAlignment="1">
      <alignment horizontal="right"/>
    </xf>
    <xf numFmtId="0" fontId="22" fillId="0" borderId="0" xfId="0" quotePrefix="1" applyFont="1"/>
    <xf numFmtId="167" fontId="22" fillId="3" borderId="0" xfId="0" applyNumberFormat="1" applyFont="1" applyFill="1" applyAlignment="1">
      <alignment horizontal="right"/>
    </xf>
    <xf numFmtId="44" fontId="22" fillId="3" borderId="0" xfId="0" applyNumberFormat="1" applyFont="1" applyFill="1" applyAlignment="1">
      <alignment horizontal="right"/>
    </xf>
    <xf numFmtId="167" fontId="22" fillId="10" borderId="0" xfId="3" applyNumberFormat="1" applyFont="1" applyFill="1"/>
    <xf numFmtId="171" fontId="22" fillId="0" borderId="0" xfId="0" applyNumberFormat="1" applyFont="1"/>
    <xf numFmtId="10" fontId="22" fillId="10" borderId="0" xfId="3" applyNumberFormat="1" applyFont="1" applyFill="1"/>
    <xf numFmtId="0" fontId="22" fillId="16" borderId="17" xfId="0" applyFont="1" applyFill="1" applyBorder="1" applyAlignment="1">
      <alignment horizontal="centerContinuous"/>
    </xf>
    <xf numFmtId="0" fontId="22" fillId="16" borderId="18" xfId="0" applyFont="1" applyFill="1" applyBorder="1" applyAlignment="1">
      <alignment horizontal="centerContinuous"/>
    </xf>
    <xf numFmtId="167" fontId="23" fillId="0" borderId="2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1" fillId="0" borderId="13" xfId="0" quotePrefix="1" applyFont="1" applyBorder="1" applyAlignment="1">
      <alignment horizontal="center"/>
    </xf>
    <xf numFmtId="44" fontId="22" fillId="0" borderId="0" xfId="0" applyNumberFormat="1" applyFont="1" applyAlignment="1">
      <alignment horizontal="right"/>
    </xf>
    <xf numFmtId="0" fontId="22" fillId="17" borderId="17" xfId="0" applyFont="1" applyFill="1" applyBorder="1" applyAlignment="1">
      <alignment horizontal="centerContinuous"/>
    </xf>
    <xf numFmtId="0" fontId="22" fillId="17" borderId="18" xfId="0" applyFont="1" applyFill="1" applyBorder="1" applyAlignment="1">
      <alignment horizontal="centerContinuous"/>
    </xf>
    <xf numFmtId="44" fontId="22" fillId="10" borderId="0" xfId="2" applyFont="1" applyFill="1"/>
    <xf numFmtId="0" fontId="22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12" borderId="9" xfId="0" applyFont="1" applyFill="1" applyBorder="1" applyAlignment="1">
      <alignment horizontal="center"/>
    </xf>
    <xf numFmtId="0" fontId="23" fillId="10" borderId="0" xfId="0" applyFont="1" applyFill="1" applyAlignment="1">
      <alignment horizontal="left" indent="2"/>
    </xf>
    <xf numFmtId="0" fontId="23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44" fontId="43" fillId="8" borderId="0" xfId="2" applyFont="1" applyFill="1" applyBorder="1"/>
    <xf numFmtId="44" fontId="28" fillId="0" borderId="0" xfId="2" applyFont="1" applyFill="1" applyBorder="1"/>
    <xf numFmtId="9" fontId="22" fillId="0" borderId="0" xfId="3" applyFont="1"/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/>
    </xf>
    <xf numFmtId="44" fontId="25" fillId="10" borderId="0" xfId="0" applyNumberFormat="1" applyFont="1" applyFill="1" applyAlignment="1">
      <alignment horizontal="center"/>
    </xf>
    <xf numFmtId="0" fontId="4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right"/>
    </xf>
    <xf numFmtId="0" fontId="49" fillId="0" borderId="0" xfId="0" applyFont="1"/>
    <xf numFmtId="0" fontId="50" fillId="0" borderId="0" xfId="0" applyFont="1"/>
    <xf numFmtId="0" fontId="23" fillId="0" borderId="0" xfId="0" applyFont="1" applyAlignment="1">
      <alignment horizontal="right"/>
    </xf>
    <xf numFmtId="14" fontId="52" fillId="8" borderId="0" xfId="0" applyNumberFormat="1" applyFont="1" applyFill="1"/>
    <xf numFmtId="14" fontId="52" fillId="0" borderId="0" xfId="0" applyNumberFormat="1" applyFont="1"/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56" fillId="0" borderId="0" xfId="6" quotePrefix="1" applyFont="1"/>
    <xf numFmtId="0" fontId="56" fillId="0" borderId="0" xfId="6" quotePrefix="1" applyFont="1" applyFill="1"/>
    <xf numFmtId="0" fontId="56" fillId="0" borderId="0" xfId="6" applyFont="1" applyFill="1"/>
    <xf numFmtId="0" fontId="27" fillId="0" borderId="10" xfId="5" applyFont="1" applyBorder="1" applyAlignment="1">
      <alignment horizontal="center"/>
    </xf>
    <xf numFmtId="0" fontId="41" fillId="6" borderId="0" xfId="0" applyFont="1" applyFill="1"/>
    <xf numFmtId="0" fontId="22" fillId="6" borderId="0" xfId="0" applyFont="1" applyFill="1"/>
    <xf numFmtId="0" fontId="23" fillId="0" borderId="0" xfId="0" applyFont="1" applyAlignment="1">
      <alignment horizontal="left" indent="1"/>
    </xf>
    <xf numFmtId="0" fontId="28" fillId="0" borderId="0" xfId="0" applyFont="1"/>
    <xf numFmtId="9" fontId="28" fillId="0" borderId="0" xfId="3" applyFont="1" applyFill="1"/>
    <xf numFmtId="9" fontId="29" fillId="0" borderId="0" xfId="3" applyFont="1" applyFill="1" applyAlignment="1">
      <alignment horizontal="left"/>
    </xf>
    <xf numFmtId="167" fontId="29" fillId="0" borderId="0" xfId="2" applyNumberFormat="1" applyFont="1" applyFill="1" applyAlignment="1">
      <alignment horizontal="left"/>
    </xf>
    <xf numFmtId="44" fontId="57" fillId="0" borderId="0" xfId="2" applyFont="1" applyFill="1"/>
    <xf numFmtId="1" fontId="57" fillId="0" borderId="0" xfId="2" applyNumberFormat="1" applyFont="1" applyFill="1"/>
    <xf numFmtId="8" fontId="57" fillId="0" borderId="0" xfId="0" applyNumberFormat="1" applyFont="1"/>
    <xf numFmtId="167" fontId="43" fillId="8" borderId="0" xfId="2" applyNumberFormat="1" applyFont="1" applyFill="1"/>
    <xf numFmtId="0" fontId="27" fillId="10" borderId="0" xfId="0" applyFont="1" applyFill="1"/>
    <xf numFmtId="0" fontId="29" fillId="10" borderId="0" xfId="0" applyFont="1" applyFill="1"/>
    <xf numFmtId="10" fontId="43" fillId="8" borderId="0" xfId="3" applyNumberFormat="1" applyFont="1" applyFill="1"/>
    <xf numFmtId="167" fontId="58" fillId="0" borderId="0" xfId="2" applyNumberFormat="1" applyFont="1" applyFill="1" applyAlignment="1">
      <alignment horizontal="left"/>
    </xf>
    <xf numFmtId="0" fontId="42" fillId="0" borderId="0" xfId="0" applyFont="1"/>
    <xf numFmtId="0" fontId="43" fillId="8" borderId="0" xfId="0" applyFont="1" applyFill="1"/>
    <xf numFmtId="0" fontId="41" fillId="0" borderId="0" xfId="0" applyFont="1"/>
    <xf numFmtId="0" fontId="35" fillId="0" borderId="0" xfId="0" applyFont="1"/>
    <xf numFmtId="0" fontId="22" fillId="0" borderId="0" xfId="0" applyFont="1" applyAlignment="1">
      <alignment horizontal="left" indent="1"/>
    </xf>
    <xf numFmtId="44" fontId="43" fillId="8" borderId="0" xfId="1" applyNumberFormat="1" applyFont="1" applyFill="1"/>
    <xf numFmtId="0" fontId="29" fillId="0" borderId="0" xfId="0" applyFont="1"/>
    <xf numFmtId="0" fontId="41" fillId="7" borderId="0" xfId="0" applyFont="1" applyFill="1"/>
    <xf numFmtId="0" fontId="22" fillId="7" borderId="0" xfId="0" applyFont="1" applyFill="1"/>
    <xf numFmtId="0" fontId="57" fillId="0" borderId="0" xfId="0" applyFont="1"/>
    <xf numFmtId="167" fontId="59" fillId="0" borderId="0" xfId="2" applyNumberFormat="1" applyFont="1" applyFill="1" applyAlignment="1">
      <alignment horizontal="left"/>
    </xf>
    <xf numFmtId="167" fontId="60" fillId="0" borderId="0" xfId="6" applyNumberFormat="1" applyFont="1" applyFill="1" applyAlignment="1">
      <alignment horizontal="left"/>
    </xf>
    <xf numFmtId="14" fontId="43" fillId="8" borderId="0" xfId="0" applyNumberFormat="1" applyFont="1" applyFill="1"/>
    <xf numFmtId="14" fontId="43" fillId="0" borderId="0" xfId="0" applyNumberFormat="1" applyFont="1"/>
    <xf numFmtId="0" fontId="43" fillId="8" borderId="0" xfId="0" applyFont="1" applyFill="1" applyAlignment="1">
      <alignment horizontal="right"/>
    </xf>
    <xf numFmtId="14" fontId="43" fillId="8" borderId="0" xfId="0" applyNumberFormat="1" applyFont="1" applyFill="1" applyAlignment="1">
      <alignment horizontal="right"/>
    </xf>
    <xf numFmtId="49" fontId="43" fillId="8" borderId="0" xfId="0" applyNumberFormat="1" applyFont="1" applyFill="1" applyAlignment="1">
      <alignment horizontal="right"/>
    </xf>
    <xf numFmtId="167" fontId="43" fillId="8" borderId="0" xfId="2" applyNumberFormat="1" applyFont="1" applyFill="1" applyAlignment="1">
      <alignment horizontal="right"/>
    </xf>
    <xf numFmtId="2" fontId="22" fillId="0" borderId="0" xfId="0" applyNumberFormat="1" applyFont="1"/>
    <xf numFmtId="0" fontId="27" fillId="0" borderId="0" xfId="0" applyFont="1"/>
    <xf numFmtId="9" fontId="43" fillId="8" borderId="0" xfId="3" applyFont="1" applyFill="1" applyAlignment="1">
      <alignment horizontal="right"/>
    </xf>
    <xf numFmtId="0" fontId="23" fillId="50" borderId="0" xfId="0" applyFont="1" applyFill="1" applyAlignment="1">
      <alignment horizontal="centerContinuous"/>
    </xf>
    <xf numFmtId="0" fontId="23" fillId="0" borderId="10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 wrapText="1"/>
    </xf>
    <xf numFmtId="0" fontId="27" fillId="0" borderId="0" xfId="5" applyFont="1" applyAlignment="1">
      <alignment horizontal="center"/>
    </xf>
    <xf numFmtId="0" fontId="33" fillId="0" borderId="0" xfId="0" applyFont="1" applyAlignment="1">
      <alignment horizontal="center"/>
    </xf>
    <xf numFmtId="0" fontId="41" fillId="13" borderId="9" xfId="5" applyFont="1" applyFill="1" applyBorder="1"/>
    <xf numFmtId="0" fontId="23" fillId="13" borderId="9" xfId="5" applyFont="1" applyFill="1" applyBorder="1" applyAlignment="1">
      <alignment horizontal="center"/>
    </xf>
    <xf numFmtId="0" fontId="23" fillId="13" borderId="9" xfId="5" applyFont="1" applyFill="1" applyBorder="1" applyAlignment="1">
      <alignment horizontal="left"/>
    </xf>
    <xf numFmtId="0" fontId="23" fillId="13" borderId="9" xfId="5" applyFont="1" applyFill="1" applyBorder="1"/>
    <xf numFmtId="0" fontId="22" fillId="13" borderId="9" xfId="5" applyFont="1" applyFill="1" applyBorder="1"/>
    <xf numFmtId="14" fontId="22" fillId="13" borderId="9" xfId="5" applyNumberFormat="1" applyFont="1" applyFill="1" applyBorder="1"/>
    <xf numFmtId="14" fontId="62" fillId="13" borderId="9" xfId="5" applyNumberFormat="1" applyFont="1" applyFill="1" applyBorder="1"/>
    <xf numFmtId="165" fontId="22" fillId="13" borderId="9" xfId="5" applyNumberFormat="1" applyFont="1" applyFill="1" applyBorder="1"/>
    <xf numFmtId="0" fontId="23" fillId="9" borderId="22" xfId="0" applyFont="1" applyFill="1" applyBorder="1"/>
    <xf numFmtId="0" fontId="23" fillId="9" borderId="22" xfId="0" applyFont="1" applyFill="1" applyBorder="1" applyAlignment="1">
      <alignment horizontal="centerContinuous"/>
    </xf>
    <xf numFmtId="0" fontId="23" fillId="3" borderId="22" xfId="0" applyFont="1" applyFill="1" applyBorder="1" applyAlignment="1">
      <alignment horizontal="centerContinuous"/>
    </xf>
    <xf numFmtId="0" fontId="23" fillId="11" borderId="22" xfId="0" applyFont="1" applyFill="1" applyBorder="1"/>
    <xf numFmtId="0" fontId="23" fillId="52" borderId="22" xfId="0" applyFont="1" applyFill="1" applyBorder="1"/>
    <xf numFmtId="0" fontId="23" fillId="0" borderId="22" xfId="0" applyFont="1" applyBorder="1"/>
    <xf numFmtId="165" fontId="23" fillId="0" borderId="0" xfId="0" applyNumberFormat="1" applyFont="1" applyAlignment="1">
      <alignment horizontal="centerContinuous"/>
    </xf>
    <xf numFmtId="0" fontId="27" fillId="10" borderId="0" xfId="5" applyFont="1" applyFill="1" applyAlignment="1">
      <alignment horizontal="left"/>
    </xf>
    <xf numFmtId="0" fontId="27" fillId="10" borderId="0" xfId="5" applyFont="1" applyFill="1" applyAlignment="1">
      <alignment horizontal="center"/>
    </xf>
    <xf numFmtId="165" fontId="23" fillId="10" borderId="0" xfId="0" applyNumberFormat="1" applyFont="1" applyFill="1" applyAlignment="1">
      <alignment horizontal="center"/>
    </xf>
    <xf numFmtId="0" fontId="64" fillId="10" borderId="0" xfId="5" applyFont="1" applyFill="1" applyAlignment="1">
      <alignment horizontal="center"/>
    </xf>
    <xf numFmtId="0" fontId="27" fillId="0" borderId="0" xfId="5" applyFont="1" applyAlignment="1">
      <alignment horizontal="left"/>
    </xf>
    <xf numFmtId="0" fontId="65" fillId="0" borderId="0" xfId="5" applyFont="1" applyAlignment="1">
      <alignment horizontal="center"/>
    </xf>
    <xf numFmtId="165" fontId="43" fillId="8" borderId="0" xfId="1" applyNumberFormat="1" applyFont="1" applyFill="1" applyBorder="1" applyAlignment="1">
      <alignment horizontal="center"/>
    </xf>
    <xf numFmtId="0" fontId="65" fillId="0" borderId="0" xfId="5" applyFont="1" applyAlignment="1">
      <alignment horizontal="left"/>
    </xf>
    <xf numFmtId="165" fontId="23" fillId="0" borderId="0" xfId="0" applyNumberFormat="1" applyFont="1" applyAlignment="1">
      <alignment horizontal="center"/>
    </xf>
    <xf numFmtId="44" fontId="43" fillId="8" borderId="0" xfId="2" applyFont="1" applyFill="1" applyBorder="1" applyAlignment="1">
      <alignment horizontal="center"/>
    </xf>
    <xf numFmtId="8" fontId="43" fillId="8" borderId="0" xfId="2" applyNumberFormat="1" applyFont="1" applyFill="1" applyBorder="1" applyAlignment="1">
      <alignment horizontal="center"/>
    </xf>
    <xf numFmtId="8" fontId="22" fillId="0" borderId="0" xfId="2" applyNumberFormat="1" applyFont="1" applyFill="1" applyBorder="1" applyAlignment="1">
      <alignment horizontal="center"/>
    </xf>
    <xf numFmtId="165" fontId="23" fillId="0" borderId="0" xfId="0" applyNumberFormat="1" applyFont="1"/>
    <xf numFmtId="43" fontId="23" fillId="0" borderId="0" xfId="2" applyNumberFormat="1" applyFont="1" applyBorder="1" applyAlignment="1">
      <alignment horizontal="center"/>
    </xf>
    <xf numFmtId="0" fontId="29" fillId="0" borderId="0" xfId="5" applyFont="1" applyAlignment="1">
      <alignment horizontal="left" indent="1"/>
    </xf>
    <xf numFmtId="44" fontId="22" fillId="0" borderId="0" xfId="2" applyFont="1" applyBorder="1" applyAlignment="1">
      <alignment horizontal="center"/>
    </xf>
    <xf numFmtId="43" fontId="22" fillId="0" borderId="0" xfId="2" applyNumberFormat="1" applyFont="1" applyBorder="1" applyAlignment="1">
      <alignment horizontal="center"/>
    </xf>
    <xf numFmtId="0" fontId="66" fillId="0" borderId="0" xfId="5" applyFont="1" applyAlignment="1">
      <alignment horizontal="center"/>
    </xf>
    <xf numFmtId="43" fontId="67" fillId="0" borderId="0" xfId="2" applyNumberFormat="1" applyFont="1" applyBorder="1" applyAlignment="1">
      <alignment horizontal="center"/>
    </xf>
    <xf numFmtId="0" fontId="41" fillId="5" borderId="9" xfId="5" applyFont="1" applyFill="1" applyBorder="1"/>
    <xf numFmtId="0" fontId="23" fillId="5" borderId="9" xfId="5" applyFont="1" applyFill="1" applyBorder="1" applyAlignment="1">
      <alignment horizontal="center"/>
    </xf>
    <xf numFmtId="0" fontId="23" fillId="5" borderId="9" xfId="5" applyFont="1" applyFill="1" applyBorder="1" applyAlignment="1">
      <alignment horizontal="left"/>
    </xf>
    <xf numFmtId="0" fontId="23" fillId="5" borderId="9" xfId="5" applyFont="1" applyFill="1" applyBorder="1"/>
    <xf numFmtId="0" fontId="22" fillId="5" borderId="9" xfId="5" applyFont="1" applyFill="1" applyBorder="1"/>
    <xf numFmtId="165" fontId="22" fillId="5" borderId="9" xfId="5" applyNumberFormat="1" applyFont="1" applyFill="1" applyBorder="1"/>
    <xf numFmtId="0" fontId="64" fillId="10" borderId="0" xfId="5" applyFont="1" applyFill="1" applyAlignment="1">
      <alignment horizontal="left"/>
    </xf>
    <xf numFmtId="3" fontId="43" fillId="8" borderId="0" xfId="0" applyNumberFormat="1" applyFont="1" applyFill="1"/>
    <xf numFmtId="3" fontId="28" fillId="0" borderId="0" xfId="0" applyNumberFormat="1" applyFont="1"/>
    <xf numFmtId="10" fontId="22" fillId="0" borderId="0" xfId="3" applyNumberFormat="1" applyFont="1"/>
    <xf numFmtId="0" fontId="44" fillId="0" borderId="0" xfId="0" applyFont="1" applyAlignment="1">
      <alignment horizontal="right" indent="1"/>
    </xf>
    <xf numFmtId="165" fontId="22" fillId="0" borderId="4" xfId="0" applyNumberFormat="1" applyFont="1" applyBorder="1"/>
    <xf numFmtId="0" fontId="22" fillId="0" borderId="4" xfId="0" applyFont="1" applyBorder="1"/>
    <xf numFmtId="0" fontId="23" fillId="0" borderId="0" xfId="0" applyFont="1" applyAlignment="1">
      <alignment horizontal="left"/>
    </xf>
    <xf numFmtId="3" fontId="22" fillId="0" borderId="4" xfId="0" applyNumberFormat="1" applyFont="1" applyBorder="1"/>
    <xf numFmtId="0" fontId="34" fillId="0" borderId="0" xfId="0" applyFont="1" applyAlignment="1">
      <alignment horizontal="center"/>
    </xf>
    <xf numFmtId="3" fontId="22" fillId="53" borderId="4" xfId="0" applyNumberFormat="1" applyFont="1" applyFill="1" applyBorder="1"/>
    <xf numFmtId="0" fontId="34" fillId="0" borderId="0" xfId="0" applyFont="1" applyAlignment="1">
      <alignment horizontal="left"/>
    </xf>
    <xf numFmtId="0" fontId="41" fillId="4" borderId="9" xfId="5" applyFont="1" applyFill="1" applyBorder="1"/>
    <xf numFmtId="0" fontId="23" fillId="4" borderId="9" xfId="5" applyFont="1" applyFill="1" applyBorder="1" applyAlignment="1">
      <alignment horizontal="center"/>
    </xf>
    <xf numFmtId="0" fontId="23" fillId="4" borderId="9" xfId="5" applyFont="1" applyFill="1" applyBorder="1" applyAlignment="1">
      <alignment horizontal="left"/>
    </xf>
    <xf numFmtId="0" fontId="23" fillId="4" borderId="9" xfId="5" applyFont="1" applyFill="1" applyBorder="1"/>
    <xf numFmtId="0" fontId="22" fillId="4" borderId="9" xfId="5" applyFont="1" applyFill="1" applyBorder="1"/>
    <xf numFmtId="165" fontId="22" fillId="4" borderId="9" xfId="5" applyNumberFormat="1" applyFont="1" applyFill="1" applyBorder="1"/>
    <xf numFmtId="0" fontId="22" fillId="10" borderId="0" xfId="0" applyFont="1" applyFill="1"/>
    <xf numFmtId="0" fontId="68" fillId="0" borderId="0" xfId="0" applyFont="1" applyAlignment="1">
      <alignment horizontal="right"/>
    </xf>
    <xf numFmtId="0" fontId="69" fillId="0" borderId="0" xfId="0" applyFont="1"/>
    <xf numFmtId="0" fontId="69" fillId="0" borderId="0" xfId="0" applyFont="1" applyAlignment="1">
      <alignment horizontal="left" indent="1"/>
    </xf>
    <xf numFmtId="167" fontId="58" fillId="0" borderId="0" xfId="2" applyNumberFormat="1" applyFont="1" applyAlignment="1">
      <alignment horizontal="left"/>
    </xf>
    <xf numFmtId="165" fontId="43" fillId="8" borderId="0" xfId="1" applyNumberFormat="1" applyFont="1" applyFill="1" applyAlignment="1">
      <alignment horizontal="right"/>
    </xf>
    <xf numFmtId="44" fontId="26" fillId="18" borderId="0" xfId="2" applyFont="1" applyFill="1"/>
    <xf numFmtId="165" fontId="26" fillId="18" borderId="0" xfId="1" applyNumberFormat="1" applyFont="1" applyFill="1"/>
    <xf numFmtId="0" fontId="70" fillId="0" borderId="0" xfId="0" applyFont="1" applyAlignment="1">
      <alignment horizontal="centerContinuous"/>
    </xf>
    <xf numFmtId="0" fontId="22" fillId="52" borderId="1" xfId="0" applyFont="1" applyFill="1" applyBorder="1"/>
    <xf numFmtId="0" fontId="22" fillId="52" borderId="2" xfId="0" applyFont="1" applyFill="1" applyBorder="1" applyAlignment="1">
      <alignment horizontal="right"/>
    </xf>
    <xf numFmtId="0" fontId="22" fillId="52" borderId="2" xfId="0" applyFont="1" applyFill="1" applyBorder="1"/>
    <xf numFmtId="0" fontId="24" fillId="52" borderId="2" xfId="0" applyFont="1" applyFill="1" applyBorder="1" applyAlignment="1">
      <alignment horizontal="centerContinuous"/>
    </xf>
    <xf numFmtId="0" fontId="24" fillId="52" borderId="2" xfId="0" applyFont="1" applyFill="1" applyBorder="1"/>
    <xf numFmtId="0" fontId="24" fillId="52" borderId="3" xfId="0" applyFont="1" applyFill="1" applyBorder="1" applyAlignment="1">
      <alignment horizontal="centerContinuous"/>
    </xf>
    <xf numFmtId="0" fontId="22" fillId="52" borderId="4" xfId="0" applyFont="1" applyFill="1" applyBorder="1"/>
    <xf numFmtId="0" fontId="22" fillId="52" borderId="0" xfId="0" applyFont="1" applyFill="1" applyAlignment="1">
      <alignment horizontal="right"/>
    </xf>
    <xf numFmtId="0" fontId="22" fillId="52" borderId="0" xfId="0" applyFont="1" applyFill="1"/>
    <xf numFmtId="0" fontId="24" fillId="52" borderId="0" xfId="0" applyFont="1" applyFill="1" applyAlignment="1">
      <alignment horizontal="centerContinuous"/>
    </xf>
    <xf numFmtId="0" fontId="24" fillId="52" borderId="0" xfId="0" applyFont="1" applyFill="1"/>
    <xf numFmtId="0" fontId="24" fillId="52" borderId="5" xfId="0" applyFont="1" applyFill="1" applyBorder="1" applyAlignment="1">
      <alignment horizontal="centerContinuous"/>
    </xf>
    <xf numFmtId="0" fontId="23" fillId="52" borderId="6" xfId="0" applyFont="1" applyFill="1" applyBorder="1" applyAlignment="1">
      <alignment horizontal="center"/>
    </xf>
    <xf numFmtId="0" fontId="23" fillId="52" borderId="0" xfId="0" applyFont="1" applyFill="1" applyAlignment="1">
      <alignment horizontal="center"/>
    </xf>
    <xf numFmtId="0" fontId="22" fillId="52" borderId="4" xfId="0" quotePrefix="1" applyFont="1" applyFill="1" applyBorder="1" applyAlignment="1">
      <alignment horizontal="center"/>
    </xf>
    <xf numFmtId="0" fontId="22" fillId="52" borderId="0" xfId="0" quotePrefix="1" applyFont="1" applyFill="1" applyAlignment="1">
      <alignment horizontal="right"/>
    </xf>
    <xf numFmtId="0" fontId="22" fillId="52" borderId="0" xfId="0" quotePrefix="1" applyFont="1" applyFill="1"/>
    <xf numFmtId="167" fontId="22" fillId="52" borderId="0" xfId="0" quotePrefix="1" applyNumberFormat="1" applyFont="1" applyFill="1"/>
    <xf numFmtId="167" fontId="22" fillId="52" borderId="0" xfId="2" applyNumberFormat="1" applyFont="1" applyFill="1" applyBorder="1"/>
    <xf numFmtId="164" fontId="22" fillId="52" borderId="0" xfId="2" applyNumberFormat="1" applyFont="1" applyFill="1" applyBorder="1" applyAlignment="1">
      <alignment horizontal="left" indent="2"/>
    </xf>
    <xf numFmtId="164" fontId="22" fillId="52" borderId="5" xfId="2" applyNumberFormat="1" applyFont="1" applyFill="1" applyBorder="1" applyAlignment="1">
      <alignment horizontal="left" indent="2"/>
    </xf>
    <xf numFmtId="0" fontId="22" fillId="52" borderId="4" xfId="0" applyFont="1" applyFill="1" applyBorder="1" applyAlignment="1">
      <alignment horizontal="center"/>
    </xf>
    <xf numFmtId="167" fontId="22" fillId="52" borderId="0" xfId="2" applyNumberFormat="1" applyFont="1" applyFill="1" applyBorder="1" applyAlignment="1">
      <alignment horizontal="left" indent="2"/>
    </xf>
    <xf numFmtId="167" fontId="22" fillId="52" borderId="0" xfId="0" applyNumberFormat="1" applyFont="1" applyFill="1"/>
    <xf numFmtId="167" fontId="22" fillId="52" borderId="0" xfId="0" applyNumberFormat="1" applyFont="1" applyFill="1" applyAlignment="1">
      <alignment horizontal="left" indent="3"/>
    </xf>
    <xf numFmtId="167" fontId="22" fillId="52" borderId="0" xfId="0" applyNumberFormat="1" applyFont="1" applyFill="1" applyAlignment="1">
      <alignment horizontal="left" indent="2"/>
    </xf>
    <xf numFmtId="0" fontId="22" fillId="52" borderId="5" xfId="0" applyFont="1" applyFill="1" applyBorder="1" applyAlignment="1">
      <alignment horizontal="left" indent="2"/>
    </xf>
    <xf numFmtId="0" fontId="22" fillId="52" borderId="0" xfId="0" applyFont="1" applyFill="1" applyAlignment="1">
      <alignment horizontal="left" indent="3"/>
    </xf>
    <xf numFmtId="0" fontId="22" fillId="52" borderId="0" xfId="0" applyFont="1" applyFill="1" applyAlignment="1">
      <alignment horizontal="left" indent="2"/>
    </xf>
    <xf numFmtId="165" fontId="22" fillId="52" borderId="0" xfId="1" applyNumberFormat="1" applyFont="1" applyFill="1" applyBorder="1"/>
    <xf numFmtId="0" fontId="22" fillId="52" borderId="5" xfId="0" applyFont="1" applyFill="1" applyBorder="1"/>
    <xf numFmtId="0" fontId="23" fillId="52" borderId="0" xfId="0" quotePrefix="1" applyFont="1" applyFill="1" applyAlignment="1">
      <alignment horizontal="right"/>
    </xf>
    <xf numFmtId="0" fontId="23" fillId="52" borderId="0" xfId="0" applyFont="1" applyFill="1"/>
    <xf numFmtId="44" fontId="23" fillId="52" borderId="2" xfId="2" applyFont="1" applyFill="1" applyBorder="1"/>
    <xf numFmtId="0" fontId="23" fillId="52" borderId="2" xfId="0" quotePrefix="1" applyFont="1" applyFill="1" applyBorder="1"/>
    <xf numFmtId="0" fontId="23" fillId="52" borderId="0" xfId="0" quotePrefix="1" applyFont="1" applyFill="1"/>
    <xf numFmtId="0" fontId="23" fillId="52" borderId="3" xfId="0" quotePrefix="1" applyFont="1" applyFill="1" applyBorder="1"/>
    <xf numFmtId="0" fontId="22" fillId="52" borderId="7" xfId="0" applyFont="1" applyFill="1" applyBorder="1"/>
    <xf numFmtId="0" fontId="22" fillId="52" borderId="6" xfId="0" applyFont="1" applyFill="1" applyBorder="1" applyAlignment="1">
      <alignment horizontal="right"/>
    </xf>
    <xf numFmtId="0" fontId="22" fillId="52" borderId="6" xfId="0" applyFont="1" applyFill="1" applyBorder="1"/>
    <xf numFmtId="170" fontId="22" fillId="52" borderId="6" xfId="0" applyNumberFormat="1" applyFont="1" applyFill="1" applyBorder="1"/>
    <xf numFmtId="0" fontId="23" fillId="52" borderId="6" xfId="0" quotePrefix="1" applyFont="1" applyFill="1" applyBorder="1"/>
    <xf numFmtId="0" fontId="23" fillId="52" borderId="8" xfId="0" quotePrefix="1" applyFont="1" applyFill="1" applyBorder="1"/>
    <xf numFmtId="0" fontId="22" fillId="52" borderId="1" xfId="0" applyFont="1" applyFill="1" applyBorder="1" applyAlignment="1">
      <alignment horizontal="center" vertical="center"/>
    </xf>
    <xf numFmtId="0" fontId="27" fillId="52" borderId="2" xfId="0" applyFont="1" applyFill="1" applyBorder="1" applyAlignment="1">
      <alignment horizontal="left" vertical="center"/>
    </xf>
    <xf numFmtId="0" fontId="71" fillId="52" borderId="2" xfId="0" applyFont="1" applyFill="1" applyBorder="1" applyAlignment="1">
      <alignment horizontal="center"/>
    </xf>
    <xf numFmtId="0" fontId="28" fillId="52" borderId="3" xfId="0" applyFont="1" applyFill="1" applyBorder="1" applyAlignment="1">
      <alignment horizontal="center"/>
    </xf>
    <xf numFmtId="0" fontId="28" fillId="52" borderId="0" xfId="0" applyFont="1" applyFill="1" applyAlignment="1">
      <alignment horizontal="center"/>
    </xf>
    <xf numFmtId="9" fontId="29" fillId="52" borderId="0" xfId="3" applyFont="1" applyFill="1" applyBorder="1" applyAlignment="1">
      <alignment horizontal="center"/>
    </xf>
    <xf numFmtId="0" fontId="28" fillId="52" borderId="5" xfId="0" applyFont="1" applyFill="1" applyBorder="1" applyAlignment="1">
      <alignment horizontal="center"/>
    </xf>
    <xf numFmtId="168" fontId="22" fillId="52" borderId="0" xfId="3" applyNumberFormat="1" applyFont="1" applyFill="1" applyBorder="1" applyAlignment="1">
      <alignment horizontal="center"/>
    </xf>
    <xf numFmtId="0" fontId="22" fillId="52" borderId="0" xfId="0" applyFont="1" applyFill="1" applyAlignment="1">
      <alignment horizontal="left" indent="1"/>
    </xf>
    <xf numFmtId="167" fontId="29" fillId="52" borderId="0" xfId="2" applyNumberFormat="1" applyFont="1" applyFill="1" applyBorder="1"/>
    <xf numFmtId="0" fontId="25" fillId="52" borderId="0" xfId="0" applyFont="1" applyFill="1" applyAlignment="1">
      <alignment horizontal="left" indent="1"/>
    </xf>
    <xf numFmtId="0" fontId="22" fillId="52" borderId="7" xfId="0" applyFont="1" applyFill="1" applyBorder="1" applyAlignment="1">
      <alignment horizontal="center"/>
    </xf>
    <xf numFmtId="0" fontId="22" fillId="52" borderId="6" xfId="0" applyFont="1" applyFill="1" applyBorder="1" applyAlignment="1">
      <alignment horizontal="left" indent="1"/>
    </xf>
    <xf numFmtId="167" fontId="22" fillId="52" borderId="6" xfId="0" applyNumberFormat="1" applyFont="1" applyFill="1" applyBorder="1"/>
    <xf numFmtId="0" fontId="22" fillId="52" borderId="8" xfId="0" applyFont="1" applyFill="1" applyBorder="1"/>
    <xf numFmtId="0" fontId="22" fillId="52" borderId="0" xfId="0" applyFont="1" applyFill="1" applyAlignment="1">
      <alignment horizontal="center"/>
    </xf>
    <xf numFmtId="0" fontId="30" fillId="52" borderId="0" xfId="0" applyFont="1" applyFill="1" applyAlignment="1">
      <alignment horizontal="center"/>
    </xf>
    <xf numFmtId="0" fontId="30" fillId="52" borderId="0" xfId="0" applyFont="1" applyFill="1" applyAlignment="1">
      <alignment horizontal="left" indent="1"/>
    </xf>
    <xf numFmtId="0" fontId="30" fillId="52" borderId="0" xfId="0" applyFont="1" applyFill="1"/>
    <xf numFmtId="167" fontId="30" fillId="52" borderId="0" xfId="0" applyNumberFormat="1" applyFont="1" applyFill="1"/>
    <xf numFmtId="0" fontId="72" fillId="0" borderId="2" xfId="0" applyFont="1" applyBorder="1" applyAlignment="1">
      <alignment horizontal="left" indent="1"/>
    </xf>
    <xf numFmtId="0" fontId="30" fillId="0" borderId="2" xfId="0" applyFont="1" applyBorder="1"/>
    <xf numFmtId="0" fontId="73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0" fillId="0" borderId="0" xfId="0" applyFont="1"/>
    <xf numFmtId="0" fontId="72" fillId="0" borderId="0" xfId="0" applyFont="1"/>
    <xf numFmtId="0" fontId="23" fillId="52" borderId="0" xfId="0" applyFont="1" applyFill="1" applyAlignment="1">
      <alignment horizontal="centerContinuous"/>
    </xf>
    <xf numFmtId="0" fontId="22" fillId="52" borderId="0" xfId="0" applyFont="1" applyFill="1" applyAlignment="1">
      <alignment horizontal="centerContinuous"/>
    </xf>
    <xf numFmtId="0" fontId="22" fillId="52" borderId="19" xfId="0" applyFont="1" applyFill="1" applyBorder="1"/>
    <xf numFmtId="0" fontId="22" fillId="52" borderId="32" xfId="0" applyFont="1" applyFill="1" applyBorder="1"/>
    <xf numFmtId="0" fontId="29" fillId="52" borderId="0" xfId="0" applyFont="1" applyFill="1" applyAlignment="1">
      <alignment horizontal="center"/>
    </xf>
    <xf numFmtId="0" fontId="22" fillId="52" borderId="3" xfId="0" applyFont="1" applyFill="1" applyBorder="1"/>
    <xf numFmtId="0" fontId="29" fillId="52" borderId="34" xfId="0" applyFont="1" applyFill="1" applyBorder="1" applyAlignment="1">
      <alignment horizontal="center"/>
    </xf>
    <xf numFmtId="0" fontId="29" fillId="52" borderId="32" xfId="0" applyFont="1" applyFill="1" applyBorder="1" applyAlignment="1">
      <alignment horizontal="center"/>
    </xf>
    <xf numFmtId="0" fontId="22" fillId="52" borderId="33" xfId="0" applyFont="1" applyFill="1" applyBorder="1"/>
    <xf numFmtId="0" fontId="29" fillId="52" borderId="4" xfId="0" applyFont="1" applyFill="1" applyBorder="1" applyAlignment="1">
      <alignment horizontal="center"/>
    </xf>
    <xf numFmtId="0" fontId="23" fillId="52" borderId="7" xfId="0" applyFont="1" applyFill="1" applyBorder="1"/>
    <xf numFmtId="0" fontId="74" fillId="52" borderId="34" xfId="0" quotePrefix="1" applyFont="1" applyFill="1" applyBorder="1" applyAlignment="1">
      <alignment horizontal="center"/>
    </xf>
    <xf numFmtId="169" fontId="22" fillId="52" borderId="19" xfId="0" applyNumberFormat="1" applyFont="1" applyFill="1" applyBorder="1" applyAlignment="1">
      <alignment horizontal="right"/>
    </xf>
    <xf numFmtId="167" fontId="22" fillId="52" borderId="19" xfId="0" applyNumberFormat="1" applyFont="1" applyFill="1" applyBorder="1"/>
    <xf numFmtId="165" fontId="22" fillId="52" borderId="19" xfId="1" applyNumberFormat="1" applyFont="1" applyFill="1" applyBorder="1"/>
    <xf numFmtId="167" fontId="22" fillId="52" borderId="19" xfId="2" applyNumberFormat="1" applyFont="1" applyFill="1" applyBorder="1"/>
    <xf numFmtId="0" fontId="23" fillId="52" borderId="19" xfId="0" applyFont="1" applyFill="1" applyBorder="1"/>
    <xf numFmtId="0" fontId="23" fillId="52" borderId="14" xfId="0" applyFont="1" applyFill="1" applyBorder="1"/>
    <xf numFmtId="167" fontId="23" fillId="52" borderId="15" xfId="0" applyNumberFormat="1" applyFont="1" applyFill="1" applyBorder="1"/>
    <xf numFmtId="167" fontId="23" fillId="52" borderId="0" xfId="2" applyNumberFormat="1" applyFont="1" applyFill="1" applyAlignment="1">
      <alignment horizontal="right"/>
    </xf>
    <xf numFmtId="0" fontId="75" fillId="0" borderId="0" xfId="0" applyFont="1" applyAlignment="1">
      <alignment horizontal="left" indent="1"/>
    </xf>
    <xf numFmtId="43" fontId="30" fillId="0" borderId="0" xfId="0" applyNumberFormat="1" applyFont="1"/>
    <xf numFmtId="0" fontId="31" fillId="0" borderId="0" xfId="0" applyFont="1" applyAlignment="1">
      <alignment horizontal="left" indent="1"/>
    </xf>
    <xf numFmtId="167" fontId="22" fillId="52" borderId="0" xfId="2" applyNumberFormat="1" applyFont="1" applyFill="1"/>
    <xf numFmtId="167" fontId="30" fillId="0" borderId="0" xfId="0" applyNumberFormat="1" applyFont="1"/>
    <xf numFmtId="0" fontId="30" fillId="0" borderId="0" xfId="0" applyFont="1" applyAlignment="1">
      <alignment horizontal="right"/>
    </xf>
    <xf numFmtId="0" fontId="23" fillId="52" borderId="16" xfId="0" applyFont="1" applyFill="1" applyBorder="1" applyAlignment="1">
      <alignment horizontal="centerContinuous"/>
    </xf>
    <xf numFmtId="0" fontId="23" fillId="52" borderId="20" xfId="0" applyFont="1" applyFill="1" applyBorder="1" applyAlignment="1">
      <alignment horizontal="centerContinuous"/>
    </xf>
    <xf numFmtId="167" fontId="23" fillId="52" borderId="20" xfId="0" applyNumberFormat="1" applyFont="1" applyFill="1" applyBorder="1" applyAlignment="1">
      <alignment horizontal="center" vertical="center"/>
    </xf>
    <xf numFmtId="43" fontId="22" fillId="52" borderId="0" xfId="0" applyNumberFormat="1" applyFont="1" applyFill="1"/>
    <xf numFmtId="167" fontId="23" fillId="52" borderId="19" xfId="0" applyNumberFormat="1" applyFont="1" applyFill="1" applyBorder="1"/>
    <xf numFmtId="0" fontId="25" fillId="52" borderId="0" xfId="0" applyFont="1" applyFill="1"/>
    <xf numFmtId="0" fontId="29" fillId="52" borderId="0" xfId="0" applyFont="1" applyFill="1"/>
    <xf numFmtId="0" fontId="29" fillId="52" borderId="33" xfId="0" applyFont="1" applyFill="1" applyBorder="1" applyAlignment="1">
      <alignment horizontal="center"/>
    </xf>
    <xf numFmtId="0" fontId="27" fillId="52" borderId="19" xfId="0" applyFont="1" applyFill="1" applyBorder="1"/>
    <xf numFmtId="0" fontId="29" fillId="52" borderId="19" xfId="0" applyFont="1" applyFill="1" applyBorder="1"/>
    <xf numFmtId="0" fontId="27" fillId="52" borderId="19" xfId="0" applyFont="1" applyFill="1" applyBorder="1" applyAlignment="1">
      <alignment horizontal="right"/>
    </xf>
    <xf numFmtId="167" fontId="29" fillId="52" borderId="19" xfId="0" applyNumberFormat="1" applyFont="1" applyFill="1" applyBorder="1"/>
    <xf numFmtId="0" fontId="72" fillId="52" borderId="0" xfId="0" applyFont="1" applyFill="1"/>
    <xf numFmtId="0" fontId="76" fillId="52" borderId="0" xfId="0" applyFont="1" applyFill="1"/>
    <xf numFmtId="0" fontId="31" fillId="52" borderId="0" xfId="0" applyFont="1" applyFill="1" applyAlignment="1">
      <alignment horizontal="left" indent="1"/>
    </xf>
    <xf numFmtId="0" fontId="31" fillId="52" borderId="0" xfId="0" quotePrefix="1" applyFont="1" applyFill="1" applyAlignment="1">
      <alignment horizontal="left" indent="1"/>
    </xf>
    <xf numFmtId="0" fontId="31" fillId="0" borderId="0" xfId="0" quotePrefix="1" applyFont="1" applyAlignment="1">
      <alignment horizontal="left" indent="1"/>
    </xf>
    <xf numFmtId="0" fontId="22" fillId="52" borderId="17" xfId="0" applyFont="1" applyFill="1" applyBorder="1" applyAlignment="1">
      <alignment horizontal="centerContinuous"/>
    </xf>
    <xf numFmtId="0" fontId="22" fillId="52" borderId="18" xfId="0" applyFont="1" applyFill="1" applyBorder="1" applyAlignment="1">
      <alignment horizontal="centerContinuous"/>
    </xf>
    <xf numFmtId="44" fontId="22" fillId="52" borderId="0" xfId="0" applyNumberFormat="1" applyFont="1" applyFill="1"/>
    <xf numFmtId="0" fontId="23" fillId="52" borderId="16" xfId="0" applyFont="1" applyFill="1" applyBorder="1"/>
    <xf numFmtId="167" fontId="23" fillId="52" borderId="18" xfId="0" applyNumberFormat="1" applyFont="1" applyFill="1" applyBorder="1"/>
    <xf numFmtId="0" fontId="32" fillId="52" borderId="0" xfId="0" applyFont="1" applyFill="1" applyAlignment="1">
      <alignment horizontal="left" indent="1"/>
    </xf>
    <xf numFmtId="167" fontId="23" fillId="52" borderId="20" xfId="0" applyNumberFormat="1" applyFont="1" applyFill="1" applyBorder="1" applyAlignment="1">
      <alignment horizontal="centerContinuous"/>
    </xf>
    <xf numFmtId="167" fontId="23" fillId="52" borderId="35" xfId="0" applyNumberFormat="1" applyFont="1" applyFill="1" applyBorder="1" applyAlignment="1">
      <alignment horizontal="center" vertical="center"/>
    </xf>
    <xf numFmtId="167" fontId="22" fillId="52" borderId="19" xfId="0" applyNumberFormat="1" applyFont="1" applyFill="1" applyBorder="1" applyAlignment="1">
      <alignment horizontal="right"/>
    </xf>
    <xf numFmtId="44" fontId="22" fillId="52" borderId="19" xfId="0" applyNumberFormat="1" applyFont="1" applyFill="1" applyBorder="1" applyAlignment="1">
      <alignment horizontal="right"/>
    </xf>
    <xf numFmtId="167" fontId="22" fillId="52" borderId="19" xfId="3" applyNumberFormat="1" applyFont="1" applyFill="1" applyBorder="1"/>
    <xf numFmtId="44" fontId="30" fillId="0" borderId="0" xfId="0" applyNumberFormat="1" applyFont="1"/>
    <xf numFmtId="0" fontId="72" fillId="52" borderId="0" xfId="0" applyFont="1" applyFill="1" applyAlignment="1">
      <alignment horizontal="left" indent="1"/>
    </xf>
    <xf numFmtId="167" fontId="23" fillId="52" borderId="0" xfId="0" applyNumberFormat="1" applyFont="1" applyFill="1" applyAlignment="1">
      <alignment horizontal="center" vertical="center"/>
    </xf>
    <xf numFmtId="0" fontId="29" fillId="52" borderId="2" xfId="0" applyFont="1" applyFill="1" applyBorder="1" applyAlignment="1">
      <alignment horizontal="center"/>
    </xf>
    <xf numFmtId="0" fontId="31" fillId="0" borderId="0" xfId="0" applyFont="1" applyAlignment="1">
      <alignment horizontal="left" indent="3"/>
    </xf>
    <xf numFmtId="0" fontId="51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41" fillId="14" borderId="0" xfId="0" applyFont="1" applyFill="1" applyAlignment="1">
      <alignment horizontal="center"/>
    </xf>
    <xf numFmtId="0" fontId="41" fillId="9" borderId="0" xfId="0" applyFont="1" applyFill="1" applyAlignment="1">
      <alignment horizontal="center"/>
    </xf>
    <xf numFmtId="0" fontId="27" fillId="10" borderId="0" xfId="0" applyFont="1" applyFill="1" applyAlignment="1">
      <alignment horizontal="center"/>
    </xf>
    <xf numFmtId="0" fontId="63" fillId="15" borderId="22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50" borderId="0" xfId="0" applyFont="1" applyFill="1" applyAlignment="1">
      <alignment horizontal="center"/>
    </xf>
    <xf numFmtId="0" fontId="23" fillId="16" borderId="6" xfId="0" applyFont="1" applyFill="1" applyBorder="1" applyAlignment="1">
      <alignment horizontal="center"/>
    </xf>
    <xf numFmtId="0" fontId="23" fillId="51" borderId="22" xfId="0" applyFont="1" applyFill="1" applyBorder="1" applyAlignment="1">
      <alignment horizontal="center"/>
    </xf>
    <xf numFmtId="0" fontId="24" fillId="52" borderId="0" xfId="0" applyFont="1" applyFill="1" applyAlignment="1">
      <alignment horizontal="center"/>
    </xf>
    <xf numFmtId="0" fontId="23" fillId="52" borderId="6" xfId="0" applyFont="1" applyFill="1" applyBorder="1" applyAlignment="1">
      <alignment horizontal="center"/>
    </xf>
    <xf numFmtId="0" fontId="24" fillId="52" borderId="5" xfId="0" applyFont="1" applyFill="1" applyBorder="1" applyAlignment="1">
      <alignment horizontal="center"/>
    </xf>
    <xf numFmtId="0" fontId="23" fillId="52" borderId="8" xfId="0" applyFont="1" applyFill="1" applyBorder="1" applyAlignment="1">
      <alignment horizontal="center"/>
    </xf>
    <xf numFmtId="0" fontId="70" fillId="0" borderId="0" xfId="0" applyFont="1" applyAlignment="1">
      <alignment horizontal="center"/>
    </xf>
  </cellXfs>
  <cellStyles count="51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3" xr:uid="{445D9C41-1D5E-455F-8CC7-232339A7C810}"/>
    <cellStyle name="60% - Accent2 2" xfId="44" xr:uid="{D90867AF-A2F1-4059-9EF4-670490571792}"/>
    <cellStyle name="60% - Accent3 2" xfId="45" xr:uid="{1B109D9E-BBF3-4CB8-84AD-A6BF78F62F4E}"/>
    <cellStyle name="60% - Accent4 2" xfId="46" xr:uid="{25E7A770-9DDD-4CCE-BCCF-B32A5C5559F4}"/>
    <cellStyle name="60% - Accent5 2" xfId="47" xr:uid="{7EE7BFFF-A37F-4F5D-BB55-5B9966A72C71}"/>
    <cellStyle name="60% - Accent6 2" xfId="48" xr:uid="{0E1E6B63-CD11-42DA-BE77-F4137442402F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" xfId="1" builtinId="3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6" builtinId="8"/>
    <cellStyle name="Input" xfId="15" builtinId="20" customBuiltin="1"/>
    <cellStyle name="Linked Cell" xfId="18" builtinId="24" customBuiltin="1"/>
    <cellStyle name="Neutral 2" xfId="42" xr:uid="{2D142405-B321-4954-B25A-E1E8AD5DD3AB}"/>
    <cellStyle name="Normal" xfId="0" builtinId="0"/>
    <cellStyle name="Normal 10" xfId="5" xr:uid="{00000000-0005-0000-0000-000004000000}"/>
    <cellStyle name="Normal 2" xfId="4" xr:uid="{00000000-0005-0000-0000-000005000000}"/>
    <cellStyle name="Normal 2 2" xfId="49" xr:uid="{AC821D66-A76D-485E-B325-AFEAB4FD5A56}"/>
    <cellStyle name="Normal 3" xfId="7" xr:uid="{00000000-0005-0000-0000-000006000000}"/>
    <cellStyle name="Normal 3 2" xfId="50" xr:uid="{650E7019-F95F-4365-8F79-787ADC58021D}"/>
    <cellStyle name="Note" xfId="21" builtinId="10" customBuiltin="1"/>
    <cellStyle name="Output" xfId="16" builtinId="21" customBuiltin="1"/>
    <cellStyle name="Percent" xfId="3" builtinId="5"/>
    <cellStyle name="Title" xfId="8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  <color rgb="FFFFFFCC"/>
      <color rgb="FF006699"/>
      <color rgb="FFADC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627062</xdr:colOff>
      <xdr:row>9</xdr:row>
      <xdr:rowOff>142875</xdr:rowOff>
    </xdr:from>
    <xdr:to>
      <xdr:col>12</xdr:col>
      <xdr:colOff>676274</xdr:colOff>
      <xdr:row>12</xdr:row>
      <xdr:rowOff>0</xdr:rowOff>
    </xdr:to>
    <xdr:pic>
      <xdr:nvPicPr>
        <xdr:cNvPr id="3" name="Picture 2" descr="2011 Logo Horizontal Color">
          <a:extLst>
            <a:ext uri="{FF2B5EF4-FFF2-40B4-BE49-F238E27FC236}">
              <a16:creationId xmlns:a16="http://schemas.microsoft.com/office/drawing/2014/main" id="{CA9C3C71-BDA5-40F5-A117-F01869B698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746875" y="3825875"/>
          <a:ext cx="3033712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35719</xdr:colOff>
      <xdr:row>0</xdr:row>
      <xdr:rowOff>51594</xdr:rowOff>
    </xdr:from>
    <xdr:ext cx="1587843" cy="700519"/>
    <xdr:pic>
      <xdr:nvPicPr>
        <xdr:cNvPr id="5" name="Picture 4">
          <a:extLst>
            <a:ext uri="{FF2B5EF4-FFF2-40B4-BE49-F238E27FC236}">
              <a16:creationId xmlns:a16="http://schemas.microsoft.com/office/drawing/2014/main" id="{5899742D-38A3-482D-BBEB-5E69DF091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0" t="25429" r="17442" b="26888"/>
        <a:stretch/>
      </xdr:blipFill>
      <xdr:spPr>
        <a:xfrm>
          <a:off x="35719" y="51594"/>
          <a:ext cx="1587843" cy="70051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9e39f5313cc976b/Exeter1/103709%20-%202025%20TAP-R%20Annual%20Adjustment/TAP-R%20testimony/Testimony%20Excels/Revised%20schedules/2025%20PA%20Modified%20Schedule-RFC-3%20REVISED%204%2029%202025.xlsx" TargetMode="External"/><Relationship Id="rId1" Type="http://schemas.openxmlformats.org/officeDocument/2006/relationships/externalLinkPath" Target="2025%20PA%20Modified%20Schedule-RFC-3%20REVISED%204%2029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able of Contents"/>
      <sheetName val="TRR_Summary"/>
      <sheetName val="TRR_Projections"/>
      <sheetName val="Data Source"/>
      <sheetName val="DR_1"/>
      <sheetName val="DR_2"/>
      <sheetName val="DR_3A Participants"/>
      <sheetName val="DR_4"/>
      <sheetName val="051018 Model_Applications"/>
      <sheetName val="051018 Model_Assumptions"/>
      <sheetName val="051018 Model_Model"/>
      <sheetName val="051018 Model_Cost Estimates"/>
    </sheetNames>
    <sheetDataSet>
      <sheetData sheetId="0"/>
      <sheetData sheetId="1"/>
      <sheetData sheetId="2">
        <row r="4">
          <cell r="B4">
            <v>47.719836248214683</v>
          </cell>
        </row>
        <row r="5">
          <cell r="B5">
            <v>655.30618270709726</v>
          </cell>
        </row>
      </sheetData>
      <sheetData sheetId="3">
        <row r="5">
          <cell r="BF5">
            <v>56040.796781569683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federalreserve.gov/releases/h15/" TargetMode="External"/><Relationship Id="rId1" Type="http://schemas.openxmlformats.org/officeDocument/2006/relationships/hyperlink" Target="https://www.federalreserve.gov/releases/h1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</sheetPr>
  <dimension ref="A1:M13"/>
  <sheetViews>
    <sheetView workbookViewId="0">
      <selection activeCell="D9" sqref="D9"/>
    </sheetView>
  </sheetViews>
  <sheetFormatPr defaultColWidth="0" defaultRowHeight="15.75" customHeight="1" zeroHeight="1" x14ac:dyDescent="0.3"/>
  <cols>
    <col min="1" max="3" width="11.21875" style="1" customWidth="1"/>
    <col min="4" max="4" width="13.44140625" style="1" customWidth="1"/>
    <col min="5" max="13" width="11.21875" style="1" customWidth="1"/>
    <col min="14" max="16384" width="9.21875" style="1" hidden="1"/>
  </cols>
  <sheetData>
    <row r="1" spans="1:13" ht="15.6" x14ac:dyDescent="0.3">
      <c r="A1" s="121"/>
      <c r="B1" s="122"/>
      <c r="C1" s="122"/>
      <c r="D1" s="123"/>
      <c r="E1" s="123"/>
      <c r="F1" s="123"/>
      <c r="G1" s="123"/>
      <c r="H1" s="123"/>
      <c r="I1" s="123"/>
      <c r="J1" s="123"/>
      <c r="K1" s="123"/>
      <c r="L1" s="123"/>
      <c r="M1" s="124" t="s">
        <v>0</v>
      </c>
    </row>
    <row r="2" spans="1:13" ht="15.6" x14ac:dyDescent="0.3">
      <c r="A2" s="121"/>
      <c r="B2" s="122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4" t="s">
        <v>1</v>
      </c>
    </row>
    <row r="3" spans="1:13" ht="21" x14ac:dyDescent="0.4">
      <c r="A3" s="125"/>
      <c r="B3" s="126"/>
      <c r="C3" s="122"/>
      <c r="M3" s="127"/>
    </row>
    <row r="4" spans="1:13" ht="21" x14ac:dyDescent="0.4">
      <c r="A4" s="121"/>
      <c r="B4" s="126"/>
      <c r="C4" s="122"/>
      <c r="M4" s="127"/>
    </row>
    <row r="5" spans="1:13" ht="114.75" customHeight="1" x14ac:dyDescent="0.3">
      <c r="A5" s="375" t="s">
        <v>2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</row>
    <row r="6" spans="1:13" ht="21" x14ac:dyDescent="0.4">
      <c r="A6" s="125"/>
      <c r="B6" s="126"/>
      <c r="C6" s="122"/>
      <c r="M6" s="127"/>
    </row>
    <row r="7" spans="1:13" ht="21" x14ac:dyDescent="0.4">
      <c r="A7" s="125"/>
      <c r="B7" s="126"/>
      <c r="C7" s="122"/>
      <c r="M7" s="127"/>
    </row>
    <row r="8" spans="1:13" ht="15.6" x14ac:dyDescent="0.3">
      <c r="A8" s="121" t="s">
        <v>3</v>
      </c>
      <c r="B8" s="122"/>
      <c r="C8" s="122"/>
      <c r="D8" s="128">
        <v>45706</v>
      </c>
      <c r="E8" s="123"/>
      <c r="F8" s="123"/>
      <c r="G8" s="123"/>
      <c r="H8" s="123"/>
      <c r="M8" s="127"/>
    </row>
    <row r="9" spans="1:13" ht="15.6" x14ac:dyDescent="0.3">
      <c r="A9" s="121"/>
      <c r="B9" s="122"/>
      <c r="C9" s="122"/>
      <c r="D9" s="129"/>
      <c r="E9" s="123"/>
      <c r="F9" s="123"/>
      <c r="G9" s="123"/>
      <c r="H9" s="123"/>
      <c r="M9" s="127"/>
    </row>
    <row r="10" spans="1:13" ht="15.6" x14ac:dyDescent="0.3">
      <c r="A10" s="121"/>
      <c r="B10" s="122"/>
      <c r="C10" s="122"/>
      <c r="D10" s="123"/>
      <c r="E10" s="123"/>
      <c r="F10" s="123"/>
      <c r="G10" s="123"/>
      <c r="H10" s="123"/>
      <c r="M10" s="127"/>
    </row>
    <row r="11" spans="1:13" ht="15.6" x14ac:dyDescent="0.3">
      <c r="A11" s="376" t="s">
        <v>4</v>
      </c>
      <c r="B11" s="377"/>
      <c r="C11" s="377"/>
      <c r="D11" s="377"/>
      <c r="E11" s="377"/>
      <c r="F11" s="377"/>
      <c r="G11" s="378"/>
      <c r="H11" s="378"/>
      <c r="M11" s="127"/>
    </row>
    <row r="12" spans="1:13" ht="15.6" x14ac:dyDescent="0.3">
      <c r="A12" s="130" t="s">
        <v>5</v>
      </c>
      <c r="B12" s="131"/>
      <c r="C12" s="131"/>
      <c r="D12" s="131"/>
      <c r="E12" s="131"/>
      <c r="F12" s="131"/>
      <c r="G12" s="132"/>
      <c r="H12" s="132"/>
      <c r="M12" s="127"/>
    </row>
    <row r="13" spans="1:13" ht="14.4" hidden="1" x14ac:dyDescent="0.3"/>
  </sheetData>
  <mergeCells count="2">
    <mergeCell ref="A5:M5"/>
    <mergeCell ref="A11:H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0EC7-FD91-4EDE-B640-AB737F953BE9}">
  <sheetPr codeName="Sheet10">
    <tabColor theme="4" tint="-0.249977111117893"/>
    <pageSetUpPr fitToPage="1"/>
  </sheetPr>
  <dimension ref="A1:K173"/>
  <sheetViews>
    <sheetView zoomScaleNormal="100" workbookViewId="0">
      <selection activeCell="I19" sqref="I19"/>
    </sheetView>
  </sheetViews>
  <sheetFormatPr defaultColWidth="9.21875" defaultRowHeight="14.4" zeroHeight="1" x14ac:dyDescent="0.3"/>
  <cols>
    <col min="1" max="1" width="9.21875" style="1" customWidth="1"/>
    <col min="2" max="2" width="12.88671875" style="1" customWidth="1"/>
    <col min="3" max="3" width="18.6640625" style="1" customWidth="1"/>
    <col min="4" max="4" width="22.88671875" style="1" customWidth="1"/>
    <col min="5" max="5" width="27" style="1" customWidth="1"/>
    <col min="6" max="6" width="1.77734375" style="1" customWidth="1"/>
    <col min="7" max="7" width="24" style="1" customWidth="1"/>
    <col min="8" max="8" width="23.5546875" style="1" customWidth="1"/>
    <col min="9" max="9" width="30.77734375" style="1" customWidth="1"/>
    <col min="10" max="10" width="1.5546875" style="1" customWidth="1"/>
    <col min="11" max="11" width="15.21875" style="1" customWidth="1"/>
    <col min="12" max="13" width="9.21875" style="1" customWidth="1"/>
    <col min="14" max="16384" width="9.21875" style="1"/>
  </cols>
  <sheetData>
    <row r="1" spans="2:10" x14ac:dyDescent="0.3"/>
    <row r="2" spans="2:10" x14ac:dyDescent="0.3">
      <c r="B2" s="316" t="str">
        <f>B64</f>
        <v xml:space="preserve">Philadelphia Water Department </v>
      </c>
      <c r="C2" s="316"/>
      <c r="D2" s="316"/>
      <c r="E2" s="316"/>
      <c r="F2" s="316"/>
      <c r="G2" s="316"/>
      <c r="H2" s="316"/>
      <c r="I2" s="5"/>
    </row>
    <row r="3" spans="2:10" ht="15" thickBot="1" x14ac:dyDescent="0.35">
      <c r="B3" s="316" t="str">
        <f>B65</f>
        <v xml:space="preserve">Interest on Experienced &amp; Estimated Net Over/(Under) Collection (I-Factor) for Most Recent Period </v>
      </c>
      <c r="C3" s="316"/>
      <c r="D3" s="316"/>
      <c r="E3" s="316"/>
      <c r="F3" s="316"/>
      <c r="G3" s="316"/>
      <c r="H3" s="316"/>
      <c r="I3" s="5"/>
    </row>
    <row r="4" spans="2:10" ht="15" thickBot="1" x14ac:dyDescent="0.35">
      <c r="B4" s="255"/>
      <c r="C4" s="342" t="str">
        <f t="shared" ref="C4:C9" si="0">C66</f>
        <v>Prior Reconciliation Period with Updated Actuals</v>
      </c>
      <c r="D4" s="359"/>
      <c r="E4" s="360"/>
      <c r="F4" s="255"/>
      <c r="G4" s="343" t="s">
        <v>234</v>
      </c>
      <c r="H4" s="366" t="s">
        <v>235</v>
      </c>
      <c r="I4" s="97"/>
    </row>
    <row r="5" spans="2:10" x14ac:dyDescent="0.3">
      <c r="B5" s="323" t="str">
        <f>B67</f>
        <v>Billing</v>
      </c>
      <c r="C5" s="323" t="str">
        <f t="shared" si="0"/>
        <v>Difference in</v>
      </c>
      <c r="D5" s="323" t="str">
        <f t="shared" ref="D5:E7" si="1">D67</f>
        <v xml:space="preserve">Cumulative </v>
      </c>
      <c r="E5" s="323" t="str">
        <f t="shared" si="1"/>
        <v xml:space="preserve">Estimated Monthly </v>
      </c>
      <c r="F5" s="348"/>
      <c r="G5" s="323" t="s">
        <v>273</v>
      </c>
      <c r="H5" s="323" t="str">
        <f>H67</f>
        <v xml:space="preserve">Cumulative </v>
      </c>
      <c r="I5" s="320"/>
      <c r="J5" s="320"/>
    </row>
    <row r="6" spans="2:10" x14ac:dyDescent="0.3">
      <c r="B6" s="322" t="str">
        <f>B68</f>
        <v>Period</v>
      </c>
      <c r="C6" s="322" t="str">
        <f t="shared" si="0"/>
        <v>Collection</v>
      </c>
      <c r="D6" s="322" t="str">
        <f t="shared" si="1"/>
        <v>Over/(Under) Collection</v>
      </c>
      <c r="E6" s="322" t="str">
        <f t="shared" si="1"/>
        <v>Interest Owed/</v>
      </c>
      <c r="F6" s="348"/>
      <c r="G6" s="322" t="str">
        <f>I68</f>
        <v>Interest Owed/</v>
      </c>
      <c r="H6" s="322" t="str">
        <f t="shared" ref="H6" si="2">H68</f>
        <v>Over/(Under) Collection</v>
      </c>
      <c r="I6" s="320"/>
      <c r="J6" s="320"/>
    </row>
    <row r="7" spans="2:10" x14ac:dyDescent="0.3">
      <c r="B7" s="322"/>
      <c r="C7" s="322" t="str">
        <f t="shared" si="0"/>
        <v>Water Portion</v>
      </c>
      <c r="D7" s="322" t="str">
        <f t="shared" si="1"/>
        <v>Water Portion</v>
      </c>
      <c r="E7" s="322" t="str">
        <f t="shared" si="1"/>
        <v>(Interest to be Recouped)</v>
      </c>
      <c r="F7" s="348"/>
      <c r="G7" s="322" t="str">
        <f>I69</f>
        <v>(Interest to be Recouped)</v>
      </c>
      <c r="H7" s="322" t="str">
        <f t="shared" ref="H7" si="3">H69</f>
        <v>Water Portion</v>
      </c>
      <c r="I7" s="320"/>
      <c r="J7" s="320"/>
    </row>
    <row r="8" spans="2:10" x14ac:dyDescent="0.3">
      <c r="B8" s="322"/>
      <c r="C8" s="322" t="str">
        <f t="shared" si="0"/>
        <v>From Table 3-W-A</v>
      </c>
      <c r="D8" s="322"/>
      <c r="E8" s="322" t="str">
        <f>E70</f>
        <v>Water Portion</v>
      </c>
      <c r="F8" s="348"/>
      <c r="G8" s="322" t="str">
        <f>I70</f>
        <v>Water Portion</v>
      </c>
      <c r="H8" s="322"/>
      <c r="I8" s="320"/>
      <c r="J8" s="320"/>
    </row>
    <row r="9" spans="2:10" x14ac:dyDescent="0.3">
      <c r="B9" s="322"/>
      <c r="C9" s="322" t="str">
        <f t="shared" si="0"/>
        <v>(1)</v>
      </c>
      <c r="D9" s="322" t="str">
        <f>D71</f>
        <v xml:space="preserve">(2) </v>
      </c>
      <c r="E9" s="322" t="str">
        <f>E71</f>
        <v>(3) = (2) * [4.80% / 12]</v>
      </c>
      <c r="F9" s="348"/>
      <c r="G9" s="322" t="s">
        <v>181</v>
      </c>
      <c r="H9" s="322" t="s">
        <v>294</v>
      </c>
      <c r="I9" s="320"/>
      <c r="J9" s="320"/>
    </row>
    <row r="10" spans="2:10" x14ac:dyDescent="0.3">
      <c r="B10" s="350"/>
      <c r="C10" s="351"/>
      <c r="D10" s="351"/>
      <c r="E10" s="351"/>
      <c r="F10" s="351"/>
      <c r="G10" s="351"/>
      <c r="H10" s="351"/>
    </row>
    <row r="11" spans="2:10" x14ac:dyDescent="0.3">
      <c r="B11" s="328">
        <f t="shared" ref="B11:E22" si="4">B73</f>
        <v>45170</v>
      </c>
      <c r="C11" s="367">
        <f t="shared" si="4"/>
        <v>-425244.11871612002</v>
      </c>
      <c r="D11" s="367">
        <f t="shared" si="4"/>
        <v>-425244.11871612002</v>
      </c>
      <c r="E11" s="368">
        <f t="shared" si="4"/>
        <v>-1700.9764748644802</v>
      </c>
      <c r="F11" s="318"/>
      <c r="G11" s="368">
        <f t="shared" ref="G11:G23" si="5">I73</f>
        <v>-1700.9747678404801</v>
      </c>
      <c r="H11" s="368">
        <f>E11-G11</f>
        <v>-1.70702400009759E-3</v>
      </c>
      <c r="I11" s="100"/>
    </row>
    <row r="12" spans="2:10" x14ac:dyDescent="0.3">
      <c r="B12" s="328">
        <f t="shared" si="4"/>
        <v>45200</v>
      </c>
      <c r="C12" s="367">
        <f t="shared" si="4"/>
        <v>-420330.87940986</v>
      </c>
      <c r="D12" s="367">
        <f t="shared" si="4"/>
        <v>-845574.99812598003</v>
      </c>
      <c r="E12" s="368">
        <f t="shared" si="4"/>
        <v>-3382.2999925039203</v>
      </c>
      <c r="F12" s="318"/>
      <c r="G12" s="368">
        <f t="shared" si="5"/>
        <v>-3382.2994299619199</v>
      </c>
      <c r="H12" s="368">
        <f t="shared" ref="H12:H23" si="6">E12-G12</f>
        <v>-5.6254200035255053E-4</v>
      </c>
      <c r="I12" s="100"/>
    </row>
    <row r="13" spans="2:10" x14ac:dyDescent="0.3">
      <c r="B13" s="328">
        <f t="shared" si="4"/>
        <v>45231</v>
      </c>
      <c r="C13" s="367">
        <f t="shared" si="4"/>
        <v>-449700.30608573998</v>
      </c>
      <c r="D13" s="367">
        <f t="shared" si="4"/>
        <v>-1295275.3042117199</v>
      </c>
      <c r="E13" s="368">
        <f t="shared" si="4"/>
        <v>-5181.1012168468797</v>
      </c>
      <c r="F13" s="318"/>
      <c r="G13" s="368">
        <f t="shared" si="5"/>
        <v>-5181.1021673488804</v>
      </c>
      <c r="H13" s="368">
        <f t="shared" si="6"/>
        <v>9.5050200070545543E-4</v>
      </c>
      <c r="I13" s="100"/>
    </row>
    <row r="14" spans="2:10" x14ac:dyDescent="0.3">
      <c r="B14" s="328">
        <f t="shared" si="4"/>
        <v>45261</v>
      </c>
      <c r="C14" s="367">
        <f t="shared" si="4"/>
        <v>-457779.23051705991</v>
      </c>
      <c r="D14" s="367">
        <f t="shared" si="4"/>
        <v>-1753054.5347287799</v>
      </c>
      <c r="E14" s="368">
        <f t="shared" si="4"/>
        <v>-7012.2181389151201</v>
      </c>
      <c r="F14" s="318"/>
      <c r="G14" s="368">
        <f t="shared" si="5"/>
        <v>-7012.2172854031196</v>
      </c>
      <c r="H14" s="368">
        <f t="shared" si="6"/>
        <v>-8.5351200050354237E-4</v>
      </c>
      <c r="I14" s="100"/>
    </row>
    <row r="15" spans="2:10" x14ac:dyDescent="0.3">
      <c r="B15" s="328">
        <f t="shared" si="4"/>
        <v>45292</v>
      </c>
      <c r="C15" s="367">
        <f t="shared" si="4"/>
        <v>-476181.61497641995</v>
      </c>
      <c r="D15" s="367">
        <f t="shared" si="4"/>
        <v>-2229236.1497052</v>
      </c>
      <c r="E15" s="368">
        <f t="shared" si="4"/>
        <v>-8916.9445988208008</v>
      </c>
      <c r="F15" s="318"/>
      <c r="G15" s="368">
        <f t="shared" si="5"/>
        <v>-8916.9455105267989</v>
      </c>
      <c r="H15" s="368">
        <f t="shared" si="6"/>
        <v>9.1170599807810504E-4</v>
      </c>
      <c r="I15" s="100"/>
    </row>
    <row r="16" spans="2:10" x14ac:dyDescent="0.3">
      <c r="B16" s="328">
        <f t="shared" si="4"/>
        <v>45323</v>
      </c>
      <c r="C16" s="367">
        <f t="shared" si="4"/>
        <v>-554671.33754015993</v>
      </c>
      <c r="D16" s="367">
        <f t="shared" si="4"/>
        <v>-2783907.4872453599</v>
      </c>
      <c r="E16" s="368">
        <f t="shared" si="4"/>
        <v>-11135.629948981441</v>
      </c>
      <c r="F16" s="318"/>
      <c r="G16" s="368">
        <f t="shared" si="5"/>
        <v>-11135.632664701441</v>
      </c>
      <c r="H16" s="368">
        <f t="shared" si="6"/>
        <v>2.7157200001965975E-3</v>
      </c>
      <c r="I16" s="100"/>
    </row>
    <row r="17" spans="2:11" x14ac:dyDescent="0.3">
      <c r="B17" s="328">
        <f t="shared" si="4"/>
        <v>45352</v>
      </c>
      <c r="C17" s="367">
        <f t="shared" si="4"/>
        <v>-759772.11414413992</v>
      </c>
      <c r="D17" s="367">
        <f t="shared" si="4"/>
        <v>-3543679.6013894998</v>
      </c>
      <c r="E17" s="368">
        <f t="shared" si="4"/>
        <v>-14174.718405558</v>
      </c>
      <c r="F17" s="318"/>
      <c r="G17" s="368">
        <f t="shared" si="5"/>
        <v>-14174.720830307999</v>
      </c>
      <c r="H17" s="368">
        <f t="shared" si="6"/>
        <v>2.4247499986813636E-3</v>
      </c>
      <c r="I17" s="100"/>
    </row>
    <row r="18" spans="2:11" x14ac:dyDescent="0.3">
      <c r="B18" s="328">
        <f t="shared" si="4"/>
        <v>45383</v>
      </c>
      <c r="C18" s="367">
        <f t="shared" si="4"/>
        <v>-790873.69279523985</v>
      </c>
      <c r="D18" s="367">
        <f t="shared" si="4"/>
        <v>-4334553.2941847397</v>
      </c>
      <c r="E18" s="368">
        <f t="shared" si="4"/>
        <v>-17338.213176738958</v>
      </c>
      <c r="F18" s="318"/>
      <c r="G18" s="368">
        <f t="shared" si="5"/>
        <v>-17540.578610442528</v>
      </c>
      <c r="H18" s="368">
        <f t="shared" si="6"/>
        <v>202.36543370356958</v>
      </c>
      <c r="I18" s="100"/>
    </row>
    <row r="19" spans="2:11" x14ac:dyDescent="0.3">
      <c r="B19" s="328">
        <f t="shared" si="4"/>
        <v>45413</v>
      </c>
      <c r="C19" s="367">
        <f t="shared" si="4"/>
        <v>-895924.72412339982</v>
      </c>
      <c r="D19" s="367">
        <f t="shared" si="4"/>
        <v>-5230478.0183081394</v>
      </c>
      <c r="E19" s="368">
        <f t="shared" si="4"/>
        <v>-20921.912073232557</v>
      </c>
      <c r="F19" s="318"/>
      <c r="G19" s="368">
        <f t="shared" si="5"/>
        <v>-20906.436390577055</v>
      </c>
      <c r="H19" s="368">
        <f t="shared" si="6"/>
        <v>-15.475682655502169</v>
      </c>
      <c r="I19" s="100"/>
    </row>
    <row r="20" spans="2:11" x14ac:dyDescent="0.3">
      <c r="B20" s="328">
        <f t="shared" si="4"/>
        <v>45444</v>
      </c>
      <c r="C20" s="367">
        <f t="shared" si="4"/>
        <v>-889365.07743336004</v>
      </c>
      <c r="D20" s="367">
        <f t="shared" si="4"/>
        <v>-6119843.0957414992</v>
      </c>
      <c r="E20" s="368">
        <f t="shared" si="4"/>
        <v>-24479.372382965998</v>
      </c>
      <c r="F20" s="318"/>
      <c r="G20" s="368">
        <f t="shared" si="5"/>
        <v>-24272.294170711586</v>
      </c>
      <c r="H20" s="368">
        <f t="shared" si="6"/>
        <v>-207.07821225441148</v>
      </c>
      <c r="I20" s="100"/>
    </row>
    <row r="21" spans="2:11" x14ac:dyDescent="0.3">
      <c r="B21" s="328">
        <f t="shared" si="4"/>
        <v>45474</v>
      </c>
      <c r="C21" s="367">
        <f t="shared" si="4"/>
        <v>-957222.35058491991</v>
      </c>
      <c r="D21" s="367">
        <f t="shared" si="4"/>
        <v>-7077065.4463264188</v>
      </c>
      <c r="E21" s="368">
        <f t="shared" si="4"/>
        <v>-28308.261785305676</v>
      </c>
      <c r="F21" s="318"/>
      <c r="G21" s="368">
        <f t="shared" si="5"/>
        <v>-27638.151950846117</v>
      </c>
      <c r="H21" s="368">
        <f t="shared" si="6"/>
        <v>-670.10983445955935</v>
      </c>
      <c r="I21" s="100"/>
    </row>
    <row r="22" spans="2:11" x14ac:dyDescent="0.3">
      <c r="B22" s="328">
        <f t="shared" si="4"/>
        <v>45505</v>
      </c>
      <c r="C22" s="367">
        <f t="shared" si="4"/>
        <v>-1034842.5457718999</v>
      </c>
      <c r="D22" s="367">
        <f t="shared" si="4"/>
        <v>-8111907.9920983184</v>
      </c>
      <c r="E22" s="368">
        <f t="shared" si="4"/>
        <v>-32447.631968393278</v>
      </c>
      <c r="F22" s="318"/>
      <c r="G22" s="368">
        <f t="shared" si="5"/>
        <v>-31004.009730980644</v>
      </c>
      <c r="H22" s="368">
        <f>E22-G22</f>
        <v>-1443.6222374126337</v>
      </c>
      <c r="I22" s="100"/>
    </row>
    <row r="23" spans="2:11" x14ac:dyDescent="0.3">
      <c r="B23" s="332" t="str">
        <f>B85</f>
        <v>Total</v>
      </c>
      <c r="C23" s="331"/>
      <c r="D23" s="369"/>
      <c r="E23" s="331">
        <f>E85</f>
        <v>-174999.28016312711</v>
      </c>
      <c r="F23" s="318"/>
      <c r="G23" s="331">
        <f t="shared" si="5"/>
        <v>-172865.36350964857</v>
      </c>
      <c r="H23" s="331">
        <f t="shared" si="6"/>
        <v>-2133.9166534785472</v>
      </c>
      <c r="I23" s="47"/>
    </row>
    <row r="24" spans="2:11" ht="5.0999999999999996" customHeight="1" thickBot="1" x14ac:dyDescent="0.35">
      <c r="B24" s="255"/>
      <c r="C24" s="270"/>
      <c r="D24" s="255"/>
      <c r="E24" s="361"/>
      <c r="F24" s="255"/>
      <c r="G24" s="361"/>
      <c r="H24" s="270"/>
      <c r="I24" s="22"/>
    </row>
    <row r="25" spans="2:11" ht="15" thickBot="1" x14ac:dyDescent="0.35">
      <c r="B25" s="255"/>
      <c r="C25" s="255"/>
      <c r="D25" s="362" t="s">
        <v>165</v>
      </c>
      <c r="E25" s="363">
        <f>E23</f>
        <v>-174999.28016312711</v>
      </c>
      <c r="F25" s="364"/>
      <c r="G25" s="365">
        <f>G23</f>
        <v>-172865.36350964857</v>
      </c>
      <c r="H25" s="344">
        <f>E25-G25</f>
        <v>-2133.9166534785472</v>
      </c>
      <c r="I25" s="155" t="s">
        <v>220</v>
      </c>
    </row>
    <row r="26" spans="2:11" x14ac:dyDescent="0.3">
      <c r="B26" s="347"/>
      <c r="C26" s="255"/>
      <c r="D26" s="255"/>
      <c r="E26" s="361"/>
      <c r="F26" s="255"/>
      <c r="G26" s="347"/>
      <c r="H26" s="255"/>
      <c r="I26" s="370" t="s">
        <v>295</v>
      </c>
      <c r="K26" s="22"/>
    </row>
    <row r="27" spans="2:11" x14ac:dyDescent="0.3">
      <c r="B27" s="354" t="s">
        <v>222</v>
      </c>
      <c r="C27" s="308"/>
      <c r="D27" s="308"/>
      <c r="E27" s="308"/>
      <c r="F27" s="308"/>
      <c r="G27" s="371"/>
      <c r="H27" s="308"/>
      <c r="I27" s="314"/>
    </row>
    <row r="28" spans="2:11" x14ac:dyDescent="0.3">
      <c r="B28" s="356" t="s">
        <v>296</v>
      </c>
      <c r="C28" s="308"/>
      <c r="D28" s="308"/>
      <c r="E28" s="308"/>
      <c r="F28" s="308"/>
      <c r="G28" s="308"/>
      <c r="H28" s="308"/>
      <c r="I28" s="314"/>
    </row>
    <row r="29" spans="2:11" x14ac:dyDescent="0.3">
      <c r="B29" s="356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  <c r="C29" s="308"/>
      <c r="D29" s="308"/>
      <c r="E29" s="308"/>
      <c r="F29" s="308"/>
      <c r="G29" s="308"/>
      <c r="H29" s="308"/>
      <c r="I29" s="314"/>
    </row>
    <row r="30" spans="2:11" x14ac:dyDescent="0.3">
      <c r="B30" s="356" t="s">
        <v>297</v>
      </c>
      <c r="C30" s="308"/>
      <c r="D30" s="308"/>
      <c r="E30" s="308"/>
      <c r="F30" s="308"/>
      <c r="G30" s="308"/>
      <c r="H30" s="308"/>
      <c r="I30" s="314"/>
    </row>
    <row r="31" spans="2:11" x14ac:dyDescent="0.3">
      <c r="B31" s="300"/>
      <c r="C31" s="255"/>
      <c r="D31" s="255"/>
      <c r="E31" s="255"/>
      <c r="F31" s="255"/>
      <c r="G31" s="255"/>
      <c r="H31" s="255"/>
    </row>
    <row r="32" spans="2:11" x14ac:dyDescent="0.3">
      <c r="B32" s="316" t="str">
        <f>B93</f>
        <v xml:space="preserve">Philadelphia Water Department </v>
      </c>
      <c r="C32" s="316"/>
      <c r="D32" s="316"/>
      <c r="E32" s="316"/>
      <c r="F32" s="316"/>
      <c r="G32" s="316"/>
      <c r="H32" s="316"/>
      <c r="I32" s="5"/>
    </row>
    <row r="33" spans="2:9" ht="15" thickBot="1" x14ac:dyDescent="0.35">
      <c r="B33" s="316" t="str">
        <f>B94</f>
        <v>Interest on Experienced &amp; Estimated Net Over/(Under) Collection (I-Factor) for Most Recent Period</v>
      </c>
      <c r="C33" s="316"/>
      <c r="D33" s="316"/>
      <c r="E33" s="316"/>
      <c r="F33" s="316"/>
      <c r="G33" s="316"/>
      <c r="H33" s="316"/>
      <c r="I33" s="5"/>
    </row>
    <row r="34" spans="2:9" ht="15" thickBot="1" x14ac:dyDescent="0.35">
      <c r="B34" s="255"/>
      <c r="C34" s="342" t="str">
        <f>C95</f>
        <v>Prior Reconciliation Period with Updated Actuals</v>
      </c>
      <c r="D34" s="359"/>
      <c r="E34" s="360"/>
      <c r="F34" s="255"/>
      <c r="G34" s="343" t="s">
        <v>234</v>
      </c>
      <c r="H34" s="366" t="s">
        <v>235</v>
      </c>
      <c r="I34" s="97"/>
    </row>
    <row r="35" spans="2:9" x14ac:dyDescent="0.3">
      <c r="B35" s="323" t="str">
        <f>B96</f>
        <v>Billing</v>
      </c>
      <c r="C35" s="323" t="str">
        <f t="shared" ref="C35:E35" si="7">C96</f>
        <v>Difference in</v>
      </c>
      <c r="D35" s="323" t="str">
        <f t="shared" si="7"/>
        <v xml:space="preserve">Cumulative </v>
      </c>
      <c r="E35" s="323" t="str">
        <f t="shared" si="7"/>
        <v xml:space="preserve">Estimated Monthly </v>
      </c>
      <c r="F35" s="348"/>
      <c r="G35" s="323" t="str">
        <f>I96</f>
        <v xml:space="preserve">Estimated Monthly </v>
      </c>
      <c r="H35" s="323" t="str">
        <f>K96</f>
        <v xml:space="preserve">Delta </v>
      </c>
      <c r="I35" s="98"/>
    </row>
    <row r="36" spans="2:9" x14ac:dyDescent="0.3">
      <c r="B36" s="322" t="str">
        <f t="shared" ref="B36:E36" si="8">B97</f>
        <v>Period</v>
      </c>
      <c r="C36" s="322" t="str">
        <f t="shared" si="8"/>
        <v>Collection</v>
      </c>
      <c r="D36" s="322" t="str">
        <f t="shared" si="8"/>
        <v>Over/(Under) Collection</v>
      </c>
      <c r="E36" s="322" t="str">
        <f t="shared" si="8"/>
        <v>Interest Owed/</v>
      </c>
      <c r="F36" s="348"/>
      <c r="G36" s="322" t="str">
        <f>I97</f>
        <v>Interest Owed/</v>
      </c>
      <c r="H36" s="322" t="str">
        <f>K97</f>
        <v>Prior Period</v>
      </c>
      <c r="I36" s="98"/>
    </row>
    <row r="37" spans="2:9" x14ac:dyDescent="0.3">
      <c r="B37" s="322"/>
      <c r="C37" s="322" t="str">
        <f>C98</f>
        <v>Sewer Portion</v>
      </c>
      <c r="D37" s="322" t="str">
        <f>D98</f>
        <v>Sewer Portion</v>
      </c>
      <c r="E37" s="322" t="str">
        <f>E98</f>
        <v>(Interest to be Recouped)</v>
      </c>
      <c r="F37" s="348"/>
      <c r="G37" s="322" t="str">
        <f>I98</f>
        <v>(Interest to be Recouped)</v>
      </c>
      <c r="H37" s="322" t="str">
        <f>K98</f>
        <v>Estimates</v>
      </c>
      <c r="I37" s="98"/>
    </row>
    <row r="38" spans="2:9" x14ac:dyDescent="0.3">
      <c r="B38" s="322"/>
      <c r="C38" s="322" t="str">
        <f>C99</f>
        <v>From Table 3-WW-A</v>
      </c>
      <c r="D38" s="322"/>
      <c r="E38" s="322" t="str">
        <f>E99</f>
        <v>Sewer Portion</v>
      </c>
      <c r="F38" s="348"/>
      <c r="G38" s="322" t="str">
        <f>I99</f>
        <v>Sewer Portion</v>
      </c>
      <c r="H38" s="322"/>
      <c r="I38" s="98"/>
    </row>
    <row r="39" spans="2:9" x14ac:dyDescent="0.3">
      <c r="B39" s="322"/>
      <c r="C39" s="322" t="str">
        <f>C100</f>
        <v>(1)</v>
      </c>
      <c r="D39" s="322" t="str">
        <f>D100</f>
        <v xml:space="preserve">(2) </v>
      </c>
      <c r="E39" s="322" t="str">
        <f>E100</f>
        <v>(3) = (2) * [4.80% / 12]</v>
      </c>
      <c r="F39" s="348"/>
      <c r="G39" s="322" t="s">
        <v>181</v>
      </c>
      <c r="H39" s="322" t="s">
        <v>294</v>
      </c>
      <c r="I39" s="99"/>
    </row>
    <row r="40" spans="2:9" x14ac:dyDescent="0.3">
      <c r="B40" s="350"/>
      <c r="C40" s="351"/>
      <c r="D40" s="351"/>
      <c r="E40" s="351"/>
      <c r="F40" s="351"/>
      <c r="G40" s="351"/>
      <c r="H40" s="351"/>
    </row>
    <row r="41" spans="2:9" x14ac:dyDescent="0.3">
      <c r="B41" s="328">
        <f t="shared" ref="B41:E41" si="9">B102</f>
        <v>45170</v>
      </c>
      <c r="C41" s="367">
        <f t="shared" si="9"/>
        <v>-577221.37946988002</v>
      </c>
      <c r="D41" s="367">
        <f t="shared" si="9"/>
        <v>-577221.37946988002</v>
      </c>
      <c r="E41" s="368">
        <f t="shared" si="9"/>
        <v>-2308.8855178795202</v>
      </c>
      <c r="F41" s="318"/>
      <c r="G41" s="368">
        <f t="shared" ref="G41:G51" si="10">I102</f>
        <v>-2308.8872249035203</v>
      </c>
      <c r="H41" s="368">
        <f>E41-G41</f>
        <v>1.70702400009759E-3</v>
      </c>
      <c r="I41" s="100"/>
    </row>
    <row r="42" spans="2:9" x14ac:dyDescent="0.3">
      <c r="B42" s="328">
        <f t="shared" ref="B42:E42" si="11">B103</f>
        <v>45200</v>
      </c>
      <c r="C42" s="367">
        <f t="shared" si="11"/>
        <v>-570724.25835323986</v>
      </c>
      <c r="D42" s="367">
        <f t="shared" si="11"/>
        <v>-1147945.6378231198</v>
      </c>
      <c r="E42" s="368">
        <f t="shared" si="11"/>
        <v>-4591.7825512924792</v>
      </c>
      <c r="F42" s="318"/>
      <c r="G42" s="368">
        <f t="shared" si="10"/>
        <v>-4591.7860274140794</v>
      </c>
      <c r="H42" s="368">
        <f t="shared" ref="H42:H53" si="12">E42-G42</f>
        <v>3.4761216002152651E-3</v>
      </c>
      <c r="I42" s="100"/>
    </row>
    <row r="43" spans="2:9" x14ac:dyDescent="0.3">
      <c r="B43" s="328">
        <f t="shared" ref="B43:E43" si="13">B104</f>
        <v>45231</v>
      </c>
      <c r="C43" s="367">
        <f t="shared" si="13"/>
        <v>-611314.28800866008</v>
      </c>
      <c r="D43" s="367">
        <f t="shared" si="13"/>
        <v>-1759259.9258317798</v>
      </c>
      <c r="E43" s="368">
        <f t="shared" si="13"/>
        <v>-7037.0397033271192</v>
      </c>
      <c r="F43" s="318"/>
      <c r="G43" s="368">
        <f t="shared" si="10"/>
        <v>-7037.0446692151199</v>
      </c>
      <c r="H43" s="368">
        <f t="shared" si="12"/>
        <v>4.965888000697305E-3</v>
      </c>
      <c r="I43" s="100"/>
    </row>
    <row r="44" spans="2:9" x14ac:dyDescent="0.3">
      <c r="B44" s="328">
        <f t="shared" ref="B44:E44" si="14">B105</f>
        <v>45261</v>
      </c>
      <c r="C44" s="367">
        <f t="shared" si="14"/>
        <v>-622100.40449723974</v>
      </c>
      <c r="D44" s="367">
        <f t="shared" si="14"/>
        <v>-2381360.3303290196</v>
      </c>
      <c r="E44" s="368">
        <f t="shared" si="14"/>
        <v>-9525.4413213160788</v>
      </c>
      <c r="F44" s="318"/>
      <c r="G44" s="368">
        <f t="shared" si="10"/>
        <v>-9525.4444560328793</v>
      </c>
      <c r="H44" s="368">
        <f t="shared" si="12"/>
        <v>3.1347168005595449E-3</v>
      </c>
      <c r="I44" s="100"/>
    </row>
    <row r="45" spans="2:9" x14ac:dyDescent="0.3">
      <c r="B45" s="328">
        <f t="shared" ref="B45:E45" si="15">B106</f>
        <v>45292</v>
      </c>
      <c r="C45" s="367">
        <f t="shared" si="15"/>
        <v>-650008.52590667992</v>
      </c>
      <c r="D45" s="367">
        <f t="shared" si="15"/>
        <v>-3031368.8562356997</v>
      </c>
      <c r="E45" s="368">
        <f t="shared" si="15"/>
        <v>-12125.475424942799</v>
      </c>
      <c r="F45" s="318"/>
      <c r="G45" s="368">
        <f t="shared" si="10"/>
        <v>-12125.4778458132</v>
      </c>
      <c r="H45" s="368">
        <f t="shared" si="12"/>
        <v>2.4208704016928095E-3</v>
      </c>
      <c r="I45" s="100"/>
    </row>
    <row r="46" spans="2:9" x14ac:dyDescent="0.3">
      <c r="B46" s="328">
        <f t="shared" ref="B46:E46" si="16">B107</f>
        <v>45323</v>
      </c>
      <c r="C46" s="367">
        <f t="shared" si="16"/>
        <v>-755715.30953453982</v>
      </c>
      <c r="D46" s="367">
        <f t="shared" si="16"/>
        <v>-3787084.1657702397</v>
      </c>
      <c r="E46" s="368">
        <f t="shared" si="16"/>
        <v>-15148.33666308096</v>
      </c>
      <c r="F46" s="318"/>
      <c r="G46" s="368">
        <f t="shared" si="10"/>
        <v>-15148.338897730559</v>
      </c>
      <c r="H46" s="368">
        <f t="shared" si="12"/>
        <v>2.2346495989040704E-3</v>
      </c>
      <c r="I46" s="100"/>
    </row>
    <row r="47" spans="2:9" x14ac:dyDescent="0.3">
      <c r="B47" s="328">
        <f t="shared" ref="B47:E47" si="17">B108</f>
        <v>45352</v>
      </c>
      <c r="C47" s="367">
        <f t="shared" si="17"/>
        <v>-1039932.76661076</v>
      </c>
      <c r="D47" s="367">
        <f t="shared" si="17"/>
        <v>-4827016.9323809994</v>
      </c>
      <c r="E47" s="368">
        <f t="shared" si="17"/>
        <v>-19308.067729523998</v>
      </c>
      <c r="F47" s="318"/>
      <c r="G47" s="368">
        <f t="shared" si="10"/>
        <v>-19308.068039891998</v>
      </c>
      <c r="H47" s="368">
        <f t="shared" si="12"/>
        <v>3.1036799919093028E-4</v>
      </c>
      <c r="I47" s="100"/>
    </row>
    <row r="48" spans="2:9" x14ac:dyDescent="0.3">
      <c r="B48" s="328">
        <f t="shared" ref="B48:E48" si="18">B109</f>
        <v>45383</v>
      </c>
      <c r="C48" s="367">
        <f t="shared" si="18"/>
        <v>-1083275.0603523599</v>
      </c>
      <c r="D48" s="367">
        <f t="shared" si="18"/>
        <v>-5910291.9927333593</v>
      </c>
      <c r="E48" s="368">
        <f t="shared" si="18"/>
        <v>-23641.167970933438</v>
      </c>
      <c r="F48" s="318"/>
      <c r="G48" s="368">
        <f t="shared" si="10"/>
        <v>-23916.196182115873</v>
      </c>
      <c r="H48" s="368">
        <f t="shared" si="12"/>
        <v>275.02821118243446</v>
      </c>
      <c r="I48" s="100"/>
    </row>
    <row r="49" spans="1:11" x14ac:dyDescent="0.3">
      <c r="B49" s="328">
        <f t="shared" ref="B49:E49" si="19">B110</f>
        <v>45413</v>
      </c>
      <c r="C49" s="367">
        <f t="shared" si="19"/>
        <v>-1227985.0603994997</v>
      </c>
      <c r="D49" s="367">
        <f t="shared" si="19"/>
        <v>-7138277.0531328591</v>
      </c>
      <c r="E49" s="368">
        <f t="shared" si="19"/>
        <v>-28553.108212531439</v>
      </c>
      <c r="F49" s="318"/>
      <c r="G49" s="368">
        <f t="shared" si="10"/>
        <v>-28524.324324339745</v>
      </c>
      <c r="H49" s="368">
        <f t="shared" si="12"/>
        <v>-28.783888191694132</v>
      </c>
      <c r="I49" s="100"/>
    </row>
    <row r="50" spans="1:11" x14ac:dyDescent="0.3">
      <c r="B50" s="328">
        <f t="shared" ref="B50:E52" si="20">B111</f>
        <v>45444</v>
      </c>
      <c r="C50" s="367">
        <f t="shared" si="20"/>
        <v>-1219189.44329964</v>
      </c>
      <c r="D50" s="367">
        <f t="shared" si="20"/>
        <v>-8357466.496432499</v>
      </c>
      <c r="E50" s="368">
        <f t="shared" si="20"/>
        <v>-33429.865985730001</v>
      </c>
      <c r="F50" s="318"/>
      <c r="G50" s="368">
        <f t="shared" si="10"/>
        <v>-33132.45246656362</v>
      </c>
      <c r="H50" s="368">
        <f t="shared" si="12"/>
        <v>-297.41351916638087</v>
      </c>
      <c r="I50" s="100"/>
    </row>
    <row r="51" spans="1:11" x14ac:dyDescent="0.3">
      <c r="B51" s="328">
        <f t="shared" ref="B51:E51" si="21">B112</f>
        <v>45474</v>
      </c>
      <c r="C51" s="367">
        <f t="shared" si="21"/>
        <v>-1312041.8213845801</v>
      </c>
      <c r="D51" s="367">
        <f t="shared" si="21"/>
        <v>-9669508.3178170789</v>
      </c>
      <c r="E51" s="368">
        <f t="shared" si="21"/>
        <v>-38678.033271268316</v>
      </c>
      <c r="F51" s="318"/>
      <c r="G51" s="368">
        <f t="shared" si="10"/>
        <v>-37740.580608787488</v>
      </c>
      <c r="H51" s="368">
        <f t="shared" si="12"/>
        <v>-937.45266248082771</v>
      </c>
      <c r="I51" s="100"/>
    </row>
    <row r="52" spans="1:11" x14ac:dyDescent="0.3">
      <c r="B52" s="328">
        <f t="shared" si="20"/>
        <v>45505</v>
      </c>
      <c r="C52" s="367">
        <f t="shared" si="20"/>
        <v>-1419359.3726447998</v>
      </c>
      <c r="D52" s="367">
        <f t="shared" si="20"/>
        <v>-11088867.690461878</v>
      </c>
      <c r="E52" s="368">
        <f t="shared" si="20"/>
        <v>-44355.470761847508</v>
      </c>
      <c r="F52" s="318"/>
      <c r="G52" s="368">
        <f t="shared" ref="G52" si="22">I113</f>
        <v>-42348.708751011363</v>
      </c>
      <c r="H52" s="368">
        <f>E52-G52</f>
        <v>-2006.7620108361443</v>
      </c>
      <c r="I52" s="100"/>
    </row>
    <row r="53" spans="1:11" x14ac:dyDescent="0.3">
      <c r="B53" s="332" t="str">
        <f t="shared" ref="B53" si="23">B114</f>
        <v>Total</v>
      </c>
      <c r="C53" s="331"/>
      <c r="D53" s="369"/>
      <c r="E53" s="331">
        <f>E114</f>
        <v>-238702.67511367367</v>
      </c>
      <c r="F53" s="318"/>
      <c r="G53" s="331">
        <f>I114</f>
        <v>-235707.30949381943</v>
      </c>
      <c r="H53" s="331">
        <f t="shared" si="12"/>
        <v>-2995.3656198542449</v>
      </c>
      <c r="I53" s="47"/>
    </row>
    <row r="54" spans="1:11" ht="5.0999999999999996" customHeight="1" thickBot="1" x14ac:dyDescent="0.35">
      <c r="B54" s="255"/>
      <c r="C54" s="270"/>
      <c r="D54" s="255"/>
      <c r="E54" s="361"/>
      <c r="F54" s="255"/>
      <c r="G54" s="361"/>
      <c r="H54" s="270"/>
      <c r="I54" s="22"/>
    </row>
    <row r="55" spans="1:11" ht="15" thickBot="1" x14ac:dyDescent="0.35">
      <c r="B55" s="255"/>
      <c r="C55" s="255"/>
      <c r="D55" s="362" t="s">
        <v>165</v>
      </c>
      <c r="E55" s="363">
        <f>E53</f>
        <v>-238702.67511367367</v>
      </c>
      <c r="F55" s="364"/>
      <c r="G55" s="365">
        <f>G53</f>
        <v>-235707.30949381943</v>
      </c>
      <c r="H55" s="344">
        <f>E55-G55</f>
        <v>-2995.3656198542449</v>
      </c>
      <c r="I55" s="155" t="s">
        <v>220</v>
      </c>
    </row>
    <row r="56" spans="1:11" x14ac:dyDescent="0.3">
      <c r="B56" s="9"/>
      <c r="E56" s="8"/>
      <c r="G56" s="9"/>
      <c r="I56" s="370" t="s">
        <v>298</v>
      </c>
    </row>
    <row r="57" spans="1:11" x14ac:dyDescent="0.3">
      <c r="B57" s="9" t="s">
        <v>222</v>
      </c>
      <c r="G57" s="53"/>
    </row>
    <row r="58" spans="1:11" x14ac:dyDescent="0.3">
      <c r="B58" s="241" t="s">
        <v>299</v>
      </c>
    </row>
    <row r="59" spans="1:11" x14ac:dyDescent="0.3">
      <c r="B59" s="241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60" spans="1:11" x14ac:dyDescent="0.3">
      <c r="B60" s="241" t="s">
        <v>300</v>
      </c>
    </row>
    <row r="61" spans="1:11" x14ac:dyDescent="0.3"/>
    <row r="62" spans="1:11" x14ac:dyDescent="0.3">
      <c r="A62" s="68" t="s">
        <v>245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1:11" x14ac:dyDescent="0.3"/>
    <row r="64" spans="1:11" x14ac:dyDescent="0.3">
      <c r="B64" s="20" t="s">
        <v>31</v>
      </c>
      <c r="C64" s="20"/>
      <c r="D64" s="20"/>
      <c r="E64" s="20"/>
      <c r="F64" s="20"/>
      <c r="G64" s="20"/>
      <c r="H64" s="20"/>
      <c r="I64" s="20"/>
      <c r="J64" s="20"/>
      <c r="K64" s="20"/>
    </row>
    <row r="65" spans="2:11" ht="15" thickBot="1" x14ac:dyDescent="0.35">
      <c r="B65" s="20" t="s">
        <v>329</v>
      </c>
      <c r="C65" s="20"/>
      <c r="D65" s="20"/>
      <c r="E65" s="20"/>
      <c r="F65" s="20"/>
      <c r="G65" s="20"/>
      <c r="H65" s="20"/>
      <c r="I65" s="20"/>
      <c r="J65" s="20"/>
      <c r="K65" s="20"/>
    </row>
    <row r="66" spans="2:11" ht="15" thickBot="1" x14ac:dyDescent="0.35">
      <c r="C66" s="59" t="s">
        <v>246</v>
      </c>
      <c r="D66" s="95"/>
      <c r="E66" s="96"/>
      <c r="G66" s="71" t="s">
        <v>247</v>
      </c>
      <c r="H66" s="101"/>
      <c r="I66" s="102"/>
      <c r="K66" s="62" t="s">
        <v>235</v>
      </c>
    </row>
    <row r="67" spans="2:11" x14ac:dyDescent="0.3">
      <c r="B67" s="24" t="s">
        <v>197</v>
      </c>
      <c r="C67" s="25" t="s">
        <v>269</v>
      </c>
      <c r="D67" s="25" t="s">
        <v>272</v>
      </c>
      <c r="E67" s="25" t="s">
        <v>273</v>
      </c>
      <c r="G67" s="25" t="s">
        <v>269</v>
      </c>
      <c r="H67" s="25" t="s">
        <v>272</v>
      </c>
      <c r="I67" s="25" t="s">
        <v>273</v>
      </c>
      <c r="K67" s="25" t="s">
        <v>248</v>
      </c>
    </row>
    <row r="68" spans="2:11" x14ac:dyDescent="0.3">
      <c r="B68" s="25" t="s">
        <v>196</v>
      </c>
      <c r="C68" s="25" t="s">
        <v>211</v>
      </c>
      <c r="D68" s="25" t="s">
        <v>275</v>
      </c>
      <c r="E68" s="25" t="s">
        <v>276</v>
      </c>
      <c r="G68" s="25" t="s">
        <v>211</v>
      </c>
      <c r="H68" s="25" t="s">
        <v>275</v>
      </c>
      <c r="I68" s="25" t="s">
        <v>276</v>
      </c>
      <c r="K68" s="25" t="s">
        <v>249</v>
      </c>
    </row>
    <row r="69" spans="2:11" x14ac:dyDescent="0.3">
      <c r="B69" s="25"/>
      <c r="C69" s="25" t="s">
        <v>277</v>
      </c>
      <c r="D69" s="25" t="s">
        <v>277</v>
      </c>
      <c r="E69" s="25" t="s">
        <v>279</v>
      </c>
      <c r="G69" s="25" t="s">
        <v>277</v>
      </c>
      <c r="H69" s="25" t="s">
        <v>277</v>
      </c>
      <c r="I69" s="25" t="s">
        <v>279</v>
      </c>
      <c r="K69" s="25" t="s">
        <v>301</v>
      </c>
    </row>
    <row r="70" spans="2:11" x14ac:dyDescent="0.3">
      <c r="B70" s="25"/>
      <c r="C70" s="25" t="s">
        <v>221</v>
      </c>
      <c r="D70" s="26"/>
      <c r="E70" s="25" t="s">
        <v>277</v>
      </c>
      <c r="G70" s="25" t="s">
        <v>280</v>
      </c>
      <c r="H70" s="26"/>
      <c r="I70" s="25" t="s">
        <v>277</v>
      </c>
      <c r="K70" s="25"/>
    </row>
    <row r="71" spans="2:11" x14ac:dyDescent="0.3">
      <c r="B71" s="30"/>
      <c r="C71" s="31" t="s">
        <v>178</v>
      </c>
      <c r="D71" s="31" t="s">
        <v>302</v>
      </c>
      <c r="E71" s="31" t="str">
        <f>"(3) = (2) * ["&amp;FIXED('Assumptions and Inputs'!$C$52*100,2,TRUE)&amp;"% / 12]"</f>
        <v>(3) = (2) * [4.80% / 12]</v>
      </c>
      <c r="G71" s="31" t="s">
        <v>178</v>
      </c>
      <c r="H71" s="31" t="s">
        <v>302</v>
      </c>
      <c r="I71" s="31" t="s">
        <v>303</v>
      </c>
      <c r="K71" s="31" t="s">
        <v>304</v>
      </c>
    </row>
    <row r="72" spans="2:11" x14ac:dyDescent="0.3">
      <c r="B72" s="33"/>
      <c r="C72" s="34"/>
      <c r="D72" s="34"/>
      <c r="E72" s="34"/>
      <c r="G72" s="34"/>
      <c r="H72" s="34"/>
      <c r="I72" s="34"/>
      <c r="K72" s="34"/>
    </row>
    <row r="73" spans="2:11" x14ac:dyDescent="0.3">
      <c r="B73" s="38">
        <f>'E-Factor PRIOR LKM-4'!B83</f>
        <v>45170</v>
      </c>
      <c r="C73" s="87">
        <f>'E-Factor PRIOR LKM-4'!J83</f>
        <v>-425244.11871612002</v>
      </c>
      <c r="D73" s="87">
        <f>C73</f>
        <v>-425244.11871612002</v>
      </c>
      <c r="E73" s="88">
        <f>D73*('Assumptions and Inputs'!$C$52)/12</f>
        <v>-1700.9764748644802</v>
      </c>
      <c r="G73" s="87">
        <v>-425243.69196011999</v>
      </c>
      <c r="H73" s="87">
        <v>-425243.69196011999</v>
      </c>
      <c r="I73" s="88">
        <v>-1700.9747678404801</v>
      </c>
      <c r="K73" s="88">
        <f t="shared" ref="K73:K85" si="24">E73-I73</f>
        <v>-1.70702400009759E-3</v>
      </c>
    </row>
    <row r="74" spans="2:11" x14ac:dyDescent="0.3">
      <c r="B74" s="42">
        <f>'E-Factor PRIOR LKM-4'!B84</f>
        <v>45200</v>
      </c>
      <c r="C74" s="90">
        <f>'E-Factor PRIOR LKM-4'!J84</f>
        <v>-420330.87940986</v>
      </c>
      <c r="D74" s="90">
        <f>D73+C74</f>
        <v>-845574.99812598003</v>
      </c>
      <c r="E74" s="91">
        <f>D74*('Assumptions and Inputs'!$C$52)/12</f>
        <v>-3382.2999925039203</v>
      </c>
      <c r="G74" s="90">
        <v>-420331.16553035995</v>
      </c>
      <c r="H74" s="90">
        <v>-845574.85749047995</v>
      </c>
      <c r="I74" s="91">
        <v>-3382.2994299619199</v>
      </c>
      <c r="K74" s="91">
        <f t="shared" si="24"/>
        <v>-5.6254200035255053E-4</v>
      </c>
    </row>
    <row r="75" spans="2:11" x14ac:dyDescent="0.3">
      <c r="B75" s="38">
        <f>'E-Factor PRIOR LKM-4'!B85</f>
        <v>45231</v>
      </c>
      <c r="C75" s="87">
        <f>'E-Factor PRIOR LKM-4'!J85</f>
        <v>-449700.30608573998</v>
      </c>
      <c r="D75" s="87">
        <f t="shared" ref="D75:D83" si="25">D74+C75</f>
        <v>-1295275.3042117199</v>
      </c>
      <c r="E75" s="88">
        <f>D75*('Assumptions and Inputs'!$C$52)/12</f>
        <v>-5181.1012168468797</v>
      </c>
      <c r="G75" s="87">
        <v>-449700.68434674002</v>
      </c>
      <c r="H75" s="87">
        <v>-1295275.5418372201</v>
      </c>
      <c r="I75" s="88">
        <v>-5181.1021673488804</v>
      </c>
      <c r="K75" s="88">
        <f t="shared" si="24"/>
        <v>9.5050200070545543E-4</v>
      </c>
    </row>
    <row r="76" spans="2:11" x14ac:dyDescent="0.3">
      <c r="B76" s="42">
        <f>'E-Factor PRIOR LKM-4'!B86</f>
        <v>45261</v>
      </c>
      <c r="C76" s="90">
        <f>'E-Factor PRIOR LKM-4'!J86</f>
        <v>-457779.23051705991</v>
      </c>
      <c r="D76" s="90">
        <f t="shared" si="25"/>
        <v>-1753054.5347287799</v>
      </c>
      <c r="E76" s="91">
        <f>D76*('Assumptions and Inputs'!$C$52)/12</f>
        <v>-7012.2181389151201</v>
      </c>
      <c r="G76" s="90">
        <v>-457778.77951355989</v>
      </c>
      <c r="H76" s="90">
        <v>-1753054.3213507799</v>
      </c>
      <c r="I76" s="91">
        <v>-7012.2172854031196</v>
      </c>
      <c r="K76" s="91">
        <f t="shared" si="24"/>
        <v>-8.5351200050354237E-4</v>
      </c>
    </row>
    <row r="77" spans="2:11" x14ac:dyDescent="0.3">
      <c r="B77" s="38">
        <f>'E-Factor PRIOR LKM-4'!B87</f>
        <v>45292</v>
      </c>
      <c r="C77" s="87">
        <f>'E-Factor PRIOR LKM-4'!J87</f>
        <v>-476181.61497641995</v>
      </c>
      <c r="D77" s="87">
        <f t="shared" si="25"/>
        <v>-2229236.1497052</v>
      </c>
      <c r="E77" s="88">
        <f>D77*('Assumptions and Inputs'!$C$52)/12</f>
        <v>-8916.9445988208008</v>
      </c>
      <c r="G77" s="87">
        <v>-476182.05628091993</v>
      </c>
      <c r="H77" s="87">
        <v>-2229236.3776316997</v>
      </c>
      <c r="I77" s="88">
        <v>-8916.9455105267989</v>
      </c>
      <c r="K77" s="88">
        <f t="shared" si="24"/>
        <v>9.1170599807810504E-4</v>
      </c>
    </row>
    <row r="78" spans="2:11" x14ac:dyDescent="0.3">
      <c r="B78" s="42">
        <f>'E-Factor PRIOR LKM-4'!B88</f>
        <v>45323</v>
      </c>
      <c r="C78" s="90">
        <f>'E-Factor PRIOR LKM-4'!J88</f>
        <v>-554671.33754015993</v>
      </c>
      <c r="D78" s="90">
        <f t="shared" si="25"/>
        <v>-2783907.4872453599</v>
      </c>
      <c r="E78" s="91">
        <f>D78*('Assumptions and Inputs'!$C$52)/12</f>
        <v>-11135.629948981441</v>
      </c>
      <c r="G78" s="90">
        <v>-554671.78854365996</v>
      </c>
      <c r="H78" s="90">
        <v>-2783908.1661753599</v>
      </c>
      <c r="I78" s="91">
        <v>-11135.632664701441</v>
      </c>
      <c r="K78" s="91">
        <f t="shared" si="24"/>
        <v>2.7157200001965975E-3</v>
      </c>
    </row>
    <row r="79" spans="2:11" x14ac:dyDescent="0.3">
      <c r="B79" s="38">
        <f>'E-Factor PRIOR LKM-4'!B89</f>
        <v>45352</v>
      </c>
      <c r="C79" s="87">
        <f>'E-Factor PRIOR LKM-4'!J89</f>
        <v>-759772.11414413992</v>
      </c>
      <c r="D79" s="87">
        <f t="shared" si="25"/>
        <v>-3543679.6013894998</v>
      </c>
      <c r="E79" s="88">
        <f>D79*('Assumptions and Inputs'!$C$52)/12</f>
        <v>-14174.718405558</v>
      </c>
      <c r="G79" s="87">
        <v>-759772.04140163993</v>
      </c>
      <c r="H79" s="87">
        <v>-3543680.2075769999</v>
      </c>
      <c r="I79" s="88">
        <v>-14174.720830307999</v>
      </c>
      <c r="K79" s="88">
        <f t="shared" si="24"/>
        <v>2.4247499986813636E-3</v>
      </c>
    </row>
    <row r="80" spans="2:11" x14ac:dyDescent="0.3">
      <c r="B80" s="42">
        <f>'E-Factor PRIOR LKM-4'!B90</f>
        <v>45383</v>
      </c>
      <c r="C80" s="90">
        <f>'E-Factor PRIOR LKM-4'!J90</f>
        <v>-790873.69279523985</v>
      </c>
      <c r="D80" s="90">
        <f t="shared" si="25"/>
        <v>-4334553.2941847397</v>
      </c>
      <c r="E80" s="91">
        <f>D80*('Assumptions and Inputs'!$C$52)/12</f>
        <v>-17338.213176738958</v>
      </c>
      <c r="G80" s="90">
        <v>-841464.4450336321</v>
      </c>
      <c r="H80" s="90">
        <v>-4385144.6526106317</v>
      </c>
      <c r="I80" s="91">
        <v>-17540.578610442528</v>
      </c>
      <c r="K80" s="91">
        <f t="shared" si="24"/>
        <v>202.36543370356958</v>
      </c>
    </row>
    <row r="81" spans="2:11" x14ac:dyDescent="0.3">
      <c r="B81" s="38">
        <f>'E-Factor PRIOR LKM-4'!B91</f>
        <v>45413</v>
      </c>
      <c r="C81" s="87">
        <f>'E-Factor PRIOR LKM-4'!J91</f>
        <v>-895924.72412339982</v>
      </c>
      <c r="D81" s="87">
        <f t="shared" si="25"/>
        <v>-5230478.0183081394</v>
      </c>
      <c r="E81" s="88">
        <f>D81*('Assumptions and Inputs'!$C$52)/12</f>
        <v>-20921.912073232557</v>
      </c>
      <c r="G81" s="87">
        <v>-841464.4450336321</v>
      </c>
      <c r="H81" s="87">
        <v>-5226609.0976442639</v>
      </c>
      <c r="I81" s="88">
        <v>-20906.436390577055</v>
      </c>
      <c r="K81" s="88">
        <f t="shared" si="24"/>
        <v>-15.475682655502169</v>
      </c>
    </row>
    <row r="82" spans="2:11" x14ac:dyDescent="0.3">
      <c r="B82" s="42">
        <f>'E-Factor PRIOR LKM-4'!B92</f>
        <v>45444</v>
      </c>
      <c r="C82" s="90">
        <f>'E-Factor PRIOR LKM-4'!J92</f>
        <v>-889365.07743336004</v>
      </c>
      <c r="D82" s="90">
        <f t="shared" si="25"/>
        <v>-6119843.0957414992</v>
      </c>
      <c r="E82" s="91">
        <f>D82*('Assumptions and Inputs'!$C$52)/12</f>
        <v>-24479.372382965998</v>
      </c>
      <c r="G82" s="90">
        <v>-841464.4450336321</v>
      </c>
      <c r="H82" s="90">
        <v>-6068073.5426778961</v>
      </c>
      <c r="I82" s="91">
        <v>-24272.294170711586</v>
      </c>
      <c r="K82" s="91">
        <f t="shared" si="24"/>
        <v>-207.07821225441148</v>
      </c>
    </row>
    <row r="83" spans="2:11" x14ac:dyDescent="0.3">
      <c r="B83" s="38">
        <f>'E-Factor PRIOR LKM-4'!B93</f>
        <v>45474</v>
      </c>
      <c r="C83" s="87">
        <f>'E-Factor PRIOR LKM-4'!J93</f>
        <v>-957222.35058491991</v>
      </c>
      <c r="D83" s="87">
        <f t="shared" si="25"/>
        <v>-7077065.4463264188</v>
      </c>
      <c r="E83" s="88">
        <f>D83*('Assumptions and Inputs'!$C$52)/12</f>
        <v>-28308.261785305676</v>
      </c>
      <c r="G83" s="87">
        <v>-841464.4450336321</v>
      </c>
      <c r="H83" s="87">
        <v>-6909537.9877115283</v>
      </c>
      <c r="I83" s="88">
        <v>-27638.151950846117</v>
      </c>
      <c r="K83" s="88">
        <f t="shared" si="24"/>
        <v>-670.10983445955935</v>
      </c>
    </row>
    <row r="84" spans="2:11" x14ac:dyDescent="0.3">
      <c r="B84" s="42">
        <f>'E-Factor PRIOR LKM-4'!B94</f>
        <v>45505</v>
      </c>
      <c r="C84" s="90">
        <f>'E-Factor PRIOR LKM-4'!J94</f>
        <v>-1034842.5457718999</v>
      </c>
      <c r="D84" s="90">
        <f t="shared" ref="D84" si="26">D83+C84</f>
        <v>-8111907.9920983184</v>
      </c>
      <c r="E84" s="91">
        <f>D84*('Assumptions and Inputs'!$C$52)/12</f>
        <v>-32447.631968393278</v>
      </c>
      <c r="G84" s="90">
        <v>-841464.4450336321</v>
      </c>
      <c r="H84" s="90">
        <v>-7751002.4327451605</v>
      </c>
      <c r="I84" s="91">
        <v>-31004.009730980644</v>
      </c>
      <c r="K84" s="91">
        <f t="shared" si="24"/>
        <v>-1443.6222374126337</v>
      </c>
    </row>
    <row r="85" spans="2:11" x14ac:dyDescent="0.3">
      <c r="B85" s="46" t="s">
        <v>165</v>
      </c>
      <c r="C85" s="65"/>
      <c r="D85" s="92"/>
      <c r="E85" s="65">
        <f>SUM(E73:E84)</f>
        <v>-174999.28016312711</v>
      </c>
      <c r="G85" s="65"/>
      <c r="H85" s="92"/>
      <c r="I85" s="65">
        <v>-172865.36350964857</v>
      </c>
      <c r="K85" s="103">
        <f t="shared" si="24"/>
        <v>-2133.9166534785472</v>
      </c>
    </row>
    <row r="86" spans="2:11" x14ac:dyDescent="0.3">
      <c r="C86" s="22"/>
      <c r="E86" s="8"/>
      <c r="G86" s="22"/>
      <c r="I86" s="8"/>
      <c r="K86" s="22"/>
    </row>
    <row r="87" spans="2:11" x14ac:dyDescent="0.3">
      <c r="D87" s="51" t="s">
        <v>282</v>
      </c>
      <c r="E87" s="52">
        <f>E85</f>
        <v>-174999.28016312711</v>
      </c>
      <c r="F87" s="50"/>
      <c r="H87" s="51" t="s">
        <v>282</v>
      </c>
      <c r="I87" s="52">
        <f>I85</f>
        <v>-172865.36350964857</v>
      </c>
      <c r="K87" s="66">
        <f>E87-I87</f>
        <v>-2133.9166534785472</v>
      </c>
    </row>
    <row r="88" spans="2:11" x14ac:dyDescent="0.3">
      <c r="B88" s="9" t="s">
        <v>222</v>
      </c>
      <c r="E88" s="8"/>
      <c r="G88" s="9"/>
      <c r="I88" s="8"/>
      <c r="K88" s="22"/>
    </row>
    <row r="89" spans="2:11" x14ac:dyDescent="0.3">
      <c r="B89" s="53" t="s">
        <v>296</v>
      </c>
      <c r="G89" s="53"/>
    </row>
    <row r="90" spans="2:11" x14ac:dyDescent="0.3">
      <c r="B90" s="53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91" spans="2:11" x14ac:dyDescent="0.3">
      <c r="B91" s="53" t="s">
        <v>297</v>
      </c>
    </row>
    <row r="92" spans="2:11" x14ac:dyDescent="0.3">
      <c r="B92" s="53"/>
    </row>
    <row r="93" spans="2:11" x14ac:dyDescent="0.3">
      <c r="B93" s="20" t="s">
        <v>31</v>
      </c>
      <c r="C93" s="20"/>
      <c r="D93" s="20"/>
      <c r="E93" s="20"/>
      <c r="F93" s="20"/>
      <c r="G93" s="20"/>
      <c r="H93" s="20"/>
      <c r="I93" s="20"/>
      <c r="J93" s="20"/>
      <c r="K93" s="20"/>
    </row>
    <row r="94" spans="2:11" ht="15" thickBot="1" x14ac:dyDescent="0.35">
      <c r="B94" s="20" t="s">
        <v>330</v>
      </c>
      <c r="C94" s="20"/>
      <c r="D94" s="20"/>
      <c r="E94" s="20"/>
      <c r="F94" s="20"/>
      <c r="G94" s="20"/>
      <c r="H94" s="20"/>
      <c r="I94" s="20"/>
      <c r="J94" s="20"/>
      <c r="K94" s="20"/>
    </row>
    <row r="95" spans="2:11" ht="15" thickBot="1" x14ac:dyDescent="0.35">
      <c r="C95" s="59" t="s">
        <v>246</v>
      </c>
      <c r="D95" s="95"/>
      <c r="E95" s="96"/>
      <c r="G95" s="71" t="s">
        <v>247</v>
      </c>
      <c r="H95" s="101"/>
      <c r="I95" s="102"/>
      <c r="K95" s="62" t="s">
        <v>235</v>
      </c>
    </row>
    <row r="96" spans="2:11" x14ac:dyDescent="0.3">
      <c r="B96" s="24" t="s">
        <v>197</v>
      </c>
      <c r="C96" s="24" t="s">
        <v>269</v>
      </c>
      <c r="D96" s="24" t="s">
        <v>272</v>
      </c>
      <c r="E96" s="24" t="s">
        <v>273</v>
      </c>
      <c r="G96" s="24" t="s">
        <v>269</v>
      </c>
      <c r="H96" s="24" t="s">
        <v>272</v>
      </c>
      <c r="I96" s="24" t="s">
        <v>273</v>
      </c>
      <c r="K96" s="25" t="s">
        <v>248</v>
      </c>
    </row>
    <row r="97" spans="2:11" x14ac:dyDescent="0.3">
      <c r="B97" s="25" t="s">
        <v>196</v>
      </c>
      <c r="C97" s="25" t="s">
        <v>211</v>
      </c>
      <c r="D97" s="25" t="s">
        <v>275</v>
      </c>
      <c r="E97" s="25" t="s">
        <v>276</v>
      </c>
      <c r="G97" s="25" t="s">
        <v>211</v>
      </c>
      <c r="H97" s="25" t="s">
        <v>275</v>
      </c>
      <c r="I97" s="25" t="s">
        <v>276</v>
      </c>
      <c r="K97" s="25" t="s">
        <v>249</v>
      </c>
    </row>
    <row r="98" spans="2:11" x14ac:dyDescent="0.3">
      <c r="B98" s="25"/>
      <c r="C98" s="25" t="s">
        <v>289</v>
      </c>
      <c r="D98" s="25" t="s">
        <v>289</v>
      </c>
      <c r="E98" s="25" t="s">
        <v>279</v>
      </c>
      <c r="G98" s="25" t="s">
        <v>289</v>
      </c>
      <c r="H98" s="25" t="s">
        <v>289</v>
      </c>
      <c r="I98" s="25" t="s">
        <v>279</v>
      </c>
      <c r="K98" s="25" t="s">
        <v>301</v>
      </c>
    </row>
    <row r="99" spans="2:11" x14ac:dyDescent="0.3">
      <c r="B99" s="25"/>
      <c r="C99" s="25" t="s">
        <v>232</v>
      </c>
      <c r="D99" s="26"/>
      <c r="E99" s="25" t="s">
        <v>289</v>
      </c>
      <c r="G99" s="25" t="s">
        <v>290</v>
      </c>
      <c r="H99" s="26"/>
      <c r="I99" s="25" t="s">
        <v>289</v>
      </c>
      <c r="K99" s="25"/>
    </row>
    <row r="100" spans="2:11" x14ac:dyDescent="0.3">
      <c r="B100" s="30"/>
      <c r="C100" s="31" t="s">
        <v>178</v>
      </c>
      <c r="D100" s="31" t="s">
        <v>302</v>
      </c>
      <c r="E100" s="31" t="str">
        <f>"(3) = (2) * ["&amp;FIXED('Assumptions and Inputs'!$C$52*100,2,TRUE)&amp;"% / 12]"</f>
        <v>(3) = (2) * [4.80% / 12]</v>
      </c>
      <c r="G100" s="31" t="s">
        <v>178</v>
      </c>
      <c r="H100" s="31" t="s">
        <v>302</v>
      </c>
      <c r="I100" s="31" t="s">
        <v>303</v>
      </c>
      <c r="K100" s="31" t="s">
        <v>304</v>
      </c>
    </row>
    <row r="101" spans="2:11" x14ac:dyDescent="0.3">
      <c r="B101" s="33"/>
      <c r="C101" s="34"/>
      <c r="D101" s="34"/>
      <c r="E101" s="34"/>
      <c r="G101" s="34"/>
      <c r="H101" s="34"/>
      <c r="I101" s="34"/>
      <c r="K101" s="34"/>
    </row>
    <row r="102" spans="2:11" x14ac:dyDescent="0.3">
      <c r="B102" s="38">
        <f>+'E-Factor PRIOR LKM-4'!B123</f>
        <v>45170</v>
      </c>
      <c r="C102" s="87">
        <f>'E-Factor PRIOR LKM-4'!J123</f>
        <v>-577221.37946988002</v>
      </c>
      <c r="D102" s="87">
        <f>C102</f>
        <v>-577221.37946988002</v>
      </c>
      <c r="E102" s="88">
        <f>D102*('Assumptions and Inputs'!$C$52)/12</f>
        <v>-2308.8855178795202</v>
      </c>
      <c r="G102" s="87">
        <v>-577221.80622588005</v>
      </c>
      <c r="H102" s="87">
        <v>-577221.80622588005</v>
      </c>
      <c r="I102" s="88">
        <v>-2308.8872249035203</v>
      </c>
      <c r="K102" s="88">
        <f t="shared" ref="K102:K114" si="27">E102-I102</f>
        <v>1.70702400009759E-3</v>
      </c>
    </row>
    <row r="103" spans="2:11" x14ac:dyDescent="0.3">
      <c r="B103" s="42">
        <f>+'E-Factor PRIOR LKM-4'!B124</f>
        <v>45200</v>
      </c>
      <c r="C103" s="90">
        <f>'E-Factor PRIOR LKM-4'!J124</f>
        <v>-570724.25835323986</v>
      </c>
      <c r="D103" s="90">
        <f>D102+C103</f>
        <v>-1147945.6378231198</v>
      </c>
      <c r="E103" s="91">
        <f>D103*('Assumptions and Inputs'!$C$52)/12</f>
        <v>-4591.7825512924792</v>
      </c>
      <c r="G103" s="90">
        <v>-570724.70062763989</v>
      </c>
      <c r="H103" s="90">
        <v>-1147946.5068535199</v>
      </c>
      <c r="I103" s="91">
        <v>-4591.7860274140794</v>
      </c>
      <c r="K103" s="91">
        <f t="shared" si="27"/>
        <v>3.4761216002152651E-3</v>
      </c>
    </row>
    <row r="104" spans="2:11" x14ac:dyDescent="0.3">
      <c r="B104" s="38">
        <f>+'E-Factor PRIOR LKM-4'!B125</f>
        <v>45231</v>
      </c>
      <c r="C104" s="87">
        <f>'E-Factor PRIOR LKM-4'!J125</f>
        <v>-611314.28800866008</v>
      </c>
      <c r="D104" s="87">
        <f t="shared" ref="D104:D112" si="28">D103+C104</f>
        <v>-1759259.9258317798</v>
      </c>
      <c r="E104" s="88">
        <f>D104*('Assumptions and Inputs'!$C$52)/12</f>
        <v>-7037.0397033271192</v>
      </c>
      <c r="G104" s="87">
        <v>-611314.66045026004</v>
      </c>
      <c r="H104" s="87">
        <v>-1759261.1673037801</v>
      </c>
      <c r="I104" s="88">
        <v>-7037.0446692151199</v>
      </c>
      <c r="K104" s="88">
        <f t="shared" si="27"/>
        <v>4.965888000697305E-3</v>
      </c>
    </row>
    <row r="105" spans="2:11" x14ac:dyDescent="0.3">
      <c r="B105" s="42">
        <f>+'E-Factor PRIOR LKM-4'!B126</f>
        <v>45261</v>
      </c>
      <c r="C105" s="90">
        <f>'E-Factor PRIOR LKM-4'!J126</f>
        <v>-622100.40449723974</v>
      </c>
      <c r="D105" s="90">
        <f t="shared" si="28"/>
        <v>-2381360.3303290196</v>
      </c>
      <c r="E105" s="91">
        <f>D105*('Assumptions and Inputs'!$C$52)/12</f>
        <v>-9525.4413213160788</v>
      </c>
      <c r="G105" s="90">
        <v>-622099.94670443982</v>
      </c>
      <c r="H105" s="90">
        <v>-2381361.1140082199</v>
      </c>
      <c r="I105" s="91">
        <v>-9525.4444560328793</v>
      </c>
      <c r="K105" s="91">
        <f t="shared" si="27"/>
        <v>3.1347168005595449E-3</v>
      </c>
    </row>
    <row r="106" spans="2:11" x14ac:dyDescent="0.3">
      <c r="B106" s="38">
        <f>+'E-Factor PRIOR LKM-4'!B127</f>
        <v>45292</v>
      </c>
      <c r="C106" s="87">
        <f>'E-Factor PRIOR LKM-4'!J127</f>
        <v>-650008.52590667992</v>
      </c>
      <c r="D106" s="87">
        <f t="shared" si="28"/>
        <v>-3031368.8562356997</v>
      </c>
      <c r="E106" s="88">
        <f>D106*('Assumptions and Inputs'!$C$52)/12</f>
        <v>-12125.475424942799</v>
      </c>
      <c r="G106" s="87">
        <v>-650008.34744507994</v>
      </c>
      <c r="H106" s="87">
        <v>-3031369.4614533</v>
      </c>
      <c r="I106" s="88">
        <v>-12125.4778458132</v>
      </c>
      <c r="K106" s="88">
        <f t="shared" si="27"/>
        <v>2.4208704016928095E-3</v>
      </c>
    </row>
    <row r="107" spans="2:11" x14ac:dyDescent="0.3">
      <c r="B107" s="42">
        <f>+'E-Factor PRIOR LKM-4'!B128</f>
        <v>45323</v>
      </c>
      <c r="C107" s="90">
        <f>'E-Factor PRIOR LKM-4'!J128</f>
        <v>-755715.30953453982</v>
      </c>
      <c r="D107" s="90">
        <f t="shared" si="28"/>
        <v>-3787084.1657702397</v>
      </c>
      <c r="E107" s="91">
        <f>D107*('Assumptions and Inputs'!$C$52)/12</f>
        <v>-15148.33666308096</v>
      </c>
      <c r="G107" s="90">
        <v>-755715.26297933992</v>
      </c>
      <c r="H107" s="90">
        <v>-3787084.7244326398</v>
      </c>
      <c r="I107" s="91">
        <v>-15148.338897730559</v>
      </c>
      <c r="K107" s="91">
        <f t="shared" si="27"/>
        <v>2.2346495989040704E-3</v>
      </c>
    </row>
    <row r="108" spans="2:11" x14ac:dyDescent="0.3">
      <c r="B108" s="38">
        <f>+'E-Factor PRIOR LKM-4'!B129</f>
        <v>45352</v>
      </c>
      <c r="C108" s="87">
        <f>'E-Factor PRIOR LKM-4'!J129</f>
        <v>-1039932.76661076</v>
      </c>
      <c r="D108" s="87">
        <f t="shared" si="28"/>
        <v>-4827016.9323809994</v>
      </c>
      <c r="E108" s="88">
        <f>D108*('Assumptions and Inputs'!$C$52)/12</f>
        <v>-19308.067729523998</v>
      </c>
      <c r="G108" s="87">
        <v>-1039932.28554036</v>
      </c>
      <c r="H108" s="87">
        <v>-4827017.0099729998</v>
      </c>
      <c r="I108" s="88">
        <v>-19308.068039891998</v>
      </c>
      <c r="K108" s="88">
        <f t="shared" si="27"/>
        <v>3.1036799919093028E-4</v>
      </c>
    </row>
    <row r="109" spans="2:11" x14ac:dyDescent="0.3">
      <c r="B109" s="42">
        <f>+'E-Factor PRIOR LKM-4'!B130</f>
        <v>45383</v>
      </c>
      <c r="C109" s="90">
        <f>'E-Factor PRIOR LKM-4'!J130</f>
        <v>-1083275.0603523599</v>
      </c>
      <c r="D109" s="90">
        <f t="shared" si="28"/>
        <v>-5910291.9927333593</v>
      </c>
      <c r="E109" s="91">
        <f>D109*('Assumptions and Inputs'!$C$52)/12</f>
        <v>-23641.167970933438</v>
      </c>
      <c r="G109" s="90">
        <v>-1152032.0355559681</v>
      </c>
      <c r="H109" s="90">
        <v>-5979049.0455289679</v>
      </c>
      <c r="I109" s="91">
        <v>-23916.196182115873</v>
      </c>
      <c r="K109" s="91">
        <f t="shared" si="27"/>
        <v>275.02821118243446</v>
      </c>
    </row>
    <row r="110" spans="2:11" x14ac:dyDescent="0.3">
      <c r="B110" s="38">
        <f>+'E-Factor PRIOR LKM-4'!B131</f>
        <v>45413</v>
      </c>
      <c r="C110" s="87">
        <f>'E-Factor PRIOR LKM-4'!J131</f>
        <v>-1227985.0603994997</v>
      </c>
      <c r="D110" s="87">
        <f t="shared" si="28"/>
        <v>-7138277.0531328591</v>
      </c>
      <c r="E110" s="88">
        <f>D110*('Assumptions and Inputs'!$C$52)/12</f>
        <v>-28553.108212531439</v>
      </c>
      <c r="G110" s="87">
        <v>-1152032.0355559681</v>
      </c>
      <c r="H110" s="87">
        <v>-7131081.0810849359</v>
      </c>
      <c r="I110" s="88">
        <v>-28524.324324339745</v>
      </c>
      <c r="K110" s="88">
        <f t="shared" si="27"/>
        <v>-28.783888191694132</v>
      </c>
    </row>
    <row r="111" spans="2:11" x14ac:dyDescent="0.3">
      <c r="B111" s="42">
        <f>+'E-Factor PRIOR LKM-4'!B132</f>
        <v>45444</v>
      </c>
      <c r="C111" s="90">
        <f>'E-Factor PRIOR LKM-4'!J132</f>
        <v>-1219189.44329964</v>
      </c>
      <c r="D111" s="90">
        <f t="shared" si="28"/>
        <v>-8357466.496432499</v>
      </c>
      <c r="E111" s="91">
        <f>D111*('Assumptions and Inputs'!$C$52)/12</f>
        <v>-33429.865985730001</v>
      </c>
      <c r="G111" s="90">
        <v>-1152032.0355559681</v>
      </c>
      <c r="H111" s="90">
        <v>-8283113.116640904</v>
      </c>
      <c r="I111" s="91">
        <v>-33132.45246656362</v>
      </c>
      <c r="K111" s="91">
        <f t="shared" si="27"/>
        <v>-297.41351916638087</v>
      </c>
    </row>
    <row r="112" spans="2:11" x14ac:dyDescent="0.3">
      <c r="B112" s="38">
        <f>+'E-Factor PRIOR LKM-4'!B133</f>
        <v>45474</v>
      </c>
      <c r="C112" s="87">
        <f>'E-Factor PRIOR LKM-4'!J133</f>
        <v>-1312041.8213845801</v>
      </c>
      <c r="D112" s="87">
        <f t="shared" si="28"/>
        <v>-9669508.3178170789</v>
      </c>
      <c r="E112" s="88">
        <f>D112*('Assumptions and Inputs'!$C$52)/12</f>
        <v>-38678.033271268316</v>
      </c>
      <c r="G112" s="87">
        <v>-1152032.0355559681</v>
      </c>
      <c r="H112" s="87">
        <v>-9435145.152196873</v>
      </c>
      <c r="I112" s="88">
        <v>-37740.580608787488</v>
      </c>
      <c r="K112" s="88">
        <f t="shared" si="27"/>
        <v>-937.45266248082771</v>
      </c>
    </row>
    <row r="113" spans="2:11" x14ac:dyDescent="0.3">
      <c r="B113" s="42">
        <f>+'E-Factor PRIOR LKM-4'!B134</f>
        <v>45505</v>
      </c>
      <c r="C113" s="90">
        <f>'E-Factor PRIOR LKM-4'!J134</f>
        <v>-1419359.3726447998</v>
      </c>
      <c r="D113" s="90">
        <f t="shared" ref="D113" si="29">D112+C113</f>
        <v>-11088867.690461878</v>
      </c>
      <c r="E113" s="91">
        <f>D113*('Assumptions and Inputs'!$C$52)/12</f>
        <v>-44355.470761847508</v>
      </c>
      <c r="G113" s="90">
        <v>-1152032.0355559681</v>
      </c>
      <c r="H113" s="90">
        <v>-10587177.187752841</v>
      </c>
      <c r="I113" s="91">
        <v>-42348.708751011363</v>
      </c>
      <c r="K113" s="91">
        <f t="shared" si="27"/>
        <v>-2006.7620108361443</v>
      </c>
    </row>
    <row r="114" spans="2:11" x14ac:dyDescent="0.3">
      <c r="B114" s="46" t="s">
        <v>165</v>
      </c>
      <c r="C114" s="65"/>
      <c r="D114" s="94"/>
      <c r="E114" s="65">
        <f>SUM(E102:E113)</f>
        <v>-238702.67511367367</v>
      </c>
      <c r="G114" s="65"/>
      <c r="H114" s="94"/>
      <c r="I114" s="65">
        <v>-235707.30949381943</v>
      </c>
      <c r="K114" s="88">
        <f t="shared" si="27"/>
        <v>-2995.3656198542449</v>
      </c>
    </row>
    <row r="115" spans="2:11" x14ac:dyDescent="0.3">
      <c r="E115" s="8"/>
      <c r="I115" s="8"/>
      <c r="K115" s="8"/>
    </row>
    <row r="116" spans="2:11" x14ac:dyDescent="0.3">
      <c r="D116" s="51" t="s">
        <v>282</v>
      </c>
      <c r="E116" s="52">
        <f>E114</f>
        <v>-238702.67511367367</v>
      </c>
      <c r="F116" s="50"/>
      <c r="H116" s="51" t="s">
        <v>282</v>
      </c>
      <c r="I116" s="52">
        <f>I114</f>
        <v>-235707.30949381943</v>
      </c>
      <c r="K116" s="66">
        <f>E116-I116</f>
        <v>-2995.3656198542449</v>
      </c>
    </row>
    <row r="117" spans="2:11" x14ac:dyDescent="0.3">
      <c r="B117" s="9" t="s">
        <v>222</v>
      </c>
      <c r="E117" s="8"/>
      <c r="G117" s="9"/>
      <c r="I117" s="8"/>
    </row>
    <row r="118" spans="2:11" x14ac:dyDescent="0.3">
      <c r="B118" s="53" t="s">
        <v>299</v>
      </c>
    </row>
    <row r="119" spans="2:11" x14ac:dyDescent="0.3">
      <c r="B119" s="53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120" spans="2:11" x14ac:dyDescent="0.3">
      <c r="B120" s="53" t="s">
        <v>300</v>
      </c>
    </row>
    <row r="121" spans="2:11" x14ac:dyDescent="0.3">
      <c r="B121" s="53"/>
    </row>
    <row r="122" spans="2:11" x14ac:dyDescent="0.3"/>
    <row r="123" spans="2:11" x14ac:dyDescent="0.3"/>
    <row r="124" spans="2:11" x14ac:dyDescent="0.3"/>
    <row r="125" spans="2:11" x14ac:dyDescent="0.3"/>
    <row r="126" spans="2:11" x14ac:dyDescent="0.3"/>
    <row r="127" spans="2:11" x14ac:dyDescent="0.3"/>
    <row r="128" spans="2:11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</sheetData>
  <printOptions horizontalCentered="1"/>
  <pageMargins left="0.7" right="0.7" top="0.75" bottom="0.75" header="0.3" footer="0.3"/>
  <pageSetup scale="64" orientation="landscape" r:id="rId1"/>
  <headerFooter>
    <oddHeader>&amp;R2025 TAP-R Rate Proceeding
 Schedule LKM-TAP-6 
Revised 4/29/2025</oddHeader>
  </headerFooter>
  <ignoredErrors>
    <ignoredError sqref="C71:D71 G9 G39 C100:D10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4" tint="-0.249977111117893"/>
    <pageSetUpPr fitToPage="1"/>
  </sheetPr>
  <dimension ref="B2:J19"/>
  <sheetViews>
    <sheetView workbookViewId="0">
      <selection activeCell="B6" sqref="B6:K6"/>
    </sheetView>
  </sheetViews>
  <sheetFormatPr defaultColWidth="9.21875" defaultRowHeight="14.4" x14ac:dyDescent="0.3"/>
  <cols>
    <col min="1" max="1" width="9.21875" style="1"/>
    <col min="2" max="2" width="8.5546875" style="1" customWidth="1"/>
    <col min="3" max="3" width="27.21875" style="1" customWidth="1"/>
    <col min="4" max="4" width="18.77734375" style="1" customWidth="1"/>
    <col min="5" max="5" width="20.77734375" style="1" bestFit="1" customWidth="1"/>
    <col min="6" max="6" width="15" style="1" customWidth="1"/>
    <col min="7" max="7" width="4.21875" style="1" customWidth="1"/>
    <col min="8" max="8" width="4.44140625" style="1" customWidth="1"/>
    <col min="9" max="16384" width="9.21875" style="1"/>
  </cols>
  <sheetData>
    <row r="2" spans="2:10" hidden="1" x14ac:dyDescent="0.3">
      <c r="B2" s="3" t="s">
        <v>31</v>
      </c>
      <c r="C2" s="3"/>
      <c r="D2" s="3"/>
      <c r="E2" s="3"/>
      <c r="F2" s="3"/>
    </row>
    <row r="3" spans="2:10" x14ac:dyDescent="0.3">
      <c r="B3" s="3" t="str">
        <f>"Table 5 - Application of TAP Rate Rider Adjustment Effective "&amp;TEXT('Assumptions and Inputs'!C65,"MMMM D, YYYY")</f>
        <v>Table 5 - Application of TAP Rate Rider Adjustment Effective September 1, 2025</v>
      </c>
      <c r="C3" s="3"/>
      <c r="D3" s="3"/>
      <c r="E3" s="3"/>
      <c r="F3" s="3"/>
    </row>
    <row r="4" spans="2:10" ht="15.6" x14ac:dyDescent="0.3">
      <c r="B4" s="104"/>
      <c r="C4" s="105"/>
      <c r="D4" s="106" t="s">
        <v>305</v>
      </c>
      <c r="E4" s="106" t="s">
        <v>306</v>
      </c>
      <c r="F4" s="107" t="s">
        <v>165</v>
      </c>
    </row>
    <row r="5" spans="2:10" x14ac:dyDescent="0.3">
      <c r="B5" s="108"/>
      <c r="C5" s="108" t="s">
        <v>29</v>
      </c>
      <c r="D5" s="108" t="s">
        <v>307</v>
      </c>
      <c r="E5" s="108" t="s">
        <v>307</v>
      </c>
      <c r="F5" s="108" t="s">
        <v>165</v>
      </c>
    </row>
    <row r="6" spans="2:10" x14ac:dyDescent="0.3">
      <c r="B6" s="109"/>
      <c r="C6" s="110" t="s">
        <v>308</v>
      </c>
      <c r="D6" s="111" t="s">
        <v>309</v>
      </c>
      <c r="E6" s="111" t="s">
        <v>309</v>
      </c>
      <c r="F6" s="111" t="s">
        <v>309</v>
      </c>
    </row>
    <row r="7" spans="2:10" x14ac:dyDescent="0.3">
      <c r="B7" s="112">
        <v>1</v>
      </c>
      <c r="C7" s="112" t="s">
        <v>310</v>
      </c>
      <c r="D7" s="113">
        <v>72.45</v>
      </c>
      <c r="E7" s="114">
        <f>'Summary LKM-1'!$G$23</f>
        <v>2.98</v>
      </c>
      <c r="F7" s="114">
        <f>D7+E7</f>
        <v>75.430000000000007</v>
      </c>
      <c r="J7" s="115"/>
    </row>
    <row r="8" spans="2:10" x14ac:dyDescent="0.3">
      <c r="B8" s="112">
        <f>B7+1</f>
        <v>2</v>
      </c>
      <c r="C8" s="112" t="s">
        <v>311</v>
      </c>
      <c r="D8" s="113">
        <v>64.760000000000005</v>
      </c>
      <c r="E8" s="114">
        <f>'Summary LKM-1'!$G$23</f>
        <v>2.98</v>
      </c>
      <c r="F8" s="114">
        <f t="shared" ref="F8:F10" si="0">D8+E8</f>
        <v>67.740000000000009</v>
      </c>
    </row>
    <row r="9" spans="2:10" x14ac:dyDescent="0.3">
      <c r="B9" s="112">
        <f>B8+1</f>
        <v>3</v>
      </c>
      <c r="C9" s="112" t="s">
        <v>312</v>
      </c>
      <c r="D9" s="113">
        <v>50.16</v>
      </c>
      <c r="E9" s="114">
        <f>'Summary LKM-1'!$G$23</f>
        <v>2.98</v>
      </c>
      <c r="F9" s="114">
        <f t="shared" si="0"/>
        <v>53.139999999999993</v>
      </c>
    </row>
    <row r="10" spans="2:10" x14ac:dyDescent="0.3">
      <c r="B10" s="112">
        <f>B9+1</f>
        <v>4</v>
      </c>
      <c r="C10" s="112" t="s">
        <v>313</v>
      </c>
      <c r="D10" s="113">
        <v>50.16</v>
      </c>
      <c r="E10" s="114">
        <f>'Summary LKM-1'!$G$23</f>
        <v>2.98</v>
      </c>
      <c r="F10" s="114">
        <f t="shared" si="0"/>
        <v>53.139999999999993</v>
      </c>
    </row>
    <row r="11" spans="2:10" ht="15.6" x14ac:dyDescent="0.3">
      <c r="B11" s="104"/>
      <c r="C11" s="105"/>
      <c r="D11" s="116"/>
      <c r="E11" s="117"/>
      <c r="F11" s="117"/>
    </row>
    <row r="12" spans="2:10" x14ac:dyDescent="0.3">
      <c r="B12" s="109"/>
      <c r="C12" s="109" t="s">
        <v>314</v>
      </c>
      <c r="D12" s="111" t="s">
        <v>309</v>
      </c>
      <c r="E12" s="118" t="s">
        <v>309</v>
      </c>
      <c r="F12" s="118" t="s">
        <v>309</v>
      </c>
    </row>
    <row r="13" spans="2:10" x14ac:dyDescent="0.3">
      <c r="B13" s="104">
        <f>B10+1</f>
        <v>5</v>
      </c>
      <c r="C13" s="104" t="s">
        <v>315</v>
      </c>
      <c r="D13" s="113">
        <v>47.39</v>
      </c>
      <c r="E13" s="114">
        <f>'Summary LKM-1'!$J$23</f>
        <v>4.37</v>
      </c>
      <c r="F13" s="114">
        <f>D13+E13</f>
        <v>51.76</v>
      </c>
    </row>
    <row r="14" spans="2:10" x14ac:dyDescent="0.3">
      <c r="B14" s="104"/>
      <c r="C14" s="104"/>
      <c r="D14" s="114"/>
      <c r="E14" s="114"/>
      <c r="F14" s="114"/>
    </row>
    <row r="15" spans="2:10" x14ac:dyDescent="0.3">
      <c r="B15" s="9" t="s">
        <v>222</v>
      </c>
      <c r="D15" s="119"/>
    </row>
    <row r="16" spans="2:10" x14ac:dyDescent="0.3">
      <c r="B16" s="53" t="str">
        <f>"Proposed Base Rates reflect the quantity charges, per the "&amp;TEXT('Assumptions and Inputs'!C69,)&amp;" and "&amp;TEXT('Assumptions and Inputs'!C71,)&amp;" Rate Proceeding."</f>
        <v>Proposed Base Rates reflect the quantity charges, per the FY 2026 and FY 2027 Rate Proceeding.</v>
      </c>
    </row>
    <row r="17" spans="2:2" x14ac:dyDescent="0.3">
      <c r="B17" s="53" t="str">
        <f>"TAP-R Rates are proposed to be effective on "&amp;TEXT('Assumptions and Inputs'!C65,"MMMM DD, YYYY")&amp;"."</f>
        <v>TAP-R Rates are proposed to be effective on September 01, 2025.</v>
      </c>
    </row>
    <row r="18" spans="2:2" x14ac:dyDescent="0.3">
      <c r="B18" s="53" t="s">
        <v>316</v>
      </c>
    </row>
    <row r="19" spans="2:2" x14ac:dyDescent="0.3">
      <c r="B19" s="120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499984740745262"/>
    <pageSetUpPr fitToPage="1"/>
  </sheetPr>
  <dimension ref="A1:XFC19"/>
  <sheetViews>
    <sheetView workbookViewId="0">
      <selection sqref="A1:XFD1048576"/>
    </sheetView>
  </sheetViews>
  <sheetFormatPr defaultColWidth="0" defaultRowHeight="14.4" zeroHeight="1" x14ac:dyDescent="0.3"/>
  <cols>
    <col min="1" max="1" width="25.21875" style="1" bestFit="1" customWidth="1"/>
    <col min="2" max="2" width="143.44140625" style="1" bestFit="1" customWidth="1"/>
    <col min="3" max="16383" width="9.21875" style="1" hidden="1"/>
    <col min="16384" max="16384" width="8.44140625" style="1" hidden="1" customWidth="1"/>
  </cols>
  <sheetData>
    <row r="1" spans="1:2" x14ac:dyDescent="0.3">
      <c r="A1" s="379" t="s">
        <v>6</v>
      </c>
      <c r="B1" s="379"/>
    </row>
    <row r="2" spans="1:2" x14ac:dyDescent="0.3">
      <c r="A2" s="380" t="s">
        <v>7</v>
      </c>
      <c r="B2" s="380"/>
    </row>
    <row r="3" spans="1:2" x14ac:dyDescent="0.3">
      <c r="A3" s="381"/>
      <c r="B3" s="381"/>
    </row>
    <row r="4" spans="1:2" x14ac:dyDescent="0.3">
      <c r="A4" s="382"/>
      <c r="B4" s="382"/>
    </row>
    <row r="5" spans="1:2" x14ac:dyDescent="0.3">
      <c r="A5" s="133"/>
      <c r="B5" s="133"/>
    </row>
    <row r="6" spans="1:2" x14ac:dyDescent="0.3">
      <c r="A6" s="37" t="s">
        <v>8</v>
      </c>
      <c r="B6" s="37" t="s">
        <v>9</v>
      </c>
    </row>
    <row r="7" spans="1:2" x14ac:dyDescent="0.3">
      <c r="A7" s="134" t="s">
        <v>10</v>
      </c>
      <c r="B7" s="1" t="s">
        <v>11</v>
      </c>
    </row>
    <row r="8" spans="1:2" x14ac:dyDescent="0.3">
      <c r="A8" s="135" t="s">
        <v>12</v>
      </c>
      <c r="B8" s="1" t="s">
        <v>12</v>
      </c>
    </row>
    <row r="9" spans="1:2" x14ac:dyDescent="0.3">
      <c r="A9" s="135" t="s">
        <v>13</v>
      </c>
      <c r="B9" s="1" t="s">
        <v>14</v>
      </c>
    </row>
    <row r="10" spans="1:2" x14ac:dyDescent="0.3">
      <c r="A10" s="136" t="s">
        <v>15</v>
      </c>
      <c r="B10" s="1" t="s">
        <v>16</v>
      </c>
    </row>
    <row r="11" spans="1:2" x14ac:dyDescent="0.3">
      <c r="A11" s="136" t="s">
        <v>17</v>
      </c>
      <c r="B11" s="1" t="s">
        <v>18</v>
      </c>
    </row>
    <row r="12" spans="1:2" x14ac:dyDescent="0.3">
      <c r="A12" s="136" t="s">
        <v>19</v>
      </c>
      <c r="B12" s="1" t="s">
        <v>20</v>
      </c>
    </row>
    <row r="13" spans="1:2" x14ac:dyDescent="0.3">
      <c r="A13" s="136" t="s">
        <v>21</v>
      </c>
      <c r="B13" s="1" t="s">
        <v>22</v>
      </c>
    </row>
    <row r="14" spans="1:2" x14ac:dyDescent="0.3">
      <c r="A14" s="136" t="s">
        <v>23</v>
      </c>
      <c r="B14" s="1" t="s">
        <v>24</v>
      </c>
    </row>
    <row r="15" spans="1:2" x14ac:dyDescent="0.3">
      <c r="A15" s="136" t="s">
        <v>25</v>
      </c>
      <c r="B15" s="1" t="s">
        <v>26</v>
      </c>
    </row>
    <row r="16" spans="1:2" x14ac:dyDescent="0.3">
      <c r="A16" s="136" t="s">
        <v>27</v>
      </c>
      <c r="B16" s="1" t="s">
        <v>28</v>
      </c>
    </row>
    <row r="17" spans="1:2" x14ac:dyDescent="0.3">
      <c r="A17" s="136" t="s">
        <v>29</v>
      </c>
      <c r="B17" s="1" t="s">
        <v>30</v>
      </c>
    </row>
    <row r="18" spans="1:2" x14ac:dyDescent="0.3"/>
    <row r="19" spans="1:2" x14ac:dyDescent="0.3"/>
  </sheetData>
  <mergeCells count="4">
    <mergeCell ref="A1:B1"/>
    <mergeCell ref="A2:B2"/>
    <mergeCell ref="A3:B3"/>
    <mergeCell ref="A4:B4"/>
  </mergeCells>
  <hyperlinks>
    <hyperlink ref="A7" location="Home!A1" display="Home" xr:uid="{00000000-0004-0000-0100-000000000000}"/>
    <hyperlink ref="A8" location="'Table of Contents'!A1" display="Table of Contents" xr:uid="{00000000-0004-0000-0100-000001000000}"/>
    <hyperlink ref="A9" location="'Assumptions and Inputs'!A1" display="Assumptions and Inputs " xr:uid="{00000000-0004-0000-0100-000002000000}"/>
    <hyperlink ref="A10" location="Customer!A1" display="Customer" xr:uid="{00000000-0004-0000-0100-000003000000}"/>
    <hyperlink ref="A11" location="Summary!A1" display="Summary " xr:uid="{00000000-0004-0000-0100-000004000000}"/>
    <hyperlink ref="A12" location="'C-Factor'!A1" display="C-Factor" xr:uid="{00000000-0004-0000-0100-000005000000}"/>
    <hyperlink ref="A13" location="'E-Factor'!A1" display="E-Factor" xr:uid="{00000000-0004-0000-0100-000006000000}"/>
    <hyperlink ref="A15" location="'I-Factor'!A1" display="I-Factor" xr:uid="{00000000-0004-0000-0100-000007000000}"/>
    <hyperlink ref="A17" location="Rates!A1" display="Rates" xr:uid="{00000000-0004-0000-0100-000008000000}"/>
    <hyperlink ref="A14" location="'E-Factor PRIOR'!A1" display="E-Factor Prior" xr:uid="{D98F2539-414F-44E7-AD81-67F9A6AE3DB6}"/>
    <hyperlink ref="A16" location="'I-Factor PRIOR'!A1" display="I-Factor Prior" xr:uid="{80DC8295-C8A1-4AF9-86EA-2F65B4B95CC8}"/>
  </hyperlink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EA133"/>
  <sheetViews>
    <sheetView topLeftCell="A5" zoomScale="70" zoomScaleNormal="70" workbookViewId="0">
      <selection activeCell="B16" sqref="B16"/>
    </sheetView>
  </sheetViews>
  <sheetFormatPr defaultColWidth="0" defaultRowHeight="14.4" zeroHeight="1" outlineLevelCol="1" x14ac:dyDescent="0.3"/>
  <cols>
    <col min="1" max="1" width="5.44140625" style="1" customWidth="1"/>
    <col min="2" max="2" width="40.77734375" style="1" customWidth="1"/>
    <col min="3" max="3" width="5.5546875" style="104" customWidth="1"/>
    <col min="4" max="53" width="15.5546875" style="1" customWidth="1" outlineLevel="1"/>
    <col min="54" max="63" width="16.44140625" style="1" customWidth="1" outlineLevel="1"/>
    <col min="64" max="72" width="16.44140625" style="1" customWidth="1"/>
    <col min="73" max="73" width="18.5546875" style="1" customWidth="1"/>
    <col min="74" max="84" width="16.44140625" style="1" customWidth="1"/>
    <col min="85" max="85" width="19.21875" style="1" customWidth="1"/>
    <col min="86" max="99" width="16.44140625" style="1" customWidth="1"/>
    <col min="100" max="100" width="1.5546875" style="12" customWidth="1"/>
    <col min="101" max="101" width="23" style="12" customWidth="1"/>
    <col min="102" max="102" width="2.5546875" style="12" customWidth="1"/>
    <col min="103" max="103" width="23" style="12" customWidth="1"/>
    <col min="104" max="104" width="1.5546875" style="12" customWidth="1"/>
    <col min="105" max="105" width="30" style="1" customWidth="1"/>
    <col min="106" max="106" width="59.21875" style="1" customWidth="1"/>
    <col min="107" max="111" width="9.21875" style="1" customWidth="1"/>
    <col min="112" max="112" width="16.77734375" style="1" customWidth="1"/>
    <col min="113" max="113" width="15.44140625" style="1" customWidth="1"/>
    <col min="114" max="114" width="12.77734375" style="1" customWidth="1"/>
    <col min="115" max="115" width="9.21875" style="1" customWidth="1"/>
    <col min="116" max="116" width="14.77734375" style="1" customWidth="1"/>
    <col min="117" max="119" width="9.21875" style="1" customWidth="1"/>
    <col min="120" max="120" width="14.77734375" style="1" customWidth="1"/>
    <col min="121" max="125" width="9.21875" style="1" customWidth="1"/>
    <col min="126" max="131" width="0" style="1" hidden="1" customWidth="1"/>
    <col min="132" max="16384" width="9.21875" style="1" hidden="1"/>
  </cols>
  <sheetData>
    <row r="1" spans="2:121" x14ac:dyDescent="0.3">
      <c r="D1" s="384" t="s">
        <v>107</v>
      </c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79" t="s">
        <v>108</v>
      </c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84" t="s">
        <v>109</v>
      </c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79" t="s">
        <v>110</v>
      </c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84" t="s">
        <v>111</v>
      </c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79" t="s">
        <v>112</v>
      </c>
      <c r="BM1" s="379"/>
      <c r="BN1" s="379"/>
      <c r="BO1" s="379"/>
      <c r="BP1" s="379"/>
      <c r="BQ1" s="379"/>
      <c r="BR1" s="379"/>
      <c r="BS1" s="379"/>
      <c r="BT1" s="379"/>
      <c r="BU1" s="379"/>
      <c r="BV1" s="379"/>
      <c r="BW1" s="379"/>
      <c r="BX1" s="381" t="s">
        <v>113</v>
      </c>
      <c r="BY1" s="386"/>
      <c r="BZ1" s="386"/>
      <c r="CA1" s="386"/>
      <c r="CB1" s="386"/>
      <c r="CC1" s="386"/>
      <c r="CD1" s="386"/>
      <c r="CE1" s="386"/>
      <c r="CF1" s="386"/>
      <c r="CG1" s="386"/>
      <c r="CH1" s="386"/>
      <c r="CI1" s="386"/>
      <c r="CJ1" s="174" t="s">
        <v>114</v>
      </c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</row>
    <row r="2" spans="2:121" x14ac:dyDescent="0.3">
      <c r="D2" s="5">
        <v>2018</v>
      </c>
      <c r="E2" s="6"/>
      <c r="F2" s="6"/>
      <c r="G2" s="6"/>
      <c r="H2" s="5">
        <v>2019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385">
        <v>2020</v>
      </c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>
        <v>2021</v>
      </c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>
        <v>2022</v>
      </c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>
        <v>2023</v>
      </c>
      <c r="BE2" s="385"/>
      <c r="BF2" s="385"/>
      <c r="BG2" s="385"/>
      <c r="BH2" s="385"/>
      <c r="BI2" s="385"/>
      <c r="BJ2" s="385"/>
      <c r="BK2" s="385"/>
      <c r="BL2" s="385"/>
      <c r="BM2" s="385"/>
      <c r="BN2" s="385"/>
      <c r="BO2" s="385"/>
      <c r="BP2" s="387">
        <v>2024</v>
      </c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387"/>
      <c r="CB2" s="385">
        <v>2025</v>
      </c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5"/>
      <c r="CN2" s="5">
        <v>2026</v>
      </c>
      <c r="CO2" s="5"/>
      <c r="CP2" s="5"/>
      <c r="CQ2" s="5"/>
      <c r="CR2" s="5"/>
      <c r="CS2" s="5"/>
      <c r="CT2" s="5"/>
      <c r="CU2" s="5"/>
    </row>
    <row r="3" spans="2:121" ht="28.8" x14ac:dyDescent="0.3">
      <c r="B3" s="137" t="s">
        <v>33</v>
      </c>
      <c r="C3" s="137"/>
      <c r="D3" s="175" t="s">
        <v>115</v>
      </c>
      <c r="E3" s="175" t="s">
        <v>116</v>
      </c>
      <c r="F3" s="175" t="s">
        <v>117</v>
      </c>
      <c r="G3" s="175" t="s">
        <v>118</v>
      </c>
      <c r="H3" s="175" t="s">
        <v>119</v>
      </c>
      <c r="I3" s="175" t="s">
        <v>120</v>
      </c>
      <c r="J3" s="175" t="s">
        <v>121</v>
      </c>
      <c r="K3" s="175" t="s">
        <v>122</v>
      </c>
      <c r="L3" s="175" t="s">
        <v>123</v>
      </c>
      <c r="M3" s="175" t="s">
        <v>124</v>
      </c>
      <c r="N3" s="175" t="s">
        <v>125</v>
      </c>
      <c r="O3" s="175" t="s">
        <v>126</v>
      </c>
      <c r="P3" s="175" t="s">
        <v>115</v>
      </c>
      <c r="Q3" s="175" t="s">
        <v>116</v>
      </c>
      <c r="R3" s="175" t="s">
        <v>117</v>
      </c>
      <c r="S3" s="175" t="s">
        <v>118</v>
      </c>
      <c r="T3" s="175" t="s">
        <v>119</v>
      </c>
      <c r="U3" s="175" t="s">
        <v>120</v>
      </c>
      <c r="V3" s="175" t="s">
        <v>121</v>
      </c>
      <c r="W3" s="175" t="s">
        <v>122</v>
      </c>
      <c r="X3" s="175" t="s">
        <v>123</v>
      </c>
      <c r="Y3" s="175" t="s">
        <v>124</v>
      </c>
      <c r="Z3" s="175" t="s">
        <v>125</v>
      </c>
      <c r="AA3" s="175" t="s">
        <v>126</v>
      </c>
      <c r="AB3" s="175" t="s">
        <v>115</v>
      </c>
      <c r="AC3" s="175" t="s">
        <v>127</v>
      </c>
      <c r="AD3" s="175" t="s">
        <v>117</v>
      </c>
      <c r="AE3" s="175" t="s">
        <v>128</v>
      </c>
      <c r="AF3" s="175" t="s">
        <v>129</v>
      </c>
      <c r="AG3" s="175" t="s">
        <v>130</v>
      </c>
      <c r="AH3" s="175" t="s">
        <v>121</v>
      </c>
      <c r="AI3" s="175" t="s">
        <v>122</v>
      </c>
      <c r="AJ3" s="175" t="s">
        <v>131</v>
      </c>
      <c r="AK3" s="175" t="s">
        <v>124</v>
      </c>
      <c r="AL3" s="175" t="s">
        <v>132</v>
      </c>
      <c r="AM3" s="175" t="s">
        <v>126</v>
      </c>
      <c r="AN3" s="175" t="s">
        <v>115</v>
      </c>
      <c r="AO3" s="175" t="s">
        <v>127</v>
      </c>
      <c r="AP3" s="175" t="s">
        <v>117</v>
      </c>
      <c r="AQ3" s="175" t="s">
        <v>128</v>
      </c>
      <c r="AR3" s="175" t="s">
        <v>129</v>
      </c>
      <c r="AS3" s="175" t="s">
        <v>120</v>
      </c>
      <c r="AT3" s="175" t="s">
        <v>121</v>
      </c>
      <c r="AU3" s="175" t="s">
        <v>122</v>
      </c>
      <c r="AV3" s="175" t="s">
        <v>131</v>
      </c>
      <c r="AW3" s="175" t="s">
        <v>124</v>
      </c>
      <c r="AX3" s="175" t="s">
        <v>132</v>
      </c>
      <c r="AY3" s="175" t="s">
        <v>126</v>
      </c>
      <c r="AZ3" s="175" t="s">
        <v>115</v>
      </c>
      <c r="BA3" s="175" t="s">
        <v>127</v>
      </c>
      <c r="BB3" s="175" t="s">
        <v>117</v>
      </c>
      <c r="BC3" s="175" t="s">
        <v>128</v>
      </c>
      <c r="BD3" s="175" t="s">
        <v>129</v>
      </c>
      <c r="BE3" s="175" t="s">
        <v>120</v>
      </c>
      <c r="BF3" s="175" t="s">
        <v>121</v>
      </c>
      <c r="BG3" s="175" t="s">
        <v>122</v>
      </c>
      <c r="BH3" s="175" t="s">
        <v>131</v>
      </c>
      <c r="BI3" s="175" t="s">
        <v>124</v>
      </c>
      <c r="BJ3" s="175" t="s">
        <v>132</v>
      </c>
      <c r="BK3" s="175" t="s">
        <v>126</v>
      </c>
      <c r="BL3" s="175" t="s">
        <v>115</v>
      </c>
      <c r="BM3" s="175" t="s">
        <v>127</v>
      </c>
      <c r="BN3" s="175" t="s">
        <v>117</v>
      </c>
      <c r="BO3" s="175" t="s">
        <v>128</v>
      </c>
      <c r="BP3" s="175" t="s">
        <v>129</v>
      </c>
      <c r="BQ3" s="175" t="s">
        <v>120</v>
      </c>
      <c r="BR3" s="175" t="s">
        <v>121</v>
      </c>
      <c r="BS3" s="175" t="s">
        <v>122</v>
      </c>
      <c r="BT3" s="175" t="s">
        <v>131</v>
      </c>
      <c r="BU3" s="175" t="s">
        <v>124</v>
      </c>
      <c r="BV3" s="175" t="s">
        <v>132</v>
      </c>
      <c r="BW3" s="175" t="s">
        <v>126</v>
      </c>
      <c r="BX3" s="175" t="s">
        <v>115</v>
      </c>
      <c r="BY3" s="175" t="s">
        <v>127</v>
      </c>
      <c r="BZ3" s="175" t="s">
        <v>117</v>
      </c>
      <c r="CA3" s="175" t="s">
        <v>128</v>
      </c>
      <c r="CB3" s="175" t="s">
        <v>129</v>
      </c>
      <c r="CC3" s="175" t="s">
        <v>120</v>
      </c>
      <c r="CD3" s="175" t="s">
        <v>121</v>
      </c>
      <c r="CE3" s="175" t="s">
        <v>122</v>
      </c>
      <c r="CF3" s="175" t="s">
        <v>131</v>
      </c>
      <c r="CG3" s="175" t="s">
        <v>124</v>
      </c>
      <c r="CH3" s="175" t="s">
        <v>132</v>
      </c>
      <c r="CI3" s="175" t="s">
        <v>126</v>
      </c>
      <c r="CJ3" s="175" t="s">
        <v>115</v>
      </c>
      <c r="CK3" s="175" t="s">
        <v>127</v>
      </c>
      <c r="CL3" s="175" t="s">
        <v>117</v>
      </c>
      <c r="CM3" s="175" t="s">
        <v>128</v>
      </c>
      <c r="CN3" s="175" t="s">
        <v>129</v>
      </c>
      <c r="CO3" s="175" t="s">
        <v>120</v>
      </c>
      <c r="CP3" s="175" t="s">
        <v>121</v>
      </c>
      <c r="CQ3" s="175" t="s">
        <v>122</v>
      </c>
      <c r="CR3" s="175" t="s">
        <v>131</v>
      </c>
      <c r="CS3" s="175" t="s">
        <v>124</v>
      </c>
      <c r="CT3" s="175" t="s">
        <v>132</v>
      </c>
      <c r="CU3" s="175" t="s">
        <v>126</v>
      </c>
      <c r="CV3" s="176"/>
      <c r="CW3" s="177" t="s">
        <v>133</v>
      </c>
      <c r="CX3" s="177"/>
      <c r="CY3" s="177" t="s">
        <v>134</v>
      </c>
      <c r="CZ3" s="176"/>
      <c r="DA3" s="137" t="s">
        <v>135</v>
      </c>
      <c r="DB3" s="137" t="s">
        <v>136</v>
      </c>
    </row>
    <row r="4" spans="2:121" x14ac:dyDescent="0.3">
      <c r="B4" s="178"/>
      <c r="C4" s="178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79">
        <v>1</v>
      </c>
      <c r="BA4" s="179">
        <v>2</v>
      </c>
      <c r="BB4" s="179">
        <v>3</v>
      </c>
      <c r="BC4" s="179">
        <v>4</v>
      </c>
      <c r="BD4" s="179">
        <v>5</v>
      </c>
      <c r="BE4" s="179">
        <v>6</v>
      </c>
      <c r="BF4" s="179">
        <v>7</v>
      </c>
      <c r="BG4" s="179">
        <v>8</v>
      </c>
      <c r="BH4" s="179">
        <v>9</v>
      </c>
      <c r="BI4" s="179">
        <v>10</v>
      </c>
      <c r="BJ4" s="179">
        <v>11</v>
      </c>
      <c r="BK4" s="179">
        <v>12</v>
      </c>
      <c r="BL4" s="179">
        <v>1</v>
      </c>
      <c r="BM4" s="179">
        <v>2</v>
      </c>
      <c r="BN4" s="179">
        <v>3</v>
      </c>
      <c r="BO4" s="179">
        <v>4</v>
      </c>
      <c r="BP4" s="179">
        <v>5</v>
      </c>
      <c r="BQ4" s="179">
        <v>6</v>
      </c>
      <c r="BR4" s="179">
        <v>7</v>
      </c>
      <c r="BS4" s="179">
        <v>8</v>
      </c>
      <c r="BT4" s="179">
        <v>9</v>
      </c>
      <c r="BU4" s="179">
        <v>10</v>
      </c>
      <c r="BV4" s="179">
        <v>11</v>
      </c>
      <c r="BW4" s="179">
        <v>12</v>
      </c>
      <c r="BX4" s="179">
        <v>1</v>
      </c>
      <c r="BY4" s="179">
        <v>2</v>
      </c>
      <c r="BZ4" s="179">
        <v>3</v>
      </c>
      <c r="CA4" s="179">
        <v>4</v>
      </c>
      <c r="CB4" s="179">
        <v>5</v>
      </c>
      <c r="CC4" s="179">
        <v>6</v>
      </c>
      <c r="CD4" s="179">
        <v>7</v>
      </c>
      <c r="CE4" s="179">
        <v>8</v>
      </c>
      <c r="CF4" s="179">
        <v>9</v>
      </c>
      <c r="CG4" s="179">
        <v>10</v>
      </c>
      <c r="CH4" s="179">
        <v>11</v>
      </c>
      <c r="CI4" s="179">
        <v>12</v>
      </c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DA4" s="178"/>
    </row>
    <row r="5" spans="2:121" x14ac:dyDescent="0.3">
      <c r="B5" s="180" t="s">
        <v>137</v>
      </c>
      <c r="C5" s="181"/>
      <c r="D5" s="182"/>
      <c r="E5" s="182"/>
      <c r="F5" s="182"/>
      <c r="G5" s="182"/>
      <c r="H5" s="183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5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6">
        <v>45170</v>
      </c>
      <c r="BM5" s="186">
        <v>45200</v>
      </c>
      <c r="BN5" s="186">
        <v>45231</v>
      </c>
      <c r="BO5" s="186">
        <v>45261</v>
      </c>
      <c r="BP5" s="186">
        <v>45292</v>
      </c>
      <c r="BQ5" s="186">
        <v>45323</v>
      </c>
      <c r="BR5" s="186">
        <v>45352</v>
      </c>
      <c r="BS5" s="186">
        <v>45383</v>
      </c>
      <c r="BT5" s="186">
        <v>45413</v>
      </c>
      <c r="BU5" s="186">
        <v>45444</v>
      </c>
      <c r="BV5" s="186">
        <v>45474</v>
      </c>
      <c r="BW5" s="186">
        <v>45505</v>
      </c>
      <c r="BX5" s="186">
        <v>45536</v>
      </c>
      <c r="BY5" s="186">
        <v>45566</v>
      </c>
      <c r="BZ5" s="186">
        <v>45597</v>
      </c>
      <c r="CA5" s="186">
        <v>45627</v>
      </c>
      <c r="CB5" s="186">
        <v>45658</v>
      </c>
      <c r="CC5" s="186">
        <v>45689</v>
      </c>
      <c r="CD5" s="186">
        <v>45717</v>
      </c>
      <c r="CE5" s="186">
        <v>45748</v>
      </c>
      <c r="CF5" s="186">
        <v>45778</v>
      </c>
      <c r="CG5" s="186">
        <v>45809</v>
      </c>
      <c r="CH5" s="186">
        <v>45839</v>
      </c>
      <c r="CI5" s="186">
        <v>45870</v>
      </c>
      <c r="CJ5" s="186">
        <v>45901</v>
      </c>
      <c r="CK5" s="186">
        <v>45931</v>
      </c>
      <c r="CL5" s="186">
        <v>45962</v>
      </c>
      <c r="CM5" s="186">
        <v>45992</v>
      </c>
      <c r="CN5" s="186">
        <v>46023</v>
      </c>
      <c r="CO5" s="186">
        <v>46054</v>
      </c>
      <c r="CP5" s="186">
        <v>46082</v>
      </c>
      <c r="CQ5" s="186">
        <v>46113</v>
      </c>
      <c r="CR5" s="186">
        <v>46143</v>
      </c>
      <c r="CS5" s="186">
        <v>46174</v>
      </c>
      <c r="CT5" s="186">
        <v>46204</v>
      </c>
      <c r="CU5" s="186">
        <v>46235</v>
      </c>
      <c r="CV5" s="187"/>
      <c r="CW5" s="187"/>
      <c r="CX5" s="187"/>
      <c r="CY5" s="187"/>
      <c r="CZ5" s="187"/>
      <c r="DA5" s="182"/>
      <c r="DB5" s="182"/>
    </row>
    <row r="6" spans="2:121" x14ac:dyDescent="0.3">
      <c r="B6" s="178"/>
      <c r="C6" s="178"/>
      <c r="D6" s="383" t="s">
        <v>138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188"/>
      <c r="AS6" s="188"/>
      <c r="AT6" s="188"/>
      <c r="AU6" s="188"/>
      <c r="AV6" s="188"/>
      <c r="AW6" s="188"/>
      <c r="AX6" s="188"/>
      <c r="AY6" s="188"/>
      <c r="AZ6" s="189"/>
      <c r="BA6" s="189"/>
      <c r="BB6" s="189"/>
      <c r="BC6" s="189"/>
      <c r="BD6" s="388" t="s">
        <v>139</v>
      </c>
      <c r="BE6" s="388"/>
      <c r="BF6" s="388"/>
      <c r="BG6" s="388"/>
      <c r="BH6" s="388"/>
      <c r="BI6" s="388"/>
      <c r="BJ6" s="388"/>
      <c r="BK6" s="388"/>
      <c r="BL6" s="190" t="s">
        <v>140</v>
      </c>
      <c r="BM6" s="190"/>
      <c r="BN6" s="190"/>
      <c r="BO6" s="190"/>
      <c r="BP6" s="190"/>
      <c r="BQ6" s="190"/>
      <c r="BR6" s="190"/>
      <c r="BS6" s="191" t="s">
        <v>141</v>
      </c>
      <c r="BT6" s="191"/>
      <c r="BU6" s="191"/>
      <c r="BV6" s="191"/>
      <c r="BW6" s="191"/>
      <c r="BX6" s="192" t="s">
        <v>142</v>
      </c>
      <c r="BY6" s="192"/>
      <c r="BZ6" s="192"/>
      <c r="CA6" s="191" t="s">
        <v>143</v>
      </c>
      <c r="CB6" s="191"/>
      <c r="CC6" s="191"/>
      <c r="CD6" s="191"/>
      <c r="CE6" s="191"/>
      <c r="CF6" s="191"/>
      <c r="CG6" s="191"/>
      <c r="CH6" s="191"/>
      <c r="CI6" s="191"/>
      <c r="CJ6" s="193" t="s">
        <v>144</v>
      </c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94"/>
      <c r="CW6" s="194"/>
      <c r="CX6" s="194"/>
      <c r="CY6" s="194"/>
      <c r="CZ6" s="194"/>
      <c r="DA6" s="178"/>
      <c r="DB6" s="178"/>
    </row>
    <row r="7" spans="2:121" x14ac:dyDescent="0.3">
      <c r="B7" s="195" t="s">
        <v>145</v>
      </c>
      <c r="C7" s="196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97"/>
      <c r="CW7" s="197"/>
      <c r="CX7" s="197"/>
      <c r="CY7" s="197"/>
      <c r="CZ7" s="197"/>
      <c r="DA7" s="198" t="s">
        <v>146</v>
      </c>
      <c r="DB7" s="196"/>
    </row>
    <row r="8" spans="2:121" x14ac:dyDescent="0.3">
      <c r="B8" s="199" t="s">
        <v>147</v>
      </c>
      <c r="C8" s="200"/>
      <c r="D8" s="201">
        <v>13900</v>
      </c>
      <c r="E8" s="201">
        <v>15208</v>
      </c>
      <c r="F8" s="201">
        <v>15724</v>
      </c>
      <c r="G8" s="201">
        <v>15856</v>
      </c>
      <c r="H8" s="201">
        <v>15942</v>
      </c>
      <c r="I8" s="201">
        <v>14412</v>
      </c>
      <c r="J8" s="201">
        <v>14687</v>
      </c>
      <c r="K8" s="201">
        <v>15025</v>
      </c>
      <c r="L8" s="201">
        <v>15386</v>
      </c>
      <c r="M8" s="201">
        <v>15652</v>
      </c>
      <c r="N8" s="201">
        <v>15665</v>
      </c>
      <c r="O8" s="201">
        <v>15057</v>
      </c>
      <c r="P8" s="201">
        <v>15050</v>
      </c>
      <c r="Q8" s="201">
        <v>15337</v>
      </c>
      <c r="R8" s="201">
        <v>13533</v>
      </c>
      <c r="S8" s="201">
        <v>15251</v>
      </c>
      <c r="T8" s="201">
        <v>15180</v>
      </c>
      <c r="U8" s="201">
        <v>14252</v>
      </c>
      <c r="V8" s="201">
        <v>15151</v>
      </c>
      <c r="W8" s="201">
        <v>15159</v>
      </c>
      <c r="X8" s="201">
        <v>15420</v>
      </c>
      <c r="Y8" s="201">
        <v>15735</v>
      </c>
      <c r="Z8" s="201">
        <v>15942</v>
      </c>
      <c r="AA8" s="201">
        <v>16072</v>
      </c>
      <c r="AB8" s="201">
        <v>14503</v>
      </c>
      <c r="AC8" s="201">
        <v>14177</v>
      </c>
      <c r="AD8" s="201">
        <v>13384</v>
      </c>
      <c r="AE8" s="201">
        <v>16428</v>
      </c>
      <c r="AF8" s="201">
        <v>15480</v>
      </c>
      <c r="AG8" s="201">
        <v>15810</v>
      </c>
      <c r="AH8" s="201">
        <v>16670</v>
      </c>
      <c r="AI8" s="201">
        <v>16737</v>
      </c>
      <c r="AJ8" s="201">
        <v>16766</v>
      </c>
      <c r="AK8" s="201">
        <v>16725</v>
      </c>
      <c r="AL8" s="201">
        <v>16762</v>
      </c>
      <c r="AM8" s="201">
        <v>16702</v>
      </c>
      <c r="AN8" s="201">
        <v>15852</v>
      </c>
      <c r="AO8" s="201">
        <v>16998</v>
      </c>
      <c r="AP8" s="201">
        <v>17028</v>
      </c>
      <c r="AQ8" s="201">
        <v>17148</v>
      </c>
      <c r="AR8" s="201">
        <v>15187</v>
      </c>
      <c r="AS8" s="201">
        <v>13294</v>
      </c>
      <c r="AT8" s="201">
        <v>12813</v>
      </c>
      <c r="AU8" s="201">
        <v>10920</v>
      </c>
      <c r="AV8" s="201">
        <v>10111</v>
      </c>
      <c r="AW8" s="201">
        <v>10044</v>
      </c>
      <c r="AX8" s="201">
        <v>10919</v>
      </c>
      <c r="AY8" s="201">
        <v>12048</v>
      </c>
      <c r="AZ8" s="201">
        <v>13123</v>
      </c>
      <c r="BA8" s="201">
        <v>13761</v>
      </c>
      <c r="BB8" s="201">
        <v>14318</v>
      </c>
      <c r="BC8" s="201">
        <v>14633</v>
      </c>
      <c r="BD8" s="201">
        <v>14968</v>
      </c>
      <c r="BE8" s="201">
        <v>13988</v>
      </c>
      <c r="BF8" s="201">
        <v>15596</v>
      </c>
      <c r="BG8" s="201">
        <v>14835</v>
      </c>
      <c r="BH8" s="201">
        <v>16375</v>
      </c>
      <c r="BI8" s="201">
        <v>18472</v>
      </c>
      <c r="BJ8" s="201">
        <v>19065</v>
      </c>
      <c r="BK8" s="201">
        <v>19655</v>
      </c>
      <c r="BL8" s="201">
        <v>20145</v>
      </c>
      <c r="BM8" s="201">
        <v>20767</v>
      </c>
      <c r="BN8" s="201">
        <v>21235</v>
      </c>
      <c r="BO8" s="201">
        <v>21500</v>
      </c>
      <c r="BP8" s="201">
        <v>21969</v>
      </c>
      <c r="BQ8" s="201">
        <v>28292</v>
      </c>
      <c r="BR8" s="201">
        <v>49658</v>
      </c>
      <c r="BS8" s="201">
        <v>57155</v>
      </c>
      <c r="BT8" s="201">
        <v>57602</v>
      </c>
      <c r="BU8" s="201">
        <v>54185</v>
      </c>
      <c r="BV8" s="201">
        <v>58344</v>
      </c>
      <c r="BW8" s="201">
        <v>58618</v>
      </c>
      <c r="BX8" s="201">
        <v>59305</v>
      </c>
      <c r="BY8" s="201">
        <v>60225</v>
      </c>
      <c r="BZ8" s="201">
        <v>56464</v>
      </c>
      <c r="CA8" s="201">
        <v>59287.200000000004</v>
      </c>
      <c r="CB8" s="201">
        <v>59880.072000000007</v>
      </c>
      <c r="CC8" s="201">
        <v>56886.068400000004</v>
      </c>
      <c r="CD8" s="201">
        <v>59730.371820000008</v>
      </c>
      <c r="CE8" s="201">
        <v>60327.675538200005</v>
      </c>
      <c r="CF8" s="201">
        <v>60930.952293582006</v>
      </c>
      <c r="CG8" s="201">
        <v>58493.714201838724</v>
      </c>
      <c r="CH8" s="201">
        <v>60833.462769912272</v>
      </c>
      <c r="CI8" s="201">
        <v>61441.797397611394</v>
      </c>
      <c r="CJ8" s="201">
        <v>60827.379423635277</v>
      </c>
      <c r="CK8" s="201">
        <v>60827.379423635277</v>
      </c>
      <c r="CL8" s="201">
        <v>60827.379423635277</v>
      </c>
      <c r="CM8" s="201">
        <v>60827.379423635277</v>
      </c>
      <c r="CN8" s="201">
        <v>60827.379423635277</v>
      </c>
      <c r="CO8" s="201">
        <v>60827.379423635277</v>
      </c>
      <c r="CP8" s="201">
        <v>60827.379423635277</v>
      </c>
      <c r="CQ8" s="201">
        <v>60827.379423635277</v>
      </c>
      <c r="CR8" s="201">
        <v>60827.379423635277</v>
      </c>
      <c r="CS8" s="201">
        <v>60827.379423635277</v>
      </c>
      <c r="CT8" s="201">
        <v>60827.379423635277</v>
      </c>
      <c r="CU8" s="201">
        <v>60827.379423635277</v>
      </c>
      <c r="CW8" s="12">
        <f>SUM(BX8:CI8)</f>
        <v>713805.31442114443</v>
      </c>
      <c r="CY8" s="12">
        <f>SUM(CJ8:CU8)</f>
        <v>729928.55308362341</v>
      </c>
      <c r="DA8" s="202"/>
      <c r="DB8" s="1" t="s">
        <v>148</v>
      </c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</row>
    <row r="9" spans="2:121" x14ac:dyDescent="0.3">
      <c r="B9" s="199"/>
      <c r="C9" s="178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203">
        <f>+CI8-BZ8</f>
        <v>4977.7973976113935</v>
      </c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DA9" s="178"/>
    </row>
    <row r="10" spans="2:121" x14ac:dyDescent="0.3">
      <c r="B10" s="195" t="s">
        <v>149</v>
      </c>
      <c r="C10" s="196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97"/>
      <c r="CW10" s="197"/>
      <c r="CX10" s="197"/>
      <c r="CY10" s="197"/>
      <c r="CZ10" s="197"/>
      <c r="DA10" s="198" t="s">
        <v>150</v>
      </c>
      <c r="DB10" s="196"/>
    </row>
    <row r="11" spans="2:121" x14ac:dyDescent="0.3">
      <c r="B11" s="199" t="s">
        <v>147</v>
      </c>
      <c r="C11" s="200"/>
      <c r="D11" s="204">
        <v>839632.13</v>
      </c>
      <c r="E11" s="204">
        <v>771033.54</v>
      </c>
      <c r="F11" s="204">
        <v>820363.48</v>
      </c>
      <c r="G11" s="204">
        <v>788793.4</v>
      </c>
      <c r="H11" s="204">
        <v>783095.51</v>
      </c>
      <c r="I11" s="204">
        <v>720950.1</v>
      </c>
      <c r="J11" s="204">
        <v>733379.39</v>
      </c>
      <c r="K11" s="204">
        <v>676146.93</v>
      </c>
      <c r="L11" s="204">
        <v>734220.92999999993</v>
      </c>
      <c r="M11" s="204">
        <v>793729.82000000007</v>
      </c>
      <c r="N11" s="204">
        <v>746115</v>
      </c>
      <c r="O11" s="204">
        <v>785359.29</v>
      </c>
      <c r="P11" s="204">
        <v>816998.5</v>
      </c>
      <c r="Q11" s="204">
        <v>798192.83</v>
      </c>
      <c r="R11" s="204">
        <v>692787.06</v>
      </c>
      <c r="S11" s="204">
        <v>778209.04</v>
      </c>
      <c r="T11" s="204">
        <v>812659.76</v>
      </c>
      <c r="U11" s="204">
        <v>642016.74</v>
      </c>
      <c r="V11" s="204">
        <v>623115.18000000005</v>
      </c>
      <c r="W11" s="204">
        <v>730044.19</v>
      </c>
      <c r="X11" s="204">
        <v>741830.58000000007</v>
      </c>
      <c r="Y11" s="204">
        <v>767896.73</v>
      </c>
      <c r="Z11" s="204">
        <v>800416.19</v>
      </c>
      <c r="AA11" s="204">
        <v>894776.26</v>
      </c>
      <c r="AB11" s="204">
        <v>843412.92999999993</v>
      </c>
      <c r="AC11" s="204">
        <v>859239.03</v>
      </c>
      <c r="AD11" s="204">
        <v>686582.92</v>
      </c>
      <c r="AE11" s="204">
        <v>840529.30999999994</v>
      </c>
      <c r="AF11" s="204">
        <v>758686.98</v>
      </c>
      <c r="AG11" s="204">
        <v>745020.53</v>
      </c>
      <c r="AH11" s="204">
        <v>757291.83</v>
      </c>
      <c r="AI11" s="204">
        <v>817113.80999999994</v>
      </c>
      <c r="AJ11" s="204">
        <v>705764.33</v>
      </c>
      <c r="AK11" s="204">
        <v>751604.4</v>
      </c>
      <c r="AL11" s="204">
        <v>834529.91999999993</v>
      </c>
      <c r="AM11" s="204">
        <v>814091.6100000001</v>
      </c>
      <c r="AN11" s="204">
        <v>835658.59</v>
      </c>
      <c r="AO11" s="204">
        <v>938301.55999999994</v>
      </c>
      <c r="AP11" s="204">
        <v>836422.27</v>
      </c>
      <c r="AQ11" s="204">
        <v>824266.72000000009</v>
      </c>
      <c r="AR11" s="204">
        <v>785601.92999999993</v>
      </c>
      <c r="AS11" s="204">
        <v>622228.81999999995</v>
      </c>
      <c r="AT11" s="204">
        <v>606470.18999999994</v>
      </c>
      <c r="AU11" s="204">
        <v>495915.07999999996</v>
      </c>
      <c r="AV11" s="204">
        <v>461158.94999999995</v>
      </c>
      <c r="AW11" s="204">
        <v>482182.81999999995</v>
      </c>
      <c r="AX11" s="204">
        <v>547266.26</v>
      </c>
      <c r="AY11" s="204">
        <v>587972.77</v>
      </c>
      <c r="AZ11" s="204">
        <v>784780.64</v>
      </c>
      <c r="BA11" s="204">
        <v>759935.25</v>
      </c>
      <c r="BB11" s="204">
        <v>735888.81</v>
      </c>
      <c r="BC11" s="204">
        <v>781726.6100000001</v>
      </c>
      <c r="BD11" s="204">
        <v>873411.78</v>
      </c>
      <c r="BE11" s="204">
        <v>697506.02</v>
      </c>
      <c r="BF11" s="204">
        <v>856120.22</v>
      </c>
      <c r="BG11" s="204">
        <v>719847.26</v>
      </c>
      <c r="BH11" s="204">
        <v>757570.57000000007</v>
      </c>
      <c r="BI11" s="204">
        <v>979601.35</v>
      </c>
      <c r="BJ11" s="204">
        <v>1067169.3500000001</v>
      </c>
      <c r="BK11" s="204">
        <v>1030700.4099999999</v>
      </c>
      <c r="BL11" s="204">
        <v>1236585.1400000001</v>
      </c>
      <c r="BM11" s="204">
        <v>1194530.42</v>
      </c>
      <c r="BN11" s="204">
        <v>1267897.03</v>
      </c>
      <c r="BO11" s="204">
        <v>1287460.8199999998</v>
      </c>
      <c r="BP11" s="205">
        <v>1337142.74</v>
      </c>
      <c r="BQ11" s="205">
        <v>1524341.77</v>
      </c>
      <c r="BR11" s="205">
        <v>2020473.58</v>
      </c>
      <c r="BS11" s="205">
        <v>2094176.7799999998</v>
      </c>
      <c r="BT11" s="205">
        <v>2369075.0499999998</v>
      </c>
      <c r="BU11" s="205">
        <v>2351694.42</v>
      </c>
      <c r="BV11" s="205">
        <v>2540192.9900000002</v>
      </c>
      <c r="BW11" s="205">
        <v>2735884.8</v>
      </c>
      <c r="BX11" s="205">
        <v>3197292.01</v>
      </c>
      <c r="BY11" s="205">
        <v>3410473.89</v>
      </c>
      <c r="BZ11" s="205">
        <v>3004596.49</v>
      </c>
      <c r="CA11" s="206">
        <f>CA$8*'Assumptions and Inputs'!$C$9</f>
        <v>2829175.4756151536</v>
      </c>
      <c r="CB11" s="206">
        <f>CB$8*'Assumptions and Inputs'!$C$9</f>
        <v>2857467.2303713053</v>
      </c>
      <c r="CC11" s="206">
        <f>CC$8*'Assumptions and Inputs'!$C$9</f>
        <v>2714593.8688527402</v>
      </c>
      <c r="CD11" s="206">
        <f>CD$8*'Assumptions and Inputs'!$C$9</f>
        <v>2850323.5622953773</v>
      </c>
      <c r="CE11" s="206">
        <f>CE$8*'Assumptions and Inputs'!$C$9</f>
        <v>2878826.7979183309</v>
      </c>
      <c r="CF11" s="206">
        <f>CF$8*'Assumptions and Inputs'!$C$9</f>
        <v>2907615.0658975141</v>
      </c>
      <c r="CG11" s="206">
        <f>CG$8*'Assumptions and Inputs'!$C$9</f>
        <v>2791310.4632616136</v>
      </c>
      <c r="CH11" s="206">
        <f>CH$8*'Assumptions and Inputs'!$C$9</f>
        <v>2902962.8817920783</v>
      </c>
      <c r="CI11" s="206">
        <f>CI$8*'Assumptions and Inputs'!$C$9</f>
        <v>2931992.5106099988</v>
      </c>
      <c r="CJ11" s="206">
        <f>CJ$8*'Assumptions and Inputs'!$C$9</f>
        <v>2902672.5855038986</v>
      </c>
      <c r="CK11" s="206">
        <f>CK$8*'Assumptions and Inputs'!$C$9</f>
        <v>2902672.5855038986</v>
      </c>
      <c r="CL11" s="206">
        <f>CL$8*'Assumptions and Inputs'!$C$9</f>
        <v>2902672.5855038986</v>
      </c>
      <c r="CM11" s="206">
        <f>CM$8*'Assumptions and Inputs'!$C$9</f>
        <v>2902672.5855038986</v>
      </c>
      <c r="CN11" s="206">
        <f>CN$8*'Assumptions and Inputs'!$C$9</f>
        <v>2902672.5855038986</v>
      </c>
      <c r="CO11" s="206">
        <f>CO$8*'Assumptions and Inputs'!$C$9</f>
        <v>2902672.5855038986</v>
      </c>
      <c r="CP11" s="206">
        <f>CP$8*'Assumptions and Inputs'!$C$9</f>
        <v>2902672.5855038986</v>
      </c>
      <c r="CQ11" s="206">
        <f>CQ$8*'Assumptions and Inputs'!$C$9</f>
        <v>2902672.5855038986</v>
      </c>
      <c r="CR11" s="206">
        <f>CR$8*'Assumptions and Inputs'!$C$9</f>
        <v>2902672.5855038986</v>
      </c>
      <c r="CS11" s="206">
        <f>CS$8*'Assumptions and Inputs'!$C$9</f>
        <v>2902672.5855038986</v>
      </c>
      <c r="CT11" s="206">
        <f>CT$8*'Assumptions and Inputs'!$C$9</f>
        <v>2902672.5855038986</v>
      </c>
      <c r="CU11" s="206">
        <f>CU$8*'Assumptions and Inputs'!$C$9</f>
        <v>2902672.5855038986</v>
      </c>
      <c r="CV11" s="207"/>
      <c r="CW11" s="12">
        <f>SUM(BX11:CI11)</f>
        <v>35276630.246614106</v>
      </c>
      <c r="CY11" s="12">
        <f>SUM(CJ11:CU11)</f>
        <v>34832071.026046783</v>
      </c>
      <c r="CZ11" s="207"/>
      <c r="DA11" s="202"/>
      <c r="DB11" s="1" t="s">
        <v>148</v>
      </c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</row>
    <row r="12" spans="2:121" x14ac:dyDescent="0.3">
      <c r="B12" s="199"/>
      <c r="C12" s="17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>
        <f>SUM(AX11:BI11)</f>
        <v>9081627.540000001</v>
      </c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DA12" s="178"/>
    </row>
    <row r="13" spans="2:121" x14ac:dyDescent="0.3">
      <c r="B13" s="195" t="s">
        <v>151</v>
      </c>
      <c r="C13" s="196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</row>
    <row r="14" spans="2:121" x14ac:dyDescent="0.3">
      <c r="B14" s="209" t="str">
        <f>"Water  - "&amp;FIXED(('Assumptions and Inputs'!$C$40)*100,0,TRUE)&amp;" %"</f>
        <v>Water  - 42 %</v>
      </c>
      <c r="C14" s="178"/>
      <c r="D14" s="210">
        <f>D$11*'Assumptions and Inputs'!$C$40</f>
        <v>352645.49459999998</v>
      </c>
      <c r="E14" s="210">
        <f>E$11*'Assumptions and Inputs'!$C$40</f>
        <v>323834.08679999999</v>
      </c>
      <c r="F14" s="210">
        <f>F$11*'Assumptions and Inputs'!$C$40</f>
        <v>344552.66159999999</v>
      </c>
      <c r="G14" s="210">
        <f>G$11*'Assumptions and Inputs'!$C$40</f>
        <v>331293.228</v>
      </c>
      <c r="H14" s="210">
        <f>H$11*'Assumptions and Inputs'!$C$40</f>
        <v>328900.11420000001</v>
      </c>
      <c r="I14" s="210">
        <f>I$11*'Assumptions and Inputs'!$C$40</f>
        <v>302799.04199999996</v>
      </c>
      <c r="J14" s="210">
        <f>J$11*'Assumptions and Inputs'!$C$40</f>
        <v>308019.34379999997</v>
      </c>
      <c r="K14" s="210">
        <f>K$11*'Assumptions and Inputs'!$C$40</f>
        <v>283981.71059999999</v>
      </c>
      <c r="L14" s="210">
        <f>L$11*'Assumptions and Inputs'!$C$40</f>
        <v>308372.79059999995</v>
      </c>
      <c r="M14" s="210">
        <f>M$11*'Assumptions and Inputs'!$C$40</f>
        <v>333366.52439999999</v>
      </c>
      <c r="N14" s="210">
        <f>N$11*'Assumptions and Inputs'!$C$40</f>
        <v>313368.3</v>
      </c>
      <c r="O14" s="210">
        <f>O$11*'Assumptions and Inputs'!$C$40</f>
        <v>329850.90179999999</v>
      </c>
      <c r="P14" s="210">
        <f>P$11*'Assumptions and Inputs'!$C$40</f>
        <v>343139.37</v>
      </c>
      <c r="Q14" s="210">
        <f>Q$11*'Assumptions and Inputs'!$C$40</f>
        <v>335240.98859999998</v>
      </c>
      <c r="R14" s="210">
        <f>R$11*'Assumptions and Inputs'!$C$40</f>
        <v>290970.56520000001</v>
      </c>
      <c r="S14" s="210">
        <f>S$11*'Assumptions and Inputs'!$C$40</f>
        <v>326847.79680000001</v>
      </c>
      <c r="T14" s="210">
        <f>T$11*'Assumptions and Inputs'!$C$40</f>
        <v>341317.0992</v>
      </c>
      <c r="U14" s="210">
        <f>U$11*'Assumptions and Inputs'!$C$40</f>
        <v>269647.03080000001</v>
      </c>
      <c r="V14" s="210">
        <f>V$11*'Assumptions and Inputs'!$C$40</f>
        <v>261708.3756</v>
      </c>
      <c r="W14" s="210">
        <f>W$11*'Assumptions and Inputs'!$C$40</f>
        <v>306618.55979999999</v>
      </c>
      <c r="X14" s="210">
        <f>X$11*'Assumptions and Inputs'!$C$40</f>
        <v>311568.84360000002</v>
      </c>
      <c r="Y14" s="210">
        <f>Y$11*'Assumptions and Inputs'!$C$40</f>
        <v>322516.62659999996</v>
      </c>
      <c r="Z14" s="210">
        <f>Z$11*'Assumptions and Inputs'!$C$40</f>
        <v>336174.79979999998</v>
      </c>
      <c r="AA14" s="210">
        <f>AA$11*'Assumptions and Inputs'!$C$40</f>
        <v>375806.02919999999</v>
      </c>
      <c r="AB14" s="210">
        <f>AB$11*'Assumptions and Inputs'!$C$40</f>
        <v>354233.43059999996</v>
      </c>
      <c r="AC14" s="210">
        <f>AC$11*'Assumptions and Inputs'!$C$40</f>
        <v>360880.39260000002</v>
      </c>
      <c r="AD14" s="210">
        <f>AD$11*'Assumptions and Inputs'!$C$40</f>
        <v>288364.82640000002</v>
      </c>
      <c r="AE14" s="210">
        <f>AE$11*'Assumptions and Inputs'!$C$40</f>
        <v>353022.31019999995</v>
      </c>
      <c r="AF14" s="210">
        <f>AF$11*'Assumptions and Inputs'!$C$40</f>
        <v>318648.53159999999</v>
      </c>
      <c r="AG14" s="210">
        <f>AG$11*'Assumptions and Inputs'!$C$40</f>
        <v>312908.6226</v>
      </c>
      <c r="AH14" s="210">
        <f>AH$11*'Assumptions and Inputs'!$C$40</f>
        <v>318062.5686</v>
      </c>
      <c r="AI14" s="210">
        <f>AI$11*'Assumptions and Inputs'!$C$40</f>
        <v>343187.80019999994</v>
      </c>
      <c r="AJ14" s="210">
        <f>AJ$11*'Assumptions and Inputs'!$C$40</f>
        <v>296421.01859999995</v>
      </c>
      <c r="AK14" s="210">
        <f>AK$11*'Assumptions and Inputs'!$C$40</f>
        <v>315673.848</v>
      </c>
      <c r="AL14" s="210">
        <f>AL$11*'Assumptions and Inputs'!$C$40</f>
        <v>350502.56639999995</v>
      </c>
      <c r="AM14" s="210">
        <f>AM$11*'Assumptions and Inputs'!$C$40</f>
        <v>341918.47620000003</v>
      </c>
      <c r="AN14" s="210">
        <f>AN$11*'Assumptions and Inputs'!$C$40</f>
        <v>350976.6078</v>
      </c>
      <c r="AO14" s="210">
        <f>AO$11*'Assumptions and Inputs'!$C$40</f>
        <v>394086.65519999998</v>
      </c>
      <c r="AP14" s="210">
        <f>AP$11*'Assumptions and Inputs'!$C$40</f>
        <v>351297.35340000002</v>
      </c>
      <c r="AQ14" s="210">
        <f>AQ$11*'Assumptions and Inputs'!$C$40</f>
        <v>346192.02240000002</v>
      </c>
      <c r="AR14" s="210">
        <f>AR$11*'Assumptions and Inputs'!$C$40</f>
        <v>329952.81059999997</v>
      </c>
      <c r="AS14" s="210">
        <f>AS$11*'Assumptions and Inputs'!$C$40</f>
        <v>261336.10439999998</v>
      </c>
      <c r="AT14" s="210">
        <f>AT$11*'Assumptions and Inputs'!$C$40</f>
        <v>254717.47979999997</v>
      </c>
      <c r="AU14" s="210">
        <f>AU$11*'Assumptions and Inputs'!$C$40</f>
        <v>208284.33359999998</v>
      </c>
      <c r="AV14" s="210">
        <f>AV$11*'Assumptions and Inputs'!$C$40</f>
        <v>193686.75899999996</v>
      </c>
      <c r="AW14" s="210">
        <f>AW$11*'Assumptions and Inputs'!$C$40</f>
        <v>202516.78439999997</v>
      </c>
      <c r="AX14" s="210">
        <f>AX$11*'Assumptions and Inputs'!$C$40</f>
        <v>229851.82920000001</v>
      </c>
      <c r="AY14" s="210">
        <f>AY$11*'Assumptions and Inputs'!$C$40</f>
        <v>246948.56339999998</v>
      </c>
      <c r="AZ14" s="210">
        <f>AZ$11*'Assumptions and Inputs'!$C$40</f>
        <v>329607.8688</v>
      </c>
      <c r="BA14" s="210">
        <f>BA$11*'Assumptions and Inputs'!$C$40</f>
        <v>319172.80499999999</v>
      </c>
      <c r="BB14" s="210">
        <f>BB$11*'Assumptions and Inputs'!$C$40</f>
        <v>309073.3002</v>
      </c>
      <c r="BC14" s="210">
        <f>BC$11*'Assumptions and Inputs'!$C$40</f>
        <v>328325.17620000005</v>
      </c>
      <c r="BD14" s="210">
        <f>BD$11*'Assumptions and Inputs'!$C$40</f>
        <v>366832.94760000001</v>
      </c>
      <c r="BE14" s="210">
        <f>BE$11*'Assumptions and Inputs'!$C$40</f>
        <v>292952.52840000001</v>
      </c>
      <c r="BF14" s="210">
        <f>BF$11*'Assumptions and Inputs'!$C$40</f>
        <v>359570.49239999999</v>
      </c>
      <c r="BG14" s="210">
        <f>BG$11*'Assumptions and Inputs'!$C$40</f>
        <v>302335.8492</v>
      </c>
      <c r="BH14" s="210">
        <f>BH$11*'Assumptions and Inputs'!$C$40</f>
        <v>318179.63940000004</v>
      </c>
      <c r="BI14" s="210">
        <f>BI$11*'Assumptions and Inputs'!$C$40</f>
        <v>411432.56699999998</v>
      </c>
      <c r="BJ14" s="210">
        <f>BJ$11*'Assumptions and Inputs'!$C$40</f>
        <v>448211.12700000004</v>
      </c>
      <c r="BK14" s="210">
        <f>BK$11*'Assumptions and Inputs'!$C$40</f>
        <v>432894.17219999997</v>
      </c>
      <c r="BL14" s="210">
        <f>BL$11*'Assumptions and Inputs'!$C$40</f>
        <v>519365.75880000001</v>
      </c>
      <c r="BM14" s="210">
        <f>BM$11*'Assumptions and Inputs'!$C$40</f>
        <v>501702.77639999997</v>
      </c>
      <c r="BN14" s="210">
        <f>BN$11*'Assumptions and Inputs'!$C$40</f>
        <v>532516.75260000001</v>
      </c>
      <c r="BO14" s="210">
        <f>BO$11*'Assumptions and Inputs'!$C$40</f>
        <v>540733.5443999999</v>
      </c>
      <c r="BP14" s="210">
        <f>BP$11*'Assumptions and Inputs'!$C$40</f>
        <v>561599.95079999999</v>
      </c>
      <c r="BQ14" s="210">
        <f>BQ$11*'Assumptions and Inputs'!$C$40</f>
        <v>640223.54339999997</v>
      </c>
      <c r="BR14" s="210">
        <f>BR$11*'Assumptions and Inputs'!$C$40</f>
        <v>848598.90359999996</v>
      </c>
      <c r="BS14" s="210">
        <f>BS$11*'Assumptions and Inputs'!$C$40</f>
        <v>879554.24759999989</v>
      </c>
      <c r="BT14" s="210">
        <f>BT$11*'Assumptions and Inputs'!$C$40</f>
        <v>995011.52099999983</v>
      </c>
      <c r="BU14" s="210">
        <f>BU$11*'Assumptions and Inputs'!$C$40</f>
        <v>987711.65639999998</v>
      </c>
      <c r="BV14" s="210">
        <f>BV$11*'Assumptions and Inputs'!$C$40</f>
        <v>1066881.0558</v>
      </c>
      <c r="BW14" s="210">
        <f>BW$11*'Assumptions and Inputs'!$C$40</f>
        <v>1149071.6159999999</v>
      </c>
      <c r="BX14" s="210">
        <f>BX$11*'Assumptions and Inputs'!$C$40</f>
        <v>1342862.6441999997</v>
      </c>
      <c r="BY14" s="210">
        <f>BY$11*'Assumptions and Inputs'!$C$40</f>
        <v>1432399.0338000001</v>
      </c>
      <c r="BZ14" s="210">
        <f>BZ$11*'Assumptions and Inputs'!$C$40</f>
        <v>1261930.5257999999</v>
      </c>
      <c r="CA14" s="210">
        <f>CA$11*'Assumptions and Inputs'!$C$40</f>
        <v>1188253.6997583644</v>
      </c>
      <c r="CB14" s="210">
        <f>CB$11*'Assumptions and Inputs'!$C$40</f>
        <v>1200136.236755948</v>
      </c>
      <c r="CC14" s="210">
        <f>CC$11*'Assumptions and Inputs'!$C$40</f>
        <v>1140129.4249181508</v>
      </c>
      <c r="CD14" s="210">
        <f>CD$11*'Assumptions and Inputs'!$C$40</f>
        <v>1197135.8961640585</v>
      </c>
      <c r="CE14" s="210">
        <f>CE$11*'Assumptions and Inputs'!$C$40</f>
        <v>1209107.2551256989</v>
      </c>
      <c r="CF14" s="210">
        <f>CF$11*'Assumptions and Inputs'!$C$40</f>
        <v>1221198.3276769558</v>
      </c>
      <c r="CG14" s="210">
        <f>CG$11*'Assumptions and Inputs'!$C$40</f>
        <v>1172350.3945698778</v>
      </c>
      <c r="CH14" s="210">
        <f>CH$11*'Assumptions and Inputs'!$C$40</f>
        <v>1219244.4103526729</v>
      </c>
      <c r="CI14" s="210">
        <f>CI$11*'Assumptions and Inputs'!$C$40</f>
        <v>1231436.8544561996</v>
      </c>
      <c r="CJ14" s="210">
        <f>CJ$11*'Assumptions and Inputs'!$C$40</f>
        <v>1219122.4859116373</v>
      </c>
      <c r="CK14" s="210">
        <f>CK$11*'Assumptions and Inputs'!$C$40</f>
        <v>1219122.4859116373</v>
      </c>
      <c r="CL14" s="210">
        <f>CL$11*'Assumptions and Inputs'!$C$40</f>
        <v>1219122.4859116373</v>
      </c>
      <c r="CM14" s="210">
        <f>CM$11*'Assumptions and Inputs'!$C$40</f>
        <v>1219122.4859116373</v>
      </c>
      <c r="CN14" s="210">
        <f>CN$11*'Assumptions and Inputs'!$C$40</f>
        <v>1219122.4859116373</v>
      </c>
      <c r="CO14" s="210">
        <f>CO$11*'Assumptions and Inputs'!$C$40</f>
        <v>1219122.4859116373</v>
      </c>
      <c r="CP14" s="210">
        <f>CP$11*'Assumptions and Inputs'!$C$40</f>
        <v>1219122.4859116373</v>
      </c>
      <c r="CQ14" s="210">
        <f>CQ$11*'Assumptions and Inputs'!$C$40</f>
        <v>1219122.4859116373</v>
      </c>
      <c r="CR14" s="210">
        <f>CR$11*'Assumptions and Inputs'!$C$40</f>
        <v>1219122.4859116373</v>
      </c>
      <c r="CS14" s="210">
        <f>CS$11*'Assumptions and Inputs'!$C$40</f>
        <v>1219122.4859116373</v>
      </c>
      <c r="CT14" s="210">
        <f>CT$11*'Assumptions and Inputs'!$C$40</f>
        <v>1219122.4859116373</v>
      </c>
      <c r="CU14" s="210">
        <f>CU$11*'Assumptions and Inputs'!$C$40</f>
        <v>1219122.4859116373</v>
      </c>
      <c r="CW14" s="12">
        <f>SUM(BX14:CI14)</f>
        <v>14816184.703577926</v>
      </c>
      <c r="CY14" s="12">
        <f>SUM(CJ14:CU14)</f>
        <v>14629469.830939649</v>
      </c>
      <c r="DA14" s="178"/>
      <c r="DB14" s="1" t="s">
        <v>152</v>
      </c>
    </row>
    <row r="15" spans="2:121" x14ac:dyDescent="0.3">
      <c r="B15" s="209" t="str">
        <f>"Wastewater  - "&amp;FIXED(('Assumptions and Inputs'!$C$42)*100,0,TRUE)&amp;" %"</f>
        <v>Wastewater  - 58 %</v>
      </c>
      <c r="C15" s="178"/>
      <c r="D15" s="211">
        <f>D$11*'Assumptions and Inputs'!$C$42</f>
        <v>486986.63539999997</v>
      </c>
      <c r="E15" s="211">
        <f>E$11*'Assumptions and Inputs'!$C$42</f>
        <v>447199.45319999999</v>
      </c>
      <c r="F15" s="211">
        <f>F$11*'Assumptions and Inputs'!$C$42</f>
        <v>475810.81839999993</v>
      </c>
      <c r="G15" s="211">
        <f>G$11*'Assumptions and Inputs'!$C$42</f>
        <v>457500.17199999996</v>
      </c>
      <c r="H15" s="211">
        <f>H$11*'Assumptions and Inputs'!$C$42</f>
        <v>454195.3958</v>
      </c>
      <c r="I15" s="211">
        <f>I$11*'Assumptions and Inputs'!$C$42</f>
        <v>418151.05799999996</v>
      </c>
      <c r="J15" s="211">
        <f>J$11*'Assumptions and Inputs'!$C$42</f>
        <v>425360.04619999998</v>
      </c>
      <c r="K15" s="211">
        <f>K$11*'Assumptions and Inputs'!$C$42</f>
        <v>392165.2194</v>
      </c>
      <c r="L15" s="211">
        <f>L$11*'Assumptions and Inputs'!$C$42</f>
        <v>425848.13939999993</v>
      </c>
      <c r="M15" s="211">
        <f>M$11*'Assumptions and Inputs'!$C$42</f>
        <v>460363.29560000001</v>
      </c>
      <c r="N15" s="211">
        <f>N$11*'Assumptions and Inputs'!$C$42</f>
        <v>432746.69999999995</v>
      </c>
      <c r="O15" s="211">
        <f>O$11*'Assumptions and Inputs'!$C$42</f>
        <v>455508.38819999999</v>
      </c>
      <c r="P15" s="211">
        <f>P$11*'Assumptions and Inputs'!$C$42</f>
        <v>473859.12999999995</v>
      </c>
      <c r="Q15" s="211">
        <f>Q$11*'Assumptions and Inputs'!$C$42</f>
        <v>462951.84139999992</v>
      </c>
      <c r="R15" s="211">
        <f>R$11*'Assumptions and Inputs'!$C$42</f>
        <v>401816.49479999999</v>
      </c>
      <c r="S15" s="211">
        <f>S$11*'Assumptions and Inputs'!$C$42</f>
        <v>451361.24319999997</v>
      </c>
      <c r="T15" s="211">
        <f>T$11*'Assumptions and Inputs'!$C$42</f>
        <v>471342.66079999995</v>
      </c>
      <c r="U15" s="211">
        <f>U$11*'Assumptions and Inputs'!$C$42</f>
        <v>372369.70919999998</v>
      </c>
      <c r="V15" s="211">
        <f>V$11*'Assumptions and Inputs'!$C$42</f>
        <v>361406.80440000002</v>
      </c>
      <c r="W15" s="211">
        <f>W$11*'Assumptions and Inputs'!$C$42</f>
        <v>423425.63019999996</v>
      </c>
      <c r="X15" s="211">
        <f>X$11*'Assumptions and Inputs'!$C$42</f>
        <v>430261.73639999999</v>
      </c>
      <c r="Y15" s="211">
        <f>Y$11*'Assumptions and Inputs'!$C$42</f>
        <v>445380.10339999996</v>
      </c>
      <c r="Z15" s="211">
        <f>Z$11*'Assumptions and Inputs'!$C$42</f>
        <v>464241.39019999991</v>
      </c>
      <c r="AA15" s="211">
        <f>AA$11*'Assumptions and Inputs'!$C$42</f>
        <v>518970.23079999996</v>
      </c>
      <c r="AB15" s="211">
        <f>AB$11*'Assumptions and Inputs'!$C$42</f>
        <v>489179.49939999991</v>
      </c>
      <c r="AC15" s="211">
        <f>AC$11*'Assumptions and Inputs'!$C$42</f>
        <v>498358.63740000001</v>
      </c>
      <c r="AD15" s="211">
        <f>AD$11*'Assumptions and Inputs'!$C$42</f>
        <v>398218.09360000002</v>
      </c>
      <c r="AE15" s="211">
        <f>AE$11*'Assumptions and Inputs'!$C$42</f>
        <v>487506.99979999993</v>
      </c>
      <c r="AF15" s="211">
        <f>AF$11*'Assumptions and Inputs'!$C$42</f>
        <v>440038.44839999994</v>
      </c>
      <c r="AG15" s="211">
        <f>AG$11*'Assumptions and Inputs'!$C$42</f>
        <v>432111.90739999997</v>
      </c>
      <c r="AH15" s="211">
        <f>AH$11*'Assumptions and Inputs'!$C$42</f>
        <v>439229.26139999996</v>
      </c>
      <c r="AI15" s="211">
        <f>AI$11*'Assumptions and Inputs'!$C$42</f>
        <v>473926.00979999994</v>
      </c>
      <c r="AJ15" s="211">
        <f>AJ$11*'Assumptions and Inputs'!$C$42</f>
        <v>409343.31139999995</v>
      </c>
      <c r="AK15" s="211">
        <f>AK$11*'Assumptions and Inputs'!$C$42</f>
        <v>435930.55199999997</v>
      </c>
      <c r="AL15" s="211">
        <f>AL$11*'Assumptions and Inputs'!$C$42</f>
        <v>484027.35359999991</v>
      </c>
      <c r="AM15" s="211">
        <f>AM$11*'Assumptions and Inputs'!$C$42</f>
        <v>472173.13380000001</v>
      </c>
      <c r="AN15" s="211">
        <f>AN$11*'Assumptions and Inputs'!$C$42</f>
        <v>484681.98219999997</v>
      </c>
      <c r="AO15" s="211">
        <f>AO$11*'Assumptions and Inputs'!$C$42</f>
        <v>544214.9047999999</v>
      </c>
      <c r="AP15" s="211">
        <f>AP$11*'Assumptions and Inputs'!$C$42</f>
        <v>485124.9166</v>
      </c>
      <c r="AQ15" s="211">
        <f>AQ$11*'Assumptions and Inputs'!$C$42</f>
        <v>478074.69760000001</v>
      </c>
      <c r="AR15" s="211">
        <f>AR$11*'Assumptions and Inputs'!$C$42</f>
        <v>455649.11939999991</v>
      </c>
      <c r="AS15" s="211">
        <f>AS$11*'Assumptions and Inputs'!$C$42</f>
        <v>360892.71559999994</v>
      </c>
      <c r="AT15" s="211">
        <f>AT$11*'Assumptions and Inputs'!$C$42</f>
        <v>351752.71019999997</v>
      </c>
      <c r="AU15" s="211">
        <f>AU$11*'Assumptions and Inputs'!$C$42</f>
        <v>287630.74639999995</v>
      </c>
      <c r="AV15" s="211">
        <f>AV$11*'Assumptions and Inputs'!$C$42</f>
        <v>267472.19099999993</v>
      </c>
      <c r="AW15" s="211">
        <f>AW$11*'Assumptions and Inputs'!$C$42</f>
        <v>279666.03559999994</v>
      </c>
      <c r="AX15" s="211">
        <f>AX$11*'Assumptions and Inputs'!$C$42</f>
        <v>317414.43079999997</v>
      </c>
      <c r="AY15" s="211">
        <f>AY$11*'Assumptions and Inputs'!$C$42</f>
        <v>341024.20659999998</v>
      </c>
      <c r="AZ15" s="211">
        <f>AZ$11*'Assumptions and Inputs'!$C$42</f>
        <v>455172.77119999996</v>
      </c>
      <c r="BA15" s="211">
        <f>BA$11*'Assumptions and Inputs'!$C$42</f>
        <v>440762.44499999995</v>
      </c>
      <c r="BB15" s="211">
        <f>BB$11*'Assumptions and Inputs'!$C$42</f>
        <v>426815.5098</v>
      </c>
      <c r="BC15" s="211">
        <f>BC$11*'Assumptions and Inputs'!$C$42</f>
        <v>453401.43380000006</v>
      </c>
      <c r="BD15" s="211">
        <f>BD$11*'Assumptions and Inputs'!$C$42</f>
        <v>506578.83239999996</v>
      </c>
      <c r="BE15" s="211">
        <f>BE$11*'Assumptions and Inputs'!$C$42</f>
        <v>404553.49160000001</v>
      </c>
      <c r="BF15" s="211">
        <f>BF$11*'Assumptions and Inputs'!$C$42</f>
        <v>496549.72759999993</v>
      </c>
      <c r="BG15" s="211">
        <f>BG$11*'Assumptions and Inputs'!$C$42</f>
        <v>417511.41079999995</v>
      </c>
      <c r="BH15" s="211">
        <f>BH$11*'Assumptions and Inputs'!$C$42</f>
        <v>439390.93060000002</v>
      </c>
      <c r="BI15" s="211">
        <f>BI$11*'Assumptions and Inputs'!$C$42</f>
        <v>568168.78299999994</v>
      </c>
      <c r="BJ15" s="211">
        <f>BJ$11*'Assumptions and Inputs'!$C$42</f>
        <v>618958.223</v>
      </c>
      <c r="BK15" s="211">
        <f>BK$11*'Assumptions and Inputs'!$C$42</f>
        <v>597806.23779999989</v>
      </c>
      <c r="BL15" s="211">
        <f>BL$11*'Assumptions and Inputs'!$C$42</f>
        <v>717219.38120000006</v>
      </c>
      <c r="BM15" s="211">
        <f>BM$11*'Assumptions and Inputs'!$C$42</f>
        <v>692827.64359999995</v>
      </c>
      <c r="BN15" s="211">
        <f>BN$11*'Assumptions and Inputs'!$C$42</f>
        <v>735380.27740000002</v>
      </c>
      <c r="BO15" s="211">
        <f>BO$11*'Assumptions and Inputs'!$C$42</f>
        <v>746727.27559999982</v>
      </c>
      <c r="BP15" s="211">
        <f>BP$11*'Assumptions and Inputs'!$C$42</f>
        <v>775542.7892</v>
      </c>
      <c r="BQ15" s="211">
        <f>BQ$11*'Assumptions and Inputs'!$C$42</f>
        <v>884118.22659999994</v>
      </c>
      <c r="BR15" s="211">
        <f>BR$11*'Assumptions and Inputs'!$C$42</f>
        <v>1171874.6764</v>
      </c>
      <c r="BS15" s="211">
        <f>BS$11*'Assumptions and Inputs'!$C$42</f>
        <v>1214622.5323999999</v>
      </c>
      <c r="BT15" s="211">
        <f>BT$11*'Assumptions and Inputs'!$C$42</f>
        <v>1374063.5289999999</v>
      </c>
      <c r="BU15" s="211">
        <f>BU$11*'Assumptions and Inputs'!$C$42</f>
        <v>1363982.7635999999</v>
      </c>
      <c r="BV15" s="211">
        <f>BV$11*'Assumptions and Inputs'!$C$42</f>
        <v>1473311.9342</v>
      </c>
      <c r="BW15" s="211">
        <f>BW$11*'Assumptions and Inputs'!$C$42</f>
        <v>1586813.1839999999</v>
      </c>
      <c r="BX15" s="211">
        <f>BX$11*'Assumptions and Inputs'!$C$42</f>
        <v>1854429.3657999998</v>
      </c>
      <c r="BY15" s="211">
        <f>BY$11*'Assumptions and Inputs'!$C$42</f>
        <v>1978074.8562</v>
      </c>
      <c r="BZ15" s="211">
        <f>BZ$11*'Assumptions and Inputs'!$C$42</f>
        <v>1742665.9642</v>
      </c>
      <c r="CA15" s="211">
        <f>CA$11*'Assumptions and Inputs'!$C$42</f>
        <v>1640921.775856789</v>
      </c>
      <c r="CB15" s="211">
        <f>CB$11*'Assumptions and Inputs'!$C$42</f>
        <v>1657330.993615357</v>
      </c>
      <c r="CC15" s="211">
        <f>CC$11*'Assumptions and Inputs'!$C$42</f>
        <v>1574464.4439345892</v>
      </c>
      <c r="CD15" s="211">
        <f>CD$11*'Assumptions and Inputs'!$C$42</f>
        <v>1653187.6661313188</v>
      </c>
      <c r="CE15" s="211">
        <f>CE$11*'Assumptions and Inputs'!$C$42</f>
        <v>1669719.5427926318</v>
      </c>
      <c r="CF15" s="211">
        <f>CF$11*'Assumptions and Inputs'!$C$42</f>
        <v>1686416.738220558</v>
      </c>
      <c r="CG15" s="211">
        <f>CG$11*'Assumptions and Inputs'!$C$42</f>
        <v>1618960.0686917359</v>
      </c>
      <c r="CH15" s="211">
        <f>CH$11*'Assumptions and Inputs'!$C$42</f>
        <v>1683718.4714394053</v>
      </c>
      <c r="CI15" s="211">
        <f>CI$11*'Assumptions and Inputs'!$C$42</f>
        <v>1700555.6561537993</v>
      </c>
      <c r="CJ15" s="211">
        <f>CJ$11*'Assumptions and Inputs'!$C$42</f>
        <v>1683550.099592261</v>
      </c>
      <c r="CK15" s="211">
        <f>CK$11*'Assumptions and Inputs'!$C$42</f>
        <v>1683550.099592261</v>
      </c>
      <c r="CL15" s="211">
        <f>CL$11*'Assumptions and Inputs'!$C$42</f>
        <v>1683550.099592261</v>
      </c>
      <c r="CM15" s="211">
        <f>CM$11*'Assumptions and Inputs'!$C$42</f>
        <v>1683550.099592261</v>
      </c>
      <c r="CN15" s="211">
        <f>CN$11*'Assumptions and Inputs'!$C$42</f>
        <v>1683550.099592261</v>
      </c>
      <c r="CO15" s="211">
        <f>CO$11*'Assumptions and Inputs'!$C$42</f>
        <v>1683550.099592261</v>
      </c>
      <c r="CP15" s="211">
        <f>CP$11*'Assumptions and Inputs'!$C$42</f>
        <v>1683550.099592261</v>
      </c>
      <c r="CQ15" s="211">
        <f>CQ$11*'Assumptions and Inputs'!$C$42</f>
        <v>1683550.099592261</v>
      </c>
      <c r="CR15" s="211">
        <f>CR$11*'Assumptions and Inputs'!$C$42</f>
        <v>1683550.099592261</v>
      </c>
      <c r="CS15" s="211">
        <f>CS$11*'Assumptions and Inputs'!$C$42</f>
        <v>1683550.099592261</v>
      </c>
      <c r="CT15" s="211">
        <f>CT$11*'Assumptions and Inputs'!$C$42</f>
        <v>1683550.099592261</v>
      </c>
      <c r="CU15" s="211">
        <f>CU$11*'Assumptions and Inputs'!$C$42</f>
        <v>1683550.099592261</v>
      </c>
      <c r="CW15" s="12">
        <f>SUM(BX15:CI15)</f>
        <v>20460445.543036185</v>
      </c>
      <c r="CY15" s="12">
        <f>SUM(CJ15:CU15)</f>
        <v>20202601.195107132</v>
      </c>
      <c r="DA15" s="178"/>
      <c r="DB15" s="1" t="s">
        <v>153</v>
      </c>
    </row>
    <row r="16" spans="2:121" x14ac:dyDescent="0.3">
      <c r="B16" s="212" t="s">
        <v>154</v>
      </c>
      <c r="C16" s="212"/>
      <c r="D16" s="213">
        <f>SUM(D14:D15)-D11</f>
        <v>0</v>
      </c>
      <c r="E16" s="213">
        <f t="shared" ref="E16:O16" si="0">SUM(E14:E15)-E11</f>
        <v>0</v>
      </c>
      <c r="F16" s="213">
        <f t="shared" si="0"/>
        <v>0</v>
      </c>
      <c r="G16" s="213">
        <f t="shared" si="0"/>
        <v>0</v>
      </c>
      <c r="H16" s="213">
        <f t="shared" si="0"/>
        <v>0</v>
      </c>
      <c r="I16" s="213">
        <f t="shared" si="0"/>
        <v>0</v>
      </c>
      <c r="J16" s="213">
        <f t="shared" si="0"/>
        <v>0</v>
      </c>
      <c r="K16" s="213">
        <f t="shared" si="0"/>
        <v>0</v>
      </c>
      <c r="L16" s="213">
        <f t="shared" si="0"/>
        <v>0</v>
      </c>
      <c r="M16" s="213">
        <f t="shared" si="0"/>
        <v>0</v>
      </c>
      <c r="N16" s="213">
        <f t="shared" si="0"/>
        <v>0</v>
      </c>
      <c r="O16" s="213">
        <f t="shared" si="0"/>
        <v>0</v>
      </c>
      <c r="P16" s="213">
        <f t="shared" ref="P16:AA16" si="1">SUM(P14:P15)-P11</f>
        <v>0</v>
      </c>
      <c r="Q16" s="213">
        <f t="shared" si="1"/>
        <v>0</v>
      </c>
      <c r="R16" s="213">
        <f t="shared" si="1"/>
        <v>0</v>
      </c>
      <c r="S16" s="213">
        <f t="shared" si="1"/>
        <v>0</v>
      </c>
      <c r="T16" s="213">
        <f t="shared" si="1"/>
        <v>0</v>
      </c>
      <c r="U16" s="213">
        <f t="shared" si="1"/>
        <v>0</v>
      </c>
      <c r="V16" s="213">
        <f t="shared" si="1"/>
        <v>0</v>
      </c>
      <c r="W16" s="213">
        <f t="shared" si="1"/>
        <v>0</v>
      </c>
      <c r="X16" s="213">
        <f t="shared" si="1"/>
        <v>0</v>
      </c>
      <c r="Y16" s="213">
        <f t="shared" si="1"/>
        <v>0</v>
      </c>
      <c r="Z16" s="213">
        <f t="shared" si="1"/>
        <v>0</v>
      </c>
      <c r="AA16" s="213">
        <f t="shared" si="1"/>
        <v>0</v>
      </c>
      <c r="AB16" s="213">
        <f t="shared" ref="AB16:AM16" si="2">SUM(AB14:AB15)-AB11</f>
        <v>0</v>
      </c>
      <c r="AC16" s="213">
        <f t="shared" si="2"/>
        <v>0</v>
      </c>
      <c r="AD16" s="213">
        <f t="shared" si="2"/>
        <v>0</v>
      </c>
      <c r="AE16" s="213">
        <f t="shared" si="2"/>
        <v>0</v>
      </c>
      <c r="AF16" s="213">
        <f t="shared" si="2"/>
        <v>0</v>
      </c>
      <c r="AG16" s="213">
        <f t="shared" si="2"/>
        <v>0</v>
      </c>
      <c r="AH16" s="213">
        <f t="shared" si="2"/>
        <v>0</v>
      </c>
      <c r="AI16" s="213">
        <f t="shared" si="2"/>
        <v>0</v>
      </c>
      <c r="AJ16" s="213">
        <f t="shared" si="2"/>
        <v>0</v>
      </c>
      <c r="AK16" s="213">
        <f t="shared" si="2"/>
        <v>0</v>
      </c>
      <c r="AL16" s="213">
        <f t="shared" si="2"/>
        <v>0</v>
      </c>
      <c r="AM16" s="213">
        <f t="shared" si="2"/>
        <v>0</v>
      </c>
      <c r="AN16" s="213">
        <f t="shared" ref="AN16:AY16" si="3">SUM(AN14:AN15)-AN11</f>
        <v>0</v>
      </c>
      <c r="AO16" s="213">
        <f t="shared" si="3"/>
        <v>0</v>
      </c>
      <c r="AP16" s="213">
        <f t="shared" si="3"/>
        <v>0</v>
      </c>
      <c r="AQ16" s="213">
        <f t="shared" si="3"/>
        <v>0</v>
      </c>
      <c r="AR16" s="213">
        <f t="shared" si="3"/>
        <v>0</v>
      </c>
      <c r="AS16" s="213">
        <f t="shared" si="3"/>
        <v>0</v>
      </c>
      <c r="AT16" s="213">
        <f t="shared" si="3"/>
        <v>0</v>
      </c>
      <c r="AU16" s="213">
        <f t="shared" si="3"/>
        <v>0</v>
      </c>
      <c r="AV16" s="213">
        <f t="shared" si="3"/>
        <v>0</v>
      </c>
      <c r="AW16" s="213">
        <f t="shared" si="3"/>
        <v>0</v>
      </c>
      <c r="AX16" s="213">
        <f t="shared" si="3"/>
        <v>0</v>
      </c>
      <c r="AY16" s="213">
        <f t="shared" si="3"/>
        <v>0</v>
      </c>
      <c r="AZ16" s="213">
        <f t="shared" ref="AZ16:BK16" si="4">SUM(AZ14:AZ15)-AZ11</f>
        <v>0</v>
      </c>
      <c r="BA16" s="213">
        <f t="shared" si="4"/>
        <v>0</v>
      </c>
      <c r="BB16" s="213">
        <f t="shared" si="4"/>
        <v>0</v>
      </c>
      <c r="BC16" s="213">
        <f t="shared" si="4"/>
        <v>0</v>
      </c>
      <c r="BD16" s="213">
        <f t="shared" si="4"/>
        <v>0</v>
      </c>
      <c r="BE16" s="213">
        <f t="shared" si="4"/>
        <v>0</v>
      </c>
      <c r="BF16" s="213">
        <f t="shared" si="4"/>
        <v>0</v>
      </c>
      <c r="BG16" s="213">
        <f t="shared" si="4"/>
        <v>0</v>
      </c>
      <c r="BH16" s="213">
        <f t="shared" si="4"/>
        <v>0</v>
      </c>
      <c r="BI16" s="213">
        <f t="shared" si="4"/>
        <v>0</v>
      </c>
      <c r="BJ16" s="213">
        <f t="shared" si="4"/>
        <v>0</v>
      </c>
      <c r="BK16" s="213">
        <f t="shared" si="4"/>
        <v>0</v>
      </c>
      <c r="BL16" s="213">
        <f t="shared" ref="BL16:BW16" si="5">SUM(BL14:BL15)-BL11</f>
        <v>0</v>
      </c>
      <c r="BM16" s="213">
        <f t="shared" si="5"/>
        <v>0</v>
      </c>
      <c r="BN16" s="213">
        <f t="shared" si="5"/>
        <v>0</v>
      </c>
      <c r="BO16" s="213">
        <f t="shared" si="5"/>
        <v>0</v>
      </c>
      <c r="BP16" s="213">
        <f t="shared" si="5"/>
        <v>0</v>
      </c>
      <c r="BQ16" s="213">
        <f t="shared" si="5"/>
        <v>0</v>
      </c>
      <c r="BR16" s="213">
        <f t="shared" si="5"/>
        <v>0</v>
      </c>
      <c r="BS16" s="213">
        <f t="shared" si="5"/>
        <v>0</v>
      </c>
      <c r="BT16" s="213">
        <f t="shared" si="5"/>
        <v>0</v>
      </c>
      <c r="BU16" s="213">
        <f t="shared" si="5"/>
        <v>0</v>
      </c>
      <c r="BV16" s="213">
        <f t="shared" si="5"/>
        <v>0</v>
      </c>
      <c r="BW16" s="213">
        <f t="shared" si="5"/>
        <v>0</v>
      </c>
      <c r="BX16" s="213">
        <f t="shared" ref="BX16:CI16" si="6">SUM(BX14:BX15)-BX11</f>
        <v>0</v>
      </c>
      <c r="BY16" s="213">
        <f t="shared" si="6"/>
        <v>0</v>
      </c>
      <c r="BZ16" s="213">
        <f t="shared" si="6"/>
        <v>0</v>
      </c>
      <c r="CA16" s="213">
        <f t="shared" si="6"/>
        <v>0</v>
      </c>
      <c r="CB16" s="213">
        <f t="shared" si="6"/>
        <v>0</v>
      </c>
      <c r="CC16" s="213">
        <f t="shared" si="6"/>
        <v>0</v>
      </c>
      <c r="CD16" s="213">
        <f t="shared" si="6"/>
        <v>0</v>
      </c>
      <c r="CE16" s="213">
        <f t="shared" si="6"/>
        <v>0</v>
      </c>
      <c r="CF16" s="213">
        <f t="shared" si="6"/>
        <v>0</v>
      </c>
      <c r="CG16" s="213">
        <f t="shared" si="6"/>
        <v>0</v>
      </c>
      <c r="CH16" s="213">
        <f t="shared" si="6"/>
        <v>0</v>
      </c>
      <c r="CI16" s="213">
        <f t="shared" si="6"/>
        <v>0</v>
      </c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X16" s="213"/>
      <c r="CY16" s="12">
        <f>SUM(CJ16:CU16)</f>
        <v>0</v>
      </c>
      <c r="DA16" s="212"/>
    </row>
    <row r="17" spans="2:125" x14ac:dyDescent="0.3"/>
    <row r="18" spans="2:125" x14ac:dyDescent="0.3">
      <c r="B18" s="214" t="s">
        <v>155</v>
      </c>
      <c r="C18" s="215"/>
      <c r="D18" s="216"/>
      <c r="E18" s="216"/>
      <c r="F18" s="216"/>
      <c r="G18" s="216"/>
      <c r="H18" s="21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9"/>
      <c r="CW18" s="219"/>
      <c r="CX18" s="219"/>
      <c r="CY18" s="219"/>
      <c r="CZ18" s="219"/>
      <c r="DA18" s="216"/>
      <c r="DB18" s="216"/>
    </row>
    <row r="19" spans="2:125" x14ac:dyDescent="0.3"/>
    <row r="20" spans="2:125" x14ac:dyDescent="0.3">
      <c r="B20" s="195" t="s">
        <v>156</v>
      </c>
      <c r="C20" s="196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220" t="s">
        <v>157</v>
      </c>
      <c r="DB20" s="195"/>
    </row>
    <row r="21" spans="2:125" x14ac:dyDescent="0.3">
      <c r="B21" s="157" t="s">
        <v>158</v>
      </c>
      <c r="D21" s="221">
        <v>125292</v>
      </c>
      <c r="E21" s="221">
        <v>116321</v>
      </c>
      <c r="F21" s="221">
        <v>123998</v>
      </c>
      <c r="G21" s="221">
        <v>120173</v>
      </c>
      <c r="H21" s="221">
        <v>119891</v>
      </c>
      <c r="I21" s="221">
        <v>110548</v>
      </c>
      <c r="J21" s="221">
        <v>112511</v>
      </c>
      <c r="K21" s="221">
        <v>104488</v>
      </c>
      <c r="L21" s="221">
        <v>113669</v>
      </c>
      <c r="M21" s="221">
        <v>122924</v>
      </c>
      <c r="N21" s="221">
        <v>116438</v>
      </c>
      <c r="O21" s="221">
        <v>122239</v>
      </c>
      <c r="P21" s="221">
        <v>126658</v>
      </c>
      <c r="Q21" s="221">
        <v>123645</v>
      </c>
      <c r="R21" s="221">
        <v>107145</v>
      </c>
      <c r="S21" s="221">
        <v>120669</v>
      </c>
      <c r="T21" s="221">
        <v>126488</v>
      </c>
      <c r="U21" s="221">
        <v>101034</v>
      </c>
      <c r="V21" s="221">
        <v>98932</v>
      </c>
      <c r="W21" s="221">
        <v>114718</v>
      </c>
      <c r="X21" s="221">
        <v>115895</v>
      </c>
      <c r="Y21" s="221">
        <v>120388</v>
      </c>
      <c r="Z21" s="221">
        <v>125154</v>
      </c>
      <c r="AA21" s="221">
        <v>138990</v>
      </c>
      <c r="AB21" s="221">
        <v>126956</v>
      </c>
      <c r="AC21" s="221">
        <v>128016</v>
      </c>
      <c r="AD21" s="221">
        <v>103048</v>
      </c>
      <c r="AE21" s="221">
        <v>149519</v>
      </c>
      <c r="AF21" s="221">
        <v>119298</v>
      </c>
      <c r="AG21" s="221">
        <v>117079</v>
      </c>
      <c r="AH21" s="221">
        <v>119671</v>
      </c>
      <c r="AI21" s="221">
        <v>128468</v>
      </c>
      <c r="AJ21" s="221">
        <v>111859</v>
      </c>
      <c r="AK21" s="221">
        <v>117705</v>
      </c>
      <c r="AL21" s="221">
        <v>130526</v>
      </c>
      <c r="AM21" s="221">
        <v>127795</v>
      </c>
      <c r="AN21" s="221">
        <v>127608</v>
      </c>
      <c r="AO21" s="221">
        <v>137900</v>
      </c>
      <c r="AP21" s="221">
        <v>122893</v>
      </c>
      <c r="AQ21" s="221">
        <v>121566</v>
      </c>
      <c r="AR21" s="221">
        <v>115589</v>
      </c>
      <c r="AS21" s="221">
        <v>92454</v>
      </c>
      <c r="AT21" s="221">
        <v>91051</v>
      </c>
      <c r="AU21" s="221">
        <v>74605</v>
      </c>
      <c r="AV21" s="221">
        <v>70157</v>
      </c>
      <c r="AW21" s="221">
        <v>72630</v>
      </c>
      <c r="AX21" s="221">
        <v>81622</v>
      </c>
      <c r="AY21" s="221">
        <v>88479</v>
      </c>
      <c r="AZ21" s="221">
        <v>111525</v>
      </c>
      <c r="BA21" s="221">
        <v>104033</v>
      </c>
      <c r="BB21" s="221">
        <v>100995</v>
      </c>
      <c r="BC21" s="221">
        <v>107322</v>
      </c>
      <c r="BD21" s="221">
        <v>120521</v>
      </c>
      <c r="BE21" s="221">
        <v>95911</v>
      </c>
      <c r="BF21" s="221">
        <v>118816</v>
      </c>
      <c r="BG21" s="221">
        <v>99409</v>
      </c>
      <c r="BH21" s="221">
        <v>104930</v>
      </c>
      <c r="BI21" s="221">
        <v>133936</v>
      </c>
      <c r="BJ21" s="221">
        <v>145573</v>
      </c>
      <c r="BK21" s="221">
        <v>139989</v>
      </c>
      <c r="BL21" s="221">
        <v>158478</v>
      </c>
      <c r="BM21" s="221">
        <v>144206</v>
      </c>
      <c r="BN21" s="221">
        <v>152436</v>
      </c>
      <c r="BO21" s="221">
        <v>154197</v>
      </c>
      <c r="BP21" s="221">
        <v>160082</v>
      </c>
      <c r="BQ21" s="221">
        <v>193697</v>
      </c>
      <c r="BR21" s="221">
        <v>300467</v>
      </c>
      <c r="BS21" s="221">
        <v>326158</v>
      </c>
      <c r="BT21" s="221">
        <v>364303</v>
      </c>
      <c r="BU21" s="221">
        <v>351988</v>
      </c>
      <c r="BV21" s="221">
        <v>379010</v>
      </c>
      <c r="BW21" s="221">
        <v>401513</v>
      </c>
      <c r="BX21" s="221">
        <v>422248</v>
      </c>
      <c r="BY21" s="221">
        <v>411732</v>
      </c>
      <c r="BZ21" s="221">
        <v>360612</v>
      </c>
      <c r="CA21" s="57">
        <f>CA$8*'Assumptions and Inputs'!$C$11/100</f>
        <v>388512.68715392216</v>
      </c>
      <c r="CB21" s="57">
        <f>CB$8*'Assumptions and Inputs'!$C$11/100</f>
        <v>392397.81402546144</v>
      </c>
      <c r="CC21" s="57">
        <f>CC$8*'Assumptions and Inputs'!$C$11/100</f>
        <v>372777.92332418839</v>
      </c>
      <c r="CD21" s="57">
        <f>CD$8*'Assumptions and Inputs'!$C$11/100</f>
        <v>391416.81949039781</v>
      </c>
      <c r="CE21" s="57">
        <f>CE$8*'Assumptions and Inputs'!$C$11/100</f>
        <v>395330.98768530175</v>
      </c>
      <c r="CF21" s="57">
        <f>CF$8*'Assumptions and Inputs'!$C$11/100</f>
        <v>399284.29756215477</v>
      </c>
      <c r="CG21" s="57">
        <f>CG$8*'Assumptions and Inputs'!$C$11/100</f>
        <v>383312.92565966857</v>
      </c>
      <c r="CH21" s="57">
        <f>CH$8*'Assumptions and Inputs'!$C$11/100</f>
        <v>398645.44268605532</v>
      </c>
      <c r="CI21" s="57">
        <f>CI$8*'Assumptions and Inputs'!$C$11/100</f>
        <v>402631.89711291582</v>
      </c>
      <c r="CJ21" s="57">
        <f>CJ$8*'Assumptions and Inputs'!$C$11/100</f>
        <v>398605.57814178668</v>
      </c>
      <c r="CK21" s="57">
        <f>CK$8*'Assumptions and Inputs'!$C$11/100</f>
        <v>398605.57814178668</v>
      </c>
      <c r="CL21" s="57">
        <f>CL$8*'Assumptions and Inputs'!$C$11/100</f>
        <v>398605.57814178668</v>
      </c>
      <c r="CM21" s="57">
        <f>CM$8*'Assumptions and Inputs'!$C$11/100</f>
        <v>398605.57814178668</v>
      </c>
      <c r="CN21" s="57">
        <f>CN$8*'Assumptions and Inputs'!$C$11/100</f>
        <v>398605.57814178668</v>
      </c>
      <c r="CO21" s="57">
        <f>CO$8*'Assumptions and Inputs'!$C$11/100</f>
        <v>398605.57814178668</v>
      </c>
      <c r="CP21" s="57">
        <f>CP$8*'Assumptions and Inputs'!$C$11/100</f>
        <v>398605.57814178668</v>
      </c>
      <c r="CQ21" s="57">
        <f>CQ$8*'Assumptions and Inputs'!$C$11/100</f>
        <v>398605.57814178668</v>
      </c>
      <c r="CR21" s="57">
        <f>CR$8*'Assumptions and Inputs'!$C$11/100</f>
        <v>398605.57814178668</v>
      </c>
      <c r="CS21" s="57">
        <f>CS$8*'Assumptions and Inputs'!$C$11/100</f>
        <v>398605.57814178668</v>
      </c>
      <c r="CT21" s="57">
        <f>CT$8*'Assumptions and Inputs'!$C$11/100</f>
        <v>398605.57814178668</v>
      </c>
      <c r="CU21" s="57">
        <f>CU$8*'Assumptions and Inputs'!$C$11/100</f>
        <v>398605.57814178668</v>
      </c>
      <c r="CW21" s="12">
        <f>SUM(BX21:CI21)</f>
        <v>4718902.7947000666</v>
      </c>
      <c r="CY21" s="12">
        <f>SUM(CJ21:CU21)</f>
        <v>4783266.9377014404</v>
      </c>
      <c r="DB21" s="1" t="s">
        <v>148</v>
      </c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</row>
    <row r="22" spans="2:125" x14ac:dyDescent="0.3">
      <c r="D22" s="141"/>
      <c r="E22" s="222"/>
      <c r="F22" s="222"/>
      <c r="G22" s="222"/>
      <c r="H22" s="222"/>
      <c r="I22" s="222"/>
      <c r="J22" s="13"/>
    </row>
    <row r="23" spans="2:125" x14ac:dyDescent="0.3">
      <c r="B23" s="195" t="s">
        <v>159</v>
      </c>
      <c r="C23" s="196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220" t="s">
        <v>160</v>
      </c>
      <c r="DB23" s="195"/>
    </row>
    <row r="24" spans="2:125" x14ac:dyDescent="0.3">
      <c r="B24" s="157" t="s">
        <v>99</v>
      </c>
      <c r="D24" s="221">
        <v>95775</v>
      </c>
      <c r="E24" s="221">
        <v>85299</v>
      </c>
      <c r="F24" s="221">
        <v>84738</v>
      </c>
      <c r="G24" s="221">
        <v>82080</v>
      </c>
      <c r="H24" s="221">
        <v>82128</v>
      </c>
      <c r="I24" s="221">
        <v>80098</v>
      </c>
      <c r="J24" s="221">
        <v>87572</v>
      </c>
      <c r="K24" s="221">
        <v>78824</v>
      </c>
      <c r="L24" s="221">
        <v>85340</v>
      </c>
      <c r="M24" s="221">
        <v>86158</v>
      </c>
      <c r="N24" s="221">
        <v>78920</v>
      </c>
      <c r="O24" s="221">
        <v>91703</v>
      </c>
      <c r="P24" s="221">
        <v>92833</v>
      </c>
      <c r="Q24" s="221">
        <v>88988</v>
      </c>
      <c r="R24" s="221">
        <v>73533</v>
      </c>
      <c r="S24" s="221">
        <v>85323</v>
      </c>
      <c r="T24" s="221">
        <v>88691</v>
      </c>
      <c r="U24" s="221">
        <v>72657</v>
      </c>
      <c r="V24" s="221">
        <v>70612</v>
      </c>
      <c r="W24" s="221">
        <v>81774</v>
      </c>
      <c r="X24" s="221">
        <v>76033</v>
      </c>
      <c r="Y24" s="221">
        <v>79633</v>
      </c>
      <c r="Z24" s="221">
        <v>82560</v>
      </c>
      <c r="AA24" s="221">
        <v>89090</v>
      </c>
      <c r="AB24" s="221">
        <v>81866</v>
      </c>
      <c r="AC24" s="221">
        <v>84663</v>
      </c>
      <c r="AD24" s="221">
        <v>68434</v>
      </c>
      <c r="AE24" s="221">
        <v>83261</v>
      </c>
      <c r="AF24" s="221">
        <v>74597</v>
      </c>
      <c r="AG24" s="221">
        <v>71339</v>
      </c>
      <c r="AH24" s="221">
        <v>74624</v>
      </c>
      <c r="AI24" s="221">
        <v>75201</v>
      </c>
      <c r="AJ24" s="221">
        <v>66094</v>
      </c>
      <c r="AK24" s="221">
        <v>70502</v>
      </c>
      <c r="AL24" s="221">
        <v>77941</v>
      </c>
      <c r="AM24" s="221">
        <v>76404</v>
      </c>
      <c r="AN24" s="221">
        <v>76074</v>
      </c>
      <c r="AO24" s="221">
        <v>77342</v>
      </c>
      <c r="AP24" s="221">
        <v>70202</v>
      </c>
      <c r="AQ24" s="221">
        <v>70380</v>
      </c>
      <c r="AR24" s="221">
        <v>79554</v>
      </c>
      <c r="AS24" s="221">
        <v>72469</v>
      </c>
      <c r="AT24" s="221">
        <v>82665</v>
      </c>
      <c r="AU24" s="221">
        <v>82194</v>
      </c>
      <c r="AV24" s="221">
        <v>78946</v>
      </c>
      <c r="AW24" s="221">
        <v>83508</v>
      </c>
      <c r="AX24" s="221">
        <v>85787</v>
      </c>
      <c r="AY24" s="221">
        <v>79715</v>
      </c>
      <c r="AZ24" s="221">
        <v>88538</v>
      </c>
      <c r="BA24" s="221">
        <v>76017</v>
      </c>
      <c r="BB24" s="221">
        <v>75059</v>
      </c>
      <c r="BC24" s="221">
        <v>81041</v>
      </c>
      <c r="BD24" s="221">
        <v>88126</v>
      </c>
      <c r="BE24" s="221">
        <v>69796</v>
      </c>
      <c r="BF24" s="221">
        <v>84644</v>
      </c>
      <c r="BG24" s="221">
        <v>66107</v>
      </c>
      <c r="BH24" s="221">
        <v>66614</v>
      </c>
      <c r="BI24" s="221">
        <v>84001</v>
      </c>
      <c r="BJ24" s="221">
        <v>78541</v>
      </c>
      <c r="BK24" s="221">
        <v>71797</v>
      </c>
      <c r="BL24" s="221">
        <v>77865</v>
      </c>
      <c r="BM24" s="221">
        <v>68229</v>
      </c>
      <c r="BN24" s="221">
        <v>71492</v>
      </c>
      <c r="BO24" s="221">
        <v>69168</v>
      </c>
      <c r="BP24" s="221">
        <v>70126</v>
      </c>
      <c r="BQ24" s="221">
        <v>62207</v>
      </c>
      <c r="BR24" s="221">
        <v>49976</v>
      </c>
      <c r="BS24" s="221">
        <v>49460</v>
      </c>
      <c r="BT24" s="221">
        <v>52302</v>
      </c>
      <c r="BU24" s="221">
        <v>51885</v>
      </c>
      <c r="BV24" s="221">
        <v>55153</v>
      </c>
      <c r="BW24" s="221">
        <v>55698</v>
      </c>
      <c r="BX24" s="221">
        <v>56210</v>
      </c>
      <c r="BY24" s="221">
        <v>51909</v>
      </c>
      <c r="BZ24" s="221">
        <v>46416</v>
      </c>
      <c r="CA24" s="57">
        <f>AVERAGE($BO24:$BZ24)</f>
        <v>55875.833333333336</v>
      </c>
      <c r="CB24" s="57">
        <f t="shared" ref="CB24:CU27" si="7">AVERAGE($BO24:$BZ24)</f>
        <v>55875.833333333336</v>
      </c>
      <c r="CC24" s="57">
        <f t="shared" si="7"/>
        <v>55875.833333333336</v>
      </c>
      <c r="CD24" s="57">
        <f t="shared" si="7"/>
        <v>55875.833333333336</v>
      </c>
      <c r="CE24" s="57">
        <f t="shared" si="7"/>
        <v>55875.833333333336</v>
      </c>
      <c r="CF24" s="57">
        <f t="shared" si="7"/>
        <v>55875.833333333336</v>
      </c>
      <c r="CG24" s="57">
        <f t="shared" si="7"/>
        <v>55875.833333333336</v>
      </c>
      <c r="CH24" s="57">
        <f t="shared" si="7"/>
        <v>55875.833333333336</v>
      </c>
      <c r="CI24" s="57">
        <f t="shared" si="7"/>
        <v>55875.833333333336</v>
      </c>
      <c r="CJ24" s="57">
        <f t="shared" si="7"/>
        <v>55875.833333333336</v>
      </c>
      <c r="CK24" s="57">
        <f>AVERAGE($BO24:$BZ24)</f>
        <v>55875.833333333336</v>
      </c>
      <c r="CL24" s="57">
        <f t="shared" si="7"/>
        <v>55875.833333333336</v>
      </c>
      <c r="CM24" s="57">
        <f t="shared" si="7"/>
        <v>55875.833333333336</v>
      </c>
      <c r="CN24" s="57">
        <f t="shared" si="7"/>
        <v>55875.833333333336</v>
      </c>
      <c r="CO24" s="57">
        <f t="shared" si="7"/>
        <v>55875.833333333336</v>
      </c>
      <c r="CP24" s="57">
        <f t="shared" si="7"/>
        <v>55875.833333333336</v>
      </c>
      <c r="CQ24" s="57">
        <f t="shared" si="7"/>
        <v>55875.833333333336</v>
      </c>
      <c r="CR24" s="57">
        <f t="shared" si="7"/>
        <v>55875.833333333336</v>
      </c>
      <c r="CS24" s="57">
        <f t="shared" si="7"/>
        <v>55875.833333333336</v>
      </c>
      <c r="CT24" s="57">
        <f t="shared" si="7"/>
        <v>55875.833333333336</v>
      </c>
      <c r="CU24" s="57">
        <f t="shared" si="7"/>
        <v>55875.833333333336</v>
      </c>
      <c r="CW24" s="12">
        <f>SUM(BX24:CI24)</f>
        <v>657417.5</v>
      </c>
      <c r="CY24" s="12">
        <f>SUM(CJ24:CU24)</f>
        <v>670510</v>
      </c>
      <c r="DA24" s="12"/>
      <c r="DB24" s="1" t="s">
        <v>161</v>
      </c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</row>
    <row r="25" spans="2:125" x14ac:dyDescent="0.3">
      <c r="B25" s="157" t="s">
        <v>101</v>
      </c>
      <c r="D25" s="221">
        <v>159146</v>
      </c>
      <c r="E25" s="221">
        <v>124229</v>
      </c>
      <c r="F25" s="221">
        <v>129788</v>
      </c>
      <c r="G25" s="221">
        <v>123552</v>
      </c>
      <c r="H25" s="221">
        <v>123004</v>
      </c>
      <c r="I25" s="221">
        <v>117002</v>
      </c>
      <c r="J25" s="221">
        <v>115251</v>
      </c>
      <c r="K25" s="221">
        <v>107073</v>
      </c>
      <c r="L25" s="221">
        <v>112715</v>
      </c>
      <c r="M25" s="221">
        <v>172455</v>
      </c>
      <c r="N25" s="221">
        <v>123093</v>
      </c>
      <c r="O25" s="221">
        <v>136708</v>
      </c>
      <c r="P25" s="221">
        <v>132293</v>
      </c>
      <c r="Q25" s="221">
        <v>123397</v>
      </c>
      <c r="R25" s="221">
        <v>128474</v>
      </c>
      <c r="S25" s="221">
        <v>120913</v>
      </c>
      <c r="T25" s="221">
        <v>125720</v>
      </c>
      <c r="U25" s="221">
        <v>113887</v>
      </c>
      <c r="V25" s="221">
        <v>100436</v>
      </c>
      <c r="W25" s="221">
        <v>107951</v>
      </c>
      <c r="X25" s="221">
        <v>114132</v>
      </c>
      <c r="Y25" s="221">
        <v>118990</v>
      </c>
      <c r="Z25" s="221">
        <v>126380</v>
      </c>
      <c r="AA25" s="221">
        <v>142304</v>
      </c>
      <c r="AB25" s="221">
        <v>131628</v>
      </c>
      <c r="AC25" s="221">
        <v>127552</v>
      </c>
      <c r="AD25" s="221">
        <v>113166</v>
      </c>
      <c r="AE25" s="221">
        <v>104301</v>
      </c>
      <c r="AF25" s="221">
        <v>122975</v>
      </c>
      <c r="AG25" s="221">
        <v>119916</v>
      </c>
      <c r="AH25" s="221">
        <v>112029</v>
      </c>
      <c r="AI25" s="221">
        <v>123343</v>
      </c>
      <c r="AJ25" s="221">
        <v>114660</v>
      </c>
      <c r="AK25" s="221">
        <v>116203</v>
      </c>
      <c r="AL25" s="221">
        <v>132262</v>
      </c>
      <c r="AM25" s="221">
        <v>129317</v>
      </c>
      <c r="AN25" s="221">
        <v>132474</v>
      </c>
      <c r="AO25" s="221">
        <v>131439</v>
      </c>
      <c r="AP25" s="221">
        <v>122755</v>
      </c>
      <c r="AQ25" s="221">
        <v>124347</v>
      </c>
      <c r="AR25" s="221">
        <v>138850</v>
      </c>
      <c r="AS25" s="221">
        <v>124003</v>
      </c>
      <c r="AT25" s="221">
        <v>125728</v>
      </c>
      <c r="AU25" s="221">
        <v>136537</v>
      </c>
      <c r="AV25" s="221">
        <v>118682</v>
      </c>
      <c r="AW25" s="221">
        <v>131452</v>
      </c>
      <c r="AX25" s="221">
        <v>139576</v>
      </c>
      <c r="AY25" s="221">
        <v>135221</v>
      </c>
      <c r="AZ25" s="221">
        <v>306137</v>
      </c>
      <c r="BA25" s="221">
        <v>148512</v>
      </c>
      <c r="BB25" s="221">
        <v>124884</v>
      </c>
      <c r="BC25" s="221">
        <v>141077</v>
      </c>
      <c r="BD25" s="221">
        <v>148080</v>
      </c>
      <c r="BE25" s="221">
        <v>123902</v>
      </c>
      <c r="BF25" s="221">
        <v>125201</v>
      </c>
      <c r="BG25" s="221">
        <v>119399</v>
      </c>
      <c r="BH25" s="221">
        <v>106731</v>
      </c>
      <c r="BI25" s="221">
        <v>124892</v>
      </c>
      <c r="BJ25" s="221">
        <v>128299</v>
      </c>
      <c r="BK25" s="221">
        <v>121486</v>
      </c>
      <c r="BL25" s="221">
        <v>129592</v>
      </c>
      <c r="BM25" s="221">
        <v>115511</v>
      </c>
      <c r="BN25" s="221">
        <v>117030</v>
      </c>
      <c r="BO25" s="221">
        <v>117377</v>
      </c>
      <c r="BP25" s="221">
        <v>117487</v>
      </c>
      <c r="BQ25" s="221">
        <v>115362</v>
      </c>
      <c r="BR25" s="221">
        <v>104780</v>
      </c>
      <c r="BS25" s="221">
        <v>105354</v>
      </c>
      <c r="BT25" s="221">
        <v>106260</v>
      </c>
      <c r="BU25" s="221">
        <v>111693</v>
      </c>
      <c r="BV25" s="221">
        <v>122635</v>
      </c>
      <c r="BW25" s="221">
        <v>124528</v>
      </c>
      <c r="BX25" s="221">
        <v>122471</v>
      </c>
      <c r="BY25" s="221">
        <v>118869</v>
      </c>
      <c r="BZ25" s="221">
        <v>116267</v>
      </c>
      <c r="CA25" s="57">
        <f t="shared" ref="CA25:CP27" si="8">AVERAGE($BO25:$BZ25)</f>
        <v>115256.91666666667</v>
      </c>
      <c r="CB25" s="57">
        <f t="shared" si="8"/>
        <v>115256.91666666667</v>
      </c>
      <c r="CC25" s="57">
        <f t="shared" si="8"/>
        <v>115256.91666666667</v>
      </c>
      <c r="CD25" s="57">
        <f t="shared" si="8"/>
        <v>115256.91666666667</v>
      </c>
      <c r="CE25" s="57">
        <f t="shared" si="8"/>
        <v>115256.91666666667</v>
      </c>
      <c r="CF25" s="57">
        <f t="shared" si="8"/>
        <v>115256.91666666667</v>
      </c>
      <c r="CG25" s="57">
        <f t="shared" si="8"/>
        <v>115256.91666666667</v>
      </c>
      <c r="CH25" s="57">
        <f t="shared" si="8"/>
        <v>115256.91666666667</v>
      </c>
      <c r="CI25" s="57">
        <f t="shared" si="8"/>
        <v>115256.91666666667</v>
      </c>
      <c r="CJ25" s="57">
        <f t="shared" si="8"/>
        <v>115256.91666666667</v>
      </c>
      <c r="CK25" s="57">
        <f t="shared" si="8"/>
        <v>115256.91666666667</v>
      </c>
      <c r="CL25" s="57">
        <f t="shared" si="8"/>
        <v>115256.91666666667</v>
      </c>
      <c r="CM25" s="57">
        <f t="shared" si="8"/>
        <v>115256.91666666667</v>
      </c>
      <c r="CN25" s="57">
        <f t="shared" si="8"/>
        <v>115256.91666666667</v>
      </c>
      <c r="CO25" s="57">
        <f t="shared" si="8"/>
        <v>115256.91666666667</v>
      </c>
      <c r="CP25" s="57">
        <f t="shared" si="8"/>
        <v>115256.91666666667</v>
      </c>
      <c r="CQ25" s="57">
        <f t="shared" si="7"/>
        <v>115256.91666666667</v>
      </c>
      <c r="CR25" s="57">
        <f t="shared" si="7"/>
        <v>115256.91666666667</v>
      </c>
      <c r="CS25" s="57">
        <f t="shared" si="7"/>
        <v>115256.91666666667</v>
      </c>
      <c r="CT25" s="57">
        <f t="shared" si="7"/>
        <v>115256.91666666667</v>
      </c>
      <c r="CU25" s="57">
        <f t="shared" si="7"/>
        <v>115256.91666666667</v>
      </c>
      <c r="CW25" s="12">
        <f t="shared" ref="CW25:CW40" si="9">SUM(BX25:CI25)</f>
        <v>1394919.2500000002</v>
      </c>
      <c r="CY25" s="12">
        <f>SUM(CJ25:CU25)</f>
        <v>1383083</v>
      </c>
      <c r="DA25" s="13"/>
      <c r="DB25" s="1" t="s">
        <v>161</v>
      </c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</row>
    <row r="26" spans="2:125" x14ac:dyDescent="0.3">
      <c r="B26" s="157" t="s">
        <v>104</v>
      </c>
      <c r="D26" s="221">
        <v>443544</v>
      </c>
      <c r="E26" s="221">
        <v>396523</v>
      </c>
      <c r="F26" s="221">
        <v>457894</v>
      </c>
      <c r="G26" s="221">
        <v>315094</v>
      </c>
      <c r="H26" s="221">
        <v>292239</v>
      </c>
      <c r="I26" s="221">
        <v>316099</v>
      </c>
      <c r="J26" s="221">
        <v>325075</v>
      </c>
      <c r="K26" s="221">
        <v>324474</v>
      </c>
      <c r="L26" s="221">
        <v>369471</v>
      </c>
      <c r="M26" s="221">
        <v>369369</v>
      </c>
      <c r="N26" s="221">
        <v>349598</v>
      </c>
      <c r="O26" s="221">
        <v>468605</v>
      </c>
      <c r="P26" s="221">
        <v>367991</v>
      </c>
      <c r="Q26" s="221">
        <v>380655</v>
      </c>
      <c r="R26" s="221">
        <v>429531</v>
      </c>
      <c r="S26" s="221">
        <v>364305</v>
      </c>
      <c r="T26" s="221">
        <v>330476</v>
      </c>
      <c r="U26" s="221">
        <v>228033</v>
      </c>
      <c r="V26" s="221">
        <v>207944</v>
      </c>
      <c r="W26" s="221">
        <v>187638</v>
      </c>
      <c r="X26" s="221">
        <v>140174</v>
      </c>
      <c r="Y26" s="221">
        <v>162947</v>
      </c>
      <c r="Z26" s="221">
        <v>188408</v>
      </c>
      <c r="AA26" s="221">
        <v>221527</v>
      </c>
      <c r="AB26" s="221">
        <v>201479</v>
      </c>
      <c r="AC26" s="221">
        <v>187482</v>
      </c>
      <c r="AD26" s="221">
        <v>150637</v>
      </c>
      <c r="AE26" s="221">
        <v>171385</v>
      </c>
      <c r="AF26" s="221">
        <v>165545</v>
      </c>
      <c r="AG26" s="221">
        <v>133423</v>
      </c>
      <c r="AH26" s="221">
        <v>168240</v>
      </c>
      <c r="AI26" s="221">
        <v>148974</v>
      </c>
      <c r="AJ26" s="221">
        <v>154456</v>
      </c>
      <c r="AK26" s="221">
        <v>186764</v>
      </c>
      <c r="AL26" s="221">
        <v>205175</v>
      </c>
      <c r="AM26" s="221">
        <v>220298</v>
      </c>
      <c r="AN26" s="221">
        <v>230635</v>
      </c>
      <c r="AO26" s="221">
        <v>216483</v>
      </c>
      <c r="AP26" s="221">
        <v>190578</v>
      </c>
      <c r="AQ26" s="221">
        <v>196958</v>
      </c>
      <c r="AR26" s="221">
        <v>186777</v>
      </c>
      <c r="AS26" s="221">
        <v>144463</v>
      </c>
      <c r="AT26" s="221">
        <v>199943</v>
      </c>
      <c r="AU26" s="221">
        <v>175953</v>
      </c>
      <c r="AV26" s="221">
        <v>218814</v>
      </c>
      <c r="AW26" s="221">
        <v>197037</v>
      </c>
      <c r="AX26" s="221">
        <v>208026</v>
      </c>
      <c r="AY26" s="221">
        <v>235611</v>
      </c>
      <c r="AZ26" s="221">
        <v>288304</v>
      </c>
      <c r="BA26" s="221">
        <v>203778</v>
      </c>
      <c r="BB26" s="221">
        <v>192780</v>
      </c>
      <c r="BC26" s="221">
        <v>162998</v>
      </c>
      <c r="BD26" s="221">
        <v>168644</v>
      </c>
      <c r="BE26" s="221">
        <v>143177</v>
      </c>
      <c r="BF26" s="221">
        <v>183114</v>
      </c>
      <c r="BG26" s="221">
        <v>177841</v>
      </c>
      <c r="BH26" s="221">
        <v>167511</v>
      </c>
      <c r="BI26" s="221">
        <v>198660</v>
      </c>
      <c r="BJ26" s="221">
        <v>210536</v>
      </c>
      <c r="BK26" s="221">
        <v>198041</v>
      </c>
      <c r="BL26" s="221">
        <v>251428</v>
      </c>
      <c r="BM26" s="221">
        <v>193640</v>
      </c>
      <c r="BN26" s="221">
        <v>192344</v>
      </c>
      <c r="BO26" s="221">
        <v>165084</v>
      </c>
      <c r="BP26" s="221">
        <v>153289</v>
      </c>
      <c r="BQ26" s="221">
        <v>165778</v>
      </c>
      <c r="BR26" s="221">
        <v>155435</v>
      </c>
      <c r="BS26" s="221">
        <v>143711</v>
      </c>
      <c r="BT26" s="221">
        <v>170509</v>
      </c>
      <c r="BU26" s="221">
        <v>173174</v>
      </c>
      <c r="BV26" s="221">
        <v>208645</v>
      </c>
      <c r="BW26" s="221">
        <v>208439</v>
      </c>
      <c r="BX26" s="221">
        <v>204335</v>
      </c>
      <c r="BY26" s="221">
        <v>188325</v>
      </c>
      <c r="BZ26" s="221">
        <v>180009</v>
      </c>
      <c r="CA26" s="57">
        <f t="shared" si="8"/>
        <v>176394.41666666666</v>
      </c>
      <c r="CB26" s="57">
        <f t="shared" si="7"/>
        <v>176394.41666666666</v>
      </c>
      <c r="CC26" s="57">
        <f t="shared" si="7"/>
        <v>176394.41666666666</v>
      </c>
      <c r="CD26" s="57">
        <f t="shared" si="7"/>
        <v>176394.41666666666</v>
      </c>
      <c r="CE26" s="57">
        <f t="shared" si="7"/>
        <v>176394.41666666666</v>
      </c>
      <c r="CF26" s="57">
        <f t="shared" si="7"/>
        <v>176394.41666666666</v>
      </c>
      <c r="CG26" s="57">
        <f t="shared" si="7"/>
        <v>176394.41666666666</v>
      </c>
      <c r="CH26" s="57">
        <f t="shared" si="7"/>
        <v>176394.41666666666</v>
      </c>
      <c r="CI26" s="57">
        <f t="shared" si="7"/>
        <v>176394.41666666666</v>
      </c>
      <c r="CJ26" s="57">
        <f t="shared" si="7"/>
        <v>176394.41666666666</v>
      </c>
      <c r="CK26" s="57">
        <f t="shared" si="7"/>
        <v>176394.41666666666</v>
      </c>
      <c r="CL26" s="57">
        <f t="shared" si="7"/>
        <v>176394.41666666666</v>
      </c>
      <c r="CM26" s="57">
        <f t="shared" si="7"/>
        <v>176394.41666666666</v>
      </c>
      <c r="CN26" s="57">
        <f t="shared" si="7"/>
        <v>176394.41666666666</v>
      </c>
      <c r="CO26" s="57">
        <f t="shared" si="7"/>
        <v>176394.41666666666</v>
      </c>
      <c r="CP26" s="57">
        <f t="shared" si="7"/>
        <v>176394.41666666666</v>
      </c>
      <c r="CQ26" s="57">
        <f t="shared" si="7"/>
        <v>176394.41666666666</v>
      </c>
      <c r="CR26" s="57">
        <f t="shared" si="7"/>
        <v>176394.41666666666</v>
      </c>
      <c r="CS26" s="57">
        <f t="shared" si="7"/>
        <v>176394.41666666666</v>
      </c>
      <c r="CT26" s="57">
        <f t="shared" si="7"/>
        <v>176394.41666666666</v>
      </c>
      <c r="CU26" s="57">
        <f t="shared" si="7"/>
        <v>176394.41666666666</v>
      </c>
      <c r="CW26" s="12">
        <f t="shared" si="9"/>
        <v>2160218.7500000005</v>
      </c>
      <c r="CY26" s="12">
        <f>SUM(CJ26:CU26)</f>
        <v>2116733.0000000005</v>
      </c>
      <c r="DA26" s="13"/>
      <c r="DB26" s="1" t="s">
        <v>161</v>
      </c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</row>
    <row r="27" spans="2:125" x14ac:dyDescent="0.3">
      <c r="B27" s="157" t="s">
        <v>162</v>
      </c>
      <c r="D27" s="221">
        <v>4841437</v>
      </c>
      <c r="E27" s="221">
        <v>4279138</v>
      </c>
      <c r="F27" s="221">
        <v>4274207</v>
      </c>
      <c r="G27" s="221">
        <v>4094436</v>
      </c>
      <c r="H27" s="221">
        <v>3971894</v>
      </c>
      <c r="I27" s="221">
        <v>3865198</v>
      </c>
      <c r="J27" s="221">
        <v>4049227</v>
      </c>
      <c r="K27" s="221">
        <v>3846053</v>
      </c>
      <c r="L27" s="221">
        <v>4102004</v>
      </c>
      <c r="M27" s="221">
        <v>4317966</v>
      </c>
      <c r="N27" s="221">
        <v>4080301</v>
      </c>
      <c r="O27" s="221">
        <v>4701098</v>
      </c>
      <c r="P27" s="221">
        <v>4609834</v>
      </c>
      <c r="Q27" s="221">
        <v>4416729</v>
      </c>
      <c r="R27" s="221">
        <v>4102786</v>
      </c>
      <c r="S27" s="221">
        <v>4278702</v>
      </c>
      <c r="T27" s="221">
        <v>4466022</v>
      </c>
      <c r="U27" s="221">
        <v>3876306</v>
      </c>
      <c r="V27" s="221">
        <v>3847290</v>
      </c>
      <c r="W27" s="221">
        <v>4011072</v>
      </c>
      <c r="X27" s="221">
        <v>3881152</v>
      </c>
      <c r="Y27" s="221">
        <v>4161469</v>
      </c>
      <c r="Z27" s="221">
        <v>4440874</v>
      </c>
      <c r="AA27" s="221">
        <v>4900467</v>
      </c>
      <c r="AB27" s="221">
        <v>4521158</v>
      </c>
      <c r="AC27" s="221">
        <v>4663351</v>
      </c>
      <c r="AD27" s="221">
        <v>3985594</v>
      </c>
      <c r="AE27" s="221">
        <v>4346216</v>
      </c>
      <c r="AF27" s="221">
        <v>4038439</v>
      </c>
      <c r="AG27" s="221">
        <v>3832728</v>
      </c>
      <c r="AH27" s="221">
        <v>4012010</v>
      </c>
      <c r="AI27" s="221">
        <v>4243793</v>
      </c>
      <c r="AJ27" s="221">
        <v>4086070</v>
      </c>
      <c r="AK27" s="221">
        <v>4293086</v>
      </c>
      <c r="AL27" s="221">
        <v>4693314</v>
      </c>
      <c r="AM27" s="221">
        <v>4633239</v>
      </c>
      <c r="AN27" s="221">
        <v>4603998</v>
      </c>
      <c r="AO27" s="221">
        <v>4727100</v>
      </c>
      <c r="AP27" s="221">
        <v>4151236</v>
      </c>
      <c r="AQ27" s="221">
        <v>4210608</v>
      </c>
      <c r="AR27" s="221">
        <v>4398754</v>
      </c>
      <c r="AS27" s="221">
        <v>3844281</v>
      </c>
      <c r="AT27" s="221">
        <v>4236949</v>
      </c>
      <c r="AU27" s="221">
        <v>4186241</v>
      </c>
      <c r="AV27" s="221">
        <v>3999119</v>
      </c>
      <c r="AW27" s="221">
        <v>4341778</v>
      </c>
      <c r="AX27" s="221">
        <v>4640217</v>
      </c>
      <c r="AY27" s="221">
        <v>4745722</v>
      </c>
      <c r="AZ27" s="221">
        <v>5189920</v>
      </c>
      <c r="BA27" s="221">
        <v>4475773</v>
      </c>
      <c r="BB27" s="221">
        <v>4126213</v>
      </c>
      <c r="BC27" s="221">
        <v>4180102</v>
      </c>
      <c r="BD27" s="221">
        <v>4353301</v>
      </c>
      <c r="BE27" s="221">
        <v>3679518</v>
      </c>
      <c r="BF27" s="221">
        <v>4325037</v>
      </c>
      <c r="BG27" s="221">
        <v>3842051</v>
      </c>
      <c r="BH27" s="221">
        <v>3880607</v>
      </c>
      <c r="BI27" s="221">
        <v>4425551</v>
      </c>
      <c r="BJ27" s="221">
        <v>4695899</v>
      </c>
      <c r="BK27" s="221">
        <v>4389035</v>
      </c>
      <c r="BL27" s="221">
        <v>4777619</v>
      </c>
      <c r="BM27" s="221">
        <v>4033573</v>
      </c>
      <c r="BN27" s="221">
        <v>4057360</v>
      </c>
      <c r="BO27" s="221">
        <v>4077340</v>
      </c>
      <c r="BP27" s="221">
        <v>4208395</v>
      </c>
      <c r="BQ27" s="221">
        <v>4018884</v>
      </c>
      <c r="BR27" s="221">
        <v>3739204</v>
      </c>
      <c r="BS27" s="221">
        <v>3651107</v>
      </c>
      <c r="BT27" s="221">
        <v>4058766</v>
      </c>
      <c r="BU27" s="221">
        <v>4027642</v>
      </c>
      <c r="BV27" s="221">
        <v>4564710</v>
      </c>
      <c r="BW27" s="221">
        <v>4684044</v>
      </c>
      <c r="BX27" s="221">
        <v>4600911</v>
      </c>
      <c r="BY27" s="221">
        <v>4322674</v>
      </c>
      <c r="BZ27" s="221">
        <v>4098132</v>
      </c>
      <c r="CA27" s="57">
        <f t="shared" si="8"/>
        <v>4170984.0833333335</v>
      </c>
      <c r="CB27" s="57">
        <f t="shared" si="7"/>
        <v>4170984.0833333335</v>
      </c>
      <c r="CC27" s="57">
        <f t="shared" si="7"/>
        <v>4170984.0833333335</v>
      </c>
      <c r="CD27" s="57">
        <f t="shared" si="7"/>
        <v>4170984.0833333335</v>
      </c>
      <c r="CE27" s="57">
        <f t="shared" si="7"/>
        <v>4170984.0833333335</v>
      </c>
      <c r="CF27" s="57">
        <f t="shared" si="7"/>
        <v>4170984.0833333335</v>
      </c>
      <c r="CG27" s="57">
        <f t="shared" si="7"/>
        <v>4170984.0833333335</v>
      </c>
      <c r="CH27" s="57">
        <f t="shared" si="7"/>
        <v>4170984.0833333335</v>
      </c>
      <c r="CI27" s="57">
        <f t="shared" si="7"/>
        <v>4170984.0833333335</v>
      </c>
      <c r="CJ27" s="57">
        <f t="shared" si="7"/>
        <v>4170984.0833333335</v>
      </c>
      <c r="CK27" s="57">
        <f t="shared" si="7"/>
        <v>4170984.0833333335</v>
      </c>
      <c r="CL27" s="57">
        <f t="shared" si="7"/>
        <v>4170984.0833333335</v>
      </c>
      <c r="CM27" s="57">
        <f t="shared" si="7"/>
        <v>4170984.0833333335</v>
      </c>
      <c r="CN27" s="57">
        <f t="shared" si="7"/>
        <v>4170984.0833333335</v>
      </c>
      <c r="CO27" s="57">
        <f t="shared" si="7"/>
        <v>4170984.0833333335</v>
      </c>
      <c r="CP27" s="57">
        <f t="shared" si="7"/>
        <v>4170984.0833333335</v>
      </c>
      <c r="CQ27" s="57">
        <f t="shared" si="7"/>
        <v>4170984.0833333335</v>
      </c>
      <c r="CR27" s="57">
        <f t="shared" si="7"/>
        <v>4170984.0833333335</v>
      </c>
      <c r="CS27" s="57">
        <f t="shared" si="7"/>
        <v>4170984.0833333335</v>
      </c>
      <c r="CT27" s="57">
        <f t="shared" si="7"/>
        <v>4170984.0833333335</v>
      </c>
      <c r="CU27" s="57">
        <f t="shared" si="7"/>
        <v>4170984.0833333335</v>
      </c>
      <c r="CW27" s="12">
        <f t="shared" si="9"/>
        <v>50560573.750000007</v>
      </c>
      <c r="CY27" s="12">
        <f>SUM(CJ27:CU27)</f>
        <v>50051809.000000007</v>
      </c>
      <c r="DA27" s="13"/>
      <c r="DB27" s="1" t="s">
        <v>161</v>
      </c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</row>
    <row r="28" spans="2:125" x14ac:dyDescent="0.3">
      <c r="B28" s="157"/>
      <c r="D28" s="141"/>
      <c r="E28" s="222"/>
      <c r="F28" s="222"/>
      <c r="G28" s="222"/>
      <c r="H28" s="222"/>
      <c r="I28" s="222"/>
      <c r="DA28" s="223"/>
    </row>
    <row r="29" spans="2:125" x14ac:dyDescent="0.3">
      <c r="B29" s="195" t="s">
        <v>163</v>
      </c>
      <c r="C29" s="196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220" t="s">
        <v>160</v>
      </c>
      <c r="DB29" s="195"/>
    </row>
    <row r="30" spans="2:125" x14ac:dyDescent="0.3">
      <c r="B30" s="157" t="str">
        <f>B24</f>
        <v>Senior Discount</v>
      </c>
      <c r="D30" s="141"/>
      <c r="E30" s="222"/>
      <c r="F30" s="222"/>
      <c r="G30" s="222"/>
      <c r="H30" s="222"/>
      <c r="I30" s="222"/>
      <c r="BW30" s="224" t="s">
        <v>164</v>
      </c>
      <c r="BX30" s="225">
        <f>BX$24*(1-'Assumptions and Inputs'!$C$100)</f>
        <v>42157.5</v>
      </c>
      <c r="BY30" s="12">
        <f>BY$24*(1-'Assumptions and Inputs'!$C$100)</f>
        <v>38931.75</v>
      </c>
      <c r="BZ30" s="12">
        <f>BZ$24*(1-'Assumptions and Inputs'!$C$100)</f>
        <v>34812</v>
      </c>
      <c r="CA30" s="12">
        <f>CA$24*(1-'Assumptions and Inputs'!$C$100)</f>
        <v>41906.875</v>
      </c>
      <c r="CB30" s="12">
        <f>CB$24*(1-'Assumptions and Inputs'!$C$100)</f>
        <v>41906.875</v>
      </c>
      <c r="CC30" s="12">
        <f>CC$24*(1-'Assumptions and Inputs'!$C$100)</f>
        <v>41906.875</v>
      </c>
      <c r="CD30" s="12">
        <f>CD$24*(1-'Assumptions and Inputs'!$C$100)</f>
        <v>41906.875</v>
      </c>
      <c r="CE30" s="12">
        <f>CE$24*(1-'Assumptions and Inputs'!$C$100)</f>
        <v>41906.875</v>
      </c>
      <c r="CF30" s="12">
        <f>CF$24*(1-'Assumptions and Inputs'!$C$100)</f>
        <v>41906.875</v>
      </c>
      <c r="CG30" s="12">
        <f>CG$24*(1-'Assumptions and Inputs'!$C$100)</f>
        <v>41906.875</v>
      </c>
      <c r="CH30" s="12">
        <f>CH$24*(1-'Assumptions and Inputs'!$C$100)</f>
        <v>41906.875</v>
      </c>
      <c r="CI30" s="12">
        <f>CI$24*(1-'Assumptions and Inputs'!$C$100)</f>
        <v>41906.875</v>
      </c>
      <c r="CJ30" s="12">
        <f>CJ$24*(1-'Assumptions and Inputs'!$C$100)</f>
        <v>41906.875</v>
      </c>
      <c r="CK30" s="12">
        <f>CK$24*(1-'Assumptions and Inputs'!$C$100)</f>
        <v>41906.875</v>
      </c>
      <c r="CL30" s="12">
        <f>CL$24*(1-'Assumptions and Inputs'!$C$100)</f>
        <v>41906.875</v>
      </c>
      <c r="CM30" s="12">
        <f>CM$24*(1-'Assumptions and Inputs'!$C$100)</f>
        <v>41906.875</v>
      </c>
      <c r="CN30" s="12">
        <f>CN$24*(1-'Assumptions and Inputs'!$C$100)</f>
        <v>41906.875</v>
      </c>
      <c r="CO30" s="12">
        <f>CO$24*(1-'Assumptions and Inputs'!$C$100)</f>
        <v>41906.875</v>
      </c>
      <c r="CP30" s="12">
        <f>CP$24*(1-'Assumptions and Inputs'!$C$100)</f>
        <v>41906.875</v>
      </c>
      <c r="CQ30" s="12">
        <f>CQ$24*(1-'Assumptions and Inputs'!$C$100)</f>
        <v>41906.875</v>
      </c>
      <c r="CR30" s="12">
        <f>CR$24*(1-'Assumptions and Inputs'!$C$100)</f>
        <v>41906.875</v>
      </c>
      <c r="CS30" s="12">
        <f>CS$24*(1-'Assumptions and Inputs'!$C$100)</f>
        <v>41906.875</v>
      </c>
      <c r="CT30" s="12">
        <f>CT$24*(1-'Assumptions and Inputs'!$C$100)</f>
        <v>41906.875</v>
      </c>
      <c r="CU30" s="12">
        <f>CU$24*(1-'Assumptions and Inputs'!$C$100)</f>
        <v>41906.875</v>
      </c>
      <c r="CV30" s="1"/>
      <c r="CW30" s="12">
        <f>CW$24*(1-'Assumptions and Inputs'!$C$100)</f>
        <v>493063.125</v>
      </c>
      <c r="CY30" s="12">
        <f>SUM(CJ30:CU30)</f>
        <v>502882.5</v>
      </c>
    </row>
    <row r="31" spans="2:125" x14ac:dyDescent="0.3">
      <c r="B31" s="157" t="str">
        <f t="shared" ref="B31:B33" si="10">B25</f>
        <v>PHA Discount</v>
      </c>
      <c r="D31" s="141"/>
      <c r="E31" s="222"/>
      <c r="F31" s="222"/>
      <c r="G31" s="222"/>
      <c r="H31" s="222"/>
      <c r="I31" s="222"/>
      <c r="BX31" s="225">
        <f>BX$25*(1-'Assumptions and Inputs'!$C$101)</f>
        <v>116347.45</v>
      </c>
      <c r="BY31" s="12">
        <f>BY$25*(1-'Assumptions and Inputs'!$C$101)</f>
        <v>112925.54999999999</v>
      </c>
      <c r="BZ31" s="12">
        <f>BZ$25*(1-'Assumptions and Inputs'!$C$101)</f>
        <v>110453.65</v>
      </c>
      <c r="CA31" s="12">
        <f>CA$25*(1-'Assumptions and Inputs'!$C$101)</f>
        <v>109494.07083333333</v>
      </c>
      <c r="CB31" s="12">
        <f>CB$25*(1-'Assumptions and Inputs'!$C$101)</f>
        <v>109494.07083333333</v>
      </c>
      <c r="CC31" s="12">
        <f>CC$25*(1-'Assumptions and Inputs'!$C$101)</f>
        <v>109494.07083333333</v>
      </c>
      <c r="CD31" s="12">
        <f>CD$25*(1-'Assumptions and Inputs'!$C$101)</f>
        <v>109494.07083333333</v>
      </c>
      <c r="CE31" s="12">
        <f>CE$25*(1-'Assumptions and Inputs'!$C$101)</f>
        <v>109494.07083333333</v>
      </c>
      <c r="CF31" s="12">
        <f>CF$25*(1-'Assumptions and Inputs'!$C$101)</f>
        <v>109494.07083333333</v>
      </c>
      <c r="CG31" s="12">
        <f>CG$25*(1-'Assumptions and Inputs'!$C$101)</f>
        <v>109494.07083333333</v>
      </c>
      <c r="CH31" s="12">
        <f>CH$25*(1-'Assumptions and Inputs'!$C$101)</f>
        <v>109494.07083333333</v>
      </c>
      <c r="CI31" s="12">
        <f>CI$25*(1-'Assumptions and Inputs'!$C$101)</f>
        <v>109494.07083333333</v>
      </c>
      <c r="CJ31" s="12">
        <f>CJ$25*(1-'Assumptions and Inputs'!$C$101)</f>
        <v>109494.07083333333</v>
      </c>
      <c r="CK31" s="12">
        <f>CK$25*(1-'Assumptions and Inputs'!$C$101)</f>
        <v>109494.07083333333</v>
      </c>
      <c r="CL31" s="12">
        <f>CL$25*(1-'Assumptions and Inputs'!$C$101)</f>
        <v>109494.07083333333</v>
      </c>
      <c r="CM31" s="12">
        <f>CM$25*(1-'Assumptions and Inputs'!$C$101)</f>
        <v>109494.07083333333</v>
      </c>
      <c r="CN31" s="12">
        <f>CN$25*(1-'Assumptions and Inputs'!$C$101)</f>
        <v>109494.07083333333</v>
      </c>
      <c r="CO31" s="12">
        <f>CO$25*(1-'Assumptions and Inputs'!$C$101)</f>
        <v>109494.07083333333</v>
      </c>
      <c r="CP31" s="12">
        <f>CP$25*(1-'Assumptions and Inputs'!$C$101)</f>
        <v>109494.07083333333</v>
      </c>
      <c r="CQ31" s="12">
        <f>CQ$25*(1-'Assumptions and Inputs'!$C$101)</f>
        <v>109494.07083333333</v>
      </c>
      <c r="CR31" s="12">
        <f>CR$25*(1-'Assumptions and Inputs'!$C$101)</f>
        <v>109494.07083333333</v>
      </c>
      <c r="CS31" s="12">
        <f>CS$25*(1-'Assumptions and Inputs'!$C$101)</f>
        <v>109494.07083333333</v>
      </c>
      <c r="CT31" s="12">
        <f>CT$25*(1-'Assumptions and Inputs'!$C$101)</f>
        <v>109494.07083333333</v>
      </c>
      <c r="CU31" s="12">
        <f>CU$25*(1-'Assumptions and Inputs'!$C$101)</f>
        <v>109494.07083333333</v>
      </c>
      <c r="CV31" s="1"/>
      <c r="CW31" s="12">
        <f>CW$25*(1-'Assumptions and Inputs'!$C$101)</f>
        <v>1325173.2875000001</v>
      </c>
      <c r="CY31" s="12">
        <f t="shared" ref="CY31:CY40" si="11">SUM(CJ31:CU31)</f>
        <v>1313928.8499999999</v>
      </c>
    </row>
    <row r="32" spans="2:125" x14ac:dyDescent="0.3">
      <c r="B32" s="157" t="str">
        <f t="shared" si="10"/>
        <v>Non-PHA Discount (Other discount)</v>
      </c>
      <c r="D32" s="141"/>
      <c r="E32" s="222"/>
      <c r="F32" s="222"/>
      <c r="G32" s="222"/>
      <c r="H32" s="222"/>
      <c r="I32" s="222"/>
      <c r="BX32" s="225">
        <f>BX$26*(1-'Assumptions and Inputs'!$C$102)</f>
        <v>153251.25</v>
      </c>
      <c r="BY32" s="12">
        <f>BY$26*(1-'Assumptions and Inputs'!$C$102)</f>
        <v>141243.75</v>
      </c>
      <c r="BZ32" s="12">
        <f>BZ$26*(1-'Assumptions and Inputs'!$C$102)</f>
        <v>135006.75</v>
      </c>
      <c r="CA32" s="12">
        <f>CA$26*(1-'Assumptions and Inputs'!$C$102)</f>
        <v>132295.8125</v>
      </c>
      <c r="CB32" s="12">
        <f>CB$26*(1-'Assumptions and Inputs'!$C$102)</f>
        <v>132295.8125</v>
      </c>
      <c r="CC32" s="12">
        <f>CC$26*(1-'Assumptions and Inputs'!$C$102)</f>
        <v>132295.8125</v>
      </c>
      <c r="CD32" s="12">
        <f>CD$26*(1-'Assumptions and Inputs'!$C$102)</f>
        <v>132295.8125</v>
      </c>
      <c r="CE32" s="12">
        <f>CE$26*(1-'Assumptions and Inputs'!$C$102)</f>
        <v>132295.8125</v>
      </c>
      <c r="CF32" s="12">
        <f>CF$26*(1-'Assumptions and Inputs'!$C$102)</f>
        <v>132295.8125</v>
      </c>
      <c r="CG32" s="12">
        <f>CG$26*(1-'Assumptions and Inputs'!$C$102)</f>
        <v>132295.8125</v>
      </c>
      <c r="CH32" s="12">
        <f>CH$26*(1-'Assumptions and Inputs'!$C$102)</f>
        <v>132295.8125</v>
      </c>
      <c r="CI32" s="12">
        <f>CI$26*(1-'Assumptions and Inputs'!$C$102)</f>
        <v>132295.8125</v>
      </c>
      <c r="CJ32" s="12">
        <f>CJ$26*(1-'Assumptions and Inputs'!$C$102)</f>
        <v>132295.8125</v>
      </c>
      <c r="CK32" s="12">
        <f>CK$26*(1-'Assumptions and Inputs'!$C$102)</f>
        <v>132295.8125</v>
      </c>
      <c r="CL32" s="12">
        <f>CL$26*(1-'Assumptions and Inputs'!$C$102)</f>
        <v>132295.8125</v>
      </c>
      <c r="CM32" s="12">
        <f>CM$26*(1-'Assumptions and Inputs'!$C$102)</f>
        <v>132295.8125</v>
      </c>
      <c r="CN32" s="12">
        <f>CN$26*(1-'Assumptions and Inputs'!$C$102)</f>
        <v>132295.8125</v>
      </c>
      <c r="CO32" s="12">
        <f>CO$26*(1-'Assumptions and Inputs'!$C$102)</f>
        <v>132295.8125</v>
      </c>
      <c r="CP32" s="12">
        <f>CP$26*(1-'Assumptions and Inputs'!$C$102)</f>
        <v>132295.8125</v>
      </c>
      <c r="CQ32" s="12">
        <f>CQ$26*(1-'Assumptions and Inputs'!$C$102)</f>
        <v>132295.8125</v>
      </c>
      <c r="CR32" s="12">
        <f>CR$26*(1-'Assumptions and Inputs'!$C$102)</f>
        <v>132295.8125</v>
      </c>
      <c r="CS32" s="12">
        <f>CS$26*(1-'Assumptions and Inputs'!$C$102)</f>
        <v>132295.8125</v>
      </c>
      <c r="CT32" s="12">
        <f>CT$26*(1-'Assumptions and Inputs'!$C$102)</f>
        <v>132295.8125</v>
      </c>
      <c r="CU32" s="12">
        <f>CU$26*(1-'Assumptions and Inputs'!$C$102)</f>
        <v>132295.8125</v>
      </c>
      <c r="CV32" s="1"/>
      <c r="CW32" s="12">
        <f>CW$26*(1-'Assumptions and Inputs'!$C$102)</f>
        <v>1620164.0625000005</v>
      </c>
      <c r="CY32" s="12">
        <f t="shared" si="11"/>
        <v>1587549.75</v>
      </c>
    </row>
    <row r="33" spans="2:125" x14ac:dyDescent="0.3">
      <c r="B33" s="157" t="str">
        <f t="shared" si="10"/>
        <v>No Additional Discount</v>
      </c>
      <c r="D33" s="141"/>
      <c r="E33" s="222"/>
      <c r="F33" s="222"/>
      <c r="G33" s="222"/>
      <c r="H33" s="222"/>
      <c r="I33" s="222"/>
      <c r="BX33" s="225">
        <f>BX27</f>
        <v>4600911</v>
      </c>
      <c r="BY33" s="12">
        <f t="shared" ref="BY33:CW33" si="12">BY27</f>
        <v>4322674</v>
      </c>
      <c r="BZ33" s="12">
        <f t="shared" si="12"/>
        <v>4098132</v>
      </c>
      <c r="CA33" s="12">
        <f t="shared" si="12"/>
        <v>4170984.0833333335</v>
      </c>
      <c r="CB33" s="12">
        <f t="shared" si="12"/>
        <v>4170984.0833333335</v>
      </c>
      <c r="CC33" s="12">
        <f t="shared" si="12"/>
        <v>4170984.0833333335</v>
      </c>
      <c r="CD33" s="12">
        <f t="shared" si="12"/>
        <v>4170984.0833333335</v>
      </c>
      <c r="CE33" s="12">
        <f t="shared" si="12"/>
        <v>4170984.0833333335</v>
      </c>
      <c r="CF33" s="12">
        <f t="shared" si="12"/>
        <v>4170984.0833333335</v>
      </c>
      <c r="CG33" s="12">
        <f t="shared" si="12"/>
        <v>4170984.0833333335</v>
      </c>
      <c r="CH33" s="12">
        <f t="shared" si="12"/>
        <v>4170984.0833333335</v>
      </c>
      <c r="CI33" s="12">
        <f t="shared" si="12"/>
        <v>4170984.0833333335</v>
      </c>
      <c r="CJ33" s="12">
        <f t="shared" si="12"/>
        <v>4170984.0833333335</v>
      </c>
      <c r="CK33" s="12">
        <f t="shared" si="12"/>
        <v>4170984.0833333335</v>
      </c>
      <c r="CL33" s="12">
        <f t="shared" si="12"/>
        <v>4170984.0833333335</v>
      </c>
      <c r="CM33" s="12">
        <f t="shared" si="12"/>
        <v>4170984.0833333335</v>
      </c>
      <c r="CN33" s="12">
        <f t="shared" si="12"/>
        <v>4170984.0833333335</v>
      </c>
      <c r="CO33" s="12">
        <f t="shared" si="12"/>
        <v>4170984.0833333335</v>
      </c>
      <c r="CP33" s="12">
        <f t="shared" si="12"/>
        <v>4170984.0833333335</v>
      </c>
      <c r="CQ33" s="12">
        <f t="shared" si="12"/>
        <v>4170984.0833333335</v>
      </c>
      <c r="CR33" s="12">
        <f t="shared" si="12"/>
        <v>4170984.0833333335</v>
      </c>
      <c r="CS33" s="12">
        <f t="shared" si="12"/>
        <v>4170984.0833333335</v>
      </c>
      <c r="CT33" s="12">
        <f t="shared" si="12"/>
        <v>4170984.0833333335</v>
      </c>
      <c r="CU33" s="12">
        <f t="shared" si="12"/>
        <v>4170984.0833333335</v>
      </c>
      <c r="CV33" s="57"/>
      <c r="CW33" s="12">
        <f t="shared" si="12"/>
        <v>50560573.750000007</v>
      </c>
      <c r="CY33" s="12">
        <f t="shared" si="11"/>
        <v>50051809.000000007</v>
      </c>
    </row>
    <row r="34" spans="2:125" x14ac:dyDescent="0.3">
      <c r="B34" s="157"/>
      <c r="D34" s="141"/>
      <c r="E34" s="222"/>
      <c r="F34" s="222"/>
      <c r="G34" s="222"/>
      <c r="H34" s="222"/>
      <c r="I34" s="222"/>
      <c r="BX34" s="226"/>
      <c r="DA34" s="223"/>
    </row>
    <row r="35" spans="2:125" x14ac:dyDescent="0.3">
      <c r="B35" s="227" t="s">
        <v>156</v>
      </c>
      <c r="C35" s="200"/>
      <c r="D35" s="57">
        <f t="shared" ref="D35:O35" si="13">SUM(D21:D21)</f>
        <v>125292</v>
      </c>
      <c r="E35" s="57">
        <f t="shared" si="13"/>
        <v>116321</v>
      </c>
      <c r="F35" s="57">
        <f t="shared" si="13"/>
        <v>123998</v>
      </c>
      <c r="G35" s="57">
        <f t="shared" si="13"/>
        <v>120173</v>
      </c>
      <c r="H35" s="57">
        <f t="shared" si="13"/>
        <v>119891</v>
      </c>
      <c r="I35" s="57">
        <f t="shared" si="13"/>
        <v>110548</v>
      </c>
      <c r="J35" s="57">
        <f>SUM(J21:J21)</f>
        <v>112511</v>
      </c>
      <c r="K35" s="57">
        <f t="shared" si="13"/>
        <v>104488</v>
      </c>
      <c r="L35" s="57">
        <f t="shared" si="13"/>
        <v>113669</v>
      </c>
      <c r="M35" s="57">
        <f t="shared" si="13"/>
        <v>122924</v>
      </c>
      <c r="N35" s="57">
        <f t="shared" si="13"/>
        <v>116438</v>
      </c>
      <c r="O35" s="57">
        <f t="shared" si="13"/>
        <v>122239</v>
      </c>
      <c r="P35" s="57">
        <f t="shared" ref="P35:AA35" si="14">SUM(P21:P21)</f>
        <v>126658</v>
      </c>
      <c r="Q35" s="57">
        <f t="shared" si="14"/>
        <v>123645</v>
      </c>
      <c r="R35" s="57">
        <f t="shared" si="14"/>
        <v>107145</v>
      </c>
      <c r="S35" s="57">
        <f t="shared" si="14"/>
        <v>120669</v>
      </c>
      <c r="T35" s="57">
        <f t="shared" si="14"/>
        <v>126488</v>
      </c>
      <c r="U35" s="57">
        <f t="shared" si="14"/>
        <v>101034</v>
      </c>
      <c r="V35" s="57">
        <f t="shared" si="14"/>
        <v>98932</v>
      </c>
      <c r="W35" s="57">
        <f t="shared" si="14"/>
        <v>114718</v>
      </c>
      <c r="X35" s="57">
        <f t="shared" si="14"/>
        <v>115895</v>
      </c>
      <c r="Y35" s="57">
        <f t="shared" si="14"/>
        <v>120388</v>
      </c>
      <c r="Z35" s="57">
        <f t="shared" si="14"/>
        <v>125154</v>
      </c>
      <c r="AA35" s="57">
        <f t="shared" si="14"/>
        <v>138990</v>
      </c>
      <c r="AB35" s="57">
        <f t="shared" ref="AB35:AC35" si="15">SUM(AB21:AB21)</f>
        <v>126956</v>
      </c>
      <c r="AC35" s="57">
        <f t="shared" si="15"/>
        <v>128016</v>
      </c>
      <c r="AD35" s="57">
        <f t="shared" ref="AD35:AM35" si="16">SUM(AD21:AD21)</f>
        <v>103048</v>
      </c>
      <c r="AE35" s="57">
        <f t="shared" si="16"/>
        <v>149519</v>
      </c>
      <c r="AF35" s="57">
        <f t="shared" si="16"/>
        <v>119298</v>
      </c>
      <c r="AG35" s="57">
        <f t="shared" si="16"/>
        <v>117079</v>
      </c>
      <c r="AH35" s="57">
        <f t="shared" si="16"/>
        <v>119671</v>
      </c>
      <c r="AI35" s="57">
        <f t="shared" si="16"/>
        <v>128468</v>
      </c>
      <c r="AJ35" s="57">
        <f t="shared" si="16"/>
        <v>111859</v>
      </c>
      <c r="AK35" s="57">
        <f t="shared" si="16"/>
        <v>117705</v>
      </c>
      <c r="AL35" s="57">
        <f t="shared" si="16"/>
        <v>130526</v>
      </c>
      <c r="AM35" s="57">
        <f t="shared" si="16"/>
        <v>127795</v>
      </c>
      <c r="AN35" s="57">
        <f t="shared" ref="AN35:AY35" si="17">SUM(AN21:AN21)</f>
        <v>127608</v>
      </c>
      <c r="AO35" s="57">
        <f t="shared" si="17"/>
        <v>137900</v>
      </c>
      <c r="AP35" s="57">
        <f t="shared" si="17"/>
        <v>122893</v>
      </c>
      <c r="AQ35" s="57">
        <f t="shared" si="17"/>
        <v>121566</v>
      </c>
      <c r="AR35" s="57">
        <f t="shared" si="17"/>
        <v>115589</v>
      </c>
      <c r="AS35" s="57">
        <f t="shared" si="17"/>
        <v>92454</v>
      </c>
      <c r="AT35" s="57">
        <f t="shared" si="17"/>
        <v>91051</v>
      </c>
      <c r="AU35" s="57">
        <f t="shared" si="17"/>
        <v>74605</v>
      </c>
      <c r="AV35" s="57">
        <f t="shared" si="17"/>
        <v>70157</v>
      </c>
      <c r="AW35" s="57">
        <f t="shared" si="17"/>
        <v>72630</v>
      </c>
      <c r="AX35" s="57">
        <f t="shared" si="17"/>
        <v>81622</v>
      </c>
      <c r="AY35" s="57">
        <f t="shared" si="17"/>
        <v>88479</v>
      </c>
      <c r="AZ35" s="57">
        <f t="shared" ref="AZ35:BK35" si="18">SUM(AZ21:AZ21)</f>
        <v>111525</v>
      </c>
      <c r="BA35" s="57">
        <f t="shared" si="18"/>
        <v>104033</v>
      </c>
      <c r="BB35" s="57">
        <f t="shared" si="18"/>
        <v>100995</v>
      </c>
      <c r="BC35" s="57">
        <f t="shared" si="18"/>
        <v>107322</v>
      </c>
      <c r="BD35" s="57">
        <f t="shared" si="18"/>
        <v>120521</v>
      </c>
      <c r="BE35" s="57">
        <f t="shared" si="18"/>
        <v>95911</v>
      </c>
      <c r="BF35" s="57">
        <f t="shared" si="18"/>
        <v>118816</v>
      </c>
      <c r="BG35" s="57">
        <f t="shared" si="18"/>
        <v>99409</v>
      </c>
      <c r="BH35" s="57">
        <f t="shared" si="18"/>
        <v>104930</v>
      </c>
      <c r="BI35" s="57">
        <f t="shared" si="18"/>
        <v>133936</v>
      </c>
      <c r="BJ35" s="57">
        <f t="shared" si="18"/>
        <v>145573</v>
      </c>
      <c r="BK35" s="57">
        <f t="shared" si="18"/>
        <v>139989</v>
      </c>
      <c r="BL35" s="57">
        <f t="shared" ref="BL35:BW35" si="19">SUM(BL21:BL21)</f>
        <v>158478</v>
      </c>
      <c r="BM35" s="57">
        <f t="shared" si="19"/>
        <v>144206</v>
      </c>
      <c r="BN35" s="57">
        <f t="shared" si="19"/>
        <v>152436</v>
      </c>
      <c r="BO35" s="57">
        <f t="shared" si="19"/>
        <v>154197</v>
      </c>
      <c r="BP35" s="57">
        <f t="shared" si="19"/>
        <v>160082</v>
      </c>
      <c r="BQ35" s="57">
        <f t="shared" si="19"/>
        <v>193697</v>
      </c>
      <c r="BR35" s="57">
        <f t="shared" si="19"/>
        <v>300467</v>
      </c>
      <c r="BS35" s="57">
        <f t="shared" si="19"/>
        <v>326158</v>
      </c>
      <c r="BT35" s="57">
        <f t="shared" si="19"/>
        <v>364303</v>
      </c>
      <c r="BU35" s="57">
        <f t="shared" si="19"/>
        <v>351988</v>
      </c>
      <c r="BV35" s="57">
        <f t="shared" si="19"/>
        <v>379010</v>
      </c>
      <c r="BW35" s="57">
        <f t="shared" si="19"/>
        <v>401513</v>
      </c>
      <c r="BX35" s="228">
        <f t="shared" ref="BX35:CI35" si="20">SUM(BX21:BX21)</f>
        <v>422248</v>
      </c>
      <c r="BY35" s="57">
        <f t="shared" si="20"/>
        <v>411732</v>
      </c>
      <c r="BZ35" s="57">
        <f t="shared" si="20"/>
        <v>360612</v>
      </c>
      <c r="CA35" s="57">
        <f t="shared" si="20"/>
        <v>388512.68715392216</v>
      </c>
      <c r="CB35" s="57">
        <f t="shared" si="20"/>
        <v>392397.81402546144</v>
      </c>
      <c r="CC35" s="57">
        <f t="shared" si="20"/>
        <v>372777.92332418839</v>
      </c>
      <c r="CD35" s="57">
        <f t="shared" si="20"/>
        <v>391416.81949039781</v>
      </c>
      <c r="CE35" s="57">
        <f t="shared" si="20"/>
        <v>395330.98768530175</v>
      </c>
      <c r="CF35" s="57">
        <f t="shared" si="20"/>
        <v>399284.29756215477</v>
      </c>
      <c r="CG35" s="57">
        <f t="shared" si="20"/>
        <v>383312.92565966857</v>
      </c>
      <c r="CH35" s="57">
        <f t="shared" si="20"/>
        <v>398645.44268605532</v>
      </c>
      <c r="CI35" s="57">
        <f t="shared" si="20"/>
        <v>402631.89711291582</v>
      </c>
      <c r="CJ35" s="57">
        <f t="shared" ref="CJ35:CU35" si="21">SUM(CJ21:CJ21)</f>
        <v>398605.57814178668</v>
      </c>
      <c r="CK35" s="57">
        <f t="shared" si="21"/>
        <v>398605.57814178668</v>
      </c>
      <c r="CL35" s="57">
        <f t="shared" si="21"/>
        <v>398605.57814178668</v>
      </c>
      <c r="CM35" s="57">
        <f t="shared" si="21"/>
        <v>398605.57814178668</v>
      </c>
      <c r="CN35" s="57">
        <f t="shared" si="21"/>
        <v>398605.57814178668</v>
      </c>
      <c r="CO35" s="57">
        <f t="shared" si="21"/>
        <v>398605.57814178668</v>
      </c>
      <c r="CP35" s="57">
        <f t="shared" si="21"/>
        <v>398605.57814178668</v>
      </c>
      <c r="CQ35" s="57">
        <f t="shared" si="21"/>
        <v>398605.57814178668</v>
      </c>
      <c r="CR35" s="57">
        <f t="shared" si="21"/>
        <v>398605.57814178668</v>
      </c>
      <c r="CS35" s="57">
        <f t="shared" si="21"/>
        <v>398605.57814178668</v>
      </c>
      <c r="CT35" s="57">
        <f t="shared" si="21"/>
        <v>398605.57814178668</v>
      </c>
      <c r="CU35" s="57">
        <f t="shared" si="21"/>
        <v>398605.57814178668</v>
      </c>
      <c r="CW35" s="12">
        <f t="shared" si="9"/>
        <v>4718902.7947000666</v>
      </c>
      <c r="CY35" s="12">
        <f t="shared" si="11"/>
        <v>4783266.9377014404</v>
      </c>
      <c r="DA35" s="202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</row>
    <row r="36" spans="2:125" x14ac:dyDescent="0.3">
      <c r="B36" s="227" t="s">
        <v>159</v>
      </c>
      <c r="C36" s="229"/>
      <c r="D36" s="57">
        <f t="shared" ref="D36:O36" si="22">SUM(D24:D27)</f>
        <v>5539902</v>
      </c>
      <c r="E36" s="57">
        <f t="shared" si="22"/>
        <v>4885189</v>
      </c>
      <c r="F36" s="57">
        <f t="shared" si="22"/>
        <v>4946627</v>
      </c>
      <c r="G36" s="57">
        <f t="shared" si="22"/>
        <v>4615162</v>
      </c>
      <c r="H36" s="57">
        <f t="shared" si="22"/>
        <v>4469265</v>
      </c>
      <c r="I36" s="57">
        <f t="shared" si="22"/>
        <v>4378397</v>
      </c>
      <c r="J36" s="57">
        <f t="shared" si="22"/>
        <v>4577125</v>
      </c>
      <c r="K36" s="57">
        <f t="shared" si="22"/>
        <v>4356424</v>
      </c>
      <c r="L36" s="57">
        <f t="shared" si="22"/>
        <v>4669530</v>
      </c>
      <c r="M36" s="57">
        <f t="shared" si="22"/>
        <v>4945948</v>
      </c>
      <c r="N36" s="57">
        <f t="shared" si="22"/>
        <v>4631912</v>
      </c>
      <c r="O36" s="57">
        <f t="shared" si="22"/>
        <v>5398114</v>
      </c>
      <c r="P36" s="57">
        <f t="shared" ref="P36:AA36" si="23">SUM(P24:P27)</f>
        <v>5202951</v>
      </c>
      <c r="Q36" s="57">
        <f t="shared" si="23"/>
        <v>5009769</v>
      </c>
      <c r="R36" s="57">
        <f t="shared" si="23"/>
        <v>4734324</v>
      </c>
      <c r="S36" s="57">
        <f t="shared" si="23"/>
        <v>4849243</v>
      </c>
      <c r="T36" s="57">
        <f t="shared" si="23"/>
        <v>5010909</v>
      </c>
      <c r="U36" s="57">
        <f t="shared" si="23"/>
        <v>4290883</v>
      </c>
      <c r="V36" s="57">
        <f t="shared" si="23"/>
        <v>4226282</v>
      </c>
      <c r="W36" s="57">
        <f t="shared" si="23"/>
        <v>4388435</v>
      </c>
      <c r="X36" s="57">
        <f t="shared" si="23"/>
        <v>4211491</v>
      </c>
      <c r="Y36" s="57">
        <f t="shared" si="23"/>
        <v>4523039</v>
      </c>
      <c r="Z36" s="57">
        <f t="shared" si="23"/>
        <v>4838222</v>
      </c>
      <c r="AA36" s="57">
        <f t="shared" si="23"/>
        <v>5353388</v>
      </c>
      <c r="AB36" s="57">
        <f t="shared" ref="AB36:AC36" si="24">SUM(AB24:AB27)</f>
        <v>4936131</v>
      </c>
      <c r="AC36" s="57">
        <f t="shared" si="24"/>
        <v>5063048</v>
      </c>
      <c r="AD36" s="57">
        <f t="shared" ref="AD36:AM36" si="25">SUM(AD24:AD27)</f>
        <v>4317831</v>
      </c>
      <c r="AE36" s="57">
        <f t="shared" si="25"/>
        <v>4705163</v>
      </c>
      <c r="AF36" s="57">
        <f t="shared" si="25"/>
        <v>4401556</v>
      </c>
      <c r="AG36" s="57">
        <f t="shared" si="25"/>
        <v>4157406</v>
      </c>
      <c r="AH36" s="57">
        <f t="shared" si="25"/>
        <v>4366903</v>
      </c>
      <c r="AI36" s="57">
        <f t="shared" si="25"/>
        <v>4591311</v>
      </c>
      <c r="AJ36" s="57">
        <f t="shared" si="25"/>
        <v>4421280</v>
      </c>
      <c r="AK36" s="57">
        <f t="shared" si="25"/>
        <v>4666555</v>
      </c>
      <c r="AL36" s="57">
        <f t="shared" si="25"/>
        <v>5108692</v>
      </c>
      <c r="AM36" s="57">
        <f t="shared" si="25"/>
        <v>5059258</v>
      </c>
      <c r="AN36" s="57">
        <f t="shared" ref="AN36:AY36" si="26">SUM(AN24:AN27)</f>
        <v>5043181</v>
      </c>
      <c r="AO36" s="57">
        <f t="shared" si="26"/>
        <v>5152364</v>
      </c>
      <c r="AP36" s="57">
        <f t="shared" si="26"/>
        <v>4534771</v>
      </c>
      <c r="AQ36" s="57">
        <f t="shared" si="26"/>
        <v>4602293</v>
      </c>
      <c r="AR36" s="57">
        <f t="shared" si="26"/>
        <v>4803935</v>
      </c>
      <c r="AS36" s="57">
        <f t="shared" si="26"/>
        <v>4185216</v>
      </c>
      <c r="AT36" s="57">
        <f t="shared" si="26"/>
        <v>4645285</v>
      </c>
      <c r="AU36" s="57">
        <f t="shared" si="26"/>
        <v>4580925</v>
      </c>
      <c r="AV36" s="57">
        <f t="shared" si="26"/>
        <v>4415561</v>
      </c>
      <c r="AW36" s="57">
        <f t="shared" si="26"/>
        <v>4753775</v>
      </c>
      <c r="AX36" s="57">
        <f t="shared" si="26"/>
        <v>5073606</v>
      </c>
      <c r="AY36" s="57">
        <f t="shared" si="26"/>
        <v>5196269</v>
      </c>
      <c r="AZ36" s="57">
        <f t="shared" ref="AZ36:BK36" si="27">SUM(AZ24:AZ27)</f>
        <v>5872899</v>
      </c>
      <c r="BA36" s="57">
        <f t="shared" si="27"/>
        <v>4904080</v>
      </c>
      <c r="BB36" s="57">
        <f t="shared" si="27"/>
        <v>4518936</v>
      </c>
      <c r="BC36" s="57">
        <f>SUM(BC24:BC27)</f>
        <v>4565218</v>
      </c>
      <c r="BD36" s="57">
        <f t="shared" si="27"/>
        <v>4758151</v>
      </c>
      <c r="BE36" s="57">
        <f t="shared" si="27"/>
        <v>4016393</v>
      </c>
      <c r="BF36" s="57">
        <f t="shared" si="27"/>
        <v>4717996</v>
      </c>
      <c r="BG36" s="57">
        <f t="shared" si="27"/>
        <v>4205398</v>
      </c>
      <c r="BH36" s="57">
        <f t="shared" si="27"/>
        <v>4221463</v>
      </c>
      <c r="BI36" s="57">
        <f t="shared" si="27"/>
        <v>4833104</v>
      </c>
      <c r="BJ36" s="57">
        <f t="shared" si="27"/>
        <v>5113275</v>
      </c>
      <c r="BK36" s="57">
        <f t="shared" si="27"/>
        <v>4780359</v>
      </c>
      <c r="BL36" s="57">
        <f t="shared" ref="BL36:BW36" si="28">SUM(BL24:BL27)</f>
        <v>5236504</v>
      </c>
      <c r="BM36" s="57">
        <f t="shared" si="28"/>
        <v>4410953</v>
      </c>
      <c r="BN36" s="57">
        <f t="shared" si="28"/>
        <v>4438226</v>
      </c>
      <c r="BO36" s="57">
        <f t="shared" si="28"/>
        <v>4428969</v>
      </c>
      <c r="BP36" s="57">
        <f t="shared" si="28"/>
        <v>4549297</v>
      </c>
      <c r="BQ36" s="57">
        <f t="shared" si="28"/>
        <v>4362231</v>
      </c>
      <c r="BR36" s="57">
        <f t="shared" si="28"/>
        <v>4049395</v>
      </c>
      <c r="BS36" s="57">
        <f t="shared" si="28"/>
        <v>3949632</v>
      </c>
      <c r="BT36" s="57">
        <f t="shared" si="28"/>
        <v>4387837</v>
      </c>
      <c r="BU36" s="57">
        <f t="shared" si="28"/>
        <v>4364394</v>
      </c>
      <c r="BV36" s="57">
        <f t="shared" si="28"/>
        <v>4951143</v>
      </c>
      <c r="BW36" s="57">
        <f t="shared" si="28"/>
        <v>5072709</v>
      </c>
      <c r="BX36" s="230">
        <f>SUM(BX30:BX33)</f>
        <v>4912667.2</v>
      </c>
      <c r="BY36" s="57">
        <f t="shared" ref="BY36:CU36" si="29">SUM(BY30:BY33)</f>
        <v>4615775.05</v>
      </c>
      <c r="BZ36" s="57">
        <f t="shared" si="29"/>
        <v>4378404.4000000004</v>
      </c>
      <c r="CA36" s="57">
        <f t="shared" si="29"/>
        <v>4454680.8416666668</v>
      </c>
      <c r="CB36" s="57">
        <f t="shared" si="29"/>
        <v>4454680.8416666668</v>
      </c>
      <c r="CC36" s="57">
        <f t="shared" si="29"/>
        <v>4454680.8416666668</v>
      </c>
      <c r="CD36" s="57">
        <f t="shared" si="29"/>
        <v>4454680.8416666668</v>
      </c>
      <c r="CE36" s="57">
        <f t="shared" si="29"/>
        <v>4454680.8416666668</v>
      </c>
      <c r="CF36" s="57">
        <f t="shared" si="29"/>
        <v>4454680.8416666668</v>
      </c>
      <c r="CG36" s="57">
        <f t="shared" si="29"/>
        <v>4454680.8416666668</v>
      </c>
      <c r="CH36" s="57">
        <f t="shared" si="29"/>
        <v>4454680.8416666668</v>
      </c>
      <c r="CI36" s="57">
        <f t="shared" si="29"/>
        <v>4454680.8416666668</v>
      </c>
      <c r="CJ36" s="57">
        <f t="shared" si="29"/>
        <v>4454680.8416666668</v>
      </c>
      <c r="CK36" s="57">
        <f t="shared" si="29"/>
        <v>4454680.8416666668</v>
      </c>
      <c r="CL36" s="57">
        <f t="shared" si="29"/>
        <v>4454680.8416666668</v>
      </c>
      <c r="CM36" s="57">
        <f t="shared" si="29"/>
        <v>4454680.8416666668</v>
      </c>
      <c r="CN36" s="57">
        <f t="shared" si="29"/>
        <v>4454680.8416666668</v>
      </c>
      <c r="CO36" s="57">
        <f t="shared" si="29"/>
        <v>4454680.8416666668</v>
      </c>
      <c r="CP36" s="57">
        <f t="shared" si="29"/>
        <v>4454680.8416666668</v>
      </c>
      <c r="CQ36" s="57">
        <f t="shared" si="29"/>
        <v>4454680.8416666668</v>
      </c>
      <c r="CR36" s="57">
        <f t="shared" si="29"/>
        <v>4454680.8416666668</v>
      </c>
      <c r="CS36" s="57">
        <f t="shared" si="29"/>
        <v>4454680.8416666668</v>
      </c>
      <c r="CT36" s="57">
        <f t="shared" si="29"/>
        <v>4454680.8416666668</v>
      </c>
      <c r="CU36" s="57">
        <f t="shared" si="29"/>
        <v>4454680.8416666668</v>
      </c>
      <c r="CW36" s="12">
        <f t="shared" si="9"/>
        <v>53998974.225000016</v>
      </c>
      <c r="CY36" s="12">
        <f t="shared" si="11"/>
        <v>53456170.100000016</v>
      </c>
      <c r="DA36" s="231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</row>
    <row r="37" spans="2:125" x14ac:dyDescent="0.3">
      <c r="B37" s="22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228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</row>
    <row r="38" spans="2:125" x14ac:dyDescent="0.3">
      <c r="B38" s="37" t="s">
        <v>165</v>
      </c>
      <c r="D38" s="57">
        <f t="shared" ref="D38:O38" si="30">SUM(D35:D36)</f>
        <v>5665194</v>
      </c>
      <c r="E38" s="57">
        <f t="shared" si="30"/>
        <v>5001510</v>
      </c>
      <c r="F38" s="57">
        <f t="shared" si="30"/>
        <v>5070625</v>
      </c>
      <c r="G38" s="57">
        <f t="shared" si="30"/>
        <v>4735335</v>
      </c>
      <c r="H38" s="57">
        <f t="shared" si="30"/>
        <v>4589156</v>
      </c>
      <c r="I38" s="57">
        <f t="shared" si="30"/>
        <v>4488945</v>
      </c>
      <c r="J38" s="57">
        <f t="shared" si="30"/>
        <v>4689636</v>
      </c>
      <c r="K38" s="57">
        <f t="shared" si="30"/>
        <v>4460912</v>
      </c>
      <c r="L38" s="57">
        <f t="shared" si="30"/>
        <v>4783199</v>
      </c>
      <c r="M38" s="57">
        <f t="shared" si="30"/>
        <v>5068872</v>
      </c>
      <c r="N38" s="57">
        <f t="shared" si="30"/>
        <v>4748350</v>
      </c>
      <c r="O38" s="57">
        <f t="shared" si="30"/>
        <v>5520353</v>
      </c>
      <c r="P38" s="57">
        <f t="shared" ref="P38:AA38" si="31">SUM(P35:P36)</f>
        <v>5329609</v>
      </c>
      <c r="Q38" s="57">
        <f t="shared" si="31"/>
        <v>5133414</v>
      </c>
      <c r="R38" s="57">
        <f t="shared" si="31"/>
        <v>4841469</v>
      </c>
      <c r="S38" s="57">
        <f t="shared" si="31"/>
        <v>4969912</v>
      </c>
      <c r="T38" s="57">
        <f t="shared" si="31"/>
        <v>5137397</v>
      </c>
      <c r="U38" s="57">
        <f t="shared" si="31"/>
        <v>4391917</v>
      </c>
      <c r="V38" s="57">
        <f t="shared" si="31"/>
        <v>4325214</v>
      </c>
      <c r="W38" s="57">
        <f t="shared" si="31"/>
        <v>4503153</v>
      </c>
      <c r="X38" s="57">
        <f t="shared" si="31"/>
        <v>4327386</v>
      </c>
      <c r="Y38" s="57">
        <f t="shared" si="31"/>
        <v>4643427</v>
      </c>
      <c r="Z38" s="57">
        <f t="shared" si="31"/>
        <v>4963376</v>
      </c>
      <c r="AA38" s="57">
        <f t="shared" si="31"/>
        <v>5492378</v>
      </c>
      <c r="AB38" s="57">
        <f t="shared" ref="AB38:AC38" si="32">SUM(AB35:AB36)</f>
        <v>5063087</v>
      </c>
      <c r="AC38" s="57">
        <f t="shared" si="32"/>
        <v>5191064</v>
      </c>
      <c r="AD38" s="57">
        <f t="shared" ref="AD38:AM38" si="33">SUM(AD35:AD36)</f>
        <v>4420879</v>
      </c>
      <c r="AE38" s="57">
        <f t="shared" si="33"/>
        <v>4854682</v>
      </c>
      <c r="AF38" s="57">
        <f t="shared" si="33"/>
        <v>4520854</v>
      </c>
      <c r="AG38" s="57">
        <f t="shared" si="33"/>
        <v>4274485</v>
      </c>
      <c r="AH38" s="57">
        <f t="shared" si="33"/>
        <v>4486574</v>
      </c>
      <c r="AI38" s="57">
        <f t="shared" si="33"/>
        <v>4719779</v>
      </c>
      <c r="AJ38" s="57">
        <f t="shared" si="33"/>
        <v>4533139</v>
      </c>
      <c r="AK38" s="57">
        <f t="shared" si="33"/>
        <v>4784260</v>
      </c>
      <c r="AL38" s="57">
        <f t="shared" si="33"/>
        <v>5239218</v>
      </c>
      <c r="AM38" s="57">
        <f t="shared" si="33"/>
        <v>5187053</v>
      </c>
      <c r="AN38" s="57">
        <f t="shared" ref="AN38:BK38" si="34">SUM(AN35:AN36)</f>
        <v>5170789</v>
      </c>
      <c r="AO38" s="57">
        <f t="shared" si="34"/>
        <v>5290264</v>
      </c>
      <c r="AP38" s="57">
        <f t="shared" si="34"/>
        <v>4657664</v>
      </c>
      <c r="AQ38" s="57">
        <f t="shared" si="34"/>
        <v>4723859</v>
      </c>
      <c r="AR38" s="57">
        <f t="shared" si="34"/>
        <v>4919524</v>
      </c>
      <c r="AS38" s="57">
        <f t="shared" si="34"/>
        <v>4277670</v>
      </c>
      <c r="AT38" s="57">
        <f t="shared" si="34"/>
        <v>4736336</v>
      </c>
      <c r="AU38" s="57">
        <f t="shared" si="34"/>
        <v>4655530</v>
      </c>
      <c r="AV38" s="57">
        <f t="shared" si="34"/>
        <v>4485718</v>
      </c>
      <c r="AW38" s="57">
        <f t="shared" si="34"/>
        <v>4826405</v>
      </c>
      <c r="AX38" s="57">
        <f t="shared" si="34"/>
        <v>5155228</v>
      </c>
      <c r="AY38" s="57">
        <f t="shared" si="34"/>
        <v>5284748</v>
      </c>
      <c r="AZ38" s="57">
        <f t="shared" si="34"/>
        <v>5984424</v>
      </c>
      <c r="BA38" s="57">
        <f t="shared" si="34"/>
        <v>5008113</v>
      </c>
      <c r="BB38" s="57">
        <f t="shared" si="34"/>
        <v>4619931</v>
      </c>
      <c r="BC38" s="57">
        <f t="shared" si="34"/>
        <v>4672540</v>
      </c>
      <c r="BD38" s="57">
        <f t="shared" si="34"/>
        <v>4878672</v>
      </c>
      <c r="BE38" s="57">
        <f t="shared" si="34"/>
        <v>4112304</v>
      </c>
      <c r="BF38" s="57">
        <f t="shared" si="34"/>
        <v>4836812</v>
      </c>
      <c r="BG38" s="57">
        <f t="shared" si="34"/>
        <v>4304807</v>
      </c>
      <c r="BH38" s="57">
        <f t="shared" si="34"/>
        <v>4326393</v>
      </c>
      <c r="BI38" s="57">
        <f t="shared" si="34"/>
        <v>4967040</v>
      </c>
      <c r="BJ38" s="57">
        <f t="shared" si="34"/>
        <v>5258848</v>
      </c>
      <c r="BK38" s="57">
        <f t="shared" si="34"/>
        <v>4920348</v>
      </c>
      <c r="BL38" s="57">
        <f t="shared" ref="BL38:BW38" si="35">SUM(BL35:BL36)</f>
        <v>5394982</v>
      </c>
      <c r="BM38" s="57">
        <f t="shared" si="35"/>
        <v>4555159</v>
      </c>
      <c r="BN38" s="57">
        <f t="shared" si="35"/>
        <v>4590662</v>
      </c>
      <c r="BO38" s="57">
        <f t="shared" si="35"/>
        <v>4583166</v>
      </c>
      <c r="BP38" s="57">
        <f t="shared" si="35"/>
        <v>4709379</v>
      </c>
      <c r="BQ38" s="57">
        <f t="shared" si="35"/>
        <v>4555928</v>
      </c>
      <c r="BR38" s="57">
        <f t="shared" si="35"/>
        <v>4349862</v>
      </c>
      <c r="BS38" s="57">
        <f t="shared" si="35"/>
        <v>4275790</v>
      </c>
      <c r="BT38" s="57">
        <f t="shared" si="35"/>
        <v>4752140</v>
      </c>
      <c r="BU38" s="57">
        <f t="shared" si="35"/>
        <v>4716382</v>
      </c>
      <c r="BV38" s="57">
        <f t="shared" si="35"/>
        <v>5330153</v>
      </c>
      <c r="BW38" s="57">
        <f t="shared" si="35"/>
        <v>5474222</v>
      </c>
      <c r="BX38" s="228">
        <f t="shared" ref="BX38:CI38" si="36">SUM(BX35:BX36)</f>
        <v>5334915.2</v>
      </c>
      <c r="BY38" s="57">
        <f t="shared" si="36"/>
        <v>5027507.05</v>
      </c>
      <c r="BZ38" s="57">
        <f t="shared" si="36"/>
        <v>4739016.4000000004</v>
      </c>
      <c r="CA38" s="57">
        <f t="shared" si="36"/>
        <v>4843193.5288205892</v>
      </c>
      <c r="CB38" s="57">
        <f t="shared" si="36"/>
        <v>4847078.6556921285</v>
      </c>
      <c r="CC38" s="57">
        <f t="shared" si="36"/>
        <v>4827458.764990855</v>
      </c>
      <c r="CD38" s="57">
        <f t="shared" si="36"/>
        <v>4846097.6611570641</v>
      </c>
      <c r="CE38" s="57">
        <f t="shared" si="36"/>
        <v>4850011.8293519681</v>
      </c>
      <c r="CF38" s="57">
        <f t="shared" si="36"/>
        <v>4853965.1392288217</v>
      </c>
      <c r="CG38" s="57">
        <f t="shared" si="36"/>
        <v>4837993.7673263354</v>
      </c>
      <c r="CH38" s="57">
        <f t="shared" si="36"/>
        <v>4853326.2843527216</v>
      </c>
      <c r="CI38" s="57">
        <f t="shared" si="36"/>
        <v>4857312.738779583</v>
      </c>
      <c r="CJ38" s="57">
        <f t="shared" ref="CJ38:CU38" si="37">SUM(CJ35:CJ36)</f>
        <v>4853286.4198084539</v>
      </c>
      <c r="CK38" s="57">
        <f t="shared" si="37"/>
        <v>4853286.4198084539</v>
      </c>
      <c r="CL38" s="57">
        <f t="shared" si="37"/>
        <v>4853286.4198084539</v>
      </c>
      <c r="CM38" s="57">
        <f t="shared" si="37"/>
        <v>4853286.4198084539</v>
      </c>
      <c r="CN38" s="57">
        <f t="shared" si="37"/>
        <v>4853286.4198084539</v>
      </c>
      <c r="CO38" s="57">
        <f t="shared" si="37"/>
        <v>4853286.4198084539</v>
      </c>
      <c r="CP38" s="57">
        <f t="shared" si="37"/>
        <v>4853286.4198084539</v>
      </c>
      <c r="CQ38" s="57">
        <f t="shared" si="37"/>
        <v>4853286.4198084539</v>
      </c>
      <c r="CR38" s="57">
        <f t="shared" si="37"/>
        <v>4853286.4198084539</v>
      </c>
      <c r="CS38" s="57">
        <f t="shared" si="37"/>
        <v>4853286.4198084539</v>
      </c>
      <c r="CT38" s="57">
        <f t="shared" si="37"/>
        <v>4853286.4198084539</v>
      </c>
      <c r="CU38" s="57">
        <f t="shared" si="37"/>
        <v>4853286.4198084539</v>
      </c>
      <c r="CW38" s="12">
        <f t="shared" si="9"/>
        <v>58717877.019700058</v>
      </c>
      <c r="CY38" s="12">
        <f t="shared" si="11"/>
        <v>58239437.03770145</v>
      </c>
    </row>
    <row r="39" spans="2:125" x14ac:dyDescent="0.3">
      <c r="B39" s="3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228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</row>
    <row r="40" spans="2:125" x14ac:dyDescent="0.3">
      <c r="B40" s="37" t="s">
        <v>166</v>
      </c>
      <c r="D40" s="57">
        <f t="shared" ref="D40:O40" si="38">D36</f>
        <v>5539902</v>
      </c>
      <c r="E40" s="57">
        <f t="shared" si="38"/>
        <v>4885189</v>
      </c>
      <c r="F40" s="57">
        <f t="shared" si="38"/>
        <v>4946627</v>
      </c>
      <c r="G40" s="57">
        <f t="shared" si="38"/>
        <v>4615162</v>
      </c>
      <c r="H40" s="57">
        <f t="shared" si="38"/>
        <v>4469265</v>
      </c>
      <c r="I40" s="57">
        <f t="shared" si="38"/>
        <v>4378397</v>
      </c>
      <c r="J40" s="57">
        <f t="shared" si="38"/>
        <v>4577125</v>
      </c>
      <c r="K40" s="57">
        <f t="shared" si="38"/>
        <v>4356424</v>
      </c>
      <c r="L40" s="57">
        <f t="shared" si="38"/>
        <v>4669530</v>
      </c>
      <c r="M40" s="57">
        <f t="shared" si="38"/>
        <v>4945948</v>
      </c>
      <c r="N40" s="57">
        <f t="shared" si="38"/>
        <v>4631912</v>
      </c>
      <c r="O40" s="57">
        <f t="shared" si="38"/>
        <v>5398114</v>
      </c>
      <c r="P40" s="57">
        <f t="shared" ref="P40:AA40" si="39">P36</f>
        <v>5202951</v>
      </c>
      <c r="Q40" s="57">
        <f t="shared" si="39"/>
        <v>5009769</v>
      </c>
      <c r="R40" s="57">
        <f t="shared" si="39"/>
        <v>4734324</v>
      </c>
      <c r="S40" s="57">
        <f t="shared" si="39"/>
        <v>4849243</v>
      </c>
      <c r="T40" s="57">
        <f t="shared" si="39"/>
        <v>5010909</v>
      </c>
      <c r="U40" s="57">
        <f t="shared" si="39"/>
        <v>4290883</v>
      </c>
      <c r="V40" s="57">
        <f t="shared" si="39"/>
        <v>4226282</v>
      </c>
      <c r="W40" s="57">
        <f t="shared" si="39"/>
        <v>4388435</v>
      </c>
      <c r="X40" s="57">
        <f t="shared" si="39"/>
        <v>4211491</v>
      </c>
      <c r="Y40" s="57">
        <f t="shared" si="39"/>
        <v>4523039</v>
      </c>
      <c r="Z40" s="57">
        <f t="shared" si="39"/>
        <v>4838222</v>
      </c>
      <c r="AA40" s="57">
        <f t="shared" si="39"/>
        <v>5353388</v>
      </c>
      <c r="AB40" s="57">
        <f t="shared" ref="AB40:AC40" si="40">AB36</f>
        <v>4936131</v>
      </c>
      <c r="AC40" s="57">
        <f t="shared" si="40"/>
        <v>5063048</v>
      </c>
      <c r="AD40" s="57">
        <f t="shared" ref="AD40:AM40" si="41">AD36</f>
        <v>4317831</v>
      </c>
      <c r="AE40" s="57">
        <f t="shared" si="41"/>
        <v>4705163</v>
      </c>
      <c r="AF40" s="57">
        <f t="shared" si="41"/>
        <v>4401556</v>
      </c>
      <c r="AG40" s="57">
        <f t="shared" si="41"/>
        <v>4157406</v>
      </c>
      <c r="AH40" s="57">
        <f t="shared" si="41"/>
        <v>4366903</v>
      </c>
      <c r="AI40" s="57">
        <f t="shared" si="41"/>
        <v>4591311</v>
      </c>
      <c r="AJ40" s="57">
        <f t="shared" si="41"/>
        <v>4421280</v>
      </c>
      <c r="AK40" s="57">
        <f t="shared" si="41"/>
        <v>4666555</v>
      </c>
      <c r="AL40" s="57">
        <f t="shared" si="41"/>
        <v>5108692</v>
      </c>
      <c r="AM40" s="57">
        <f t="shared" si="41"/>
        <v>5059258</v>
      </c>
      <c r="AN40" s="57">
        <f t="shared" ref="AN40:BW40" si="42">AN36</f>
        <v>5043181</v>
      </c>
      <c r="AO40" s="57">
        <f t="shared" si="42"/>
        <v>5152364</v>
      </c>
      <c r="AP40" s="57">
        <f t="shared" si="42"/>
        <v>4534771</v>
      </c>
      <c r="AQ40" s="57">
        <f t="shared" si="42"/>
        <v>4602293</v>
      </c>
      <c r="AR40" s="57">
        <f t="shared" si="42"/>
        <v>4803935</v>
      </c>
      <c r="AS40" s="57">
        <f t="shared" si="42"/>
        <v>4185216</v>
      </c>
      <c r="AT40" s="57">
        <f t="shared" si="42"/>
        <v>4645285</v>
      </c>
      <c r="AU40" s="57">
        <f t="shared" si="42"/>
        <v>4580925</v>
      </c>
      <c r="AV40" s="57">
        <f t="shared" si="42"/>
        <v>4415561</v>
      </c>
      <c r="AW40" s="57">
        <f t="shared" si="42"/>
        <v>4753775</v>
      </c>
      <c r="AX40" s="57">
        <f t="shared" si="42"/>
        <v>5073606</v>
      </c>
      <c r="AY40" s="57">
        <f t="shared" si="42"/>
        <v>5196269</v>
      </c>
      <c r="AZ40" s="57">
        <f t="shared" si="42"/>
        <v>5872899</v>
      </c>
      <c r="BA40" s="57">
        <f t="shared" si="42"/>
        <v>4904080</v>
      </c>
      <c r="BB40" s="57">
        <f t="shared" si="42"/>
        <v>4518936</v>
      </c>
      <c r="BC40" s="57">
        <f>BC36</f>
        <v>4565218</v>
      </c>
      <c r="BD40" s="57">
        <f t="shared" si="42"/>
        <v>4758151</v>
      </c>
      <c r="BE40" s="57">
        <f t="shared" si="42"/>
        <v>4016393</v>
      </c>
      <c r="BF40" s="57">
        <f t="shared" si="42"/>
        <v>4717996</v>
      </c>
      <c r="BG40" s="57">
        <f t="shared" si="42"/>
        <v>4205398</v>
      </c>
      <c r="BH40" s="57">
        <f t="shared" si="42"/>
        <v>4221463</v>
      </c>
      <c r="BI40" s="57">
        <f t="shared" si="42"/>
        <v>4833104</v>
      </c>
      <c r="BJ40" s="57">
        <f t="shared" si="42"/>
        <v>5113275</v>
      </c>
      <c r="BK40" s="57">
        <f t="shared" si="42"/>
        <v>4780359</v>
      </c>
      <c r="BL40" s="57">
        <f t="shared" si="42"/>
        <v>5236504</v>
      </c>
      <c r="BM40" s="57">
        <f t="shared" si="42"/>
        <v>4410953</v>
      </c>
      <c r="BN40" s="57">
        <f t="shared" si="42"/>
        <v>4438226</v>
      </c>
      <c r="BO40" s="57">
        <f t="shared" si="42"/>
        <v>4428969</v>
      </c>
      <c r="BP40" s="57">
        <f t="shared" si="42"/>
        <v>4549297</v>
      </c>
      <c r="BQ40" s="57">
        <f t="shared" si="42"/>
        <v>4362231</v>
      </c>
      <c r="BR40" s="57">
        <f t="shared" si="42"/>
        <v>4049395</v>
      </c>
      <c r="BS40" s="57">
        <f t="shared" si="42"/>
        <v>3949632</v>
      </c>
      <c r="BT40" s="57">
        <f t="shared" si="42"/>
        <v>4387837</v>
      </c>
      <c r="BU40" s="57">
        <f t="shared" si="42"/>
        <v>4364394</v>
      </c>
      <c r="BV40" s="57">
        <f t="shared" si="42"/>
        <v>4951143</v>
      </c>
      <c r="BW40" s="57">
        <f t="shared" si="42"/>
        <v>5072709</v>
      </c>
      <c r="BX40" s="228">
        <f t="shared" ref="BX40:CI40" si="43">BX36</f>
        <v>4912667.2</v>
      </c>
      <c r="BY40" s="57">
        <f t="shared" si="43"/>
        <v>4615775.05</v>
      </c>
      <c r="BZ40" s="57">
        <f t="shared" si="43"/>
        <v>4378404.4000000004</v>
      </c>
      <c r="CA40" s="57">
        <f t="shared" si="43"/>
        <v>4454680.8416666668</v>
      </c>
      <c r="CB40" s="57">
        <f t="shared" si="43"/>
        <v>4454680.8416666668</v>
      </c>
      <c r="CC40" s="57">
        <f t="shared" si="43"/>
        <v>4454680.8416666668</v>
      </c>
      <c r="CD40" s="57">
        <f t="shared" si="43"/>
        <v>4454680.8416666668</v>
      </c>
      <c r="CE40" s="57">
        <f t="shared" si="43"/>
        <v>4454680.8416666668</v>
      </c>
      <c r="CF40" s="57">
        <f t="shared" si="43"/>
        <v>4454680.8416666668</v>
      </c>
      <c r="CG40" s="57">
        <f t="shared" si="43"/>
        <v>4454680.8416666668</v>
      </c>
      <c r="CH40" s="57">
        <f t="shared" si="43"/>
        <v>4454680.8416666668</v>
      </c>
      <c r="CI40" s="57">
        <f t="shared" si="43"/>
        <v>4454680.8416666668</v>
      </c>
      <c r="CJ40" s="57">
        <f t="shared" ref="CJ40:CU40" si="44">CJ36</f>
        <v>4454680.8416666668</v>
      </c>
      <c r="CK40" s="57">
        <f t="shared" si="44"/>
        <v>4454680.8416666668</v>
      </c>
      <c r="CL40" s="57">
        <f t="shared" si="44"/>
        <v>4454680.8416666668</v>
      </c>
      <c r="CM40" s="57">
        <f t="shared" si="44"/>
        <v>4454680.8416666668</v>
      </c>
      <c r="CN40" s="57">
        <f t="shared" si="44"/>
        <v>4454680.8416666668</v>
      </c>
      <c r="CO40" s="57">
        <f t="shared" si="44"/>
        <v>4454680.8416666668</v>
      </c>
      <c r="CP40" s="57">
        <f t="shared" si="44"/>
        <v>4454680.8416666668</v>
      </c>
      <c r="CQ40" s="57">
        <f t="shared" si="44"/>
        <v>4454680.8416666668</v>
      </c>
      <c r="CR40" s="57">
        <f t="shared" si="44"/>
        <v>4454680.8416666668</v>
      </c>
      <c r="CS40" s="57">
        <f t="shared" si="44"/>
        <v>4454680.8416666668</v>
      </c>
      <c r="CT40" s="57">
        <f t="shared" si="44"/>
        <v>4454680.8416666668</v>
      </c>
      <c r="CU40" s="57">
        <f t="shared" si="44"/>
        <v>4454680.8416666668</v>
      </c>
      <c r="CW40" s="12">
        <f t="shared" si="9"/>
        <v>53998974.225000016</v>
      </c>
      <c r="CY40" s="12">
        <f t="shared" si="11"/>
        <v>53456170.100000016</v>
      </c>
      <c r="DH40" s="57"/>
      <c r="DI40" s="57"/>
      <c r="DJ40" s="57"/>
      <c r="DK40" s="57"/>
      <c r="DL40" s="57"/>
    </row>
    <row r="41" spans="2:125" x14ac:dyDescent="0.3">
      <c r="B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DH41" s="10"/>
      <c r="DI41" s="10"/>
      <c r="DJ41" s="10"/>
      <c r="DK41" s="10"/>
      <c r="DL41" s="10"/>
      <c r="DP41" s="10"/>
      <c r="DQ41" s="12"/>
    </row>
    <row r="42" spans="2:125" x14ac:dyDescent="0.3"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</row>
    <row r="43" spans="2:125" x14ac:dyDescent="0.3">
      <c r="B43" s="232" t="s">
        <v>167</v>
      </c>
      <c r="C43" s="233"/>
      <c r="D43" s="234"/>
      <c r="E43" s="234"/>
      <c r="F43" s="234"/>
      <c r="G43" s="234"/>
      <c r="H43" s="235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36"/>
      <c r="CS43" s="236"/>
      <c r="CT43" s="236"/>
      <c r="CU43" s="236"/>
      <c r="CV43" s="237"/>
      <c r="CW43" s="237"/>
      <c r="CX43" s="237"/>
      <c r="CY43" s="237"/>
      <c r="CZ43" s="237"/>
      <c r="DA43" s="234"/>
      <c r="DB43" s="234"/>
    </row>
    <row r="44" spans="2:125" x14ac:dyDescent="0.3"/>
    <row r="45" spans="2:125" x14ac:dyDescent="0.3">
      <c r="B45" s="195" t="s">
        <v>156</v>
      </c>
      <c r="C45" s="196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220" t="s">
        <v>168</v>
      </c>
      <c r="DB45" s="195"/>
    </row>
    <row r="46" spans="2:125" x14ac:dyDescent="0.3">
      <c r="B46" s="157" t="s">
        <v>156</v>
      </c>
      <c r="D46" s="221">
        <v>125285</v>
      </c>
      <c r="E46" s="221">
        <v>116303</v>
      </c>
      <c r="F46" s="221">
        <v>123993</v>
      </c>
      <c r="G46" s="221">
        <v>120167</v>
      </c>
      <c r="H46" s="221">
        <v>119885</v>
      </c>
      <c r="I46" s="221">
        <v>110543</v>
      </c>
      <c r="J46" s="221">
        <v>112507</v>
      </c>
      <c r="K46" s="221">
        <v>104483</v>
      </c>
      <c r="L46" s="221">
        <v>113650</v>
      </c>
      <c r="M46" s="221">
        <v>122903</v>
      </c>
      <c r="N46" s="221">
        <v>116379</v>
      </c>
      <c r="O46" s="221">
        <v>122207</v>
      </c>
      <c r="P46" s="221">
        <v>126622</v>
      </c>
      <c r="Q46" s="221">
        <v>123617</v>
      </c>
      <c r="R46" s="221">
        <v>107112</v>
      </c>
      <c r="S46" s="221">
        <v>120637</v>
      </c>
      <c r="T46" s="221">
        <v>126447</v>
      </c>
      <c r="U46" s="221">
        <v>100997</v>
      </c>
      <c r="V46" s="221">
        <v>98894</v>
      </c>
      <c r="W46" s="221">
        <v>114666</v>
      </c>
      <c r="X46" s="221">
        <v>115835</v>
      </c>
      <c r="Y46" s="221">
        <v>120333</v>
      </c>
      <c r="Z46" s="221">
        <v>125084</v>
      </c>
      <c r="AA46" s="221">
        <v>138940</v>
      </c>
      <c r="AB46" s="221">
        <v>126907</v>
      </c>
      <c r="AC46" s="221">
        <v>127968</v>
      </c>
      <c r="AD46" s="221">
        <v>103001</v>
      </c>
      <c r="AE46" s="221">
        <v>149471</v>
      </c>
      <c r="AF46" s="221">
        <v>119244</v>
      </c>
      <c r="AG46" s="221">
        <v>117032</v>
      </c>
      <c r="AH46" s="221">
        <v>119623</v>
      </c>
      <c r="AI46" s="221">
        <v>128429</v>
      </c>
      <c r="AJ46" s="221">
        <v>111814</v>
      </c>
      <c r="AK46" s="221">
        <v>117666</v>
      </c>
      <c r="AL46" s="221">
        <v>130474</v>
      </c>
      <c r="AM46" s="221">
        <v>127760</v>
      </c>
      <c r="AN46" s="221">
        <v>127581</v>
      </c>
      <c r="AO46" s="221">
        <v>137864</v>
      </c>
      <c r="AP46" s="221">
        <v>122864</v>
      </c>
      <c r="AQ46" s="221">
        <v>121542</v>
      </c>
      <c r="AR46" s="221">
        <v>115578</v>
      </c>
      <c r="AS46" s="221">
        <v>92445</v>
      </c>
      <c r="AT46" s="221">
        <v>91038</v>
      </c>
      <c r="AU46" s="221">
        <v>74596</v>
      </c>
      <c r="AV46" s="221">
        <v>70157</v>
      </c>
      <c r="AW46" s="221">
        <v>72629</v>
      </c>
      <c r="AX46" s="221">
        <v>81615</v>
      </c>
      <c r="AY46" s="221">
        <v>88467</v>
      </c>
      <c r="AZ46" s="221">
        <v>111515</v>
      </c>
      <c r="BA46" s="221">
        <v>104026</v>
      </c>
      <c r="BB46" s="221">
        <v>100983</v>
      </c>
      <c r="BC46" s="221">
        <v>107302</v>
      </c>
      <c r="BD46" s="221">
        <v>120505</v>
      </c>
      <c r="BE46" s="221">
        <v>95901</v>
      </c>
      <c r="BF46" s="221">
        <v>118802</v>
      </c>
      <c r="BG46" s="221">
        <v>99395</v>
      </c>
      <c r="BH46" s="221">
        <v>104919</v>
      </c>
      <c r="BI46" s="221">
        <v>133914</v>
      </c>
      <c r="BJ46" s="221">
        <v>145556</v>
      </c>
      <c r="BK46" s="221">
        <v>139950</v>
      </c>
      <c r="BL46" s="221">
        <v>158435</v>
      </c>
      <c r="BM46" s="221">
        <v>144144</v>
      </c>
      <c r="BN46" s="221">
        <v>152391</v>
      </c>
      <c r="BO46" s="221">
        <v>154147</v>
      </c>
      <c r="BP46" s="221">
        <v>160034</v>
      </c>
      <c r="BQ46" s="221">
        <v>193623</v>
      </c>
      <c r="BR46" s="221">
        <v>300271</v>
      </c>
      <c r="BS46" s="221">
        <v>325874</v>
      </c>
      <c r="BT46" s="221">
        <v>364001</v>
      </c>
      <c r="BU46" s="221">
        <v>351660</v>
      </c>
      <c r="BV46" s="221">
        <v>378585</v>
      </c>
      <c r="BW46" s="221">
        <v>401093</v>
      </c>
      <c r="BX46" s="221">
        <v>421902</v>
      </c>
      <c r="BY46" s="221">
        <v>411356</v>
      </c>
      <c r="BZ46" s="221">
        <v>360271</v>
      </c>
      <c r="CA46" s="57">
        <f>CA$8*'Assumptions and Inputs'!$C$11/100</f>
        <v>388512.68715392216</v>
      </c>
      <c r="CB46" s="57">
        <f>CB$8*'Assumptions and Inputs'!$C$11/100</f>
        <v>392397.81402546144</v>
      </c>
      <c r="CC46" s="57">
        <f>CC$8*'Assumptions and Inputs'!$C$11/100</f>
        <v>372777.92332418839</v>
      </c>
      <c r="CD46" s="57">
        <f>CD$8*'Assumptions and Inputs'!$C$11/100</f>
        <v>391416.81949039781</v>
      </c>
      <c r="CE46" s="57">
        <f>CE$8*'Assumptions and Inputs'!$C$11/100</f>
        <v>395330.98768530175</v>
      </c>
      <c r="CF46" s="57">
        <f>CF$8*'Assumptions and Inputs'!$C$11/100</f>
        <v>399284.29756215477</v>
      </c>
      <c r="CG46" s="57">
        <f>CG$8*'Assumptions and Inputs'!$C$11/100</f>
        <v>383312.92565966857</v>
      </c>
      <c r="CH46" s="57">
        <f>CH$8*'Assumptions and Inputs'!$C$11/100</f>
        <v>398645.44268605532</v>
      </c>
      <c r="CI46" s="57">
        <f>CI$8*'Assumptions and Inputs'!$C$11/100</f>
        <v>402631.89711291582</v>
      </c>
      <c r="CJ46" s="57">
        <f>CJ$8*'Assumptions and Inputs'!$C$11/100</f>
        <v>398605.57814178668</v>
      </c>
      <c r="CK46" s="57">
        <f>CK$8*'Assumptions and Inputs'!$C$11/100</f>
        <v>398605.57814178668</v>
      </c>
      <c r="CL46" s="57">
        <f>CL$8*'Assumptions and Inputs'!$C$11/100</f>
        <v>398605.57814178668</v>
      </c>
      <c r="CM46" s="57">
        <f>CM$8*'Assumptions and Inputs'!$C$11/100</f>
        <v>398605.57814178668</v>
      </c>
      <c r="CN46" s="57">
        <f>CN$8*'Assumptions and Inputs'!$C$11/100</f>
        <v>398605.57814178668</v>
      </c>
      <c r="CO46" s="57">
        <f>CO$8*'Assumptions and Inputs'!$C$11/100</f>
        <v>398605.57814178668</v>
      </c>
      <c r="CP46" s="57">
        <f>CP$8*'Assumptions and Inputs'!$C$11/100</f>
        <v>398605.57814178668</v>
      </c>
      <c r="CQ46" s="57">
        <f>CQ$8*'Assumptions and Inputs'!$C$11/100</f>
        <v>398605.57814178668</v>
      </c>
      <c r="CR46" s="57">
        <f>CR$8*'Assumptions and Inputs'!$C$11/100</f>
        <v>398605.57814178668</v>
      </c>
      <c r="CS46" s="57">
        <f>CS$8*'Assumptions and Inputs'!$C$11/100</f>
        <v>398605.57814178668</v>
      </c>
      <c r="CT46" s="57">
        <f>CT$8*'Assumptions and Inputs'!$C$11/100</f>
        <v>398605.57814178668</v>
      </c>
      <c r="CU46" s="57">
        <f>CU$8*'Assumptions and Inputs'!$C$11/100</f>
        <v>398605.57814178668</v>
      </c>
      <c r="CW46" s="12">
        <f>SUM(BX46:CI46)</f>
        <v>4717839.7947000666</v>
      </c>
      <c r="CY46" s="12">
        <f t="shared" ref="CY46" si="45">SUM(CJ46:CU46)</f>
        <v>4783266.9377014404</v>
      </c>
      <c r="DB46" s="1" t="s">
        <v>148</v>
      </c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</row>
    <row r="47" spans="2:125" x14ac:dyDescent="0.3">
      <c r="D47" s="141"/>
      <c r="E47" s="222"/>
      <c r="F47" s="222"/>
      <c r="G47" s="222"/>
      <c r="H47" s="222"/>
      <c r="I47" s="222"/>
    </row>
    <row r="48" spans="2:125" x14ac:dyDescent="0.3">
      <c r="B48" s="195" t="s">
        <v>159</v>
      </c>
      <c r="C48" s="196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220" t="s">
        <v>168</v>
      </c>
      <c r="DB48" s="195"/>
    </row>
    <row r="49" spans="2:121" x14ac:dyDescent="0.3">
      <c r="B49" s="157" t="s">
        <v>99</v>
      </c>
      <c r="D49" s="221">
        <v>95691</v>
      </c>
      <c r="E49" s="221">
        <v>85228</v>
      </c>
      <c r="F49" s="221">
        <v>84654</v>
      </c>
      <c r="G49" s="221">
        <v>81991</v>
      </c>
      <c r="H49" s="221">
        <v>82047</v>
      </c>
      <c r="I49" s="221">
        <v>80014</v>
      </c>
      <c r="J49" s="221">
        <v>87476</v>
      </c>
      <c r="K49" s="221">
        <v>78727</v>
      </c>
      <c r="L49" s="221">
        <v>85250</v>
      </c>
      <c r="M49" s="221">
        <v>86065</v>
      </c>
      <c r="N49" s="221">
        <v>78842</v>
      </c>
      <c r="O49" s="221">
        <v>91543</v>
      </c>
      <c r="P49" s="221">
        <v>92688</v>
      </c>
      <c r="Q49" s="221">
        <v>88900</v>
      </c>
      <c r="R49" s="221">
        <v>73446</v>
      </c>
      <c r="S49" s="221">
        <v>85239</v>
      </c>
      <c r="T49" s="221">
        <v>88618</v>
      </c>
      <c r="U49" s="221">
        <v>72583</v>
      </c>
      <c r="V49" s="221">
        <v>70543</v>
      </c>
      <c r="W49" s="221">
        <v>81697</v>
      </c>
      <c r="X49" s="221">
        <v>75972</v>
      </c>
      <c r="Y49" s="221">
        <v>79552</v>
      </c>
      <c r="Z49" s="221">
        <v>82478</v>
      </c>
      <c r="AA49" s="221">
        <v>89013</v>
      </c>
      <c r="AB49" s="221">
        <v>81783</v>
      </c>
      <c r="AC49" s="221">
        <v>84585</v>
      </c>
      <c r="AD49" s="221">
        <v>68370</v>
      </c>
      <c r="AE49" s="221">
        <v>83188</v>
      </c>
      <c r="AF49" s="221">
        <v>74527</v>
      </c>
      <c r="AG49" s="221">
        <v>71277</v>
      </c>
      <c r="AH49" s="221">
        <v>74560</v>
      </c>
      <c r="AI49" s="221">
        <v>75126</v>
      </c>
      <c r="AJ49" s="221">
        <v>66033</v>
      </c>
      <c r="AK49" s="221">
        <v>70433</v>
      </c>
      <c r="AL49" s="221">
        <v>77890</v>
      </c>
      <c r="AM49" s="221">
        <v>76338</v>
      </c>
      <c r="AN49" s="221">
        <v>76005</v>
      </c>
      <c r="AO49" s="221">
        <v>77257</v>
      </c>
      <c r="AP49" s="221">
        <v>70143</v>
      </c>
      <c r="AQ49" s="221">
        <v>70315</v>
      </c>
      <c r="AR49" s="221">
        <v>79472</v>
      </c>
      <c r="AS49" s="221">
        <v>72383</v>
      </c>
      <c r="AT49" s="221">
        <v>82573</v>
      </c>
      <c r="AU49" s="221">
        <v>82098</v>
      </c>
      <c r="AV49" s="221">
        <v>78856</v>
      </c>
      <c r="AW49" s="221">
        <v>83401</v>
      </c>
      <c r="AX49" s="221">
        <v>85687</v>
      </c>
      <c r="AY49" s="221">
        <v>79623</v>
      </c>
      <c r="AZ49" s="221">
        <v>88451</v>
      </c>
      <c r="BA49" s="221">
        <v>75923</v>
      </c>
      <c r="BB49" s="221">
        <v>74966</v>
      </c>
      <c r="BC49" s="221">
        <v>80946</v>
      </c>
      <c r="BD49" s="221">
        <v>88027</v>
      </c>
      <c r="BE49" s="221">
        <v>69706</v>
      </c>
      <c r="BF49" s="221">
        <v>84559</v>
      </c>
      <c r="BG49" s="221">
        <v>66032</v>
      </c>
      <c r="BH49" s="221">
        <v>66517</v>
      </c>
      <c r="BI49" s="221">
        <v>83890</v>
      </c>
      <c r="BJ49" s="221">
        <v>78451</v>
      </c>
      <c r="BK49" s="221">
        <v>71706</v>
      </c>
      <c r="BL49" s="221">
        <v>77782</v>
      </c>
      <c r="BM49" s="221">
        <v>68142</v>
      </c>
      <c r="BN49" s="221">
        <v>71421</v>
      </c>
      <c r="BO49" s="221">
        <v>69120</v>
      </c>
      <c r="BP49" s="221">
        <v>70065</v>
      </c>
      <c r="BQ49" s="221">
        <v>62150</v>
      </c>
      <c r="BR49" s="221">
        <v>49943</v>
      </c>
      <c r="BS49" s="221">
        <v>49425</v>
      </c>
      <c r="BT49" s="221">
        <v>52263</v>
      </c>
      <c r="BU49" s="221">
        <v>51841</v>
      </c>
      <c r="BV49" s="221">
        <v>55107</v>
      </c>
      <c r="BW49" s="221">
        <v>55656</v>
      </c>
      <c r="BX49" s="221">
        <v>56166</v>
      </c>
      <c r="BY49" s="221">
        <v>51876</v>
      </c>
      <c r="BZ49" s="221">
        <v>46373</v>
      </c>
      <c r="CA49" s="57">
        <f>AVERAGE($BO49:$BZ49)</f>
        <v>55832.083333333336</v>
      </c>
      <c r="CB49" s="57">
        <f t="shared" ref="CB49:CU52" si="46">AVERAGE($BO49:$BZ49)</f>
        <v>55832.083333333336</v>
      </c>
      <c r="CC49" s="57">
        <f t="shared" si="46"/>
        <v>55832.083333333336</v>
      </c>
      <c r="CD49" s="57">
        <f t="shared" si="46"/>
        <v>55832.083333333336</v>
      </c>
      <c r="CE49" s="57">
        <f t="shared" si="46"/>
        <v>55832.083333333336</v>
      </c>
      <c r="CF49" s="57">
        <f t="shared" si="46"/>
        <v>55832.083333333336</v>
      </c>
      <c r="CG49" s="57">
        <f t="shared" si="46"/>
        <v>55832.083333333336</v>
      </c>
      <c r="CH49" s="57">
        <f t="shared" si="46"/>
        <v>55832.083333333336</v>
      </c>
      <c r="CI49" s="57">
        <f t="shared" si="46"/>
        <v>55832.083333333336</v>
      </c>
      <c r="CJ49" s="57">
        <f t="shared" si="46"/>
        <v>55832.083333333336</v>
      </c>
      <c r="CK49" s="57">
        <f t="shared" si="46"/>
        <v>55832.083333333336</v>
      </c>
      <c r="CL49" s="57">
        <f t="shared" si="46"/>
        <v>55832.083333333336</v>
      </c>
      <c r="CM49" s="57">
        <f t="shared" si="46"/>
        <v>55832.083333333336</v>
      </c>
      <c r="CN49" s="57">
        <f t="shared" si="46"/>
        <v>55832.083333333336</v>
      </c>
      <c r="CO49" s="57">
        <f t="shared" si="46"/>
        <v>55832.083333333336</v>
      </c>
      <c r="CP49" s="57">
        <f t="shared" si="46"/>
        <v>55832.083333333336</v>
      </c>
      <c r="CQ49" s="57">
        <f t="shared" si="46"/>
        <v>55832.083333333336</v>
      </c>
      <c r="CR49" s="57">
        <f t="shared" si="46"/>
        <v>55832.083333333336</v>
      </c>
      <c r="CS49" s="57">
        <f t="shared" si="46"/>
        <v>55832.083333333336</v>
      </c>
      <c r="CT49" s="57">
        <f t="shared" si="46"/>
        <v>55832.083333333336</v>
      </c>
      <c r="CU49" s="57">
        <f t="shared" si="46"/>
        <v>55832.083333333336</v>
      </c>
      <c r="CW49" s="12">
        <f t="shared" ref="CW49:CW65" si="47">SUM(BX49:CI49)</f>
        <v>656903.75</v>
      </c>
      <c r="CY49" s="12">
        <f t="shared" ref="CY49:CY65" si="48">SUM(CJ49:CU49)</f>
        <v>669985</v>
      </c>
      <c r="DB49" s="1" t="s">
        <v>161</v>
      </c>
      <c r="DH49" s="57"/>
      <c r="DI49" s="57"/>
      <c r="DJ49" s="57"/>
      <c r="DL49" s="57"/>
    </row>
    <row r="50" spans="2:121" x14ac:dyDescent="0.3">
      <c r="B50" s="157" t="s">
        <v>101</v>
      </c>
      <c r="D50" s="221">
        <v>158993</v>
      </c>
      <c r="E50" s="221">
        <v>124198</v>
      </c>
      <c r="F50" s="221">
        <v>129788</v>
      </c>
      <c r="G50" s="221">
        <v>123552</v>
      </c>
      <c r="H50" s="221">
        <v>123004</v>
      </c>
      <c r="I50" s="221">
        <v>117002</v>
      </c>
      <c r="J50" s="221">
        <v>297628</v>
      </c>
      <c r="K50" s="221">
        <v>294832</v>
      </c>
      <c r="L50" s="221">
        <v>337151</v>
      </c>
      <c r="M50" s="221">
        <v>335121</v>
      </c>
      <c r="N50" s="221">
        <v>316655</v>
      </c>
      <c r="O50" s="221">
        <v>423378</v>
      </c>
      <c r="P50" s="221">
        <v>350254</v>
      </c>
      <c r="Q50" s="221">
        <v>360520</v>
      </c>
      <c r="R50" s="221">
        <v>363121</v>
      </c>
      <c r="S50" s="221">
        <v>337640</v>
      </c>
      <c r="T50" s="221">
        <v>300907</v>
      </c>
      <c r="U50" s="221">
        <v>220778</v>
      </c>
      <c r="V50" s="221">
        <v>100436</v>
      </c>
      <c r="W50" s="221">
        <v>107950</v>
      </c>
      <c r="X50" s="221">
        <v>114132</v>
      </c>
      <c r="Y50" s="221">
        <v>118990</v>
      </c>
      <c r="Z50" s="221">
        <v>126345</v>
      </c>
      <c r="AA50" s="221">
        <v>142162</v>
      </c>
      <c r="AB50" s="221">
        <v>131539</v>
      </c>
      <c r="AC50" s="221">
        <v>127515</v>
      </c>
      <c r="AD50" s="221">
        <v>113166</v>
      </c>
      <c r="AE50" s="221">
        <v>104301</v>
      </c>
      <c r="AF50" s="221">
        <v>122975</v>
      </c>
      <c r="AG50" s="221">
        <v>119916</v>
      </c>
      <c r="AH50" s="221">
        <v>112029</v>
      </c>
      <c r="AI50" s="221">
        <v>123343</v>
      </c>
      <c r="AJ50" s="221">
        <v>114660</v>
      </c>
      <c r="AK50" s="221">
        <v>116092</v>
      </c>
      <c r="AL50" s="221">
        <v>132132</v>
      </c>
      <c r="AM50" s="221">
        <v>129186</v>
      </c>
      <c r="AN50" s="221">
        <v>132328</v>
      </c>
      <c r="AO50" s="221">
        <v>131313</v>
      </c>
      <c r="AP50" s="221">
        <v>122686</v>
      </c>
      <c r="AQ50" s="221">
        <v>124347</v>
      </c>
      <c r="AR50" s="221">
        <v>138850</v>
      </c>
      <c r="AS50" s="221">
        <v>124003</v>
      </c>
      <c r="AT50" s="221">
        <v>125728</v>
      </c>
      <c r="AU50" s="221">
        <v>136537</v>
      </c>
      <c r="AV50" s="221">
        <v>118681</v>
      </c>
      <c r="AW50" s="221">
        <v>131404</v>
      </c>
      <c r="AX50" s="221">
        <v>139472</v>
      </c>
      <c r="AY50" s="221">
        <v>135162</v>
      </c>
      <c r="AZ50" s="221">
        <v>306075</v>
      </c>
      <c r="BA50" s="221">
        <v>148436</v>
      </c>
      <c r="BB50" s="221">
        <v>124852</v>
      </c>
      <c r="BC50" s="221">
        <v>141077</v>
      </c>
      <c r="BD50" s="221">
        <v>148080</v>
      </c>
      <c r="BE50" s="221">
        <v>123902</v>
      </c>
      <c r="BF50" s="221">
        <v>125201</v>
      </c>
      <c r="BG50" s="221">
        <v>119398</v>
      </c>
      <c r="BH50" s="221">
        <v>106731</v>
      </c>
      <c r="BI50" s="221">
        <v>124859</v>
      </c>
      <c r="BJ50" s="221">
        <v>128230</v>
      </c>
      <c r="BK50" s="221">
        <v>121424</v>
      </c>
      <c r="BL50" s="221">
        <v>129520</v>
      </c>
      <c r="BM50" s="221">
        <v>115450</v>
      </c>
      <c r="BN50" s="221">
        <v>116967</v>
      </c>
      <c r="BO50" s="221">
        <v>117364</v>
      </c>
      <c r="BP50" s="221">
        <v>117487</v>
      </c>
      <c r="BQ50" s="221">
        <v>115362</v>
      </c>
      <c r="BR50" s="221">
        <v>104780</v>
      </c>
      <c r="BS50" s="221">
        <v>105353</v>
      </c>
      <c r="BT50" s="221">
        <v>106252</v>
      </c>
      <c r="BU50" s="221">
        <v>111613</v>
      </c>
      <c r="BV50" s="221">
        <v>122559</v>
      </c>
      <c r="BW50" s="221">
        <v>124447</v>
      </c>
      <c r="BX50" s="221">
        <v>122392</v>
      </c>
      <c r="BY50" s="221">
        <v>118830</v>
      </c>
      <c r="BZ50" s="221">
        <v>116229</v>
      </c>
      <c r="CA50" s="57">
        <f t="shared" ref="CA50:CP52" si="49">AVERAGE($BO50:$BZ50)</f>
        <v>115222.33333333333</v>
      </c>
      <c r="CB50" s="57">
        <f t="shared" si="49"/>
        <v>115222.33333333333</v>
      </c>
      <c r="CC50" s="57">
        <f t="shared" si="49"/>
        <v>115222.33333333333</v>
      </c>
      <c r="CD50" s="57">
        <f t="shared" si="49"/>
        <v>115222.33333333333</v>
      </c>
      <c r="CE50" s="57">
        <f t="shared" si="49"/>
        <v>115222.33333333333</v>
      </c>
      <c r="CF50" s="57">
        <f t="shared" si="49"/>
        <v>115222.33333333333</v>
      </c>
      <c r="CG50" s="57">
        <f t="shared" si="49"/>
        <v>115222.33333333333</v>
      </c>
      <c r="CH50" s="57">
        <f t="shared" si="49"/>
        <v>115222.33333333333</v>
      </c>
      <c r="CI50" s="57">
        <f t="shared" si="49"/>
        <v>115222.33333333333</v>
      </c>
      <c r="CJ50" s="57">
        <f t="shared" si="49"/>
        <v>115222.33333333333</v>
      </c>
      <c r="CK50" s="57">
        <f t="shared" si="49"/>
        <v>115222.33333333333</v>
      </c>
      <c r="CL50" s="57">
        <f t="shared" si="49"/>
        <v>115222.33333333333</v>
      </c>
      <c r="CM50" s="57">
        <f t="shared" si="49"/>
        <v>115222.33333333333</v>
      </c>
      <c r="CN50" s="57">
        <f t="shared" si="49"/>
        <v>115222.33333333333</v>
      </c>
      <c r="CO50" s="57">
        <f t="shared" si="49"/>
        <v>115222.33333333333</v>
      </c>
      <c r="CP50" s="57">
        <f t="shared" si="49"/>
        <v>115222.33333333333</v>
      </c>
      <c r="CQ50" s="57">
        <f t="shared" si="46"/>
        <v>115222.33333333333</v>
      </c>
      <c r="CR50" s="57">
        <f t="shared" si="46"/>
        <v>115222.33333333333</v>
      </c>
      <c r="CS50" s="57">
        <f t="shared" si="46"/>
        <v>115222.33333333333</v>
      </c>
      <c r="CT50" s="57">
        <f t="shared" si="46"/>
        <v>115222.33333333333</v>
      </c>
      <c r="CU50" s="57">
        <f t="shared" si="46"/>
        <v>115222.33333333333</v>
      </c>
      <c r="CW50" s="12">
        <f t="shared" si="47"/>
        <v>1394451.9999999998</v>
      </c>
      <c r="CY50" s="12">
        <f t="shared" si="48"/>
        <v>1382668</v>
      </c>
      <c r="DB50" s="1" t="s">
        <v>161</v>
      </c>
      <c r="DH50" s="57"/>
      <c r="DI50" s="57"/>
      <c r="DJ50" s="57"/>
      <c r="DL50" s="57"/>
    </row>
    <row r="51" spans="2:121" x14ac:dyDescent="0.3">
      <c r="B51" s="157" t="s">
        <v>104</v>
      </c>
      <c r="D51" s="221">
        <v>389372</v>
      </c>
      <c r="E51" s="221">
        <v>381456</v>
      </c>
      <c r="F51" s="221">
        <v>425310</v>
      </c>
      <c r="G51" s="221">
        <v>295045</v>
      </c>
      <c r="H51" s="221">
        <v>272370</v>
      </c>
      <c r="I51" s="221">
        <v>292509</v>
      </c>
      <c r="J51" s="221">
        <v>115251</v>
      </c>
      <c r="K51" s="221">
        <v>107073</v>
      </c>
      <c r="L51" s="221">
        <v>112655</v>
      </c>
      <c r="M51" s="221">
        <v>172310</v>
      </c>
      <c r="N51" s="221">
        <v>122990</v>
      </c>
      <c r="O51" s="221">
        <v>136580</v>
      </c>
      <c r="P51" s="221">
        <v>132158</v>
      </c>
      <c r="Q51" s="221">
        <v>123257</v>
      </c>
      <c r="R51" s="221">
        <v>128426</v>
      </c>
      <c r="S51" s="221">
        <v>120913</v>
      </c>
      <c r="T51" s="221">
        <v>125720</v>
      </c>
      <c r="U51" s="221">
        <v>113887</v>
      </c>
      <c r="V51" s="221">
        <v>202059</v>
      </c>
      <c r="W51" s="221">
        <v>180500</v>
      </c>
      <c r="X51" s="221">
        <v>139552</v>
      </c>
      <c r="Y51" s="221">
        <v>161476</v>
      </c>
      <c r="Z51" s="221">
        <v>186147</v>
      </c>
      <c r="AA51" s="221">
        <v>219245</v>
      </c>
      <c r="AB51" s="221">
        <v>199458</v>
      </c>
      <c r="AC51" s="221">
        <v>186429</v>
      </c>
      <c r="AD51" s="221">
        <v>149385</v>
      </c>
      <c r="AE51" s="221">
        <v>170395</v>
      </c>
      <c r="AF51" s="221">
        <v>162441</v>
      </c>
      <c r="AG51" s="221">
        <v>132874</v>
      </c>
      <c r="AH51" s="221">
        <v>166895</v>
      </c>
      <c r="AI51" s="221">
        <v>147604</v>
      </c>
      <c r="AJ51" s="221">
        <v>153604</v>
      </c>
      <c r="AK51" s="221">
        <v>185557</v>
      </c>
      <c r="AL51" s="221">
        <v>202313</v>
      </c>
      <c r="AM51" s="221">
        <v>218480</v>
      </c>
      <c r="AN51" s="221">
        <v>228732</v>
      </c>
      <c r="AO51" s="221">
        <v>213955</v>
      </c>
      <c r="AP51" s="221">
        <v>189141</v>
      </c>
      <c r="AQ51" s="221">
        <v>195700</v>
      </c>
      <c r="AR51" s="221">
        <v>185516</v>
      </c>
      <c r="AS51" s="221">
        <v>143601</v>
      </c>
      <c r="AT51" s="221">
        <v>198474</v>
      </c>
      <c r="AU51" s="221">
        <v>174593</v>
      </c>
      <c r="AV51" s="221">
        <v>217022</v>
      </c>
      <c r="AW51" s="221">
        <v>194956</v>
      </c>
      <c r="AX51" s="221">
        <v>205632</v>
      </c>
      <c r="AY51" s="221">
        <v>232804</v>
      </c>
      <c r="AZ51" s="221">
        <v>285719</v>
      </c>
      <c r="BA51" s="221">
        <v>202229</v>
      </c>
      <c r="BB51" s="221">
        <v>191100</v>
      </c>
      <c r="BC51" s="221">
        <v>161652</v>
      </c>
      <c r="BD51" s="221">
        <v>166173</v>
      </c>
      <c r="BE51" s="221">
        <v>142868</v>
      </c>
      <c r="BF51" s="221">
        <v>181772</v>
      </c>
      <c r="BG51" s="221">
        <v>176269</v>
      </c>
      <c r="BH51" s="221">
        <v>165898</v>
      </c>
      <c r="BI51" s="221">
        <v>196798</v>
      </c>
      <c r="BJ51" s="221">
        <v>208480</v>
      </c>
      <c r="BK51" s="221">
        <v>195981</v>
      </c>
      <c r="BL51" s="221">
        <v>248983</v>
      </c>
      <c r="BM51" s="221">
        <v>192050</v>
      </c>
      <c r="BN51" s="221">
        <v>190946</v>
      </c>
      <c r="BO51" s="221">
        <v>162693</v>
      </c>
      <c r="BP51" s="221">
        <v>151944</v>
      </c>
      <c r="BQ51" s="221">
        <v>164684</v>
      </c>
      <c r="BR51" s="221">
        <v>154180</v>
      </c>
      <c r="BS51" s="221">
        <v>142187</v>
      </c>
      <c r="BT51" s="221">
        <v>169319</v>
      </c>
      <c r="BU51" s="221">
        <v>172332</v>
      </c>
      <c r="BV51" s="221">
        <v>206709</v>
      </c>
      <c r="BW51" s="221">
        <v>206657</v>
      </c>
      <c r="BX51" s="221">
        <v>203046</v>
      </c>
      <c r="BY51" s="221">
        <v>184100</v>
      </c>
      <c r="BZ51" s="221">
        <v>178932</v>
      </c>
      <c r="CA51" s="57">
        <f t="shared" si="49"/>
        <v>174731.91666666666</v>
      </c>
      <c r="CB51" s="57">
        <f t="shared" si="46"/>
        <v>174731.91666666666</v>
      </c>
      <c r="CC51" s="57">
        <f t="shared" si="46"/>
        <v>174731.91666666666</v>
      </c>
      <c r="CD51" s="57">
        <f t="shared" si="46"/>
        <v>174731.91666666666</v>
      </c>
      <c r="CE51" s="57">
        <f t="shared" si="46"/>
        <v>174731.91666666666</v>
      </c>
      <c r="CF51" s="57">
        <f t="shared" si="46"/>
        <v>174731.91666666666</v>
      </c>
      <c r="CG51" s="57">
        <f t="shared" si="46"/>
        <v>174731.91666666666</v>
      </c>
      <c r="CH51" s="57">
        <f t="shared" si="46"/>
        <v>174731.91666666666</v>
      </c>
      <c r="CI51" s="57">
        <f t="shared" si="46"/>
        <v>174731.91666666666</v>
      </c>
      <c r="CJ51" s="57">
        <f t="shared" si="46"/>
        <v>174731.91666666666</v>
      </c>
      <c r="CK51" s="57">
        <f t="shared" si="46"/>
        <v>174731.91666666666</v>
      </c>
      <c r="CL51" s="57">
        <f t="shared" si="46"/>
        <v>174731.91666666666</v>
      </c>
      <c r="CM51" s="57">
        <f t="shared" si="46"/>
        <v>174731.91666666666</v>
      </c>
      <c r="CN51" s="57">
        <f t="shared" si="46"/>
        <v>174731.91666666666</v>
      </c>
      <c r="CO51" s="57">
        <f t="shared" si="46"/>
        <v>174731.91666666666</v>
      </c>
      <c r="CP51" s="57">
        <f t="shared" si="46"/>
        <v>174731.91666666666</v>
      </c>
      <c r="CQ51" s="57">
        <f t="shared" si="46"/>
        <v>174731.91666666666</v>
      </c>
      <c r="CR51" s="57">
        <f t="shared" si="46"/>
        <v>174731.91666666666</v>
      </c>
      <c r="CS51" s="57">
        <f t="shared" si="46"/>
        <v>174731.91666666666</v>
      </c>
      <c r="CT51" s="57">
        <f t="shared" si="46"/>
        <v>174731.91666666666</v>
      </c>
      <c r="CU51" s="57">
        <f t="shared" si="46"/>
        <v>174731.91666666666</v>
      </c>
      <c r="CW51" s="12">
        <f t="shared" si="47"/>
        <v>2138665.2500000005</v>
      </c>
      <c r="CY51" s="12">
        <f t="shared" si="48"/>
        <v>2096783.0000000002</v>
      </c>
      <c r="DB51" s="1" t="s">
        <v>161</v>
      </c>
      <c r="DH51" s="57"/>
      <c r="DI51" s="57"/>
      <c r="DJ51" s="57"/>
      <c r="DL51" s="57"/>
    </row>
    <row r="52" spans="2:121" x14ac:dyDescent="0.3">
      <c r="B52" s="157" t="s">
        <v>162</v>
      </c>
      <c r="D52" s="221">
        <v>4517917</v>
      </c>
      <c r="E52" s="221">
        <v>4037856</v>
      </c>
      <c r="F52" s="221">
        <v>4030373</v>
      </c>
      <c r="G52" s="221">
        <v>3876752</v>
      </c>
      <c r="H52" s="221">
        <v>3736975</v>
      </c>
      <c r="I52" s="221">
        <v>3682017</v>
      </c>
      <c r="J52" s="221">
        <v>3792975</v>
      </c>
      <c r="K52" s="221">
        <v>3625673</v>
      </c>
      <c r="L52" s="221">
        <v>3843867</v>
      </c>
      <c r="M52" s="221">
        <v>4055188</v>
      </c>
      <c r="N52" s="221">
        <v>3857918</v>
      </c>
      <c r="O52" s="221">
        <v>4391534</v>
      </c>
      <c r="P52" s="221">
        <v>4315789</v>
      </c>
      <c r="Q52" s="221">
        <v>4135042</v>
      </c>
      <c r="R52" s="221">
        <v>3886776</v>
      </c>
      <c r="S52" s="221">
        <v>4056960</v>
      </c>
      <c r="T52" s="221">
        <v>4187116</v>
      </c>
      <c r="U52" s="221">
        <v>3655210</v>
      </c>
      <c r="V52" s="221">
        <v>3603063</v>
      </c>
      <c r="W52" s="221">
        <v>3793022</v>
      </c>
      <c r="X52" s="221">
        <v>3687387</v>
      </c>
      <c r="Y52" s="221">
        <v>3878917</v>
      </c>
      <c r="Z52" s="221">
        <v>4146762</v>
      </c>
      <c r="AA52" s="221">
        <v>4584818</v>
      </c>
      <c r="AB52" s="221">
        <v>4324037</v>
      </c>
      <c r="AC52" s="221">
        <v>4335549</v>
      </c>
      <c r="AD52" s="221">
        <v>3735873</v>
      </c>
      <c r="AE52" s="221">
        <v>4097086</v>
      </c>
      <c r="AF52" s="221">
        <v>3836194</v>
      </c>
      <c r="AG52" s="221">
        <v>3649338</v>
      </c>
      <c r="AH52" s="221">
        <v>3821179</v>
      </c>
      <c r="AI52" s="221">
        <v>3988903</v>
      </c>
      <c r="AJ52" s="221">
        <v>3754794</v>
      </c>
      <c r="AK52" s="221">
        <v>3998267</v>
      </c>
      <c r="AL52" s="221">
        <v>4408499</v>
      </c>
      <c r="AM52" s="221">
        <v>4326048</v>
      </c>
      <c r="AN52" s="221">
        <v>4304940</v>
      </c>
      <c r="AO52" s="221">
        <v>4420370</v>
      </c>
      <c r="AP52" s="221">
        <v>3898765</v>
      </c>
      <c r="AQ52" s="221">
        <v>3987774</v>
      </c>
      <c r="AR52" s="221">
        <v>4154796</v>
      </c>
      <c r="AS52" s="221">
        <v>3651277</v>
      </c>
      <c r="AT52" s="221">
        <v>4027667</v>
      </c>
      <c r="AU52" s="221">
        <v>3950896</v>
      </c>
      <c r="AV52" s="221">
        <v>3779569</v>
      </c>
      <c r="AW52" s="221">
        <v>4080524</v>
      </c>
      <c r="AX52" s="221">
        <v>4337935</v>
      </c>
      <c r="AY52" s="221">
        <v>4373307</v>
      </c>
      <c r="AZ52" s="221">
        <v>4843428</v>
      </c>
      <c r="BA52" s="221">
        <v>4212138</v>
      </c>
      <c r="BB52" s="221">
        <v>3885036</v>
      </c>
      <c r="BC52" s="221">
        <v>3949090</v>
      </c>
      <c r="BD52" s="221">
        <v>4127264</v>
      </c>
      <c r="BE52" s="221">
        <v>3476228</v>
      </c>
      <c r="BF52" s="221">
        <v>4062259</v>
      </c>
      <c r="BG52" s="221">
        <v>3649064</v>
      </c>
      <c r="BH52" s="221">
        <v>3675893</v>
      </c>
      <c r="BI52" s="221">
        <v>4167406</v>
      </c>
      <c r="BJ52" s="221">
        <v>4415586</v>
      </c>
      <c r="BK52" s="221">
        <v>4133537</v>
      </c>
      <c r="BL52" s="221">
        <v>4472122</v>
      </c>
      <c r="BM52" s="221">
        <v>3829861</v>
      </c>
      <c r="BN52" s="221">
        <v>3847188</v>
      </c>
      <c r="BO52" s="221">
        <v>3885014</v>
      </c>
      <c r="BP52" s="221">
        <v>3890534</v>
      </c>
      <c r="BQ52" s="221">
        <v>3837113</v>
      </c>
      <c r="BR52" s="221">
        <v>3543663</v>
      </c>
      <c r="BS52" s="221">
        <v>3449190</v>
      </c>
      <c r="BT52" s="221">
        <v>3806890</v>
      </c>
      <c r="BU52" s="221">
        <v>3769104</v>
      </c>
      <c r="BV52" s="221">
        <v>4260059</v>
      </c>
      <c r="BW52" s="221">
        <v>4354024</v>
      </c>
      <c r="BX52" s="221">
        <v>4302956</v>
      </c>
      <c r="BY52" s="221">
        <v>4050848</v>
      </c>
      <c r="BZ52" s="221">
        <v>3863391</v>
      </c>
      <c r="CA52" s="57">
        <f t="shared" si="49"/>
        <v>3917732.1666666665</v>
      </c>
      <c r="CB52" s="57">
        <f t="shared" si="46"/>
        <v>3917732.1666666665</v>
      </c>
      <c r="CC52" s="57">
        <f t="shared" si="46"/>
        <v>3917732.1666666665</v>
      </c>
      <c r="CD52" s="57">
        <f t="shared" si="46"/>
        <v>3917732.1666666665</v>
      </c>
      <c r="CE52" s="57">
        <f t="shared" si="46"/>
        <v>3917732.1666666665</v>
      </c>
      <c r="CF52" s="57">
        <f t="shared" si="46"/>
        <v>3917732.1666666665</v>
      </c>
      <c r="CG52" s="57">
        <f t="shared" si="46"/>
        <v>3917732.1666666665</v>
      </c>
      <c r="CH52" s="57">
        <f t="shared" si="46"/>
        <v>3917732.1666666665</v>
      </c>
      <c r="CI52" s="57">
        <f t="shared" si="46"/>
        <v>3917732.1666666665</v>
      </c>
      <c r="CJ52" s="57">
        <f t="shared" si="46"/>
        <v>3917732.1666666665</v>
      </c>
      <c r="CK52" s="57">
        <f t="shared" si="46"/>
        <v>3917732.1666666665</v>
      </c>
      <c r="CL52" s="57">
        <f t="shared" si="46"/>
        <v>3917732.1666666665</v>
      </c>
      <c r="CM52" s="57">
        <f t="shared" si="46"/>
        <v>3917732.1666666665</v>
      </c>
      <c r="CN52" s="57">
        <f t="shared" si="46"/>
        <v>3917732.1666666665</v>
      </c>
      <c r="CO52" s="57">
        <f t="shared" si="46"/>
        <v>3917732.1666666665</v>
      </c>
      <c r="CP52" s="57">
        <f t="shared" si="46"/>
        <v>3917732.1666666665</v>
      </c>
      <c r="CQ52" s="57">
        <f t="shared" si="46"/>
        <v>3917732.1666666665</v>
      </c>
      <c r="CR52" s="57">
        <f t="shared" si="46"/>
        <v>3917732.1666666665</v>
      </c>
      <c r="CS52" s="57">
        <f t="shared" si="46"/>
        <v>3917732.1666666665</v>
      </c>
      <c r="CT52" s="57">
        <f t="shared" si="46"/>
        <v>3917732.1666666665</v>
      </c>
      <c r="CU52" s="57">
        <f t="shared" si="46"/>
        <v>3917732.1666666665</v>
      </c>
      <c r="CW52" s="12">
        <f t="shared" si="47"/>
        <v>47476784.499999993</v>
      </c>
      <c r="CY52" s="12">
        <f t="shared" si="48"/>
        <v>47012785.999999993</v>
      </c>
      <c r="DB52" s="1" t="s">
        <v>169</v>
      </c>
      <c r="DH52" s="57"/>
      <c r="DI52" s="57"/>
      <c r="DJ52" s="57"/>
      <c r="DL52" s="57"/>
    </row>
    <row r="53" spans="2:121" x14ac:dyDescent="0.3">
      <c r="B53" s="157"/>
      <c r="D53" s="141"/>
      <c r="E53" s="222"/>
      <c r="F53" s="222"/>
      <c r="G53" s="222"/>
      <c r="H53" s="222"/>
      <c r="I53" s="222"/>
    </row>
    <row r="54" spans="2:121" x14ac:dyDescent="0.3">
      <c r="B54" s="195" t="s">
        <v>163</v>
      </c>
      <c r="C54" s="196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5"/>
      <c r="CT54" s="195"/>
      <c r="CU54" s="195"/>
      <c r="CV54" s="195"/>
      <c r="CW54" s="195"/>
      <c r="CX54" s="195"/>
      <c r="CY54" s="195"/>
      <c r="CZ54" s="195"/>
      <c r="DA54" s="220" t="s">
        <v>160</v>
      </c>
      <c r="DB54" s="195"/>
    </row>
    <row r="55" spans="2:121" x14ac:dyDescent="0.3">
      <c r="B55" s="157" t="str">
        <f>B49</f>
        <v>Senior Discount</v>
      </c>
      <c r="D55" s="141"/>
      <c r="E55" s="222"/>
      <c r="F55" s="222"/>
      <c r="G55" s="222"/>
      <c r="H55" s="222"/>
      <c r="I55" s="222"/>
      <c r="BW55" s="224" t="s">
        <v>164</v>
      </c>
      <c r="BX55" s="225">
        <f>BX$49*(1-'Assumptions and Inputs'!$C$100)</f>
        <v>42124.5</v>
      </c>
      <c r="BY55" s="12">
        <f>BY$49*(1-'Assumptions and Inputs'!$C$100)</f>
        <v>38907</v>
      </c>
      <c r="BZ55" s="12">
        <f>BZ$49*(1-'Assumptions and Inputs'!$C$100)</f>
        <v>34779.75</v>
      </c>
      <c r="CA55" s="12">
        <f>CA$49*(1-'Assumptions and Inputs'!$C$100)</f>
        <v>41874.0625</v>
      </c>
      <c r="CB55" s="12">
        <f>CB$49*(1-'Assumptions and Inputs'!$C$100)</f>
        <v>41874.0625</v>
      </c>
      <c r="CC55" s="12">
        <f>CC$49*(1-'Assumptions and Inputs'!$C$100)</f>
        <v>41874.0625</v>
      </c>
      <c r="CD55" s="12">
        <f>CD$49*(1-'Assumptions and Inputs'!$C$100)</f>
        <v>41874.0625</v>
      </c>
      <c r="CE55" s="12">
        <f>CE$49*(1-'Assumptions and Inputs'!$C$100)</f>
        <v>41874.0625</v>
      </c>
      <c r="CF55" s="12">
        <f>CF$49*(1-'Assumptions and Inputs'!$C$100)</f>
        <v>41874.0625</v>
      </c>
      <c r="CG55" s="12">
        <f>CG$49*(1-'Assumptions and Inputs'!$C$100)</f>
        <v>41874.0625</v>
      </c>
      <c r="CH55" s="12">
        <f>CH$49*(1-'Assumptions and Inputs'!$C$100)</f>
        <v>41874.0625</v>
      </c>
      <c r="CI55" s="12">
        <f>CI$49*(1-'Assumptions and Inputs'!$C$100)</f>
        <v>41874.0625</v>
      </c>
      <c r="CJ55" s="12">
        <f>CJ$49*(1-'Assumptions and Inputs'!$C$100)</f>
        <v>41874.0625</v>
      </c>
      <c r="CK55" s="12">
        <f>CK$49*(1-'Assumptions and Inputs'!$C$100)</f>
        <v>41874.0625</v>
      </c>
      <c r="CL55" s="12">
        <f>CL$49*(1-'Assumptions and Inputs'!$C$100)</f>
        <v>41874.0625</v>
      </c>
      <c r="CM55" s="12">
        <f>CM$49*(1-'Assumptions and Inputs'!$C$100)</f>
        <v>41874.0625</v>
      </c>
      <c r="CN55" s="12">
        <f>CN$49*(1-'Assumptions and Inputs'!$C$100)</f>
        <v>41874.0625</v>
      </c>
      <c r="CO55" s="12">
        <f>CO$49*(1-'Assumptions and Inputs'!$C$100)</f>
        <v>41874.0625</v>
      </c>
      <c r="CP55" s="12">
        <f>CP$49*(1-'Assumptions and Inputs'!$C$100)</f>
        <v>41874.0625</v>
      </c>
      <c r="CQ55" s="12">
        <f>CQ$49*(1-'Assumptions and Inputs'!$C$100)</f>
        <v>41874.0625</v>
      </c>
      <c r="CR55" s="12">
        <f>CR$49*(1-'Assumptions and Inputs'!$C$100)</f>
        <v>41874.0625</v>
      </c>
      <c r="CS55" s="12">
        <f>CS$49*(1-'Assumptions and Inputs'!$C$100)</f>
        <v>41874.0625</v>
      </c>
      <c r="CT55" s="12">
        <f>CT$49*(1-'Assumptions and Inputs'!$C$100)</f>
        <v>41874.0625</v>
      </c>
      <c r="CU55" s="12">
        <f>CU$49*(1-'Assumptions and Inputs'!$C$100)</f>
        <v>41874.0625</v>
      </c>
      <c r="CV55" s="1"/>
      <c r="CW55" s="12">
        <f>CW$24*(1-'Assumptions and Inputs'!$C$100)</f>
        <v>493063.125</v>
      </c>
      <c r="CY55" s="12">
        <f>SUM(CJ55:CU55)</f>
        <v>502488.75</v>
      </c>
    </row>
    <row r="56" spans="2:121" x14ac:dyDescent="0.3">
      <c r="B56" s="157" t="str">
        <f t="shared" ref="B56:B58" si="50">B50</f>
        <v>PHA Discount</v>
      </c>
      <c r="D56" s="141"/>
      <c r="E56" s="222"/>
      <c r="F56" s="222"/>
      <c r="G56" s="222"/>
      <c r="H56" s="222"/>
      <c r="I56" s="222"/>
      <c r="BX56" s="225">
        <f>BX$50*(1-'Assumptions and Inputs'!$C$101)</f>
        <v>116272.4</v>
      </c>
      <c r="BY56" s="12">
        <f>BY$50*(1-'Assumptions and Inputs'!$C$101)</f>
        <v>112888.5</v>
      </c>
      <c r="BZ56" s="12">
        <f>BZ$50*(1-'Assumptions and Inputs'!$C$101)</f>
        <v>110417.54999999999</v>
      </c>
      <c r="CA56" s="12">
        <f>CA$50*(1-'Assumptions and Inputs'!$C$101)</f>
        <v>109461.21666666666</v>
      </c>
      <c r="CB56" s="12">
        <f>CB$50*(1-'Assumptions and Inputs'!$C$101)</f>
        <v>109461.21666666666</v>
      </c>
      <c r="CC56" s="12">
        <f>CC$50*(1-'Assumptions and Inputs'!$C$101)</f>
        <v>109461.21666666666</v>
      </c>
      <c r="CD56" s="12">
        <f>CD$50*(1-'Assumptions and Inputs'!$C$101)</f>
        <v>109461.21666666666</v>
      </c>
      <c r="CE56" s="12">
        <f>CE$50*(1-'Assumptions and Inputs'!$C$101)</f>
        <v>109461.21666666666</v>
      </c>
      <c r="CF56" s="12">
        <f>CF$50*(1-'Assumptions and Inputs'!$C$101)</f>
        <v>109461.21666666666</v>
      </c>
      <c r="CG56" s="12">
        <f>CG$50*(1-'Assumptions and Inputs'!$C$101)</f>
        <v>109461.21666666666</v>
      </c>
      <c r="CH56" s="12">
        <f>CH$50*(1-'Assumptions and Inputs'!$C$101)</f>
        <v>109461.21666666666</v>
      </c>
      <c r="CI56" s="12">
        <f>CI$50*(1-'Assumptions and Inputs'!$C$101)</f>
        <v>109461.21666666666</v>
      </c>
      <c r="CJ56" s="12">
        <f>CJ$50*(1-'Assumptions and Inputs'!$C$101)</f>
        <v>109461.21666666666</v>
      </c>
      <c r="CK56" s="12">
        <f>CK$50*(1-'Assumptions and Inputs'!$C$101)</f>
        <v>109461.21666666666</v>
      </c>
      <c r="CL56" s="12">
        <f>CL$50*(1-'Assumptions and Inputs'!$C$101)</f>
        <v>109461.21666666666</v>
      </c>
      <c r="CM56" s="12">
        <f>CM$50*(1-'Assumptions and Inputs'!$C$101)</f>
        <v>109461.21666666666</v>
      </c>
      <c r="CN56" s="12">
        <f>CN$50*(1-'Assumptions and Inputs'!$C$101)</f>
        <v>109461.21666666666</v>
      </c>
      <c r="CO56" s="12">
        <f>CO$50*(1-'Assumptions and Inputs'!$C$101)</f>
        <v>109461.21666666666</v>
      </c>
      <c r="CP56" s="12">
        <f>CP$50*(1-'Assumptions and Inputs'!$C$101)</f>
        <v>109461.21666666666</v>
      </c>
      <c r="CQ56" s="12">
        <f>CQ$50*(1-'Assumptions and Inputs'!$C$101)</f>
        <v>109461.21666666666</v>
      </c>
      <c r="CR56" s="12">
        <f>CR$50*(1-'Assumptions and Inputs'!$C$101)</f>
        <v>109461.21666666666</v>
      </c>
      <c r="CS56" s="12">
        <f>CS$50*(1-'Assumptions and Inputs'!$C$101)</f>
        <v>109461.21666666666</v>
      </c>
      <c r="CT56" s="12">
        <f>CT$50*(1-'Assumptions and Inputs'!$C$101)</f>
        <v>109461.21666666666</v>
      </c>
      <c r="CU56" s="12">
        <f>CU$50*(1-'Assumptions and Inputs'!$C$101)</f>
        <v>109461.21666666666</v>
      </c>
      <c r="CV56" s="1"/>
      <c r="CW56" s="12">
        <f>CW$25*(1-'Assumptions and Inputs'!$C$101)</f>
        <v>1325173.2875000001</v>
      </c>
      <c r="CY56" s="12">
        <f t="shared" ref="CY56:CY58" si="51">SUM(CJ56:CU56)</f>
        <v>1313534.5999999996</v>
      </c>
    </row>
    <row r="57" spans="2:121" x14ac:dyDescent="0.3">
      <c r="B57" s="157" t="str">
        <f t="shared" si="50"/>
        <v>Non-PHA Discount (Other discount)</v>
      </c>
      <c r="D57" s="141"/>
      <c r="E57" s="222"/>
      <c r="F57" s="222"/>
      <c r="G57" s="222"/>
      <c r="H57" s="222"/>
      <c r="I57" s="222"/>
      <c r="BX57" s="225">
        <f>BX$51*(1-'Assumptions and Inputs'!$C$102)</f>
        <v>152284.5</v>
      </c>
      <c r="BY57" s="12">
        <f>BY$51*(1-'Assumptions and Inputs'!$C$102)</f>
        <v>138075</v>
      </c>
      <c r="BZ57" s="12">
        <f>BZ$51*(1-'Assumptions and Inputs'!$C$102)</f>
        <v>134199</v>
      </c>
      <c r="CA57" s="12">
        <f>CA$51*(1-'Assumptions and Inputs'!$C$102)</f>
        <v>131048.9375</v>
      </c>
      <c r="CB57" s="12">
        <f>CB$51*(1-'Assumptions and Inputs'!$C$102)</f>
        <v>131048.9375</v>
      </c>
      <c r="CC57" s="12">
        <f>CC$51*(1-'Assumptions and Inputs'!$C$102)</f>
        <v>131048.9375</v>
      </c>
      <c r="CD57" s="12">
        <f>CD$51*(1-'Assumptions and Inputs'!$C$102)</f>
        <v>131048.9375</v>
      </c>
      <c r="CE57" s="12">
        <f>CE$51*(1-'Assumptions and Inputs'!$C$102)</f>
        <v>131048.9375</v>
      </c>
      <c r="CF57" s="12">
        <f>CF$51*(1-'Assumptions and Inputs'!$C$102)</f>
        <v>131048.9375</v>
      </c>
      <c r="CG57" s="12">
        <f>CG$51*(1-'Assumptions and Inputs'!$C$102)</f>
        <v>131048.9375</v>
      </c>
      <c r="CH57" s="12">
        <f>CH$51*(1-'Assumptions and Inputs'!$C$102)</f>
        <v>131048.9375</v>
      </c>
      <c r="CI57" s="12">
        <f>CI$51*(1-'Assumptions and Inputs'!$C$102)</f>
        <v>131048.9375</v>
      </c>
      <c r="CJ57" s="12">
        <f>CJ$51*(1-'Assumptions and Inputs'!$C$102)</f>
        <v>131048.9375</v>
      </c>
      <c r="CK57" s="12">
        <f>CK$51*(1-'Assumptions and Inputs'!$C$102)</f>
        <v>131048.9375</v>
      </c>
      <c r="CL57" s="12">
        <f>CL$51*(1-'Assumptions and Inputs'!$C$102)</f>
        <v>131048.9375</v>
      </c>
      <c r="CM57" s="12">
        <f>CM$51*(1-'Assumptions and Inputs'!$C$102)</f>
        <v>131048.9375</v>
      </c>
      <c r="CN57" s="12">
        <f>CN$51*(1-'Assumptions and Inputs'!$C$102)</f>
        <v>131048.9375</v>
      </c>
      <c r="CO57" s="12">
        <f>CO$51*(1-'Assumptions and Inputs'!$C$102)</f>
        <v>131048.9375</v>
      </c>
      <c r="CP57" s="12">
        <f>CP$51*(1-'Assumptions and Inputs'!$C$102)</f>
        <v>131048.9375</v>
      </c>
      <c r="CQ57" s="12">
        <f>CQ$51*(1-'Assumptions and Inputs'!$C$102)</f>
        <v>131048.9375</v>
      </c>
      <c r="CR57" s="12">
        <f>CR$51*(1-'Assumptions and Inputs'!$C$102)</f>
        <v>131048.9375</v>
      </c>
      <c r="CS57" s="12">
        <f>CS$51*(1-'Assumptions and Inputs'!$C$102)</f>
        <v>131048.9375</v>
      </c>
      <c r="CT57" s="12">
        <f>CT$51*(1-'Assumptions and Inputs'!$C$102)</f>
        <v>131048.9375</v>
      </c>
      <c r="CU57" s="12">
        <f>CU$51*(1-'Assumptions and Inputs'!$C$102)</f>
        <v>131048.9375</v>
      </c>
      <c r="CV57" s="1"/>
      <c r="CW57" s="12">
        <f>CW$26*(1-'Assumptions and Inputs'!$C$102)</f>
        <v>1620164.0625000005</v>
      </c>
      <c r="CY57" s="12">
        <f t="shared" si="51"/>
        <v>1572587.25</v>
      </c>
    </row>
    <row r="58" spans="2:121" x14ac:dyDescent="0.3">
      <c r="B58" s="157" t="str">
        <f t="shared" si="50"/>
        <v>No Additional Discount</v>
      </c>
      <c r="D58" s="141"/>
      <c r="E58" s="222"/>
      <c r="F58" s="222"/>
      <c r="G58" s="222"/>
      <c r="H58" s="222"/>
      <c r="I58" s="222"/>
      <c r="BX58" s="225">
        <f>BX52</f>
        <v>4302956</v>
      </c>
      <c r="BY58" s="12">
        <f t="shared" ref="BY58:CU58" si="52">BY52</f>
        <v>4050848</v>
      </c>
      <c r="BZ58" s="12">
        <f t="shared" si="52"/>
        <v>3863391</v>
      </c>
      <c r="CA58" s="12">
        <f t="shared" si="52"/>
        <v>3917732.1666666665</v>
      </c>
      <c r="CB58" s="12">
        <f t="shared" si="52"/>
        <v>3917732.1666666665</v>
      </c>
      <c r="CC58" s="12">
        <f t="shared" si="52"/>
        <v>3917732.1666666665</v>
      </c>
      <c r="CD58" s="12">
        <f t="shared" si="52"/>
        <v>3917732.1666666665</v>
      </c>
      <c r="CE58" s="12">
        <f t="shared" si="52"/>
        <v>3917732.1666666665</v>
      </c>
      <c r="CF58" s="12">
        <f t="shared" si="52"/>
        <v>3917732.1666666665</v>
      </c>
      <c r="CG58" s="12">
        <f t="shared" si="52"/>
        <v>3917732.1666666665</v>
      </c>
      <c r="CH58" s="12">
        <f t="shared" si="52"/>
        <v>3917732.1666666665</v>
      </c>
      <c r="CI58" s="12">
        <f t="shared" si="52"/>
        <v>3917732.1666666665</v>
      </c>
      <c r="CJ58" s="12">
        <f t="shared" si="52"/>
        <v>3917732.1666666665</v>
      </c>
      <c r="CK58" s="12">
        <f t="shared" si="52"/>
        <v>3917732.1666666665</v>
      </c>
      <c r="CL58" s="12">
        <f t="shared" si="52"/>
        <v>3917732.1666666665</v>
      </c>
      <c r="CM58" s="12">
        <f t="shared" si="52"/>
        <v>3917732.1666666665</v>
      </c>
      <c r="CN58" s="12">
        <f t="shared" si="52"/>
        <v>3917732.1666666665</v>
      </c>
      <c r="CO58" s="12">
        <f t="shared" si="52"/>
        <v>3917732.1666666665</v>
      </c>
      <c r="CP58" s="12">
        <f t="shared" si="52"/>
        <v>3917732.1666666665</v>
      </c>
      <c r="CQ58" s="12">
        <f t="shared" si="52"/>
        <v>3917732.1666666665</v>
      </c>
      <c r="CR58" s="12">
        <f t="shared" si="52"/>
        <v>3917732.1666666665</v>
      </c>
      <c r="CS58" s="12">
        <f t="shared" si="52"/>
        <v>3917732.1666666665</v>
      </c>
      <c r="CT58" s="12">
        <f t="shared" si="52"/>
        <v>3917732.1666666665</v>
      </c>
      <c r="CU58" s="12">
        <f t="shared" si="52"/>
        <v>3917732.1666666665</v>
      </c>
      <c r="CV58" s="57"/>
      <c r="CW58" s="12">
        <f t="shared" ref="CW58" si="53">CW52</f>
        <v>47476784.499999993</v>
      </c>
      <c r="CY58" s="12">
        <f t="shared" si="51"/>
        <v>47012785.999999993</v>
      </c>
    </row>
    <row r="59" spans="2:121" x14ac:dyDescent="0.3">
      <c r="B59" s="157"/>
      <c r="D59" s="141"/>
      <c r="E59" s="222"/>
      <c r="F59" s="222"/>
      <c r="G59" s="222"/>
      <c r="H59" s="222"/>
      <c r="I59" s="222"/>
      <c r="BX59" s="226"/>
    </row>
    <row r="60" spans="2:121" x14ac:dyDescent="0.3">
      <c r="B60" s="227" t="s">
        <v>156</v>
      </c>
      <c r="C60" s="200"/>
      <c r="D60" s="57">
        <f t="shared" ref="D60:AI60" si="54">SUM(D46:D46)</f>
        <v>125285</v>
      </c>
      <c r="E60" s="57">
        <f t="shared" si="54"/>
        <v>116303</v>
      </c>
      <c r="F60" s="57">
        <f t="shared" si="54"/>
        <v>123993</v>
      </c>
      <c r="G60" s="57">
        <f t="shared" si="54"/>
        <v>120167</v>
      </c>
      <c r="H60" s="57">
        <f t="shared" si="54"/>
        <v>119885</v>
      </c>
      <c r="I60" s="57">
        <f t="shared" si="54"/>
        <v>110543</v>
      </c>
      <c r="J60" s="57">
        <f t="shared" si="54"/>
        <v>112507</v>
      </c>
      <c r="K60" s="57">
        <f t="shared" si="54"/>
        <v>104483</v>
      </c>
      <c r="L60" s="57">
        <f t="shared" si="54"/>
        <v>113650</v>
      </c>
      <c r="M60" s="57">
        <f t="shared" si="54"/>
        <v>122903</v>
      </c>
      <c r="N60" s="57">
        <f t="shared" si="54"/>
        <v>116379</v>
      </c>
      <c r="O60" s="57">
        <f t="shared" si="54"/>
        <v>122207</v>
      </c>
      <c r="P60" s="57">
        <f t="shared" si="54"/>
        <v>126622</v>
      </c>
      <c r="Q60" s="57">
        <f t="shared" si="54"/>
        <v>123617</v>
      </c>
      <c r="R60" s="57">
        <f t="shared" si="54"/>
        <v>107112</v>
      </c>
      <c r="S60" s="57">
        <f t="shared" si="54"/>
        <v>120637</v>
      </c>
      <c r="T60" s="57">
        <f t="shared" si="54"/>
        <v>126447</v>
      </c>
      <c r="U60" s="57">
        <f t="shared" si="54"/>
        <v>100997</v>
      </c>
      <c r="V60" s="57">
        <f t="shared" si="54"/>
        <v>98894</v>
      </c>
      <c r="W60" s="57">
        <f t="shared" si="54"/>
        <v>114666</v>
      </c>
      <c r="X60" s="57">
        <f t="shared" si="54"/>
        <v>115835</v>
      </c>
      <c r="Y60" s="57">
        <f t="shared" si="54"/>
        <v>120333</v>
      </c>
      <c r="Z60" s="57">
        <f t="shared" si="54"/>
        <v>125084</v>
      </c>
      <c r="AA60" s="57">
        <f t="shared" si="54"/>
        <v>138940</v>
      </c>
      <c r="AB60" s="57">
        <f t="shared" si="54"/>
        <v>126907</v>
      </c>
      <c r="AC60" s="57">
        <f t="shared" si="54"/>
        <v>127968</v>
      </c>
      <c r="AD60" s="57">
        <f t="shared" si="54"/>
        <v>103001</v>
      </c>
      <c r="AE60" s="57">
        <f t="shared" si="54"/>
        <v>149471</v>
      </c>
      <c r="AF60" s="57">
        <f t="shared" si="54"/>
        <v>119244</v>
      </c>
      <c r="AG60" s="57">
        <f t="shared" si="54"/>
        <v>117032</v>
      </c>
      <c r="AH60" s="57">
        <f t="shared" si="54"/>
        <v>119623</v>
      </c>
      <c r="AI60" s="57">
        <f t="shared" si="54"/>
        <v>128429</v>
      </c>
      <c r="AJ60" s="57">
        <f t="shared" ref="AJ60:BO60" si="55">SUM(AJ46:AJ46)</f>
        <v>111814</v>
      </c>
      <c r="AK60" s="57">
        <f t="shared" si="55"/>
        <v>117666</v>
      </c>
      <c r="AL60" s="57">
        <f t="shared" si="55"/>
        <v>130474</v>
      </c>
      <c r="AM60" s="57">
        <f t="shared" si="55"/>
        <v>127760</v>
      </c>
      <c r="AN60" s="57">
        <f t="shared" si="55"/>
        <v>127581</v>
      </c>
      <c r="AO60" s="57">
        <f t="shared" si="55"/>
        <v>137864</v>
      </c>
      <c r="AP60" s="57">
        <f t="shared" si="55"/>
        <v>122864</v>
      </c>
      <c r="AQ60" s="57">
        <f t="shared" si="55"/>
        <v>121542</v>
      </c>
      <c r="AR60" s="57">
        <f t="shared" si="55"/>
        <v>115578</v>
      </c>
      <c r="AS60" s="57">
        <f t="shared" si="55"/>
        <v>92445</v>
      </c>
      <c r="AT60" s="57">
        <f t="shared" si="55"/>
        <v>91038</v>
      </c>
      <c r="AU60" s="57">
        <f t="shared" si="55"/>
        <v>74596</v>
      </c>
      <c r="AV60" s="57">
        <f t="shared" si="55"/>
        <v>70157</v>
      </c>
      <c r="AW60" s="57">
        <f t="shared" si="55"/>
        <v>72629</v>
      </c>
      <c r="AX60" s="57">
        <f t="shared" si="55"/>
        <v>81615</v>
      </c>
      <c r="AY60" s="57">
        <f t="shared" si="55"/>
        <v>88467</v>
      </c>
      <c r="AZ60" s="57">
        <f t="shared" si="55"/>
        <v>111515</v>
      </c>
      <c r="BA60" s="57">
        <f t="shared" si="55"/>
        <v>104026</v>
      </c>
      <c r="BB60" s="57">
        <f t="shared" si="55"/>
        <v>100983</v>
      </c>
      <c r="BC60" s="57">
        <f t="shared" si="55"/>
        <v>107302</v>
      </c>
      <c r="BD60" s="57">
        <f t="shared" si="55"/>
        <v>120505</v>
      </c>
      <c r="BE60" s="57">
        <f t="shared" si="55"/>
        <v>95901</v>
      </c>
      <c r="BF60" s="57">
        <f t="shared" si="55"/>
        <v>118802</v>
      </c>
      <c r="BG60" s="57">
        <f t="shared" si="55"/>
        <v>99395</v>
      </c>
      <c r="BH60" s="57">
        <f t="shared" si="55"/>
        <v>104919</v>
      </c>
      <c r="BI60" s="57">
        <f t="shared" si="55"/>
        <v>133914</v>
      </c>
      <c r="BJ60" s="57">
        <f t="shared" si="55"/>
        <v>145556</v>
      </c>
      <c r="BK60" s="57">
        <f t="shared" si="55"/>
        <v>139950</v>
      </c>
      <c r="BL60" s="57">
        <f t="shared" si="55"/>
        <v>158435</v>
      </c>
      <c r="BM60" s="57">
        <f t="shared" si="55"/>
        <v>144144</v>
      </c>
      <c r="BN60" s="57">
        <f t="shared" si="55"/>
        <v>152391</v>
      </c>
      <c r="BO60" s="57">
        <f t="shared" si="55"/>
        <v>154147</v>
      </c>
      <c r="BP60" s="57">
        <f t="shared" ref="BP60:CU60" si="56">SUM(BP46:BP46)</f>
        <v>160034</v>
      </c>
      <c r="BQ60" s="57">
        <f t="shared" si="56"/>
        <v>193623</v>
      </c>
      <c r="BR60" s="57">
        <f t="shared" si="56"/>
        <v>300271</v>
      </c>
      <c r="BS60" s="57">
        <f t="shared" si="56"/>
        <v>325874</v>
      </c>
      <c r="BT60" s="57">
        <f t="shared" si="56"/>
        <v>364001</v>
      </c>
      <c r="BU60" s="57">
        <f t="shared" si="56"/>
        <v>351660</v>
      </c>
      <c r="BV60" s="57">
        <f t="shared" si="56"/>
        <v>378585</v>
      </c>
      <c r="BW60" s="57">
        <f t="shared" si="56"/>
        <v>401093</v>
      </c>
      <c r="BX60" s="228">
        <f t="shared" si="56"/>
        <v>421902</v>
      </c>
      <c r="BY60" s="57">
        <f t="shared" si="56"/>
        <v>411356</v>
      </c>
      <c r="BZ60" s="57">
        <f t="shared" si="56"/>
        <v>360271</v>
      </c>
      <c r="CA60" s="57">
        <f t="shared" si="56"/>
        <v>388512.68715392216</v>
      </c>
      <c r="CB60" s="57">
        <f t="shared" si="56"/>
        <v>392397.81402546144</v>
      </c>
      <c r="CC60" s="57">
        <f t="shared" si="56"/>
        <v>372777.92332418839</v>
      </c>
      <c r="CD60" s="57">
        <f t="shared" si="56"/>
        <v>391416.81949039781</v>
      </c>
      <c r="CE60" s="57">
        <f t="shared" si="56"/>
        <v>395330.98768530175</v>
      </c>
      <c r="CF60" s="57">
        <f t="shared" si="56"/>
        <v>399284.29756215477</v>
      </c>
      <c r="CG60" s="57">
        <f t="shared" si="56"/>
        <v>383312.92565966857</v>
      </c>
      <c r="CH60" s="57">
        <f t="shared" si="56"/>
        <v>398645.44268605532</v>
      </c>
      <c r="CI60" s="57">
        <f t="shared" si="56"/>
        <v>402631.89711291582</v>
      </c>
      <c r="CJ60" s="57">
        <f t="shared" si="56"/>
        <v>398605.57814178668</v>
      </c>
      <c r="CK60" s="57">
        <f t="shared" si="56"/>
        <v>398605.57814178668</v>
      </c>
      <c r="CL60" s="57">
        <f t="shared" si="56"/>
        <v>398605.57814178668</v>
      </c>
      <c r="CM60" s="57">
        <f t="shared" si="56"/>
        <v>398605.57814178668</v>
      </c>
      <c r="CN60" s="57">
        <f t="shared" si="56"/>
        <v>398605.57814178668</v>
      </c>
      <c r="CO60" s="57">
        <f t="shared" si="56"/>
        <v>398605.57814178668</v>
      </c>
      <c r="CP60" s="57">
        <f t="shared" si="56"/>
        <v>398605.57814178668</v>
      </c>
      <c r="CQ60" s="57">
        <f t="shared" si="56"/>
        <v>398605.57814178668</v>
      </c>
      <c r="CR60" s="57">
        <f t="shared" si="56"/>
        <v>398605.57814178668</v>
      </c>
      <c r="CS60" s="57">
        <f t="shared" si="56"/>
        <v>398605.57814178668</v>
      </c>
      <c r="CT60" s="57">
        <f t="shared" si="56"/>
        <v>398605.57814178668</v>
      </c>
      <c r="CU60" s="57">
        <f t="shared" si="56"/>
        <v>398605.57814178668</v>
      </c>
      <c r="CW60" s="12">
        <f t="shared" si="47"/>
        <v>4717839.7947000666</v>
      </c>
      <c r="CY60" s="12">
        <f t="shared" si="48"/>
        <v>4783266.9377014404</v>
      </c>
      <c r="DA60" s="202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</row>
    <row r="61" spans="2:121" x14ac:dyDescent="0.3">
      <c r="B61" s="227" t="s">
        <v>159</v>
      </c>
      <c r="C61" s="229"/>
      <c r="D61" s="57">
        <f t="shared" ref="D61:AI61" si="57">SUM(D49:D52)</f>
        <v>5161973</v>
      </c>
      <c r="E61" s="57">
        <f t="shared" si="57"/>
        <v>4628738</v>
      </c>
      <c r="F61" s="57">
        <f t="shared" si="57"/>
        <v>4670125</v>
      </c>
      <c r="G61" s="57">
        <f t="shared" si="57"/>
        <v>4377340</v>
      </c>
      <c r="H61" s="57">
        <f t="shared" si="57"/>
        <v>4214396</v>
      </c>
      <c r="I61" s="57">
        <f t="shared" si="57"/>
        <v>4171542</v>
      </c>
      <c r="J61" s="57">
        <f t="shared" si="57"/>
        <v>4293330</v>
      </c>
      <c r="K61" s="57">
        <f t="shared" si="57"/>
        <v>4106305</v>
      </c>
      <c r="L61" s="57">
        <f t="shared" si="57"/>
        <v>4378923</v>
      </c>
      <c r="M61" s="57">
        <f t="shared" si="57"/>
        <v>4648684</v>
      </c>
      <c r="N61" s="57">
        <f t="shared" si="57"/>
        <v>4376405</v>
      </c>
      <c r="O61" s="57">
        <f t="shared" si="57"/>
        <v>5043035</v>
      </c>
      <c r="P61" s="57">
        <f t="shared" si="57"/>
        <v>4890889</v>
      </c>
      <c r="Q61" s="57">
        <f t="shared" si="57"/>
        <v>4707719</v>
      </c>
      <c r="R61" s="57">
        <f t="shared" si="57"/>
        <v>4451769</v>
      </c>
      <c r="S61" s="57">
        <f t="shared" si="57"/>
        <v>4600752</v>
      </c>
      <c r="T61" s="57">
        <f t="shared" si="57"/>
        <v>4702361</v>
      </c>
      <c r="U61" s="57">
        <f t="shared" si="57"/>
        <v>4062458</v>
      </c>
      <c r="V61" s="57">
        <f t="shared" si="57"/>
        <v>3976101</v>
      </c>
      <c r="W61" s="57">
        <f t="shared" si="57"/>
        <v>4163169</v>
      </c>
      <c r="X61" s="57">
        <f t="shared" si="57"/>
        <v>4017043</v>
      </c>
      <c r="Y61" s="57">
        <f t="shared" si="57"/>
        <v>4238935</v>
      </c>
      <c r="Z61" s="57">
        <f t="shared" si="57"/>
        <v>4541732</v>
      </c>
      <c r="AA61" s="57">
        <f t="shared" si="57"/>
        <v>5035238</v>
      </c>
      <c r="AB61" s="57">
        <f t="shared" si="57"/>
        <v>4736817</v>
      </c>
      <c r="AC61" s="57">
        <f t="shared" si="57"/>
        <v>4734078</v>
      </c>
      <c r="AD61" s="57">
        <f t="shared" si="57"/>
        <v>4066794</v>
      </c>
      <c r="AE61" s="57">
        <f t="shared" si="57"/>
        <v>4454970</v>
      </c>
      <c r="AF61" s="57">
        <f t="shared" si="57"/>
        <v>4196137</v>
      </c>
      <c r="AG61" s="57">
        <f t="shared" si="57"/>
        <v>3973405</v>
      </c>
      <c r="AH61" s="57">
        <f t="shared" si="57"/>
        <v>4174663</v>
      </c>
      <c r="AI61" s="57">
        <f t="shared" si="57"/>
        <v>4334976</v>
      </c>
      <c r="AJ61" s="57">
        <f t="shared" ref="AJ61:BO61" si="58">SUM(AJ49:AJ52)</f>
        <v>4089091</v>
      </c>
      <c r="AK61" s="57">
        <f t="shared" si="58"/>
        <v>4370349</v>
      </c>
      <c r="AL61" s="57">
        <f t="shared" si="58"/>
        <v>4820834</v>
      </c>
      <c r="AM61" s="57">
        <f t="shared" si="58"/>
        <v>4750052</v>
      </c>
      <c r="AN61" s="57">
        <f t="shared" si="58"/>
        <v>4742005</v>
      </c>
      <c r="AO61" s="57">
        <f t="shared" si="58"/>
        <v>4842895</v>
      </c>
      <c r="AP61" s="57">
        <f t="shared" si="58"/>
        <v>4280735</v>
      </c>
      <c r="AQ61" s="57">
        <f t="shared" si="58"/>
        <v>4378136</v>
      </c>
      <c r="AR61" s="57">
        <f t="shared" si="58"/>
        <v>4558634</v>
      </c>
      <c r="AS61" s="57">
        <f t="shared" si="58"/>
        <v>3991264</v>
      </c>
      <c r="AT61" s="57">
        <f t="shared" si="58"/>
        <v>4434442</v>
      </c>
      <c r="AU61" s="57">
        <f t="shared" si="58"/>
        <v>4344124</v>
      </c>
      <c r="AV61" s="57">
        <f t="shared" si="58"/>
        <v>4194128</v>
      </c>
      <c r="AW61" s="57">
        <f t="shared" si="58"/>
        <v>4490285</v>
      </c>
      <c r="AX61" s="57">
        <f t="shared" si="58"/>
        <v>4768726</v>
      </c>
      <c r="AY61" s="57">
        <f t="shared" si="58"/>
        <v>4820896</v>
      </c>
      <c r="AZ61" s="57">
        <f t="shared" si="58"/>
        <v>5523673</v>
      </c>
      <c r="BA61" s="57">
        <f t="shared" si="58"/>
        <v>4638726</v>
      </c>
      <c r="BB61" s="57">
        <f t="shared" si="58"/>
        <v>4275954</v>
      </c>
      <c r="BC61" s="57">
        <f t="shared" si="58"/>
        <v>4332765</v>
      </c>
      <c r="BD61" s="57">
        <f t="shared" si="58"/>
        <v>4529544</v>
      </c>
      <c r="BE61" s="57">
        <f t="shared" si="58"/>
        <v>3812704</v>
      </c>
      <c r="BF61" s="57">
        <f t="shared" si="58"/>
        <v>4453791</v>
      </c>
      <c r="BG61" s="57">
        <f t="shared" si="58"/>
        <v>4010763</v>
      </c>
      <c r="BH61" s="57">
        <f t="shared" si="58"/>
        <v>4015039</v>
      </c>
      <c r="BI61" s="57">
        <f t="shared" si="58"/>
        <v>4572953</v>
      </c>
      <c r="BJ61" s="57">
        <f t="shared" si="58"/>
        <v>4830747</v>
      </c>
      <c r="BK61" s="57">
        <f t="shared" si="58"/>
        <v>4522648</v>
      </c>
      <c r="BL61" s="57">
        <f t="shared" si="58"/>
        <v>4928407</v>
      </c>
      <c r="BM61" s="57">
        <f t="shared" si="58"/>
        <v>4205503</v>
      </c>
      <c r="BN61" s="57">
        <f t="shared" si="58"/>
        <v>4226522</v>
      </c>
      <c r="BO61" s="57">
        <f t="shared" si="58"/>
        <v>4234191</v>
      </c>
      <c r="BP61" s="57">
        <f t="shared" ref="BP61:BW61" si="59">SUM(BP49:BP52)</f>
        <v>4230030</v>
      </c>
      <c r="BQ61" s="57">
        <f t="shared" si="59"/>
        <v>4179309</v>
      </c>
      <c r="BR61" s="57">
        <f t="shared" si="59"/>
        <v>3852566</v>
      </c>
      <c r="BS61" s="57">
        <f t="shared" si="59"/>
        <v>3746155</v>
      </c>
      <c r="BT61" s="57">
        <f t="shared" si="59"/>
        <v>4134724</v>
      </c>
      <c r="BU61" s="57">
        <f t="shared" si="59"/>
        <v>4104890</v>
      </c>
      <c r="BV61" s="57">
        <f t="shared" si="59"/>
        <v>4644434</v>
      </c>
      <c r="BW61" s="57">
        <f t="shared" si="59"/>
        <v>4740784</v>
      </c>
      <c r="BX61" s="230">
        <f>SUM(BX55:BX58)</f>
        <v>4613637.4000000004</v>
      </c>
      <c r="BY61" s="57">
        <f t="shared" ref="BY61:CU61" si="60">SUM(BY55:BY58)</f>
        <v>4340718.5</v>
      </c>
      <c r="BZ61" s="57">
        <f t="shared" si="60"/>
        <v>4142787.3</v>
      </c>
      <c r="CA61" s="57">
        <f t="shared" si="60"/>
        <v>4200116.3833333328</v>
      </c>
      <c r="CB61" s="57">
        <f t="shared" si="60"/>
        <v>4200116.3833333328</v>
      </c>
      <c r="CC61" s="57">
        <f t="shared" si="60"/>
        <v>4200116.3833333328</v>
      </c>
      <c r="CD61" s="57">
        <f t="shared" si="60"/>
        <v>4200116.3833333328</v>
      </c>
      <c r="CE61" s="57">
        <f t="shared" si="60"/>
        <v>4200116.3833333328</v>
      </c>
      <c r="CF61" s="57">
        <f t="shared" si="60"/>
        <v>4200116.3833333328</v>
      </c>
      <c r="CG61" s="57">
        <f t="shared" si="60"/>
        <v>4200116.3833333328</v>
      </c>
      <c r="CH61" s="57">
        <f t="shared" si="60"/>
        <v>4200116.3833333328</v>
      </c>
      <c r="CI61" s="57">
        <f t="shared" si="60"/>
        <v>4200116.3833333328</v>
      </c>
      <c r="CJ61" s="57">
        <f t="shared" si="60"/>
        <v>4200116.3833333328</v>
      </c>
      <c r="CK61" s="57">
        <f t="shared" si="60"/>
        <v>4200116.3833333328</v>
      </c>
      <c r="CL61" s="57">
        <f t="shared" si="60"/>
        <v>4200116.3833333328</v>
      </c>
      <c r="CM61" s="57">
        <f t="shared" si="60"/>
        <v>4200116.3833333328</v>
      </c>
      <c r="CN61" s="57">
        <f t="shared" si="60"/>
        <v>4200116.3833333328</v>
      </c>
      <c r="CO61" s="57">
        <f t="shared" si="60"/>
        <v>4200116.3833333328</v>
      </c>
      <c r="CP61" s="57">
        <f t="shared" si="60"/>
        <v>4200116.3833333328</v>
      </c>
      <c r="CQ61" s="57">
        <f t="shared" si="60"/>
        <v>4200116.3833333328</v>
      </c>
      <c r="CR61" s="57">
        <f t="shared" si="60"/>
        <v>4200116.3833333328</v>
      </c>
      <c r="CS61" s="57">
        <f t="shared" si="60"/>
        <v>4200116.3833333328</v>
      </c>
      <c r="CT61" s="57">
        <f t="shared" si="60"/>
        <v>4200116.3833333328</v>
      </c>
      <c r="CU61" s="57">
        <f t="shared" si="60"/>
        <v>4200116.3833333328</v>
      </c>
      <c r="CW61" s="12">
        <f t="shared" si="47"/>
        <v>50898190.649999991</v>
      </c>
      <c r="CY61" s="12">
        <f t="shared" si="48"/>
        <v>50401396.599999994</v>
      </c>
      <c r="DA61" s="231"/>
      <c r="DF61" s="57"/>
      <c r="DG61" s="57"/>
      <c r="DH61" s="57"/>
      <c r="DI61" s="57"/>
      <c r="DJ61" s="57"/>
      <c r="DK61" s="57"/>
      <c r="DL61" s="57"/>
    </row>
    <row r="62" spans="2:121" x14ac:dyDescent="0.3">
      <c r="B62" s="22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228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</row>
    <row r="63" spans="2:121" x14ac:dyDescent="0.3">
      <c r="B63" s="37" t="s">
        <v>165</v>
      </c>
      <c r="C63" s="229"/>
      <c r="D63" s="57">
        <f t="shared" ref="D63:O63" si="61">SUM(D60:D61)</f>
        <v>5287258</v>
      </c>
      <c r="E63" s="57">
        <f t="shared" si="61"/>
        <v>4745041</v>
      </c>
      <c r="F63" s="57">
        <f t="shared" si="61"/>
        <v>4794118</v>
      </c>
      <c r="G63" s="57">
        <f t="shared" si="61"/>
        <v>4497507</v>
      </c>
      <c r="H63" s="57">
        <f t="shared" si="61"/>
        <v>4334281</v>
      </c>
      <c r="I63" s="57">
        <f t="shared" si="61"/>
        <v>4282085</v>
      </c>
      <c r="J63" s="57">
        <f t="shared" si="61"/>
        <v>4405837</v>
      </c>
      <c r="K63" s="57">
        <f t="shared" si="61"/>
        <v>4210788</v>
      </c>
      <c r="L63" s="57">
        <f t="shared" si="61"/>
        <v>4492573</v>
      </c>
      <c r="M63" s="57">
        <f t="shared" si="61"/>
        <v>4771587</v>
      </c>
      <c r="N63" s="57">
        <f t="shared" si="61"/>
        <v>4492784</v>
      </c>
      <c r="O63" s="57">
        <f t="shared" si="61"/>
        <v>5165242</v>
      </c>
      <c r="P63" s="57">
        <f t="shared" ref="P63:AA63" si="62">SUM(P60:P61)</f>
        <v>5017511</v>
      </c>
      <c r="Q63" s="57">
        <f t="shared" si="62"/>
        <v>4831336</v>
      </c>
      <c r="R63" s="57">
        <f t="shared" si="62"/>
        <v>4558881</v>
      </c>
      <c r="S63" s="57">
        <f t="shared" si="62"/>
        <v>4721389</v>
      </c>
      <c r="T63" s="57">
        <f t="shared" si="62"/>
        <v>4828808</v>
      </c>
      <c r="U63" s="57">
        <f t="shared" si="62"/>
        <v>4163455</v>
      </c>
      <c r="V63" s="57">
        <f t="shared" si="62"/>
        <v>4074995</v>
      </c>
      <c r="W63" s="57">
        <f t="shared" si="62"/>
        <v>4277835</v>
      </c>
      <c r="X63" s="57">
        <f t="shared" si="62"/>
        <v>4132878</v>
      </c>
      <c r="Y63" s="57">
        <f t="shared" si="62"/>
        <v>4359268</v>
      </c>
      <c r="Z63" s="57">
        <f t="shared" si="62"/>
        <v>4666816</v>
      </c>
      <c r="AA63" s="57">
        <f t="shared" si="62"/>
        <v>5174178</v>
      </c>
      <c r="AB63" s="57">
        <f t="shared" ref="AB63:AC63" si="63">SUM(AB60:AB61)</f>
        <v>4863724</v>
      </c>
      <c r="AC63" s="57">
        <f t="shared" si="63"/>
        <v>4862046</v>
      </c>
      <c r="AD63" s="57">
        <f t="shared" ref="AD63:AM63" si="64">SUM(AD60:AD61)</f>
        <v>4169795</v>
      </c>
      <c r="AE63" s="57">
        <f t="shared" si="64"/>
        <v>4604441</v>
      </c>
      <c r="AF63" s="57">
        <f t="shared" si="64"/>
        <v>4315381</v>
      </c>
      <c r="AG63" s="57">
        <f t="shared" si="64"/>
        <v>4090437</v>
      </c>
      <c r="AH63" s="57">
        <f t="shared" si="64"/>
        <v>4294286</v>
      </c>
      <c r="AI63" s="57">
        <f t="shared" si="64"/>
        <v>4463405</v>
      </c>
      <c r="AJ63" s="57">
        <f t="shared" si="64"/>
        <v>4200905</v>
      </c>
      <c r="AK63" s="57">
        <f t="shared" si="64"/>
        <v>4488015</v>
      </c>
      <c r="AL63" s="57">
        <f t="shared" si="64"/>
        <v>4951308</v>
      </c>
      <c r="AM63" s="57">
        <f t="shared" si="64"/>
        <v>4877812</v>
      </c>
      <c r="AN63" s="57">
        <f t="shared" ref="AN63:BK63" si="65">SUM(AN60:AN61)</f>
        <v>4869586</v>
      </c>
      <c r="AO63" s="57">
        <f t="shared" si="65"/>
        <v>4980759</v>
      </c>
      <c r="AP63" s="57">
        <f t="shared" si="65"/>
        <v>4403599</v>
      </c>
      <c r="AQ63" s="57">
        <f t="shared" si="65"/>
        <v>4499678</v>
      </c>
      <c r="AR63" s="57">
        <f t="shared" si="65"/>
        <v>4674212</v>
      </c>
      <c r="AS63" s="57">
        <f t="shared" si="65"/>
        <v>4083709</v>
      </c>
      <c r="AT63" s="57">
        <f t="shared" si="65"/>
        <v>4525480</v>
      </c>
      <c r="AU63" s="57">
        <f t="shared" si="65"/>
        <v>4418720</v>
      </c>
      <c r="AV63" s="57">
        <f t="shared" si="65"/>
        <v>4264285</v>
      </c>
      <c r="AW63" s="57">
        <f t="shared" si="65"/>
        <v>4562914</v>
      </c>
      <c r="AX63" s="57">
        <f t="shared" si="65"/>
        <v>4850341</v>
      </c>
      <c r="AY63" s="57">
        <f t="shared" si="65"/>
        <v>4909363</v>
      </c>
      <c r="AZ63" s="57">
        <f t="shared" si="65"/>
        <v>5635188</v>
      </c>
      <c r="BA63" s="57">
        <f t="shared" si="65"/>
        <v>4742752</v>
      </c>
      <c r="BB63" s="57">
        <f t="shared" si="65"/>
        <v>4376937</v>
      </c>
      <c r="BC63" s="57">
        <f t="shared" si="65"/>
        <v>4440067</v>
      </c>
      <c r="BD63" s="57">
        <f t="shared" si="65"/>
        <v>4650049</v>
      </c>
      <c r="BE63" s="57">
        <f t="shared" si="65"/>
        <v>3908605</v>
      </c>
      <c r="BF63" s="57">
        <f t="shared" si="65"/>
        <v>4572593</v>
      </c>
      <c r="BG63" s="57">
        <f t="shared" si="65"/>
        <v>4110158</v>
      </c>
      <c r="BH63" s="57">
        <f t="shared" si="65"/>
        <v>4119958</v>
      </c>
      <c r="BI63" s="57">
        <f t="shared" si="65"/>
        <v>4706867</v>
      </c>
      <c r="BJ63" s="57">
        <f t="shared" si="65"/>
        <v>4976303</v>
      </c>
      <c r="BK63" s="57">
        <f t="shared" si="65"/>
        <v>4662598</v>
      </c>
      <c r="BL63" s="57">
        <f t="shared" ref="BL63:BW63" si="66">SUM(BL60:BL61)</f>
        <v>5086842</v>
      </c>
      <c r="BM63" s="57">
        <f t="shared" si="66"/>
        <v>4349647</v>
      </c>
      <c r="BN63" s="57">
        <f t="shared" si="66"/>
        <v>4378913</v>
      </c>
      <c r="BO63" s="57">
        <f t="shared" si="66"/>
        <v>4388338</v>
      </c>
      <c r="BP63" s="57">
        <f t="shared" si="66"/>
        <v>4390064</v>
      </c>
      <c r="BQ63" s="57">
        <f t="shared" si="66"/>
        <v>4372932</v>
      </c>
      <c r="BR63" s="57">
        <f t="shared" si="66"/>
        <v>4152837</v>
      </c>
      <c r="BS63" s="57">
        <f t="shared" si="66"/>
        <v>4072029</v>
      </c>
      <c r="BT63" s="57">
        <f t="shared" si="66"/>
        <v>4498725</v>
      </c>
      <c r="BU63" s="57">
        <f t="shared" si="66"/>
        <v>4456550</v>
      </c>
      <c r="BV63" s="57">
        <f t="shared" si="66"/>
        <v>5023019</v>
      </c>
      <c r="BW63" s="57">
        <f t="shared" si="66"/>
        <v>5141877</v>
      </c>
      <c r="BX63" s="228">
        <f t="shared" ref="BX63:CI63" si="67">SUM(BX60:BX61)</f>
        <v>5035539.4000000004</v>
      </c>
      <c r="BY63" s="57">
        <f t="shared" si="67"/>
        <v>4752074.5</v>
      </c>
      <c r="BZ63" s="57">
        <f t="shared" si="67"/>
        <v>4503058.3</v>
      </c>
      <c r="CA63" s="57">
        <f t="shared" si="67"/>
        <v>4588629.0704872552</v>
      </c>
      <c r="CB63" s="57">
        <f t="shared" si="67"/>
        <v>4592514.1973587945</v>
      </c>
      <c r="CC63" s="57">
        <f t="shared" si="67"/>
        <v>4572894.3066575211</v>
      </c>
      <c r="CD63" s="57">
        <f t="shared" si="67"/>
        <v>4591533.2028237302</v>
      </c>
      <c r="CE63" s="57">
        <f t="shared" si="67"/>
        <v>4595447.3710186342</v>
      </c>
      <c r="CF63" s="57">
        <f t="shared" si="67"/>
        <v>4599400.6808954878</v>
      </c>
      <c r="CG63" s="57">
        <f t="shared" si="67"/>
        <v>4583429.3089930015</v>
      </c>
      <c r="CH63" s="57">
        <f t="shared" si="67"/>
        <v>4598761.8260193877</v>
      </c>
      <c r="CI63" s="57">
        <f t="shared" si="67"/>
        <v>4602748.2804462491</v>
      </c>
      <c r="CJ63" s="57">
        <f t="shared" ref="CJ63:CU63" si="68">SUM(CJ60:CJ61)</f>
        <v>4598721.9614751199</v>
      </c>
      <c r="CK63" s="57">
        <f t="shared" si="68"/>
        <v>4598721.9614751199</v>
      </c>
      <c r="CL63" s="57">
        <f t="shared" si="68"/>
        <v>4598721.9614751199</v>
      </c>
      <c r="CM63" s="57">
        <f t="shared" si="68"/>
        <v>4598721.9614751199</v>
      </c>
      <c r="CN63" s="57">
        <f t="shared" si="68"/>
        <v>4598721.9614751199</v>
      </c>
      <c r="CO63" s="57">
        <f t="shared" si="68"/>
        <v>4598721.9614751199</v>
      </c>
      <c r="CP63" s="57">
        <f t="shared" si="68"/>
        <v>4598721.9614751199</v>
      </c>
      <c r="CQ63" s="57">
        <f t="shared" si="68"/>
        <v>4598721.9614751199</v>
      </c>
      <c r="CR63" s="57">
        <f t="shared" si="68"/>
        <v>4598721.9614751199</v>
      </c>
      <c r="CS63" s="57">
        <f t="shared" si="68"/>
        <v>4598721.9614751199</v>
      </c>
      <c r="CT63" s="57">
        <f t="shared" si="68"/>
        <v>4598721.9614751199</v>
      </c>
      <c r="CU63" s="57">
        <f t="shared" si="68"/>
        <v>4598721.9614751199</v>
      </c>
      <c r="CW63" s="12">
        <f t="shared" si="47"/>
        <v>55616030.444700062</v>
      </c>
      <c r="CY63" s="12">
        <f t="shared" si="48"/>
        <v>55184663.537701435</v>
      </c>
      <c r="DA63" s="231"/>
    </row>
    <row r="64" spans="2:121" x14ac:dyDescent="0.3">
      <c r="BP64" s="1" t="s">
        <v>170</v>
      </c>
      <c r="BQ64" s="1" t="s">
        <v>171</v>
      </c>
      <c r="BR64" s="1" t="s">
        <v>172</v>
      </c>
      <c r="BS64" s="1" t="s">
        <v>173</v>
      </c>
      <c r="BX64" s="226"/>
    </row>
    <row r="65" spans="2:121" x14ac:dyDescent="0.3">
      <c r="B65" s="37" t="s">
        <v>166</v>
      </c>
      <c r="D65" s="57">
        <f t="shared" ref="D65:O65" si="69">D61</f>
        <v>5161973</v>
      </c>
      <c r="E65" s="57">
        <f t="shared" si="69"/>
        <v>4628738</v>
      </c>
      <c r="F65" s="57">
        <f t="shared" si="69"/>
        <v>4670125</v>
      </c>
      <c r="G65" s="57">
        <f t="shared" si="69"/>
        <v>4377340</v>
      </c>
      <c r="H65" s="57">
        <f t="shared" si="69"/>
        <v>4214396</v>
      </c>
      <c r="I65" s="57">
        <f t="shared" si="69"/>
        <v>4171542</v>
      </c>
      <c r="J65" s="57">
        <f t="shared" si="69"/>
        <v>4293330</v>
      </c>
      <c r="K65" s="57">
        <f t="shared" si="69"/>
        <v>4106305</v>
      </c>
      <c r="L65" s="57">
        <f t="shared" si="69"/>
        <v>4378923</v>
      </c>
      <c r="M65" s="57">
        <f t="shared" si="69"/>
        <v>4648684</v>
      </c>
      <c r="N65" s="57">
        <f t="shared" si="69"/>
        <v>4376405</v>
      </c>
      <c r="O65" s="57">
        <f t="shared" si="69"/>
        <v>5043035</v>
      </c>
      <c r="P65" s="57">
        <f t="shared" ref="P65:AA65" si="70">P61</f>
        <v>4890889</v>
      </c>
      <c r="Q65" s="57">
        <f t="shared" si="70"/>
        <v>4707719</v>
      </c>
      <c r="R65" s="57">
        <f t="shared" si="70"/>
        <v>4451769</v>
      </c>
      <c r="S65" s="57">
        <f t="shared" si="70"/>
        <v>4600752</v>
      </c>
      <c r="T65" s="57">
        <f t="shared" si="70"/>
        <v>4702361</v>
      </c>
      <c r="U65" s="57">
        <f t="shared" si="70"/>
        <v>4062458</v>
      </c>
      <c r="V65" s="57">
        <f t="shared" si="70"/>
        <v>3976101</v>
      </c>
      <c r="W65" s="57">
        <f t="shared" si="70"/>
        <v>4163169</v>
      </c>
      <c r="X65" s="57">
        <f t="shared" si="70"/>
        <v>4017043</v>
      </c>
      <c r="Y65" s="57">
        <f t="shared" si="70"/>
        <v>4238935</v>
      </c>
      <c r="Z65" s="57">
        <f t="shared" si="70"/>
        <v>4541732</v>
      </c>
      <c r="AA65" s="57">
        <f t="shared" si="70"/>
        <v>5035238</v>
      </c>
      <c r="AB65" s="57">
        <f t="shared" ref="AB65:AC65" si="71">AB61</f>
        <v>4736817</v>
      </c>
      <c r="AC65" s="57">
        <f t="shared" si="71"/>
        <v>4734078</v>
      </c>
      <c r="AD65" s="57">
        <f t="shared" ref="AD65:AM65" si="72">AD61</f>
        <v>4066794</v>
      </c>
      <c r="AE65" s="57">
        <f t="shared" si="72"/>
        <v>4454970</v>
      </c>
      <c r="AF65" s="57">
        <f t="shared" si="72"/>
        <v>4196137</v>
      </c>
      <c r="AG65" s="57">
        <f t="shared" si="72"/>
        <v>3973405</v>
      </c>
      <c r="AH65" s="57">
        <f t="shared" si="72"/>
        <v>4174663</v>
      </c>
      <c r="AI65" s="57">
        <f t="shared" si="72"/>
        <v>4334976</v>
      </c>
      <c r="AJ65" s="57">
        <f t="shared" si="72"/>
        <v>4089091</v>
      </c>
      <c r="AK65" s="57">
        <f t="shared" si="72"/>
        <v>4370349</v>
      </c>
      <c r="AL65" s="57">
        <f t="shared" si="72"/>
        <v>4820834</v>
      </c>
      <c r="AM65" s="57">
        <f t="shared" si="72"/>
        <v>4750052</v>
      </c>
      <c r="AN65" s="57">
        <f t="shared" ref="AN65:AV65" si="73">AN61</f>
        <v>4742005</v>
      </c>
      <c r="AO65" s="57">
        <f t="shared" si="73"/>
        <v>4842895</v>
      </c>
      <c r="AP65" s="57">
        <f t="shared" si="73"/>
        <v>4280735</v>
      </c>
      <c r="AQ65" s="57">
        <f t="shared" si="73"/>
        <v>4378136</v>
      </c>
      <c r="AR65" s="57">
        <f t="shared" si="73"/>
        <v>4558634</v>
      </c>
      <c r="AS65" s="57">
        <f t="shared" si="73"/>
        <v>3991264</v>
      </c>
      <c r="AT65" s="57">
        <f t="shared" si="73"/>
        <v>4434442</v>
      </c>
      <c r="AU65" s="57">
        <f t="shared" si="73"/>
        <v>4344124</v>
      </c>
      <c r="AV65" s="57">
        <f t="shared" si="73"/>
        <v>4194128</v>
      </c>
      <c r="AW65" s="57">
        <f>AW61</f>
        <v>4490285</v>
      </c>
      <c r="AX65" s="57">
        <f t="shared" ref="AX65:BW65" si="74">AX61</f>
        <v>4768726</v>
      </c>
      <c r="AY65" s="57">
        <f t="shared" si="74"/>
        <v>4820896</v>
      </c>
      <c r="AZ65" s="57">
        <f t="shared" si="74"/>
        <v>5523673</v>
      </c>
      <c r="BA65" s="57">
        <f t="shared" si="74"/>
        <v>4638726</v>
      </c>
      <c r="BB65" s="57">
        <f t="shared" si="74"/>
        <v>4275954</v>
      </c>
      <c r="BC65" s="57">
        <f>BC61</f>
        <v>4332765</v>
      </c>
      <c r="BD65" s="57">
        <f t="shared" si="74"/>
        <v>4529544</v>
      </c>
      <c r="BE65" s="57">
        <f t="shared" si="74"/>
        <v>3812704</v>
      </c>
      <c r="BF65" s="57">
        <f t="shared" si="74"/>
        <v>4453791</v>
      </c>
      <c r="BG65" s="57">
        <f t="shared" si="74"/>
        <v>4010763</v>
      </c>
      <c r="BH65" s="57">
        <f t="shared" si="74"/>
        <v>4015039</v>
      </c>
      <c r="BI65" s="57">
        <f t="shared" si="74"/>
        <v>4572953</v>
      </c>
      <c r="BJ65" s="57">
        <f t="shared" si="74"/>
        <v>4830747</v>
      </c>
      <c r="BK65" s="57">
        <f t="shared" si="74"/>
        <v>4522648</v>
      </c>
      <c r="BL65" s="57">
        <f t="shared" si="74"/>
        <v>4928407</v>
      </c>
      <c r="BM65" s="57">
        <f t="shared" si="74"/>
        <v>4205503</v>
      </c>
      <c r="BN65" s="57">
        <f t="shared" si="74"/>
        <v>4226522</v>
      </c>
      <c r="BO65" s="57">
        <f t="shared" si="74"/>
        <v>4234191</v>
      </c>
      <c r="BP65" s="57">
        <f t="shared" si="74"/>
        <v>4230030</v>
      </c>
      <c r="BQ65" s="57">
        <f t="shared" si="74"/>
        <v>4179309</v>
      </c>
      <c r="BR65" s="57">
        <f t="shared" si="74"/>
        <v>3852566</v>
      </c>
      <c r="BS65" s="57">
        <f t="shared" si="74"/>
        <v>3746155</v>
      </c>
      <c r="BT65" s="57">
        <f t="shared" si="74"/>
        <v>4134724</v>
      </c>
      <c r="BU65" s="57">
        <f t="shared" si="74"/>
        <v>4104890</v>
      </c>
      <c r="BV65" s="57">
        <f t="shared" si="74"/>
        <v>4644434</v>
      </c>
      <c r="BW65" s="57">
        <f t="shared" si="74"/>
        <v>4740784</v>
      </c>
      <c r="BX65" s="228">
        <f t="shared" ref="BX65:CI65" si="75">BX61</f>
        <v>4613637.4000000004</v>
      </c>
      <c r="BY65" s="57">
        <f t="shared" si="75"/>
        <v>4340718.5</v>
      </c>
      <c r="BZ65" s="57">
        <f t="shared" si="75"/>
        <v>4142787.3</v>
      </c>
      <c r="CA65" s="57">
        <f t="shared" si="75"/>
        <v>4200116.3833333328</v>
      </c>
      <c r="CB65" s="57">
        <f t="shared" si="75"/>
        <v>4200116.3833333328</v>
      </c>
      <c r="CC65" s="57">
        <f t="shared" si="75"/>
        <v>4200116.3833333328</v>
      </c>
      <c r="CD65" s="57">
        <f t="shared" si="75"/>
        <v>4200116.3833333328</v>
      </c>
      <c r="CE65" s="57">
        <f t="shared" si="75"/>
        <v>4200116.3833333328</v>
      </c>
      <c r="CF65" s="57">
        <f t="shared" si="75"/>
        <v>4200116.3833333328</v>
      </c>
      <c r="CG65" s="57">
        <f t="shared" si="75"/>
        <v>4200116.3833333328</v>
      </c>
      <c r="CH65" s="57">
        <f t="shared" si="75"/>
        <v>4200116.3833333328</v>
      </c>
      <c r="CI65" s="57">
        <f t="shared" si="75"/>
        <v>4200116.3833333328</v>
      </c>
      <c r="CJ65" s="57">
        <f t="shared" ref="CJ65:CU65" si="76">CJ61</f>
        <v>4200116.3833333328</v>
      </c>
      <c r="CK65" s="57">
        <f t="shared" si="76"/>
        <v>4200116.3833333328</v>
      </c>
      <c r="CL65" s="57">
        <f t="shared" si="76"/>
        <v>4200116.3833333328</v>
      </c>
      <c r="CM65" s="57">
        <f t="shared" si="76"/>
        <v>4200116.3833333328</v>
      </c>
      <c r="CN65" s="57">
        <f t="shared" si="76"/>
        <v>4200116.3833333328</v>
      </c>
      <c r="CO65" s="57">
        <f t="shared" si="76"/>
        <v>4200116.3833333328</v>
      </c>
      <c r="CP65" s="57">
        <f t="shared" si="76"/>
        <v>4200116.3833333328</v>
      </c>
      <c r="CQ65" s="57">
        <f t="shared" si="76"/>
        <v>4200116.3833333328</v>
      </c>
      <c r="CR65" s="57">
        <f t="shared" si="76"/>
        <v>4200116.3833333328</v>
      </c>
      <c r="CS65" s="57">
        <f t="shared" si="76"/>
        <v>4200116.3833333328</v>
      </c>
      <c r="CT65" s="57">
        <f t="shared" si="76"/>
        <v>4200116.3833333328</v>
      </c>
      <c r="CU65" s="57">
        <f t="shared" si="76"/>
        <v>4200116.3833333328</v>
      </c>
      <c r="CW65" s="12">
        <f t="shared" si="47"/>
        <v>50898190.649999991</v>
      </c>
      <c r="CY65" s="12">
        <f t="shared" si="48"/>
        <v>50401396.599999994</v>
      </c>
      <c r="DH65" s="57"/>
      <c r="DI65" s="57"/>
      <c r="DL65" s="57"/>
    </row>
    <row r="66" spans="2:121" x14ac:dyDescent="0.3"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DH66" s="10"/>
      <c r="DI66" s="10"/>
      <c r="DJ66" s="10"/>
      <c r="DK66" s="10"/>
      <c r="DL66" s="10"/>
      <c r="DP66" s="10"/>
      <c r="DQ66" s="12"/>
    </row>
    <row r="67" spans="2:121" x14ac:dyDescent="0.3"/>
    <row r="68" spans="2:121" x14ac:dyDescent="0.3">
      <c r="D68" s="8"/>
      <c r="BR68" s="57"/>
    </row>
    <row r="69" spans="2:121" x14ac:dyDescent="0.3">
      <c r="BR69" s="57"/>
    </row>
    <row r="70" spans="2:121" x14ac:dyDescent="0.3">
      <c r="D70" s="8"/>
    </row>
    <row r="71" spans="2:121" x14ac:dyDescent="0.3">
      <c r="D71" s="8"/>
      <c r="BP71" s="12"/>
      <c r="BQ71" s="12"/>
      <c r="BR71" s="12"/>
      <c r="BS71" s="12"/>
      <c r="BT71" s="12"/>
      <c r="BU71" s="12"/>
    </row>
    <row r="72" spans="2:121" x14ac:dyDescent="0.3">
      <c r="BP72" s="223"/>
      <c r="BQ72" s="223"/>
      <c r="BR72" s="223"/>
      <c r="BS72" s="223"/>
      <c r="BT72" s="223"/>
      <c r="BU72" s="223"/>
    </row>
    <row r="73" spans="2:121" x14ac:dyDescent="0.3"/>
    <row r="74" spans="2:121" x14ac:dyDescent="0.3"/>
    <row r="75" spans="2:121" x14ac:dyDescent="0.3"/>
    <row r="76" spans="2:121" x14ac:dyDescent="0.3"/>
    <row r="77" spans="2:121" x14ac:dyDescent="0.3"/>
    <row r="78" spans="2:121" x14ac:dyDescent="0.3"/>
    <row r="79" spans="2:121" x14ac:dyDescent="0.3"/>
    <row r="80" spans="2:121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spans="52:63" x14ac:dyDescent="0.3"/>
    <row r="98" spans="52:63" x14ac:dyDescent="0.3"/>
    <row r="99" spans="52:63" x14ac:dyDescent="0.3"/>
    <row r="100" spans="52:63" x14ac:dyDescent="0.3"/>
    <row r="101" spans="52:63" x14ac:dyDescent="0.3"/>
    <row r="102" spans="52:63" x14ac:dyDescent="0.3"/>
    <row r="103" spans="52:63" x14ac:dyDescent="0.3"/>
    <row r="104" spans="52:63" x14ac:dyDescent="0.3"/>
    <row r="105" spans="52:63" x14ac:dyDescent="0.3"/>
    <row r="106" spans="52:63" x14ac:dyDescent="0.3"/>
    <row r="107" spans="52:63" x14ac:dyDescent="0.3"/>
    <row r="108" spans="52:63" x14ac:dyDescent="0.3"/>
    <row r="109" spans="52:63" x14ac:dyDescent="0.3"/>
    <row r="110" spans="52:63" x14ac:dyDescent="0.3"/>
    <row r="111" spans="52:63" x14ac:dyDescent="0.3"/>
    <row r="112" spans="52:63" x14ac:dyDescent="0.3">
      <c r="AZ112" s="238"/>
      <c r="BA112" s="238"/>
      <c r="BB112" s="238"/>
      <c r="BC112" s="238"/>
      <c r="BD112" s="238"/>
      <c r="BE112" s="238"/>
      <c r="BF112" s="238"/>
      <c r="BG112" s="238"/>
      <c r="BH112" s="238"/>
      <c r="BI112" s="238"/>
      <c r="BJ112" s="238"/>
      <c r="BK112" s="238"/>
    </row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</sheetData>
  <mergeCells count="15">
    <mergeCell ref="BX1:CI1"/>
    <mergeCell ref="AZ1:BK1"/>
    <mergeCell ref="BP2:CA2"/>
    <mergeCell ref="CB2:CM2"/>
    <mergeCell ref="BD6:BK6"/>
    <mergeCell ref="BL1:BW1"/>
    <mergeCell ref="AR2:BC2"/>
    <mergeCell ref="BD2:BO2"/>
    <mergeCell ref="D6:AQ6"/>
    <mergeCell ref="D1:O1"/>
    <mergeCell ref="AN1:AY1"/>
    <mergeCell ref="T2:AE2"/>
    <mergeCell ref="AB1:AM1"/>
    <mergeCell ref="P1:AA1"/>
    <mergeCell ref="AF2:AQ2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141"/>
  <sheetViews>
    <sheetView tabSelected="1" workbookViewId="0">
      <selection activeCell="C15" sqref="C15"/>
    </sheetView>
  </sheetViews>
  <sheetFormatPr defaultColWidth="0" defaultRowHeight="14.4" zeroHeight="1" x14ac:dyDescent="0.3"/>
  <cols>
    <col min="1" max="1" width="4.77734375" style="1" customWidth="1"/>
    <col min="2" max="2" width="53.21875" style="1" customWidth="1"/>
    <col min="3" max="3" width="20.77734375" style="1" customWidth="1"/>
    <col min="4" max="4" width="12.5546875" style="1" customWidth="1"/>
    <col min="5" max="5" width="3.21875" style="1" customWidth="1"/>
    <col min="6" max="6" width="66.5546875" style="1" customWidth="1"/>
    <col min="7" max="7" width="33" style="1" customWidth="1"/>
    <col min="8" max="8" width="62.21875" style="1" customWidth="1"/>
    <col min="9" max="25" width="9.21875" style="1" customWidth="1"/>
    <col min="26" max="26" width="0" style="1" hidden="1" customWidth="1"/>
    <col min="27" max="16384" width="9.21875" style="1" hidden="1"/>
  </cols>
  <sheetData>
    <row r="1" spans="2:8" x14ac:dyDescent="0.3"/>
    <row r="2" spans="2:8" x14ac:dyDescent="0.3">
      <c r="B2" s="3" t="s">
        <v>31</v>
      </c>
      <c r="C2" s="3"/>
      <c r="D2" s="3"/>
      <c r="E2" s="3"/>
      <c r="F2" s="3"/>
      <c r="G2" s="3"/>
      <c r="H2" s="3"/>
    </row>
    <row r="3" spans="2:8" x14ac:dyDescent="0.3">
      <c r="B3" s="3" t="s">
        <v>32</v>
      </c>
      <c r="C3" s="3"/>
      <c r="D3" s="3"/>
      <c r="E3" s="3"/>
      <c r="F3" s="3"/>
      <c r="G3" s="3"/>
      <c r="H3" s="3"/>
    </row>
    <row r="4" spans="2:8" x14ac:dyDescent="0.3"/>
    <row r="5" spans="2:8" x14ac:dyDescent="0.3">
      <c r="B5" s="137" t="s">
        <v>33</v>
      </c>
      <c r="C5" s="137"/>
      <c r="D5" s="137"/>
      <c r="E5" s="137"/>
      <c r="F5" s="137" t="s">
        <v>34</v>
      </c>
      <c r="G5" s="137" t="s">
        <v>35</v>
      </c>
      <c r="H5" s="137" t="s">
        <v>36</v>
      </c>
    </row>
    <row r="6" spans="2:8" x14ac:dyDescent="0.3"/>
    <row r="7" spans="2:8" x14ac:dyDescent="0.3">
      <c r="B7" s="138" t="s">
        <v>37</v>
      </c>
      <c r="C7" s="139"/>
      <c r="D7" s="139"/>
      <c r="E7" s="139"/>
      <c r="F7" s="139"/>
      <c r="G7" s="139"/>
      <c r="H7" s="139"/>
    </row>
    <row r="8" spans="2:8" x14ac:dyDescent="0.3">
      <c r="B8" s="140"/>
      <c r="D8" s="141"/>
      <c r="E8" s="142"/>
      <c r="F8" s="143"/>
      <c r="G8" s="144"/>
      <c r="H8" s="144"/>
    </row>
    <row r="9" spans="2:8" x14ac:dyDescent="0.3">
      <c r="B9" s="140" t="s">
        <v>38</v>
      </c>
      <c r="C9" s="244">
        <f>[1]TRR_Summary!$B$4</f>
        <v>47.719836248214683</v>
      </c>
      <c r="E9" s="142"/>
      <c r="F9" s="144" t="s">
        <v>39</v>
      </c>
      <c r="G9" s="144" t="s">
        <v>40</v>
      </c>
      <c r="H9" s="144"/>
    </row>
    <row r="10" spans="2:8" x14ac:dyDescent="0.3">
      <c r="B10" s="140"/>
      <c r="C10" s="145"/>
      <c r="E10" s="142"/>
      <c r="F10" s="143"/>
      <c r="G10" s="144"/>
      <c r="H10" s="144"/>
    </row>
    <row r="11" spans="2:8" x14ac:dyDescent="0.3">
      <c r="B11" s="140" t="s">
        <v>41</v>
      </c>
      <c r="C11" s="245">
        <f>[1]TRR_Summary!$B$5</f>
        <v>655.30618270709726</v>
      </c>
      <c r="E11" s="142"/>
      <c r="F11" s="144" t="s">
        <v>39</v>
      </c>
      <c r="G11" s="144" t="s">
        <v>40</v>
      </c>
      <c r="H11" s="144"/>
    </row>
    <row r="12" spans="2:8" x14ac:dyDescent="0.3">
      <c r="B12" s="140"/>
      <c r="C12" s="146"/>
      <c r="E12" s="142"/>
      <c r="F12" s="144"/>
      <c r="G12" s="144"/>
      <c r="H12" s="144"/>
    </row>
    <row r="13" spans="2:8" x14ac:dyDescent="0.3">
      <c r="B13" s="140" t="s">
        <v>42</v>
      </c>
      <c r="C13" s="245">
        <f>[1]TRR_Projections!$BF$5</f>
        <v>56040.796781569683</v>
      </c>
      <c r="E13" s="142"/>
      <c r="F13" s="144" t="s">
        <v>39</v>
      </c>
      <c r="G13" s="144" t="s">
        <v>40</v>
      </c>
      <c r="H13" s="144"/>
    </row>
    <row r="14" spans="2:8" x14ac:dyDescent="0.3">
      <c r="B14" s="140"/>
      <c r="C14" s="147"/>
      <c r="E14" s="142"/>
      <c r="F14" s="144"/>
      <c r="G14" s="144"/>
      <c r="H14" s="144"/>
    </row>
    <row r="15" spans="2:8" x14ac:dyDescent="0.3">
      <c r="B15" s="140" t="s">
        <v>43</v>
      </c>
      <c r="C15" s="148">
        <f>C9*C13*12</f>
        <v>32091091.747631781</v>
      </c>
      <c r="E15" s="142"/>
      <c r="F15" s="144" t="s">
        <v>39</v>
      </c>
      <c r="G15" s="144" t="s">
        <v>40</v>
      </c>
      <c r="H15" s="144"/>
    </row>
    <row r="16" spans="2:8" x14ac:dyDescent="0.3">
      <c r="C16" s="8"/>
    </row>
    <row r="17" spans="2:14" x14ac:dyDescent="0.3">
      <c r="B17" s="149" t="s">
        <v>44</v>
      </c>
      <c r="C17" s="150"/>
      <c r="D17" s="150"/>
      <c r="E17" s="150"/>
      <c r="F17" s="150"/>
      <c r="G17" s="150"/>
      <c r="H17" s="150"/>
    </row>
    <row r="18" spans="2:14" x14ac:dyDescent="0.3"/>
    <row r="19" spans="2:14" x14ac:dyDescent="0.3">
      <c r="B19" s="1" t="s">
        <v>45</v>
      </c>
      <c r="C19" s="151">
        <v>0</v>
      </c>
      <c r="F19" s="1" t="s">
        <v>46</v>
      </c>
      <c r="G19" s="152"/>
      <c r="J19" s="152"/>
      <c r="N19" s="152"/>
    </row>
    <row r="20" spans="2:14" x14ac:dyDescent="0.3">
      <c r="G20" s="153"/>
    </row>
    <row r="21" spans="2:14" x14ac:dyDescent="0.3">
      <c r="B21" s="1" t="s">
        <v>47</v>
      </c>
      <c r="C21" s="154">
        <v>10</v>
      </c>
    </row>
    <row r="22" spans="2:14" x14ac:dyDescent="0.3"/>
    <row r="23" spans="2:14" x14ac:dyDescent="0.3">
      <c r="B23" s="138" t="s">
        <v>48</v>
      </c>
      <c r="C23" s="139"/>
      <c r="D23" s="139"/>
      <c r="E23" s="139"/>
      <c r="F23" s="139"/>
      <c r="G23" s="139"/>
      <c r="H23" s="139"/>
    </row>
    <row r="24" spans="2:14" x14ac:dyDescent="0.3">
      <c r="B24" s="138"/>
      <c r="C24" s="139"/>
      <c r="D24" s="139"/>
      <c r="E24" s="139"/>
      <c r="F24" s="139"/>
      <c r="G24" s="139"/>
      <c r="H24" s="139"/>
    </row>
    <row r="25" spans="2:14" x14ac:dyDescent="0.3">
      <c r="B25" s="155"/>
    </row>
    <row r="26" spans="2:14" x14ac:dyDescent="0.3">
      <c r="B26" s="156" t="s">
        <v>49</v>
      </c>
    </row>
    <row r="27" spans="2:14" x14ac:dyDescent="0.3">
      <c r="B27" s="157" t="s">
        <v>50</v>
      </c>
      <c r="C27" s="158">
        <v>0.15</v>
      </c>
      <c r="D27" s="1" t="s">
        <v>51</v>
      </c>
      <c r="F27" s="152" t="s">
        <v>52</v>
      </c>
      <c r="G27" s="152" t="s">
        <v>53</v>
      </c>
      <c r="H27" s="152"/>
    </row>
    <row r="28" spans="2:14" x14ac:dyDescent="0.3">
      <c r="B28" s="157"/>
    </row>
    <row r="29" spans="2:14" x14ac:dyDescent="0.3">
      <c r="B29" s="157" t="s">
        <v>54</v>
      </c>
      <c r="C29" s="158">
        <v>0.24</v>
      </c>
      <c r="D29" s="1" t="s">
        <v>51</v>
      </c>
      <c r="F29" s="152" t="s">
        <v>52</v>
      </c>
      <c r="G29" s="152" t="s">
        <v>55</v>
      </c>
      <c r="H29" s="152"/>
    </row>
    <row r="30" spans="2:14" x14ac:dyDescent="0.3">
      <c r="F30" s="152"/>
      <c r="G30" s="152"/>
      <c r="H30" s="152"/>
    </row>
    <row r="31" spans="2:14" x14ac:dyDescent="0.3">
      <c r="B31" s="156" t="s">
        <v>56</v>
      </c>
      <c r="F31" s="152"/>
      <c r="G31" s="152"/>
      <c r="H31" s="152"/>
    </row>
    <row r="32" spans="2:14" x14ac:dyDescent="0.3">
      <c r="B32" s="157" t="s">
        <v>50</v>
      </c>
      <c r="C32" s="158">
        <v>3.08</v>
      </c>
      <c r="D32" s="1" t="s">
        <v>51</v>
      </c>
      <c r="F32" s="152" t="s">
        <v>57</v>
      </c>
      <c r="G32" s="152" t="s">
        <v>53</v>
      </c>
      <c r="H32" s="152"/>
    </row>
    <row r="33" spans="2:8" x14ac:dyDescent="0.3">
      <c r="B33" s="157"/>
      <c r="F33" s="159"/>
      <c r="H33" s="152"/>
    </row>
    <row r="34" spans="2:8" x14ac:dyDescent="0.3">
      <c r="B34" s="157" t="s">
        <v>54</v>
      </c>
      <c r="C34" s="158">
        <v>4.4000000000000004</v>
      </c>
      <c r="D34" s="1" t="s">
        <v>51</v>
      </c>
      <c r="F34" s="152" t="s">
        <v>57</v>
      </c>
      <c r="G34" s="152" t="s">
        <v>55</v>
      </c>
      <c r="H34" s="152"/>
    </row>
    <row r="35" spans="2:8" x14ac:dyDescent="0.3"/>
    <row r="36" spans="2:8" x14ac:dyDescent="0.3">
      <c r="B36" s="160" t="s">
        <v>58</v>
      </c>
      <c r="C36" s="161"/>
      <c r="D36" s="161"/>
      <c r="E36" s="161"/>
      <c r="F36" s="161"/>
      <c r="G36" s="161"/>
      <c r="H36" s="161"/>
    </row>
    <row r="37" spans="2:8" x14ac:dyDescent="0.3"/>
    <row r="38" spans="2:8" x14ac:dyDescent="0.3">
      <c r="B38" s="140" t="s">
        <v>59</v>
      </c>
      <c r="C38" s="151">
        <v>0.96989999999999998</v>
      </c>
      <c r="F38" s="152" t="s">
        <v>57</v>
      </c>
      <c r="G38" s="152" t="s">
        <v>60</v>
      </c>
      <c r="H38" s="152"/>
    </row>
    <row r="39" spans="2:8" x14ac:dyDescent="0.3">
      <c r="C39" s="162"/>
      <c r="F39" s="162"/>
    </row>
    <row r="40" spans="2:8" x14ac:dyDescent="0.3">
      <c r="B40" s="140" t="s">
        <v>61</v>
      </c>
      <c r="C40" s="151">
        <v>0.42</v>
      </c>
      <c r="F40" s="152" t="s">
        <v>57</v>
      </c>
      <c r="G40" s="152" t="s">
        <v>62</v>
      </c>
      <c r="H40" s="152"/>
    </row>
    <row r="41" spans="2:8" x14ac:dyDescent="0.3">
      <c r="B41" s="140"/>
      <c r="C41" s="162"/>
      <c r="F41" s="152"/>
      <c r="G41" s="152"/>
      <c r="H41" s="152"/>
    </row>
    <row r="42" spans="2:8" x14ac:dyDescent="0.3">
      <c r="B42" s="140" t="s">
        <v>63</v>
      </c>
      <c r="C42" s="151">
        <v>0.57999999999999996</v>
      </c>
      <c r="F42" s="152" t="s">
        <v>57</v>
      </c>
      <c r="G42" s="152" t="s">
        <v>64</v>
      </c>
      <c r="H42" s="152"/>
    </row>
    <row r="43" spans="2:8" x14ac:dyDescent="0.3">
      <c r="B43" s="140"/>
      <c r="C43" s="162"/>
      <c r="F43" s="163"/>
      <c r="G43" s="152"/>
      <c r="H43" s="152"/>
    </row>
    <row r="44" spans="2:8" x14ac:dyDescent="0.3">
      <c r="B44" s="156" t="s">
        <v>65</v>
      </c>
      <c r="C44" s="162"/>
      <c r="F44" s="152"/>
      <c r="G44" s="152"/>
      <c r="H44" s="152"/>
    </row>
    <row r="45" spans="2:8" x14ac:dyDescent="0.3">
      <c r="B45" s="140" t="s">
        <v>59</v>
      </c>
      <c r="C45" s="151">
        <v>0.96989999999999998</v>
      </c>
      <c r="F45" s="152" t="s">
        <v>52</v>
      </c>
      <c r="G45" s="152" t="s">
        <v>60</v>
      </c>
      <c r="H45" s="152"/>
    </row>
    <row r="46" spans="2:8" x14ac:dyDescent="0.3">
      <c r="C46" s="162"/>
      <c r="H46" s="152"/>
    </row>
    <row r="47" spans="2:8" x14ac:dyDescent="0.3">
      <c r="B47" s="140" t="s">
        <v>61</v>
      </c>
      <c r="C47" s="151">
        <v>0.42</v>
      </c>
      <c r="F47" s="152" t="s">
        <v>52</v>
      </c>
      <c r="G47" s="152" t="s">
        <v>62</v>
      </c>
      <c r="H47" s="152"/>
    </row>
    <row r="48" spans="2:8" x14ac:dyDescent="0.3">
      <c r="B48" s="140"/>
      <c r="C48" s="162"/>
      <c r="F48" s="152"/>
      <c r="G48" s="152"/>
      <c r="H48" s="152"/>
    </row>
    <row r="49" spans="2:8" x14ac:dyDescent="0.3">
      <c r="B49" s="140" t="s">
        <v>63</v>
      </c>
      <c r="C49" s="151">
        <v>0.57999999999999996</v>
      </c>
      <c r="F49" s="152" t="s">
        <v>52</v>
      </c>
      <c r="G49" s="152" t="s">
        <v>64</v>
      </c>
      <c r="H49" s="152"/>
    </row>
    <row r="50" spans="2:8" x14ac:dyDescent="0.3">
      <c r="B50" s="140"/>
      <c r="F50" s="152"/>
      <c r="G50" s="152"/>
      <c r="H50" s="152"/>
    </row>
    <row r="51" spans="2:8" x14ac:dyDescent="0.3">
      <c r="B51" s="156" t="s">
        <v>65</v>
      </c>
    </row>
    <row r="52" spans="2:8" ht="16.2" x14ac:dyDescent="0.45">
      <c r="B52" s="140" t="s">
        <v>66</v>
      </c>
      <c r="C52" s="151">
        <v>4.8000000000000001E-2</v>
      </c>
      <c r="D52" s="2"/>
      <c r="F52" s="152" t="s">
        <v>52</v>
      </c>
      <c r="G52" s="152" t="s">
        <v>67</v>
      </c>
      <c r="H52" s="164" t="s">
        <v>68</v>
      </c>
    </row>
    <row r="53" spans="2:8" x14ac:dyDescent="0.3">
      <c r="B53" s="2" t="s">
        <v>69</v>
      </c>
      <c r="C53" s="165">
        <v>45293</v>
      </c>
      <c r="F53" s="162"/>
    </row>
    <row r="54" spans="2:8" x14ac:dyDescent="0.3">
      <c r="B54" s="2"/>
      <c r="C54" s="166"/>
    </row>
    <row r="55" spans="2:8" x14ac:dyDescent="0.3">
      <c r="B55" s="156" t="s">
        <v>70</v>
      </c>
    </row>
    <row r="56" spans="2:8" ht="16.2" x14ac:dyDescent="0.45">
      <c r="B56" s="140" t="s">
        <v>66</v>
      </c>
      <c r="C56" s="151">
        <v>4.1700000000000001E-2</v>
      </c>
      <c r="D56" s="2"/>
      <c r="F56" s="152" t="s">
        <v>57</v>
      </c>
      <c r="G56" s="152" t="s">
        <v>67</v>
      </c>
      <c r="H56" s="164" t="s">
        <v>68</v>
      </c>
    </row>
    <row r="57" spans="2:8" x14ac:dyDescent="0.3">
      <c r="B57" s="2" t="s">
        <v>69</v>
      </c>
      <c r="C57" s="165">
        <v>45659</v>
      </c>
      <c r="H57" s="1" t="s">
        <v>71</v>
      </c>
    </row>
    <row r="58" spans="2:8" x14ac:dyDescent="0.3"/>
    <row r="59" spans="2:8" x14ac:dyDescent="0.3">
      <c r="B59" s="149" t="s">
        <v>72</v>
      </c>
      <c r="C59" s="150"/>
      <c r="D59" s="150"/>
      <c r="E59" s="150"/>
      <c r="F59" s="150"/>
      <c r="G59" s="150"/>
      <c r="H59" s="150"/>
    </row>
    <row r="60" spans="2:8" x14ac:dyDescent="0.3">
      <c r="C60" s="5"/>
      <c r="D60" s="5"/>
    </row>
    <row r="61" spans="2:8" x14ac:dyDescent="0.3">
      <c r="B61" s="127" t="s">
        <v>73</v>
      </c>
      <c r="C61" s="167">
        <v>12</v>
      </c>
    </row>
    <row r="62" spans="2:8" x14ac:dyDescent="0.3"/>
    <row r="63" spans="2:8" x14ac:dyDescent="0.3">
      <c r="B63" s="149" t="s">
        <v>74</v>
      </c>
      <c r="C63" s="150"/>
      <c r="D63" s="150"/>
      <c r="E63" s="150"/>
      <c r="F63" s="150"/>
      <c r="G63" s="150"/>
      <c r="H63" s="150"/>
    </row>
    <row r="64" spans="2:8" x14ac:dyDescent="0.3"/>
    <row r="65" spans="2:3" x14ac:dyDescent="0.3">
      <c r="B65" s="127" t="s">
        <v>75</v>
      </c>
      <c r="C65" s="168">
        <v>45901</v>
      </c>
    </row>
    <row r="66" spans="2:3" x14ac:dyDescent="0.3"/>
    <row r="67" spans="2:3" x14ac:dyDescent="0.3">
      <c r="B67" s="127" t="s">
        <v>76</v>
      </c>
      <c r="C67" s="168">
        <v>46265</v>
      </c>
    </row>
    <row r="68" spans="2:3" x14ac:dyDescent="0.3"/>
    <row r="69" spans="2:3" x14ac:dyDescent="0.3">
      <c r="B69" s="127" t="s">
        <v>77</v>
      </c>
      <c r="C69" s="167" t="s">
        <v>78</v>
      </c>
    </row>
    <row r="70" spans="2:3" x14ac:dyDescent="0.3"/>
    <row r="71" spans="2:3" x14ac:dyDescent="0.3">
      <c r="B71" s="127" t="s">
        <v>79</v>
      </c>
      <c r="C71" s="167" t="s">
        <v>80</v>
      </c>
    </row>
    <row r="72" spans="2:3" x14ac:dyDescent="0.3"/>
    <row r="73" spans="2:3" x14ac:dyDescent="0.3">
      <c r="B73" s="127" t="s">
        <v>81</v>
      </c>
      <c r="C73" s="169" t="s">
        <v>82</v>
      </c>
    </row>
    <row r="74" spans="2:3" x14ac:dyDescent="0.3"/>
    <row r="75" spans="2:3" x14ac:dyDescent="0.3">
      <c r="B75" s="127" t="s">
        <v>83</v>
      </c>
      <c r="C75" s="169" t="s">
        <v>84</v>
      </c>
    </row>
    <row r="76" spans="2:3" x14ac:dyDescent="0.3"/>
    <row r="77" spans="2:3" x14ac:dyDescent="0.3">
      <c r="B77" s="156" t="s">
        <v>85</v>
      </c>
    </row>
    <row r="78" spans="2:3" x14ac:dyDescent="0.3">
      <c r="B78" s="127" t="s">
        <v>19</v>
      </c>
    </row>
    <row r="79" spans="2:3" x14ac:dyDescent="0.3">
      <c r="B79" s="2" t="s">
        <v>86</v>
      </c>
      <c r="C79" s="170">
        <v>11284386.624000002</v>
      </c>
    </row>
    <row r="80" spans="2:3" x14ac:dyDescent="0.3">
      <c r="B80" s="2" t="s">
        <v>87</v>
      </c>
      <c r="C80" s="170">
        <v>15583200.576000001</v>
      </c>
    </row>
    <row r="81" spans="2:6" x14ac:dyDescent="0.3">
      <c r="B81" s="156"/>
    </row>
    <row r="82" spans="2:6" x14ac:dyDescent="0.3">
      <c r="B82" s="127" t="s">
        <v>88</v>
      </c>
    </row>
    <row r="83" spans="2:6" x14ac:dyDescent="0.3">
      <c r="B83" s="2" t="s">
        <v>86</v>
      </c>
      <c r="C83" s="170">
        <v>-5010782.6939584054</v>
      </c>
      <c r="F83" s="153" t="s">
        <v>89</v>
      </c>
    </row>
    <row r="84" spans="2:6" x14ac:dyDescent="0.3">
      <c r="B84" s="2" t="s">
        <v>87</v>
      </c>
      <c r="C84" s="170">
        <v>-6469047.4758607093</v>
      </c>
      <c r="F84" s="153" t="s">
        <v>90</v>
      </c>
    </row>
    <row r="85" spans="2:6" x14ac:dyDescent="0.3"/>
    <row r="86" spans="2:6" x14ac:dyDescent="0.3">
      <c r="B86" s="127" t="s">
        <v>91</v>
      </c>
    </row>
    <row r="87" spans="2:6" x14ac:dyDescent="0.3">
      <c r="B87" s="2" t="s">
        <v>86</v>
      </c>
      <c r="C87" s="170">
        <v>-178839.28086697735</v>
      </c>
      <c r="F87" s="153" t="s">
        <v>92</v>
      </c>
    </row>
    <row r="88" spans="2:6" x14ac:dyDescent="0.3">
      <c r="B88" s="2" t="s">
        <v>87</v>
      </c>
      <c r="C88" s="170">
        <v>-244158.41166231397</v>
      </c>
      <c r="F88" s="153" t="s">
        <v>93</v>
      </c>
    </row>
    <row r="89" spans="2:6" x14ac:dyDescent="0.3"/>
    <row r="90" spans="2:6" x14ac:dyDescent="0.3">
      <c r="B90" s="127" t="s">
        <v>94</v>
      </c>
    </row>
    <row r="91" spans="2:6" x14ac:dyDescent="0.3">
      <c r="B91" s="2" t="s">
        <v>86</v>
      </c>
      <c r="C91" s="243">
        <v>5353292.0201599989</v>
      </c>
      <c r="F91" s="153" t="s">
        <v>95</v>
      </c>
    </row>
    <row r="92" spans="2:6" x14ac:dyDescent="0.3">
      <c r="B92" s="2" t="s">
        <v>87</v>
      </c>
      <c r="C92" s="243">
        <v>5071007.2201599982</v>
      </c>
      <c r="F92" s="153" t="s">
        <v>95</v>
      </c>
    </row>
    <row r="93" spans="2:6" x14ac:dyDescent="0.3"/>
    <row r="94" spans="2:6" x14ac:dyDescent="0.3">
      <c r="B94" s="127" t="s">
        <v>96</v>
      </c>
    </row>
    <row r="95" spans="2:6" x14ac:dyDescent="0.3">
      <c r="B95" s="2" t="s">
        <v>86</v>
      </c>
      <c r="C95" s="171">
        <f>($C$83+$C$87)/$C$91</f>
        <v>-0.9694262811148262</v>
      </c>
      <c r="D95" s="1" t="s">
        <v>97</v>
      </c>
    </row>
    <row r="96" spans="2:6" x14ac:dyDescent="0.3">
      <c r="B96" s="2" t="s">
        <v>87</v>
      </c>
      <c r="C96" s="171">
        <f>($C$84+$C$88)/$C$92</f>
        <v>-1.3238407275056514</v>
      </c>
      <c r="D96" s="1" t="s">
        <v>97</v>
      </c>
    </row>
    <row r="97" spans="2:8" x14ac:dyDescent="0.3"/>
    <row r="98" spans="2:8" x14ac:dyDescent="0.3">
      <c r="B98" s="149" t="s">
        <v>98</v>
      </c>
      <c r="C98" s="150"/>
      <c r="D98" s="150"/>
      <c r="E98" s="150"/>
      <c r="F98" s="150"/>
      <c r="G98" s="150"/>
      <c r="H98" s="150"/>
    </row>
    <row r="99" spans="2:8" s="37" customFormat="1" x14ac:dyDescent="0.3">
      <c r="B99" s="172"/>
      <c r="C99" s="172"/>
      <c r="D99" s="172"/>
      <c r="E99" s="172"/>
      <c r="F99" s="172"/>
      <c r="G99" s="172"/>
      <c r="H99" s="172"/>
    </row>
    <row r="100" spans="2:8" x14ac:dyDescent="0.3">
      <c r="B100" s="157" t="s">
        <v>99</v>
      </c>
      <c r="C100" s="173">
        <v>0.25</v>
      </c>
      <c r="F100" s="242" t="s">
        <v>57</v>
      </c>
      <c r="G100" s="242" t="s">
        <v>100</v>
      </c>
    </row>
    <row r="101" spans="2:8" x14ac:dyDescent="0.3">
      <c r="B101" s="157" t="s">
        <v>101</v>
      </c>
      <c r="C101" s="173">
        <v>0.05</v>
      </c>
      <c r="F101" s="242" t="s">
        <v>102</v>
      </c>
      <c r="G101" s="242" t="s">
        <v>103</v>
      </c>
    </row>
    <row r="102" spans="2:8" x14ac:dyDescent="0.3">
      <c r="B102" s="157" t="s">
        <v>104</v>
      </c>
      <c r="C102" s="173">
        <v>0.25</v>
      </c>
      <c r="F102" s="242" t="s">
        <v>105</v>
      </c>
      <c r="G102" s="242" t="s">
        <v>106</v>
      </c>
    </row>
    <row r="103" spans="2:8" x14ac:dyDescent="0.3"/>
    <row r="104" spans="2:8" x14ac:dyDescent="0.3"/>
    <row r="105" spans="2:8" x14ac:dyDescent="0.3"/>
    <row r="106" spans="2:8" x14ac:dyDescent="0.3"/>
    <row r="107" spans="2:8" x14ac:dyDescent="0.3"/>
    <row r="108" spans="2:8" x14ac:dyDescent="0.3"/>
    <row r="109" spans="2:8" x14ac:dyDescent="0.3"/>
    <row r="110" spans="2:8" x14ac:dyDescent="0.3"/>
    <row r="111" spans="2:8" x14ac:dyDescent="0.3"/>
    <row r="112" spans="2:8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</sheetData>
  <hyperlinks>
    <hyperlink ref="H52" r:id="rId1" display="https://www.federalreserve.gov/releases/h15/" xr:uid="{00000000-0004-0000-0200-000000000000}"/>
    <hyperlink ref="H56" r:id="rId2" display="https://www.federalreserve.gov/releases/h15/" xr:uid="{7AD51F90-01FF-4DC8-BE14-85147F35CADC}"/>
  </hyperlinks>
  <pageMargins left="0.7" right="0.7" top="0.75" bottom="0.75" header="0.3" footer="0.3"/>
  <pageSetup scale="3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P36"/>
  <sheetViews>
    <sheetView topLeftCell="C12" zoomScaleNormal="100" workbookViewId="0">
      <selection activeCell="I19" sqref="I19"/>
    </sheetView>
  </sheetViews>
  <sheetFormatPr defaultColWidth="0" defaultRowHeight="14.4" zeroHeight="1" x14ac:dyDescent="0.3"/>
  <cols>
    <col min="1" max="2" width="9.21875" style="1" customWidth="1"/>
    <col min="3" max="3" width="1.5546875" style="2" customWidth="1"/>
    <col min="4" max="4" width="60.77734375" style="1" customWidth="1"/>
    <col min="5" max="5" width="18.77734375" style="1" customWidth="1"/>
    <col min="6" max="6" width="2.5546875" style="1" customWidth="1"/>
    <col min="7" max="7" width="18.77734375" style="1" customWidth="1"/>
    <col min="8" max="8" width="8.5546875" style="1" customWidth="1"/>
    <col min="9" max="9" width="2.5546875" style="1" customWidth="1"/>
    <col min="10" max="10" width="18.77734375" style="1" customWidth="1"/>
    <col min="11" max="11" width="7.77734375" style="1" customWidth="1"/>
    <col min="12" max="13" width="9.21875" style="1" customWidth="1"/>
    <col min="14" max="14" width="15.77734375" style="1" customWidth="1"/>
    <col min="15" max="16" width="9.21875" style="1" customWidth="1"/>
    <col min="17" max="16384" width="9.21875" style="1" hidden="1"/>
  </cols>
  <sheetData>
    <row r="1" spans="2:16" x14ac:dyDescent="0.3"/>
    <row r="2" spans="2:16" x14ac:dyDescent="0.3"/>
    <row r="3" spans="2:16" x14ac:dyDescent="0.3"/>
    <row r="4" spans="2:16" x14ac:dyDescent="0.3"/>
    <row r="5" spans="2:16" hidden="1" x14ac:dyDescent="0.3">
      <c r="B5" s="3" t="s">
        <v>31</v>
      </c>
      <c r="C5" s="4"/>
      <c r="D5" s="3"/>
      <c r="E5" s="3"/>
      <c r="F5" s="3"/>
      <c r="G5" s="3"/>
      <c r="H5" s="3"/>
      <c r="I5" s="3"/>
      <c r="J5" s="3"/>
      <c r="K5" s="3"/>
    </row>
    <row r="6" spans="2:16" x14ac:dyDescent="0.3">
      <c r="B6" s="393" t="s">
        <v>31</v>
      </c>
      <c r="C6" s="393"/>
      <c r="D6" s="393"/>
      <c r="E6" s="393"/>
      <c r="F6" s="393"/>
      <c r="G6" s="393"/>
      <c r="H6" s="393"/>
      <c r="I6" s="393"/>
      <c r="J6" s="393"/>
      <c r="K6" s="393"/>
    </row>
    <row r="7" spans="2:16" x14ac:dyDescent="0.3">
      <c r="B7" s="246" t="s">
        <v>317</v>
      </c>
      <c r="C7" s="246"/>
      <c r="D7" s="246"/>
      <c r="E7" s="246"/>
      <c r="F7" s="246"/>
      <c r="G7" s="246"/>
      <c r="H7" s="246"/>
      <c r="I7" s="246"/>
      <c r="J7" s="246"/>
      <c r="K7" s="246"/>
    </row>
    <row r="8" spans="2:16" x14ac:dyDescent="0.3">
      <c r="D8" s="5"/>
      <c r="F8" s="6"/>
      <c r="G8" s="6"/>
      <c r="H8" s="6"/>
      <c r="I8" s="6"/>
      <c r="J8" s="6"/>
      <c r="K8" s="6"/>
    </row>
    <row r="9" spans="2:16" ht="5.0999999999999996" customHeight="1" x14ac:dyDescent="0.3">
      <c r="B9" s="247"/>
      <c r="C9" s="248"/>
      <c r="D9" s="249"/>
      <c r="E9" s="249"/>
      <c r="F9" s="249"/>
      <c r="G9" s="250"/>
      <c r="H9" s="250"/>
      <c r="I9" s="251"/>
      <c r="J9" s="250"/>
      <c r="K9" s="252"/>
    </row>
    <row r="10" spans="2:16" ht="15.6" x14ac:dyDescent="0.3">
      <c r="B10" s="253"/>
      <c r="C10" s="254"/>
      <c r="D10" s="255"/>
      <c r="E10" s="256" t="s">
        <v>174</v>
      </c>
      <c r="F10" s="255"/>
      <c r="G10" s="389" t="s">
        <v>175</v>
      </c>
      <c r="H10" s="389"/>
      <c r="I10" s="257"/>
      <c r="J10" s="389" t="s">
        <v>176</v>
      </c>
      <c r="K10" s="391"/>
    </row>
    <row r="11" spans="2:16" ht="5.0999999999999996" customHeight="1" x14ac:dyDescent="0.3">
      <c r="B11" s="253"/>
      <c r="C11" s="254"/>
      <c r="D11" s="255"/>
      <c r="E11" s="255"/>
      <c r="F11" s="255"/>
      <c r="G11" s="256"/>
      <c r="H11" s="256"/>
      <c r="I11" s="257"/>
      <c r="J11" s="256"/>
      <c r="K11" s="258"/>
    </row>
    <row r="12" spans="2:16" x14ac:dyDescent="0.3">
      <c r="B12" s="253"/>
      <c r="C12" s="254"/>
      <c r="D12" s="255"/>
      <c r="E12" s="259" t="s">
        <v>177</v>
      </c>
      <c r="F12" s="255"/>
      <c r="G12" s="390" t="s">
        <v>177</v>
      </c>
      <c r="H12" s="390"/>
      <c r="I12" s="260"/>
      <c r="J12" s="390" t="s">
        <v>177</v>
      </c>
      <c r="K12" s="392"/>
    </row>
    <row r="13" spans="2:16" x14ac:dyDescent="0.3">
      <c r="B13" s="261" t="s">
        <v>178</v>
      </c>
      <c r="C13" s="262"/>
      <c r="D13" s="263" t="s">
        <v>318</v>
      </c>
      <c r="E13" s="264">
        <f>G13+J13</f>
        <v>32091091.747631781</v>
      </c>
      <c r="F13" s="263"/>
      <c r="G13" s="265">
        <f>'C-Factor LKM-2'!$G$10</f>
        <v>13478258.534005348</v>
      </c>
      <c r="H13" s="266"/>
      <c r="I13" s="266"/>
      <c r="J13" s="265">
        <f>'C-Factor LKM-2'!$H$10</f>
        <v>18612833.213626433</v>
      </c>
      <c r="K13" s="267"/>
      <c r="P13" s="7"/>
    </row>
    <row r="14" spans="2:16" x14ac:dyDescent="0.3">
      <c r="B14" s="268"/>
      <c r="C14" s="254"/>
      <c r="D14" s="255"/>
      <c r="E14" s="255"/>
      <c r="F14" s="255"/>
      <c r="G14" s="255"/>
      <c r="H14" s="266"/>
      <c r="I14" s="266"/>
      <c r="J14" s="255"/>
      <c r="K14" s="267"/>
    </row>
    <row r="15" spans="2:16" x14ac:dyDescent="0.3">
      <c r="B15" s="261" t="s">
        <v>179</v>
      </c>
      <c r="C15" s="262"/>
      <c r="D15" s="263" t="s">
        <v>319</v>
      </c>
      <c r="E15" s="264">
        <f>G15+J15</f>
        <v>-5705008.0166016314</v>
      </c>
      <c r="F15" s="264"/>
      <c r="G15" s="265">
        <f>'E-Factor LKM-3'!J28</f>
        <v>-2379997.8590787728</v>
      </c>
      <c r="H15" s="269"/>
      <c r="I15" s="269"/>
      <c r="J15" s="265">
        <f>'E-Factor LKM-3'!J66</f>
        <v>-3325010.1575228581</v>
      </c>
      <c r="K15" s="267"/>
      <c r="P15" s="7"/>
    </row>
    <row r="16" spans="2:16" x14ac:dyDescent="0.3">
      <c r="B16" s="261"/>
      <c r="C16" s="262"/>
      <c r="D16" s="255"/>
      <c r="E16" s="270"/>
      <c r="F16" s="270"/>
      <c r="G16" s="270"/>
      <c r="H16" s="269"/>
      <c r="I16" s="269"/>
      <c r="J16" s="270"/>
      <c r="K16" s="267"/>
    </row>
    <row r="17" spans="2:16" x14ac:dyDescent="0.3">
      <c r="B17" s="261" t="s">
        <v>180</v>
      </c>
      <c r="C17" s="262"/>
      <c r="D17" s="263" t="s">
        <v>320</v>
      </c>
      <c r="E17" s="264">
        <f>G17+J17</f>
        <v>-125257.42731306831</v>
      </c>
      <c r="F17" s="271"/>
      <c r="G17" s="265">
        <f>'I-FactorLKM-5'!$H$27</f>
        <v>-52560.959096087026</v>
      </c>
      <c r="H17" s="269"/>
      <c r="I17" s="269"/>
      <c r="J17" s="265">
        <f>'I-FactorLKM-5'!$H$61</f>
        <v>-72696.468216981288</v>
      </c>
      <c r="K17" s="267"/>
      <c r="P17" s="7"/>
    </row>
    <row r="18" spans="2:16" x14ac:dyDescent="0.3">
      <c r="B18" s="268"/>
      <c r="C18" s="254"/>
      <c r="D18" s="255"/>
      <c r="E18" s="270"/>
      <c r="F18" s="270"/>
      <c r="G18" s="270"/>
      <c r="H18" s="272"/>
      <c r="I18" s="272"/>
      <c r="J18" s="270"/>
      <c r="K18" s="273"/>
    </row>
    <row r="19" spans="2:16" x14ac:dyDescent="0.3">
      <c r="B19" s="261" t="s">
        <v>181</v>
      </c>
      <c r="C19" s="262"/>
      <c r="D19" s="274" t="s">
        <v>321</v>
      </c>
      <c r="E19" s="270">
        <f>G19+J19</f>
        <v>37921357.191546477</v>
      </c>
      <c r="F19" s="270"/>
      <c r="G19" s="270">
        <f>(G13)-(G15+G17)</f>
        <v>15910817.352180207</v>
      </c>
      <c r="H19" s="272"/>
      <c r="I19" s="272"/>
      <c r="J19" s="270">
        <f>(J13)-(J15+J17)</f>
        <v>22010539.839366272</v>
      </c>
      <c r="K19" s="273"/>
    </row>
    <row r="20" spans="2:16" x14ac:dyDescent="0.3">
      <c r="B20" s="268"/>
      <c r="C20" s="254"/>
      <c r="D20" s="255"/>
      <c r="E20" s="255"/>
      <c r="F20" s="255"/>
      <c r="G20" s="255"/>
      <c r="H20" s="275"/>
      <c r="I20" s="275"/>
      <c r="J20" s="255"/>
      <c r="K20" s="273"/>
    </row>
    <row r="21" spans="2:16" x14ac:dyDescent="0.3">
      <c r="B21" s="261" t="s">
        <v>182</v>
      </c>
      <c r="C21" s="262"/>
      <c r="D21" s="263" t="s">
        <v>322</v>
      </c>
      <c r="E21" s="263"/>
      <c r="F21" s="263"/>
      <c r="G21" s="276">
        <f>Customer!$CY$40/'Assumptions and Inputs'!$C$21</f>
        <v>5345617.0100000016</v>
      </c>
      <c r="H21" s="275"/>
      <c r="I21" s="275"/>
      <c r="J21" s="276">
        <f>Customer!$CY$65/'Assumptions and Inputs'!$C$21</f>
        <v>5040139.6599999992</v>
      </c>
      <c r="K21" s="273"/>
    </row>
    <row r="22" spans="2:16" x14ac:dyDescent="0.3">
      <c r="B22" s="268"/>
      <c r="C22" s="254"/>
      <c r="D22" s="255"/>
      <c r="E22" s="255"/>
      <c r="F22" s="255"/>
      <c r="G22" s="255"/>
      <c r="H22" s="255"/>
      <c r="I22" s="255"/>
      <c r="J22" s="255"/>
      <c r="K22" s="277"/>
    </row>
    <row r="23" spans="2:16" x14ac:dyDescent="0.3">
      <c r="B23" s="261" t="s">
        <v>183</v>
      </c>
      <c r="C23" s="278"/>
      <c r="D23" s="279" t="s">
        <v>323</v>
      </c>
      <c r="E23" s="279"/>
      <c r="F23" s="279"/>
      <c r="G23" s="280">
        <f>ROUND(G19/G21, 2)</f>
        <v>2.98</v>
      </c>
      <c r="H23" s="281" t="s">
        <v>184</v>
      </c>
      <c r="I23" s="282"/>
      <c r="J23" s="280">
        <f>ROUND(J19/J21, 2)</f>
        <v>4.37</v>
      </c>
      <c r="K23" s="283" t="s">
        <v>184</v>
      </c>
      <c r="M23" s="8"/>
      <c r="N23" s="8"/>
      <c r="P23" s="8"/>
    </row>
    <row r="24" spans="2:16" x14ac:dyDescent="0.3">
      <c r="B24" s="284"/>
      <c r="C24" s="285"/>
      <c r="D24" s="286"/>
      <c r="E24" s="286"/>
      <c r="F24" s="286"/>
      <c r="G24" s="287"/>
      <c r="H24" s="288"/>
      <c r="I24" s="288"/>
      <c r="J24" s="287"/>
      <c r="K24" s="289"/>
    </row>
    <row r="25" spans="2:16" x14ac:dyDescent="0.3"/>
    <row r="26" spans="2:16" hidden="1" x14ac:dyDescent="0.3">
      <c r="B26" s="9" t="s">
        <v>185</v>
      </c>
      <c r="C26" s="239" t="s">
        <v>186</v>
      </c>
      <c r="D26" s="240" t="s">
        <v>187</v>
      </c>
      <c r="G26" s="10"/>
      <c r="H26" s="11"/>
      <c r="J26" s="10"/>
    </row>
    <row r="27" spans="2:16" hidden="1" x14ac:dyDescent="0.3">
      <c r="B27" s="9"/>
      <c r="C27" s="239" t="s">
        <v>188</v>
      </c>
      <c r="D27" s="240" t="s">
        <v>189</v>
      </c>
      <c r="G27" s="12"/>
      <c r="J27" s="13"/>
    </row>
    <row r="28" spans="2:16" hidden="1" x14ac:dyDescent="0.3">
      <c r="B28" s="9"/>
      <c r="C28" s="239" t="s">
        <v>190</v>
      </c>
      <c r="D28" s="240" t="str">
        <f>"Simple Annual Interest on Net Over/Under Collection for the Most Recent Period.  Refer to Tables 4-W and 4-WW for further information.  Interest rate of "&amp;FIXED('Assumptions and Inputs'!C56*100,2,TRUE)&amp;"% as of "&amp;TEXT('Assumptions and Inputs'!$C$57,"MMMM DD, YYYY")&amp;"."</f>
        <v>Simple Annual Interest on Net Over/Under Collection for the Most Recent Period.  Refer to Tables 4-W and 4-WW for further information.  Interest rate of 4.17% as of January 02, 2025.</v>
      </c>
      <c r="G28" s="12"/>
      <c r="J28" s="12"/>
    </row>
    <row r="29" spans="2:16" hidden="1" x14ac:dyDescent="0.3">
      <c r="B29" s="9"/>
      <c r="C29" s="239" t="s">
        <v>191</v>
      </c>
      <c r="D29" s="240" t="s">
        <v>192</v>
      </c>
    </row>
    <row r="30" spans="2:16" hidden="1" x14ac:dyDescent="0.3">
      <c r="B30" s="9"/>
      <c r="C30" s="239" t="s">
        <v>193</v>
      </c>
      <c r="D30" s="240" t="str">
        <f>"Estimated water and sewer sales for Non-TAP Customers for the Next Rate Period based upon the average monthly Non-TAP sales volume for the 12 month period of December 2023 to"</f>
        <v>Estimated water and sewer sales for Non-TAP Customers for the Next Rate Period based upon the average monthly Non-TAP sales volume for the 12 month period of December 2023 to</v>
      </c>
    </row>
    <row r="31" spans="2:16" hidden="1" x14ac:dyDescent="0.3">
      <c r="B31" s="9"/>
      <c r="C31" s="239"/>
      <c r="D31" s="240" t="str">
        <f>"November 2024.  Next Rate Period is assumed to be "&amp;TEXT('Assumptions and Inputs'!C65,"MMMM DD, YYYY")&amp;" to "&amp;TEXT('Assumptions and Inputs'!C67,"MMMM DD, YYYY")&amp;"."</f>
        <v>November 2024.  Next Rate Period is assumed to be September 01, 2025 to August 31, 2026.</v>
      </c>
    </row>
    <row r="32" spans="2:16" hidden="1" x14ac:dyDescent="0.3">
      <c r="B32" s="9"/>
      <c r="C32" s="239" t="s">
        <v>194</v>
      </c>
      <c r="D32" s="240" t="s">
        <v>195</v>
      </c>
      <c r="G32" s="8"/>
      <c r="J32" s="8"/>
    </row>
    <row r="33" spans="2:11" x14ac:dyDescent="0.3">
      <c r="B33" s="9"/>
      <c r="C33" s="14"/>
      <c r="D33" s="9"/>
      <c r="G33" s="13"/>
      <c r="H33" s="8"/>
      <c r="I33" s="8"/>
      <c r="J33" s="13"/>
      <c r="K33" s="15"/>
    </row>
    <row r="34" spans="2:11" x14ac:dyDescent="0.3">
      <c r="D34" s="16"/>
      <c r="E34" s="17"/>
      <c r="G34" s="18"/>
      <c r="H34" s="7"/>
      <c r="I34" s="7"/>
      <c r="J34" s="18"/>
    </row>
    <row r="35" spans="2:11" x14ac:dyDescent="0.3">
      <c r="D35" s="19"/>
      <c r="E35" s="17"/>
      <c r="G35" s="18"/>
      <c r="H35" s="18"/>
      <c r="I35" s="18"/>
      <c r="J35" s="18"/>
    </row>
    <row r="36" spans="2:11" x14ac:dyDescent="0.3">
      <c r="D36" s="19"/>
      <c r="E36" s="17"/>
      <c r="G36" s="18"/>
      <c r="H36" s="7"/>
      <c r="I36" s="7"/>
      <c r="J36" s="18"/>
    </row>
  </sheetData>
  <mergeCells count="5">
    <mergeCell ref="G10:H10"/>
    <mergeCell ref="G12:H12"/>
    <mergeCell ref="J10:K10"/>
    <mergeCell ref="J12:K12"/>
    <mergeCell ref="B6:K6"/>
  </mergeCells>
  <printOptions horizontalCentered="1"/>
  <pageMargins left="0.7" right="0.7" top="0.75" bottom="0.75" header="0.3" footer="0.3"/>
  <pageSetup scale="81" orientation="landscape" r:id="rId1"/>
  <headerFooter>
    <oddHeader>&amp;R2025 TAP-R Rate Proceeding
 Schedule LKM-TAP-1
Revised 4/29/2025</oddHeader>
  </headerFooter>
  <ignoredErrors>
    <ignoredError sqref="B13 B15 B17 B19 B21 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  <pageSetUpPr fitToPage="1"/>
  </sheetPr>
  <dimension ref="A1:O35"/>
  <sheetViews>
    <sheetView showGridLines="0" zoomScaleNormal="100" workbookViewId="0">
      <selection activeCell="I19" sqref="I19"/>
    </sheetView>
  </sheetViews>
  <sheetFormatPr defaultColWidth="0" defaultRowHeight="14.4" zeroHeight="1" x14ac:dyDescent="0.3"/>
  <cols>
    <col min="1" max="2" width="9.21875" style="1" customWidth="1"/>
    <col min="3" max="3" width="36" style="1" customWidth="1"/>
    <col min="4" max="4" width="8.77734375" style="1" customWidth="1"/>
    <col min="5" max="5" width="18" style="1" customWidth="1"/>
    <col min="6" max="6" width="5.5546875" style="1" customWidth="1"/>
    <col min="7" max="8" width="18" style="1" customWidth="1"/>
    <col min="9" max="9" width="10.5546875" style="1" customWidth="1"/>
    <col min="10" max="10" width="10.5546875" style="1" hidden="1" customWidth="1"/>
    <col min="11" max="11" width="10.5546875" style="1" customWidth="1"/>
    <col min="12" max="15" width="9.21875" style="1" customWidth="1"/>
    <col min="16" max="16384" width="9.21875" style="1" hidden="1"/>
  </cols>
  <sheetData>
    <row r="1" spans="2:11" x14ac:dyDescent="0.3"/>
    <row r="2" spans="2:11" x14ac:dyDescent="0.3"/>
    <row r="3" spans="2:11" x14ac:dyDescent="0.3"/>
    <row r="4" spans="2:11" x14ac:dyDescent="0.3">
      <c r="B4" s="316" t="s">
        <v>31</v>
      </c>
      <c r="C4" s="316"/>
      <c r="D4" s="316"/>
      <c r="E4" s="316"/>
      <c r="F4" s="316"/>
      <c r="G4" s="316"/>
      <c r="H4" s="316"/>
      <c r="I4" s="317"/>
      <c r="J4" s="317"/>
      <c r="K4" s="317"/>
    </row>
    <row r="5" spans="2:11" x14ac:dyDescent="0.3">
      <c r="B5" s="316" t="s">
        <v>324</v>
      </c>
      <c r="C5" s="316"/>
      <c r="D5" s="316"/>
      <c r="E5" s="316"/>
      <c r="F5" s="316"/>
      <c r="G5" s="316"/>
      <c r="H5" s="316"/>
      <c r="I5" s="317"/>
      <c r="J5" s="317"/>
      <c r="K5" s="317"/>
    </row>
    <row r="6" spans="2:11" x14ac:dyDescent="0.3">
      <c r="C6" s="5"/>
      <c r="D6" s="5"/>
      <c r="E6" s="5"/>
      <c r="F6" s="5"/>
      <c r="G6" s="5"/>
      <c r="H6" s="5"/>
    </row>
    <row r="7" spans="2:11" ht="16.2" x14ac:dyDescent="0.45">
      <c r="B7" s="290" t="s">
        <v>196</v>
      </c>
      <c r="C7" s="291" t="str">
        <f>TEXT('Assumptions and Inputs'!C65,"MMMM DD, YYYY")&amp;" through "&amp;TEXT('Assumptions and Inputs'!C67,"MMMM DD, YYYY")</f>
        <v>September 01, 2025 through August 31, 2026</v>
      </c>
      <c r="D7" s="249"/>
      <c r="E7" s="292" t="s">
        <v>165</v>
      </c>
      <c r="F7" s="249"/>
      <c r="G7" s="292" t="s">
        <v>175</v>
      </c>
      <c r="H7" s="292" t="s">
        <v>176</v>
      </c>
      <c r="I7" s="249"/>
      <c r="J7" s="249"/>
      <c r="K7" s="293"/>
    </row>
    <row r="8" spans="2:11" x14ac:dyDescent="0.3">
      <c r="B8" s="253"/>
      <c r="C8" s="294"/>
      <c r="D8" s="255"/>
      <c r="E8" s="255"/>
      <c r="F8" s="255"/>
      <c r="G8" s="295">
        <f>'Assumptions and Inputs'!$C$40</f>
        <v>0.42</v>
      </c>
      <c r="H8" s="295">
        <f>'Assumptions and Inputs'!$C$42</f>
        <v>0.57999999999999996</v>
      </c>
      <c r="I8" s="255"/>
      <c r="J8" s="255"/>
      <c r="K8" s="296"/>
    </row>
    <row r="9" spans="2:11" ht="5.0999999999999996" customHeight="1" x14ac:dyDescent="0.3">
      <c r="B9" s="253"/>
      <c r="C9" s="294"/>
      <c r="D9" s="255"/>
      <c r="E9" s="255"/>
      <c r="F9" s="255"/>
      <c r="G9" s="297"/>
      <c r="H9" s="297"/>
      <c r="I9" s="255"/>
      <c r="J9" s="255"/>
      <c r="K9" s="296"/>
    </row>
    <row r="10" spans="2:11" x14ac:dyDescent="0.3">
      <c r="B10" s="261" t="s">
        <v>178</v>
      </c>
      <c r="C10" s="298" t="s">
        <v>325</v>
      </c>
      <c r="D10" s="255"/>
      <c r="E10" s="299">
        <f>'Assumptions and Inputs'!C15</f>
        <v>32091091.747631781</v>
      </c>
      <c r="F10" s="299"/>
      <c r="G10" s="299">
        <f>E10*$G$8</f>
        <v>13478258.534005348</v>
      </c>
      <c r="H10" s="299">
        <f>E10*$H$8</f>
        <v>18612833.213626433</v>
      </c>
      <c r="I10" s="300"/>
      <c r="J10" s="255"/>
      <c r="K10" s="277"/>
    </row>
    <row r="11" spans="2:11" x14ac:dyDescent="0.3">
      <c r="B11" s="301"/>
      <c r="C11" s="302"/>
      <c r="D11" s="286"/>
      <c r="E11" s="303"/>
      <c r="F11" s="286"/>
      <c r="G11" s="286"/>
      <c r="H11" s="286"/>
      <c r="I11" s="286"/>
      <c r="J11" s="286"/>
      <c r="K11" s="304"/>
    </row>
    <row r="12" spans="2:11" x14ac:dyDescent="0.3">
      <c r="B12" s="305"/>
      <c r="C12" s="298"/>
      <c r="D12" s="255"/>
      <c r="E12" s="270"/>
      <c r="F12" s="255"/>
      <c r="G12" s="255"/>
      <c r="H12" s="255"/>
      <c r="I12" s="255"/>
      <c r="J12" s="255"/>
      <c r="K12" s="255"/>
    </row>
    <row r="13" spans="2:11" x14ac:dyDescent="0.3">
      <c r="B13" s="305"/>
      <c r="C13" s="298"/>
      <c r="D13" s="255"/>
      <c r="E13" s="270"/>
      <c r="F13" s="255"/>
      <c r="G13" s="255"/>
      <c r="H13" s="255"/>
      <c r="I13" s="255"/>
      <c r="J13" s="255"/>
      <c r="K13" s="255"/>
    </row>
    <row r="14" spans="2:11" x14ac:dyDescent="0.3">
      <c r="B14" s="306"/>
      <c r="C14" s="307"/>
      <c r="D14" s="308"/>
      <c r="E14" s="309"/>
      <c r="F14" s="308"/>
      <c r="G14" s="308"/>
      <c r="H14" s="308"/>
      <c r="I14" s="308"/>
      <c r="J14" s="308"/>
      <c r="K14" s="308"/>
    </row>
    <row r="15" spans="2:11" x14ac:dyDescent="0.3">
      <c r="B15" s="310" t="s">
        <v>185</v>
      </c>
      <c r="C15" s="310"/>
      <c r="D15" s="311"/>
      <c r="E15" s="311"/>
      <c r="F15" s="311"/>
      <c r="G15" s="311"/>
      <c r="H15" s="311"/>
      <c r="I15" s="311"/>
      <c r="J15" s="311"/>
      <c r="K15" s="311"/>
    </row>
    <row r="16" spans="2:11" x14ac:dyDescent="0.3">
      <c r="B16" s="312" t="s">
        <v>186</v>
      </c>
      <c r="C16" s="313" t="str">
        <f>"Projected TAP Billing Loss based upon the Projected Average Monthly Number of TAP Participants of "&amp;FIXED('Assumptions and Inputs'!$C$13,0,FALSE)&amp;" and the Average TAP Discount per Participant of $"&amp;FIXED('Assumptions and Inputs'!$C$9,2,TRUE)&amp;". "</f>
        <v xml:space="preserve">Projected TAP Billing Loss based upon the Projected Average Monthly Number of TAP Participants of 56,041 and the Average TAP Discount per Participant of $47.72. </v>
      </c>
      <c r="D16" s="314"/>
      <c r="E16" s="314"/>
      <c r="F16" s="314"/>
      <c r="G16" s="314"/>
      <c r="H16" s="314"/>
      <c r="I16" s="314"/>
      <c r="J16" s="314"/>
      <c r="K16" s="314"/>
    </row>
    <row r="17" spans="2:11" x14ac:dyDescent="0.3">
      <c r="B17" s="312" t="s">
        <v>188</v>
      </c>
      <c r="C17" s="313" t="str">
        <f>"Allocation between Water and Wastewater per "&amp;TEXT('Assumptions and Inputs'!F38,)&amp;" Section 10.1(a)(i) and Section 10.1(a)(ii)."</f>
        <v>Allocation between Water and Wastewater per PWD Regulations - Rates and Charges Effective September 1, 2024 Section 10.1(a)(i) and Section 10.1(a)(ii).</v>
      </c>
      <c r="D17" s="314"/>
      <c r="E17" s="314"/>
      <c r="F17" s="314"/>
      <c r="G17" s="314"/>
      <c r="H17" s="314"/>
      <c r="I17" s="314"/>
      <c r="J17" s="314"/>
      <c r="K17" s="314"/>
    </row>
    <row r="18" spans="2:11" x14ac:dyDescent="0.3">
      <c r="B18" s="314"/>
      <c r="C18" s="315"/>
      <c r="D18" s="314"/>
      <c r="E18" s="314"/>
      <c r="F18" s="314"/>
      <c r="G18" s="314"/>
      <c r="H18" s="314"/>
      <c r="I18" s="314"/>
      <c r="J18" s="314"/>
      <c r="K18" s="314"/>
    </row>
    <row r="19" spans="2:11" x14ac:dyDescent="0.3"/>
    <row r="20" spans="2:11" x14ac:dyDescent="0.3">
      <c r="E20" s="22"/>
    </row>
    <row r="21" spans="2:11" x14ac:dyDescent="0.3"/>
    <row r="22" spans="2:11" x14ac:dyDescent="0.3"/>
    <row r="23" spans="2:11" x14ac:dyDescent="0.3"/>
    <row r="24" spans="2:11" x14ac:dyDescent="0.3">
      <c r="C24" s="23"/>
    </row>
    <row r="25" spans="2:11" x14ac:dyDescent="0.3">
      <c r="C25" s="23"/>
    </row>
    <row r="26" spans="2:11" x14ac:dyDescent="0.3"/>
    <row r="27" spans="2:11" x14ac:dyDescent="0.3"/>
    <row r="28" spans="2:11" x14ac:dyDescent="0.3"/>
    <row r="29" spans="2:11" x14ac:dyDescent="0.3"/>
    <row r="30" spans="2:11" x14ac:dyDescent="0.3"/>
    <row r="31" spans="2:11" x14ac:dyDescent="0.3"/>
    <row r="32" spans="2:11" x14ac:dyDescent="0.3"/>
    <row r="33" x14ac:dyDescent="0.3"/>
    <row r="34" x14ac:dyDescent="0.3"/>
    <row r="35" x14ac:dyDescent="0.3"/>
  </sheetData>
  <printOptions horizontalCentered="1"/>
  <pageMargins left="0.7" right="0.7" top="1.25" bottom="0.75" header="0.3" footer="0.3"/>
  <pageSetup scale="90" orientation="landscape" r:id="rId1"/>
  <headerFooter>
    <oddHeader>&amp;R2025 TAP-R Rate Proceeding
 Schedule LKM-TAP-2
Revised 4/29/2025</oddHeader>
  </headerFooter>
  <ignoredErrors>
    <ignoredError sqref="B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249977111117893"/>
    <pageSetUpPr fitToPage="1"/>
  </sheetPr>
  <dimension ref="A1:AC96"/>
  <sheetViews>
    <sheetView topLeftCell="F32" zoomScale="81" zoomScaleNormal="81" workbookViewId="0">
      <selection activeCell="I19" sqref="I19"/>
    </sheetView>
  </sheetViews>
  <sheetFormatPr defaultColWidth="9.21875" defaultRowHeight="14.4" zeroHeight="1" x14ac:dyDescent="0.3"/>
  <cols>
    <col min="1" max="1" width="5.5546875" style="1" customWidth="1"/>
    <col min="2" max="2" width="9.44140625" style="1" customWidth="1"/>
    <col min="3" max="4" width="15.5546875" style="1" customWidth="1"/>
    <col min="5" max="8" width="20.5546875" style="1" customWidth="1"/>
    <col min="9" max="9" width="25.5546875" style="1" customWidth="1"/>
    <col min="10" max="10" width="20.5546875" style="1" customWidth="1"/>
    <col min="11" max="11" width="9.21875" style="1" customWidth="1"/>
    <col min="12" max="12" width="13.77734375" style="1" bestFit="1" customWidth="1"/>
    <col min="13" max="13" width="15.44140625" style="1" customWidth="1"/>
    <col min="14" max="14" width="15.5546875" style="1" customWidth="1"/>
    <col min="15" max="15" width="17.5546875" style="1" customWidth="1"/>
    <col min="16" max="17" width="15.5546875" style="1" customWidth="1"/>
    <col min="18" max="18" width="15.44140625" style="1" bestFit="1" customWidth="1"/>
    <col min="19" max="19" width="14.77734375" style="1" customWidth="1"/>
    <col min="20" max="20" width="9.21875" style="1"/>
    <col min="21" max="21" width="15.5546875" style="1" customWidth="1"/>
    <col min="22" max="22" width="12.77734375" style="1" customWidth="1"/>
    <col min="23" max="23" width="9.21875" style="1"/>
    <col min="24" max="24" width="14.21875" style="1" customWidth="1"/>
    <col min="25" max="25" width="12.21875" style="1" customWidth="1"/>
    <col min="26" max="27" width="9.21875" style="1"/>
    <col min="28" max="28" width="15.21875" style="1" customWidth="1"/>
    <col min="29" max="29" width="12.77734375" style="1" customWidth="1"/>
    <col min="30" max="16384" width="9.21875" style="1"/>
  </cols>
  <sheetData>
    <row r="1" spans="1:29" x14ac:dyDescent="0.3"/>
    <row r="2" spans="1:29" x14ac:dyDescent="0.3">
      <c r="B2" s="316" t="s">
        <v>31</v>
      </c>
      <c r="C2" s="317"/>
      <c r="D2" s="317"/>
      <c r="E2" s="317"/>
      <c r="F2" s="317"/>
      <c r="G2" s="317"/>
      <c r="H2" s="317"/>
      <c r="I2" s="317"/>
      <c r="J2" s="317"/>
    </row>
    <row r="3" spans="1:29" x14ac:dyDescent="0.3">
      <c r="B3" s="316" t="s">
        <v>326</v>
      </c>
      <c r="C3" s="317"/>
      <c r="D3" s="317"/>
      <c r="E3" s="317"/>
      <c r="F3" s="317"/>
      <c r="G3" s="317"/>
      <c r="H3" s="317"/>
      <c r="I3" s="317"/>
      <c r="J3" s="317"/>
    </row>
    <row r="4" spans="1:29" ht="5.0999999999999996" customHeight="1" x14ac:dyDescent="0.3">
      <c r="B4" s="247"/>
      <c r="C4" s="323"/>
      <c r="D4" s="321"/>
      <c r="E4" s="319"/>
      <c r="F4" s="319"/>
      <c r="G4" s="319"/>
      <c r="H4" s="319"/>
      <c r="I4" s="319"/>
      <c r="J4" s="319"/>
    </row>
    <row r="5" spans="1:29" x14ac:dyDescent="0.3">
      <c r="B5" s="325" t="s">
        <v>197</v>
      </c>
      <c r="C5" s="322" t="s">
        <v>198</v>
      </c>
      <c r="D5" s="322" t="s">
        <v>199</v>
      </c>
      <c r="E5" s="322" t="s">
        <v>200</v>
      </c>
      <c r="F5" s="322" t="s">
        <v>201</v>
      </c>
      <c r="G5" s="322" t="s">
        <v>202</v>
      </c>
      <c r="H5" s="322" t="s">
        <v>203</v>
      </c>
      <c r="I5" s="322" t="s">
        <v>204</v>
      </c>
      <c r="J5" s="322" t="s">
        <v>205</v>
      </c>
    </row>
    <row r="6" spans="1:29" x14ac:dyDescent="0.3">
      <c r="B6" s="325" t="s">
        <v>196</v>
      </c>
      <c r="C6" s="322" t="s">
        <v>206</v>
      </c>
      <c r="D6" s="322" t="s">
        <v>207</v>
      </c>
      <c r="E6" s="322" t="s">
        <v>208</v>
      </c>
      <c r="F6" s="322" t="s">
        <v>206</v>
      </c>
      <c r="G6" s="322" t="s">
        <v>207</v>
      </c>
      <c r="H6" s="322" t="s">
        <v>209</v>
      </c>
      <c r="I6" s="322" t="s">
        <v>210</v>
      </c>
      <c r="J6" s="322" t="s">
        <v>211</v>
      </c>
    </row>
    <row r="7" spans="1:29" x14ac:dyDescent="0.3">
      <c r="B7" s="325"/>
      <c r="C7" s="322" t="s">
        <v>212</v>
      </c>
      <c r="D7" s="322" t="s">
        <v>213</v>
      </c>
      <c r="E7" s="322" t="s">
        <v>214</v>
      </c>
      <c r="F7" s="322" t="s">
        <v>212</v>
      </c>
      <c r="G7" s="322" t="s">
        <v>213</v>
      </c>
      <c r="H7" s="322"/>
      <c r="I7" s="322" t="s">
        <v>215</v>
      </c>
      <c r="J7" s="322"/>
    </row>
    <row r="8" spans="1:29" x14ac:dyDescent="0.3">
      <c r="B8" s="325"/>
      <c r="C8" s="322"/>
      <c r="D8" s="322"/>
      <c r="E8" s="322">
        <f>'Assumptions and Inputs'!$C$32</f>
        <v>3.08</v>
      </c>
      <c r="F8" s="322">
        <f>'Assumptions and Inputs'!$C$38</f>
        <v>0.96989999999999998</v>
      </c>
      <c r="G8" s="322"/>
      <c r="H8" s="322">
        <f>'Assumptions and Inputs'!$C$32</f>
        <v>3.08</v>
      </c>
      <c r="I8" s="322">
        <f>'Assumptions and Inputs'!$C$38</f>
        <v>0.96989999999999998</v>
      </c>
      <c r="J8" s="322"/>
      <c r="Q8" s="7"/>
      <c r="R8" s="7"/>
    </row>
    <row r="9" spans="1:29" x14ac:dyDescent="0.3">
      <c r="B9" s="325"/>
      <c r="C9" s="327" t="s">
        <v>178</v>
      </c>
      <c r="D9" s="327" t="s">
        <v>179</v>
      </c>
      <c r="E9" s="327" t="str">
        <f>"(3) = (2) * $ "&amp;FIXED(E8,3,)&amp;"/Mcf"</f>
        <v>(3) = (2) * $ 3.080/Mcf</v>
      </c>
      <c r="F9" s="327" t="str">
        <f>"(4) = [(1) - (3)]* "&amp;FIXED(F8,4,)&amp;""</f>
        <v>(4) = [(1) - (3)]* 0.9699</v>
      </c>
      <c r="G9" s="327" t="s">
        <v>182</v>
      </c>
      <c r="H9" s="327" t="str">
        <f>"(6) = (5) * $ "&amp;FIXED(H8,3,)&amp;"/Mcf"</f>
        <v>(6) = (5) * $ 3.080/Mcf</v>
      </c>
      <c r="I9" s="327" t="str">
        <f>"(7) = (6) * "&amp;FIXED(F8,4,)&amp;""</f>
        <v>(7) = (6) * 0.9699</v>
      </c>
      <c r="J9" s="327" t="s">
        <v>216</v>
      </c>
      <c r="R9" s="10"/>
    </row>
    <row r="10" spans="1:29" x14ac:dyDescent="0.3">
      <c r="A10" s="314"/>
      <c r="B10" s="326"/>
      <c r="C10" s="324"/>
      <c r="D10" s="324"/>
      <c r="E10" s="324"/>
      <c r="F10" s="324"/>
      <c r="G10" s="324"/>
      <c r="H10" s="324"/>
      <c r="I10" s="324" t="s">
        <v>217</v>
      </c>
      <c r="J10" s="324">
        <f>'Assumptions and Inputs'!$C$83+'Assumptions and Inputs'!$C$87</f>
        <v>-5189621.9748253832</v>
      </c>
      <c r="K10" s="37"/>
      <c r="Q10" s="8"/>
      <c r="R10" s="8"/>
      <c r="X10" s="8"/>
    </row>
    <row r="11" spans="1:29" x14ac:dyDescent="0.3">
      <c r="A11" s="341" t="s">
        <v>218</v>
      </c>
      <c r="B11" s="328">
        <v>45536</v>
      </c>
      <c r="C11" s="329">
        <f>Customer!BX$11*'Assumptions and Inputs'!$C$40</f>
        <v>1342862.6441999997</v>
      </c>
      <c r="D11" s="330">
        <f>Customer!BX$35/'Assumptions and Inputs'!$C$21</f>
        <v>42224.800000000003</v>
      </c>
      <c r="E11" s="329">
        <f>ROUND($E$8*D11, 0)</f>
        <v>130052</v>
      </c>
      <c r="F11" s="329">
        <f t="shared" ref="F11:F22" si="0">(C11-E11)*$F$8</f>
        <v>1176305.0438095797</v>
      </c>
      <c r="G11" s="330">
        <f>Customer!BX$40/'Assumptions and Inputs'!$C$21</f>
        <v>491266.72000000003</v>
      </c>
      <c r="H11" s="331">
        <f t="shared" ref="H11:H21" si="1">ROUND($H$8*G11, 0)</f>
        <v>1513101</v>
      </c>
      <c r="I11" s="331">
        <f>H11*$I$8</f>
        <v>1467556.6599000001</v>
      </c>
      <c r="J11" s="329">
        <f t="shared" ref="J11:J22" si="2">I11-F11</f>
        <v>291251.6160904204</v>
      </c>
      <c r="M11" s="7"/>
      <c r="N11" s="7"/>
      <c r="O11" s="7"/>
      <c r="Q11" s="7"/>
      <c r="R11" s="7"/>
      <c r="S11" s="8"/>
      <c r="T11" s="22"/>
      <c r="U11" s="8"/>
      <c r="V11" s="7"/>
      <c r="X11" s="8"/>
      <c r="Y11" s="7"/>
      <c r="AB11" s="8"/>
      <c r="AC11" s="7"/>
    </row>
    <row r="12" spans="1:29" x14ac:dyDescent="0.3">
      <c r="A12" s="341" t="s">
        <v>218</v>
      </c>
      <c r="B12" s="328">
        <v>45566</v>
      </c>
      <c r="C12" s="331">
        <f>Customer!BY$11*'Assumptions and Inputs'!$C$40</f>
        <v>1432399.0338000001</v>
      </c>
      <c r="D12" s="330">
        <f>Customer!BY$35/'Assumptions and Inputs'!$C$21</f>
        <v>41173.199999999997</v>
      </c>
      <c r="E12" s="331">
        <f t="shared" ref="E12:E20" si="3">ROUND($E$8*D12, 0)</f>
        <v>126813</v>
      </c>
      <c r="F12" s="331">
        <f t="shared" si="0"/>
        <v>1266287.8941826201</v>
      </c>
      <c r="G12" s="330">
        <f>Customer!BY$40/'Assumptions and Inputs'!$C$21</f>
        <v>461577.505</v>
      </c>
      <c r="H12" s="331">
        <f t="shared" si="1"/>
        <v>1421659</v>
      </c>
      <c r="I12" s="331">
        <f t="shared" ref="I12:I20" si="4">H12*$I$8</f>
        <v>1378867.0641000001</v>
      </c>
      <c r="J12" s="329">
        <f t="shared" si="2"/>
        <v>112579.16991737997</v>
      </c>
      <c r="M12" s="7"/>
      <c r="N12" s="7"/>
      <c r="O12" s="7"/>
      <c r="Q12" s="7"/>
      <c r="R12" s="7"/>
      <c r="S12" s="8"/>
      <c r="U12" s="8"/>
      <c r="V12" s="7"/>
      <c r="X12" s="8"/>
      <c r="Y12" s="7"/>
      <c r="AB12" s="8"/>
      <c r="AC12" s="7"/>
    </row>
    <row r="13" spans="1:29" x14ac:dyDescent="0.3">
      <c r="A13" s="341" t="s">
        <v>218</v>
      </c>
      <c r="B13" s="328">
        <v>45597</v>
      </c>
      <c r="C13" s="329">
        <f>Customer!BZ$11*'Assumptions and Inputs'!$C$40</f>
        <v>1261930.5257999999</v>
      </c>
      <c r="D13" s="330">
        <f>Customer!BZ$35/'Assumptions and Inputs'!$C$21</f>
        <v>36061.199999999997</v>
      </c>
      <c r="E13" s="329">
        <f t="shared" si="3"/>
        <v>111068</v>
      </c>
      <c r="F13" s="329">
        <f t="shared" si="0"/>
        <v>1116221.5637734199</v>
      </c>
      <c r="G13" s="330">
        <f>Customer!BZ$40/'Assumptions and Inputs'!$C$21</f>
        <v>437840.44000000006</v>
      </c>
      <c r="H13" s="331">
        <f t="shared" si="1"/>
        <v>1348549</v>
      </c>
      <c r="I13" s="331">
        <f t="shared" si="4"/>
        <v>1307957.6750999999</v>
      </c>
      <c r="J13" s="329">
        <f t="shared" si="2"/>
        <v>191736.11132657994</v>
      </c>
      <c r="M13" s="7"/>
      <c r="N13" s="7"/>
      <c r="O13" s="7"/>
      <c r="Q13" s="7"/>
      <c r="R13" s="7"/>
      <c r="S13" s="8"/>
      <c r="U13" s="8"/>
      <c r="V13" s="7"/>
      <c r="X13" s="8"/>
      <c r="Y13" s="7"/>
      <c r="AB13" s="8"/>
      <c r="AC13" s="7"/>
    </row>
    <row r="14" spans="1:29" x14ac:dyDescent="0.3">
      <c r="A14" s="341" t="s">
        <v>219</v>
      </c>
      <c r="B14" s="328">
        <v>45627</v>
      </c>
      <c r="C14" s="331">
        <f>Customer!CA$11*'Assumptions and Inputs'!$C$40</f>
        <v>1188253.6997583644</v>
      </c>
      <c r="D14" s="330">
        <f>Customer!CA$35/'Assumptions and Inputs'!$C$21</f>
        <v>38851.268715392216</v>
      </c>
      <c r="E14" s="331">
        <f t="shared" si="3"/>
        <v>119662</v>
      </c>
      <c r="F14" s="331">
        <f t="shared" si="0"/>
        <v>1036427.0895956375</v>
      </c>
      <c r="G14" s="330">
        <f>Customer!CA$40/'Assumptions and Inputs'!$C$21</f>
        <v>445468.08416666667</v>
      </c>
      <c r="H14" s="331">
        <f t="shared" si="1"/>
        <v>1372042</v>
      </c>
      <c r="I14" s="331">
        <f t="shared" si="4"/>
        <v>1330743.5358</v>
      </c>
      <c r="J14" s="329">
        <f t="shared" si="2"/>
        <v>294316.44620436244</v>
      </c>
      <c r="M14" s="7"/>
      <c r="N14" s="7"/>
      <c r="O14" s="7"/>
      <c r="Q14" s="7"/>
      <c r="R14" s="7"/>
      <c r="S14" s="8"/>
      <c r="U14" s="8"/>
      <c r="V14" s="7"/>
      <c r="X14" s="8"/>
      <c r="Y14" s="7"/>
      <c r="AB14" s="8"/>
      <c r="AC14" s="7"/>
    </row>
    <row r="15" spans="1:29" x14ac:dyDescent="0.3">
      <c r="A15" s="341" t="s">
        <v>219</v>
      </c>
      <c r="B15" s="328">
        <v>45658</v>
      </c>
      <c r="C15" s="329">
        <f>Customer!CB$11*'Assumptions and Inputs'!$C$40</f>
        <v>1200136.236755948</v>
      </c>
      <c r="D15" s="330">
        <f>Customer!CB$35/'Assumptions and Inputs'!$C$21</f>
        <v>39239.781402546141</v>
      </c>
      <c r="E15" s="329">
        <f t="shared" si="3"/>
        <v>120859</v>
      </c>
      <c r="F15" s="329">
        <f t="shared" si="0"/>
        <v>1046790.991929594</v>
      </c>
      <c r="G15" s="330">
        <f>Customer!CB$40/'Assumptions and Inputs'!$C$21</f>
        <v>445468.08416666667</v>
      </c>
      <c r="H15" s="331">
        <f t="shared" si="1"/>
        <v>1372042</v>
      </c>
      <c r="I15" s="331">
        <f t="shared" si="4"/>
        <v>1330743.5358</v>
      </c>
      <c r="J15" s="329">
        <f t="shared" si="2"/>
        <v>283952.54387040599</v>
      </c>
      <c r="M15" s="7"/>
      <c r="N15" s="7"/>
      <c r="O15" s="7"/>
      <c r="Q15" s="7"/>
      <c r="R15" s="7"/>
      <c r="S15" s="8"/>
      <c r="U15" s="8"/>
      <c r="V15" s="7"/>
      <c r="X15" s="8"/>
      <c r="Y15" s="7"/>
      <c r="AB15" s="8"/>
      <c r="AC15" s="7"/>
    </row>
    <row r="16" spans="1:29" x14ac:dyDescent="0.3">
      <c r="A16" s="341" t="s">
        <v>219</v>
      </c>
      <c r="B16" s="328">
        <v>45689</v>
      </c>
      <c r="C16" s="331">
        <f>Customer!CC$11*'Assumptions and Inputs'!$C$40</f>
        <v>1140129.4249181508</v>
      </c>
      <c r="D16" s="330">
        <f>Customer!CC$35/'Assumptions and Inputs'!$C$21</f>
        <v>37277.792332418838</v>
      </c>
      <c r="E16" s="331">
        <f t="shared" si="3"/>
        <v>114816</v>
      </c>
      <c r="F16" s="331">
        <f t="shared" si="0"/>
        <v>994451.49082811445</v>
      </c>
      <c r="G16" s="330">
        <f>Customer!CC$40/'Assumptions and Inputs'!$C$21</f>
        <v>445468.08416666667</v>
      </c>
      <c r="H16" s="331">
        <f t="shared" si="1"/>
        <v>1372042</v>
      </c>
      <c r="I16" s="331">
        <f t="shared" si="4"/>
        <v>1330743.5358</v>
      </c>
      <c r="J16" s="329">
        <f t="shared" si="2"/>
        <v>336292.04497188551</v>
      </c>
      <c r="M16" s="7"/>
      <c r="N16" s="7"/>
      <c r="O16" s="7"/>
      <c r="Q16" s="7"/>
      <c r="R16" s="7"/>
      <c r="S16" s="8"/>
      <c r="U16" s="8"/>
      <c r="V16" s="7"/>
      <c r="X16" s="8"/>
      <c r="Y16" s="7"/>
      <c r="AB16" s="8"/>
      <c r="AC16" s="7"/>
    </row>
    <row r="17" spans="1:29" x14ac:dyDescent="0.3">
      <c r="A17" s="341" t="s">
        <v>219</v>
      </c>
      <c r="B17" s="328">
        <v>45717</v>
      </c>
      <c r="C17" s="329">
        <f>Customer!CD$11*'Assumptions and Inputs'!$C$40</f>
        <v>1197135.8961640585</v>
      </c>
      <c r="D17" s="330">
        <f>Customer!CD$35/'Assumptions and Inputs'!$C$21</f>
        <v>39141.681949039783</v>
      </c>
      <c r="E17" s="329">
        <f t="shared" si="3"/>
        <v>120556</v>
      </c>
      <c r="F17" s="329">
        <f t="shared" si="0"/>
        <v>1044174.8412895203</v>
      </c>
      <c r="G17" s="330">
        <f>Customer!CD$40/'Assumptions and Inputs'!$C$21</f>
        <v>445468.08416666667</v>
      </c>
      <c r="H17" s="331">
        <f t="shared" si="1"/>
        <v>1372042</v>
      </c>
      <c r="I17" s="331">
        <f t="shared" si="4"/>
        <v>1330743.5358</v>
      </c>
      <c r="J17" s="329">
        <f t="shared" si="2"/>
        <v>286568.69451047969</v>
      </c>
      <c r="M17" s="7"/>
      <c r="N17" s="7"/>
      <c r="O17" s="7"/>
      <c r="Q17" s="7"/>
      <c r="R17" s="7"/>
      <c r="S17" s="8"/>
      <c r="U17" s="8"/>
      <c r="V17" s="7"/>
      <c r="X17" s="8"/>
      <c r="Y17" s="7"/>
      <c r="AB17" s="8"/>
      <c r="AC17" s="7"/>
    </row>
    <row r="18" spans="1:29" x14ac:dyDescent="0.3">
      <c r="A18" s="341" t="s">
        <v>219</v>
      </c>
      <c r="B18" s="328">
        <v>45748</v>
      </c>
      <c r="C18" s="331">
        <f>Customer!CE$11*'Assumptions and Inputs'!$C$40</f>
        <v>1209107.2551256989</v>
      </c>
      <c r="D18" s="330">
        <f>Customer!CE$35/'Assumptions and Inputs'!$C$21</f>
        <v>39533.098768530173</v>
      </c>
      <c r="E18" s="331">
        <f t="shared" si="3"/>
        <v>121762</v>
      </c>
      <c r="F18" s="331">
        <f t="shared" si="0"/>
        <v>1054616.1629464154</v>
      </c>
      <c r="G18" s="330">
        <f>Customer!CE$40/'Assumptions and Inputs'!$C$21</f>
        <v>445468.08416666667</v>
      </c>
      <c r="H18" s="331">
        <f t="shared" si="1"/>
        <v>1372042</v>
      </c>
      <c r="I18" s="331">
        <f t="shared" si="4"/>
        <v>1330743.5358</v>
      </c>
      <c r="J18" s="329">
        <f t="shared" si="2"/>
        <v>276127.37285358459</v>
      </c>
      <c r="M18" s="7"/>
      <c r="N18" s="7"/>
      <c r="O18" s="7"/>
      <c r="Q18" s="7"/>
      <c r="R18" s="7"/>
      <c r="S18" s="8"/>
      <c r="U18" s="8"/>
      <c r="V18" s="7"/>
      <c r="X18" s="8"/>
      <c r="Y18" s="7"/>
      <c r="AB18" s="8"/>
      <c r="AC18" s="7"/>
    </row>
    <row r="19" spans="1:29" x14ac:dyDescent="0.3">
      <c r="A19" s="341" t="s">
        <v>219</v>
      </c>
      <c r="B19" s="328">
        <v>45778</v>
      </c>
      <c r="C19" s="329">
        <f>Customer!CF$11*'Assumptions and Inputs'!$C$40</f>
        <v>1221198.3276769558</v>
      </c>
      <c r="D19" s="330">
        <f>Customer!CF$35/'Assumptions and Inputs'!$C$21</f>
        <v>39928.429756215475</v>
      </c>
      <c r="E19" s="329">
        <f t="shared" si="3"/>
        <v>122980</v>
      </c>
      <c r="F19" s="329">
        <f t="shared" si="0"/>
        <v>1065161.9560138795</v>
      </c>
      <c r="G19" s="330">
        <f>Customer!CF$40/'Assumptions and Inputs'!$C$21</f>
        <v>445468.08416666667</v>
      </c>
      <c r="H19" s="331">
        <f t="shared" si="1"/>
        <v>1372042</v>
      </c>
      <c r="I19" s="331">
        <f t="shared" si="4"/>
        <v>1330743.5358</v>
      </c>
      <c r="J19" s="329">
        <f t="shared" si="2"/>
        <v>265581.57978612045</v>
      </c>
      <c r="M19" s="7"/>
      <c r="N19" s="7"/>
      <c r="O19" s="7"/>
      <c r="Q19" s="7"/>
      <c r="R19" s="7"/>
      <c r="S19" s="8"/>
      <c r="U19" s="8"/>
      <c r="V19" s="7"/>
      <c r="X19" s="8"/>
      <c r="Y19" s="7"/>
      <c r="AB19" s="8"/>
      <c r="AC19" s="7"/>
    </row>
    <row r="20" spans="1:29" x14ac:dyDescent="0.3">
      <c r="A20" s="341" t="s">
        <v>219</v>
      </c>
      <c r="B20" s="328">
        <v>45809</v>
      </c>
      <c r="C20" s="331">
        <f>Customer!CG$11*'Assumptions and Inputs'!$C$40</f>
        <v>1172350.3945698778</v>
      </c>
      <c r="D20" s="330">
        <f>Customer!CG$35/'Assumptions and Inputs'!$C$21</f>
        <v>38331.292565966854</v>
      </c>
      <c r="E20" s="331">
        <f t="shared" si="3"/>
        <v>118060</v>
      </c>
      <c r="F20" s="331">
        <f t="shared" si="0"/>
        <v>1022556.2536933244</v>
      </c>
      <c r="G20" s="330">
        <f>Customer!CG$40/'Assumptions and Inputs'!$C$21</f>
        <v>445468.08416666667</v>
      </c>
      <c r="H20" s="331">
        <f t="shared" si="1"/>
        <v>1372042</v>
      </c>
      <c r="I20" s="331">
        <f t="shared" si="4"/>
        <v>1330743.5358</v>
      </c>
      <c r="J20" s="329">
        <f t="shared" si="2"/>
        <v>308187.28210667556</v>
      </c>
      <c r="M20" s="7"/>
      <c r="N20" s="7"/>
      <c r="O20" s="7"/>
      <c r="Q20" s="7"/>
      <c r="R20" s="7"/>
      <c r="S20" s="8"/>
      <c r="U20" s="8"/>
      <c r="V20" s="7"/>
      <c r="X20" s="8"/>
      <c r="Y20" s="7"/>
      <c r="AB20" s="8"/>
      <c r="AC20" s="7"/>
    </row>
    <row r="21" spans="1:29" x14ac:dyDescent="0.3">
      <c r="A21" s="341" t="s">
        <v>219</v>
      </c>
      <c r="B21" s="328">
        <v>45839</v>
      </c>
      <c r="C21" s="329">
        <f>Customer!CH$11*'Assumptions and Inputs'!$C$40</f>
        <v>1219244.4103526729</v>
      </c>
      <c r="D21" s="330">
        <f>Customer!CH$35/'Assumptions and Inputs'!$C$21</f>
        <v>39864.544268605532</v>
      </c>
      <c r="E21" s="329">
        <f t="shared" ref="E21" si="5">ROUND($E$8*D21, 0)</f>
        <v>122783</v>
      </c>
      <c r="F21" s="329">
        <f t="shared" si="0"/>
        <v>1063457.9219010575</v>
      </c>
      <c r="G21" s="330">
        <f>Customer!CH$40/'Assumptions and Inputs'!$C$21</f>
        <v>445468.08416666667</v>
      </c>
      <c r="H21" s="331">
        <f t="shared" si="1"/>
        <v>1372042</v>
      </c>
      <c r="I21" s="331">
        <f t="shared" ref="I21" si="6">H21*$I$8</f>
        <v>1330743.5358</v>
      </c>
      <c r="J21" s="329">
        <f t="shared" si="2"/>
        <v>267285.61389894248</v>
      </c>
      <c r="M21" s="7"/>
      <c r="N21" s="7"/>
      <c r="O21" s="7"/>
      <c r="Q21" s="7"/>
      <c r="R21" s="7"/>
      <c r="S21" s="8"/>
      <c r="U21" s="8"/>
      <c r="V21" s="7"/>
      <c r="X21" s="8"/>
      <c r="Y21" s="7"/>
      <c r="AB21" s="8"/>
      <c r="AC21" s="7"/>
    </row>
    <row r="22" spans="1:29" x14ac:dyDescent="0.3">
      <c r="A22" s="341" t="s">
        <v>219</v>
      </c>
      <c r="B22" s="328">
        <v>45870</v>
      </c>
      <c r="C22" s="331">
        <f>Customer!CI$11*'Assumptions and Inputs'!$C$40</f>
        <v>1231436.8544561996</v>
      </c>
      <c r="D22" s="330">
        <f>Customer!CI$35/'Assumptions and Inputs'!$C$21</f>
        <v>40263.189711291583</v>
      </c>
      <c r="E22" s="331">
        <f>ROUND($E$8*D22, 0)</f>
        <v>124011</v>
      </c>
      <c r="F22" s="331">
        <f t="shared" si="0"/>
        <v>1074092.3362370681</v>
      </c>
      <c r="G22" s="330">
        <f>Customer!CI$40/'Assumptions and Inputs'!$C$21</f>
        <v>445468.08416666667</v>
      </c>
      <c r="H22" s="331">
        <f>ROUND($H$8*G22, 0)</f>
        <v>1372042</v>
      </c>
      <c r="I22" s="331">
        <f>H22*$I$8</f>
        <v>1330743.5358</v>
      </c>
      <c r="J22" s="329">
        <f t="shared" si="2"/>
        <v>256651.1995629319</v>
      </c>
      <c r="M22" s="7"/>
      <c r="N22" s="7"/>
      <c r="O22" s="7"/>
      <c r="Q22" s="7"/>
      <c r="R22" s="7"/>
      <c r="S22" s="8"/>
      <c r="U22" s="8"/>
      <c r="V22" s="7"/>
      <c r="X22" s="8"/>
      <c r="Y22" s="7"/>
      <c r="AB22" s="8"/>
      <c r="AC22" s="7"/>
    </row>
    <row r="23" spans="1:29" ht="5.0999999999999996" customHeight="1" x14ac:dyDescent="0.3">
      <c r="A23" s="314"/>
      <c r="B23" s="318"/>
      <c r="C23" s="318"/>
      <c r="D23" s="318"/>
      <c r="E23" s="318"/>
      <c r="F23" s="318"/>
      <c r="G23" s="318"/>
      <c r="H23" s="318"/>
      <c r="I23" s="318"/>
      <c r="J23" s="318"/>
      <c r="M23" s="7"/>
      <c r="N23" s="7"/>
      <c r="O23" s="7"/>
    </row>
    <row r="24" spans="1:29" x14ac:dyDescent="0.3">
      <c r="A24" s="314"/>
      <c r="B24" s="332" t="s">
        <v>165</v>
      </c>
      <c r="C24" s="331">
        <f>SUM(C11:C22)</f>
        <v>14816184.703577926</v>
      </c>
      <c r="D24" s="330">
        <f t="shared" ref="D24:H24" si="7">SUM(D11:D22)</f>
        <v>471890.27947000664</v>
      </c>
      <c r="E24" s="331">
        <f t="shared" si="7"/>
        <v>1453422</v>
      </c>
      <c r="F24" s="331">
        <f t="shared" si="7"/>
        <v>12960543.546200229</v>
      </c>
      <c r="G24" s="330">
        <f t="shared" si="7"/>
        <v>5399897.4224999994</v>
      </c>
      <c r="H24" s="331">
        <f t="shared" si="7"/>
        <v>16631687</v>
      </c>
      <c r="I24" s="331">
        <f>SUM(I11:I22)</f>
        <v>16131073.221300002</v>
      </c>
      <c r="J24" s="329">
        <f>SUM(J10:J22)</f>
        <v>-2019092.299725614</v>
      </c>
      <c r="M24" s="7"/>
      <c r="N24" s="7"/>
      <c r="O24" s="7"/>
    </row>
    <row r="25" spans="1:29" ht="5.0999999999999996" customHeight="1" x14ac:dyDescent="0.3">
      <c r="B25" s="37"/>
      <c r="C25" s="47"/>
      <c r="D25" s="48"/>
      <c r="E25" s="47"/>
      <c r="F25" s="47"/>
      <c r="G25" s="48"/>
      <c r="H25" s="47"/>
      <c r="I25" s="47"/>
      <c r="J25" s="22"/>
      <c r="M25" s="7"/>
      <c r="N25" s="7"/>
      <c r="O25" s="7"/>
    </row>
    <row r="26" spans="1:29" x14ac:dyDescent="0.3">
      <c r="B26" s="279"/>
      <c r="C26" s="339"/>
      <c r="D26" s="339"/>
      <c r="E26" s="339"/>
      <c r="F26" s="339"/>
      <c r="G26" s="339"/>
      <c r="H26" s="339"/>
      <c r="I26" s="335" t="s">
        <v>220</v>
      </c>
      <c r="J26" s="270">
        <f>'E-Factor PRIOR LKM-4'!U98</f>
        <v>-360905.55935315881</v>
      </c>
      <c r="K26" s="336" t="s">
        <v>221</v>
      </c>
      <c r="L26" s="314"/>
      <c r="M26" s="7"/>
      <c r="N26" s="7"/>
      <c r="O26" s="7"/>
      <c r="V26" s="8"/>
      <c r="Y26" s="8"/>
      <c r="AC26" s="8"/>
    </row>
    <row r="27" spans="1:29" x14ac:dyDescent="0.3">
      <c r="F27" s="47"/>
      <c r="G27" s="13"/>
      <c r="I27" s="22"/>
      <c r="K27" s="314"/>
      <c r="L27" s="314"/>
      <c r="V27" s="8"/>
      <c r="AC27" s="8"/>
    </row>
    <row r="28" spans="1:29" x14ac:dyDescent="0.3">
      <c r="B28" s="314" t="s">
        <v>222</v>
      </c>
      <c r="C28" s="314"/>
      <c r="D28" s="314"/>
      <c r="E28" s="314"/>
      <c r="F28" s="314"/>
      <c r="G28" s="337"/>
      <c r="H28" s="314"/>
      <c r="I28" s="333" t="s">
        <v>223</v>
      </c>
      <c r="J28" s="334">
        <f>J24+J26</f>
        <v>-2379997.8590787728</v>
      </c>
      <c r="K28" s="336" t="s">
        <v>224</v>
      </c>
      <c r="L28" s="314"/>
    </row>
    <row r="29" spans="1:29" x14ac:dyDescent="0.3">
      <c r="B29" s="338" t="s">
        <v>225</v>
      </c>
      <c r="C29" s="314"/>
      <c r="D29" s="314"/>
      <c r="E29" s="314"/>
      <c r="F29" s="314"/>
      <c r="G29" s="314"/>
      <c r="H29" s="314"/>
    </row>
    <row r="30" spans="1:29" hidden="1" x14ac:dyDescent="0.3">
      <c r="B30" s="338"/>
      <c r="C30" s="314"/>
      <c r="D30" s="314"/>
      <c r="E30" s="314"/>
      <c r="F30" s="314"/>
      <c r="G30" s="314"/>
      <c r="H30" s="314"/>
    </row>
    <row r="31" spans="1:29" x14ac:dyDescent="0.3">
      <c r="B31" s="338" t="s">
        <v>226</v>
      </c>
      <c r="C31" s="314"/>
      <c r="D31" s="314"/>
      <c r="E31" s="314"/>
      <c r="F31" s="314"/>
      <c r="G31" s="314"/>
      <c r="H31" s="314"/>
      <c r="J31" s="22"/>
    </row>
    <row r="32" spans="1:29" x14ac:dyDescent="0.3">
      <c r="B32" s="338" t="str">
        <f>"(1) - TAP Actual Discounts reflect water's "&amp;FIXED('Assumptions and Inputs'!$C$40*100, 1, 0)&amp;"% allocated portion of the Total TAP Discount."</f>
        <v>(1) - TAP Actual Discounts reflect water's 42.0% allocated portion of the Total TAP Discount.</v>
      </c>
      <c r="C32" s="314"/>
      <c r="D32" s="314"/>
      <c r="E32" s="314"/>
      <c r="F32" s="314"/>
      <c r="G32" s="314"/>
      <c r="H32" s="314"/>
    </row>
    <row r="33" spans="2:24" x14ac:dyDescent="0.3">
      <c r="B33" s="338" t="s">
        <v>227</v>
      </c>
      <c r="C33" s="314"/>
      <c r="D33" s="314"/>
      <c r="E33" s="314"/>
      <c r="F33" s="314"/>
      <c r="G33" s="314"/>
      <c r="H33" s="314"/>
    </row>
    <row r="34" spans="2:24" x14ac:dyDescent="0.3">
      <c r="B34" s="338" t="str">
        <f>"(3) &amp; (6) - Water TAP-R Rates per "&amp;TEXT('Assumptions and Inputs'!F32,)&amp;" "&amp;TEXT('Assumptions and Inputs'!G32,)&amp;"."</f>
        <v>(3) &amp; (6) - Water TAP-R Rates per PWD Regulations - Rates and Charges Effective September 1, 2024 Section 10.3(a)(1).</v>
      </c>
      <c r="C34" s="314"/>
      <c r="D34" s="314"/>
      <c r="E34" s="314"/>
      <c r="F34" s="314"/>
      <c r="G34" s="314"/>
      <c r="H34" s="314"/>
    </row>
    <row r="35" spans="2:24" x14ac:dyDescent="0.3">
      <c r="B35" s="338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2024 Section 10.1(b)(3).</v>
      </c>
      <c r="C35" s="314"/>
      <c r="D35" s="314"/>
      <c r="E35" s="314"/>
      <c r="F35" s="314"/>
      <c r="G35" s="314"/>
      <c r="H35" s="314"/>
    </row>
    <row r="36" spans="2:24" x14ac:dyDescent="0.3">
      <c r="B36" s="338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2024 through August 2025 are based upon average sales for prior 12 month period.</v>
      </c>
      <c r="C36" s="314"/>
      <c r="D36" s="314"/>
      <c r="E36" s="314"/>
      <c r="F36" s="314"/>
      <c r="G36" s="314"/>
      <c r="H36" s="314"/>
    </row>
    <row r="37" spans="2:24" x14ac:dyDescent="0.3">
      <c r="B37" s="338" t="s">
        <v>228</v>
      </c>
      <c r="C37" s="314"/>
      <c r="D37" s="314"/>
      <c r="E37" s="314"/>
      <c r="F37" s="314"/>
      <c r="G37" s="314"/>
      <c r="H37" s="314"/>
    </row>
    <row r="38" spans="2:24" x14ac:dyDescent="0.3">
      <c r="B38" s="53"/>
    </row>
    <row r="39" spans="2:24" x14ac:dyDescent="0.3">
      <c r="B39" s="53"/>
    </row>
    <row r="40" spans="2:24" x14ac:dyDescent="0.3">
      <c r="B40" s="20" t="s">
        <v>31</v>
      </c>
      <c r="C40" s="21"/>
      <c r="D40" s="21"/>
      <c r="E40" s="21"/>
      <c r="F40" s="21"/>
      <c r="G40" s="21"/>
      <c r="H40" s="21"/>
      <c r="I40" s="21"/>
      <c r="J40" s="21"/>
    </row>
    <row r="41" spans="2:24" x14ac:dyDescent="0.3">
      <c r="B41" s="20" t="s">
        <v>229</v>
      </c>
      <c r="C41" s="21"/>
      <c r="D41" s="21"/>
      <c r="E41" s="21"/>
      <c r="F41" s="21"/>
      <c r="G41" s="21"/>
      <c r="H41" s="21"/>
      <c r="I41" s="21"/>
      <c r="J41" s="21"/>
    </row>
    <row r="42" spans="2:24" ht="5.0999999999999996" customHeight="1" x14ac:dyDescent="0.3"/>
    <row r="43" spans="2:24" x14ac:dyDescent="0.3">
      <c r="B43" s="325" t="s">
        <v>197</v>
      </c>
      <c r="C43" s="322" t="s">
        <v>198</v>
      </c>
      <c r="D43" s="322" t="s">
        <v>230</v>
      </c>
      <c r="E43" s="322" t="s">
        <v>200</v>
      </c>
      <c r="F43" s="322" t="s">
        <v>201</v>
      </c>
      <c r="G43" s="322" t="s">
        <v>202</v>
      </c>
      <c r="H43" s="322" t="s">
        <v>203</v>
      </c>
      <c r="I43" s="322" t="s">
        <v>204</v>
      </c>
      <c r="J43" s="322" t="s">
        <v>205</v>
      </c>
    </row>
    <row r="44" spans="2:24" x14ac:dyDescent="0.3">
      <c r="B44" s="325" t="s">
        <v>196</v>
      </c>
      <c r="C44" s="322" t="s">
        <v>206</v>
      </c>
      <c r="D44" s="322" t="s">
        <v>231</v>
      </c>
      <c r="E44" s="322" t="s">
        <v>208</v>
      </c>
      <c r="F44" s="322" t="s">
        <v>206</v>
      </c>
      <c r="G44" s="322" t="s">
        <v>231</v>
      </c>
      <c r="H44" s="322" t="s">
        <v>209</v>
      </c>
      <c r="I44" s="322" t="s">
        <v>210</v>
      </c>
      <c r="J44" s="322" t="s">
        <v>211</v>
      </c>
    </row>
    <row r="45" spans="2:24" x14ac:dyDescent="0.3">
      <c r="B45" s="325"/>
      <c r="C45" s="322" t="s">
        <v>212</v>
      </c>
      <c r="D45" s="322" t="s">
        <v>158</v>
      </c>
      <c r="E45" s="322" t="s">
        <v>214</v>
      </c>
      <c r="F45" s="322" t="s">
        <v>212</v>
      </c>
      <c r="G45" s="322" t="s">
        <v>213</v>
      </c>
      <c r="H45" s="322"/>
      <c r="I45" s="322" t="s">
        <v>215</v>
      </c>
      <c r="J45" s="322"/>
    </row>
    <row r="46" spans="2:24" x14ac:dyDescent="0.3">
      <c r="B46" s="325"/>
      <c r="C46" s="322"/>
      <c r="D46" s="322" t="s">
        <v>213</v>
      </c>
      <c r="E46" s="322">
        <f>'Assumptions and Inputs'!$C$34</f>
        <v>4.4000000000000004</v>
      </c>
      <c r="F46" s="322">
        <f>'Assumptions and Inputs'!$C$38</f>
        <v>0.96989999999999998</v>
      </c>
      <c r="G46" s="322"/>
      <c r="H46" s="322">
        <f>'Assumptions and Inputs'!$C$34</f>
        <v>4.4000000000000004</v>
      </c>
      <c r="I46" s="322">
        <f>'Assumptions and Inputs'!$C$38</f>
        <v>0.96989999999999998</v>
      </c>
      <c r="J46" s="322"/>
      <c r="Q46" s="7"/>
      <c r="R46" s="7"/>
    </row>
    <row r="47" spans="2:24" x14ac:dyDescent="0.3">
      <c r="B47" s="325"/>
      <c r="C47" s="327" t="s">
        <v>178</v>
      </c>
      <c r="D47" s="327" t="s">
        <v>179</v>
      </c>
      <c r="E47" s="327" t="str">
        <f>"(3) = (2) * $ "&amp;FIXED(E46,3,)&amp;"/Mcf"</f>
        <v>(3) = (2) * $ 4.400/Mcf</v>
      </c>
      <c r="F47" s="327" t="str">
        <f>"(4) = [(1) - (3)]* "&amp;FIXED(F46,4,)&amp;""</f>
        <v>(4) = [(1) - (3)]* 0.9699</v>
      </c>
      <c r="G47" s="327" t="s">
        <v>182</v>
      </c>
      <c r="H47" s="327" t="str">
        <f>"(6) = (5) * $ "&amp;FIXED(H46,3,)&amp;"/Mcf"</f>
        <v>(6) = (5) * $ 4.400/Mcf</v>
      </c>
      <c r="I47" s="327" t="str">
        <f>"(7) = (6) * "&amp;FIXED(F46,4,)&amp;""</f>
        <v>(7) = (6) * 0.9699</v>
      </c>
      <c r="J47" s="327" t="s">
        <v>216</v>
      </c>
      <c r="R47" s="10"/>
    </row>
    <row r="48" spans="2:24" x14ac:dyDescent="0.3">
      <c r="B48" s="326"/>
      <c r="C48" s="324"/>
      <c r="D48" s="324"/>
      <c r="E48" s="324"/>
      <c r="F48" s="324"/>
      <c r="G48" s="324"/>
      <c r="H48" s="324"/>
      <c r="I48" s="324" t="s">
        <v>217</v>
      </c>
      <c r="J48" s="324">
        <f>'Assumptions and Inputs'!$C$84+'Assumptions and Inputs'!$C$88</f>
        <v>-6713205.8875230234</v>
      </c>
      <c r="K48" s="37"/>
      <c r="Q48" s="8"/>
      <c r="R48" s="8"/>
      <c r="X48" s="8"/>
    </row>
    <row r="49" spans="1:29" x14ac:dyDescent="0.3">
      <c r="A49" s="341" t="s">
        <v>218</v>
      </c>
      <c r="B49" s="328">
        <f t="shared" ref="B49:B60" si="8">B11</f>
        <v>45536</v>
      </c>
      <c r="C49" s="329">
        <f>Customer!BX$11*'Assumptions and Inputs'!$C$42</f>
        <v>1854429.3657999998</v>
      </c>
      <c r="D49" s="330">
        <f>Customer!BX$60/'Assumptions and Inputs'!$C$21</f>
        <v>42190.2</v>
      </c>
      <c r="E49" s="329">
        <f>ROUND($E$46*D49, 0)</f>
        <v>185637</v>
      </c>
      <c r="F49" s="329">
        <f>(C49-E49)*$F$46</f>
        <v>1618561.7155894197</v>
      </c>
      <c r="G49" s="330">
        <f>Customer!BX$65/'Assumptions and Inputs'!$C$21</f>
        <v>461363.74000000005</v>
      </c>
      <c r="H49" s="331">
        <f>ROUND($H$46*G49, 0)</f>
        <v>2030000</v>
      </c>
      <c r="I49" s="331">
        <f>H49*$I$46</f>
        <v>1968897</v>
      </c>
      <c r="J49" s="329">
        <f>I49-F49</f>
        <v>350335.28441058029</v>
      </c>
      <c r="M49" s="7"/>
      <c r="N49" s="7"/>
      <c r="O49" s="7"/>
      <c r="Q49" s="7"/>
      <c r="R49" s="7"/>
      <c r="S49" s="8"/>
      <c r="U49" s="8"/>
      <c r="V49" s="7"/>
      <c r="X49" s="8"/>
      <c r="Y49" s="7"/>
      <c r="AB49" s="8"/>
      <c r="AC49" s="7"/>
    </row>
    <row r="50" spans="1:29" x14ac:dyDescent="0.3">
      <c r="A50" s="341" t="s">
        <v>218</v>
      </c>
      <c r="B50" s="328">
        <f t="shared" si="8"/>
        <v>45566</v>
      </c>
      <c r="C50" s="331">
        <f>Customer!BY$11*'Assumptions and Inputs'!$C$42</f>
        <v>1978074.8562</v>
      </c>
      <c r="D50" s="330">
        <f>Customer!BY$60/'Assumptions and Inputs'!$C$21</f>
        <v>41135.599999999999</v>
      </c>
      <c r="E50" s="331">
        <f t="shared" ref="E50:E59" si="9">ROUND($E$46*D50, 0)</f>
        <v>180997</v>
      </c>
      <c r="F50" s="331">
        <f t="shared" ref="F50:F58" si="10">(C50-E50)*$F$46</f>
        <v>1742985.8127283801</v>
      </c>
      <c r="G50" s="330">
        <f>Customer!BY$65/'Assumptions and Inputs'!$C$21</f>
        <v>434071.85</v>
      </c>
      <c r="H50" s="331">
        <f t="shared" ref="H50:H58" si="11">ROUND($H$46*G50, 0)</f>
        <v>1909916</v>
      </c>
      <c r="I50" s="331">
        <f t="shared" ref="I50:I58" si="12">H50*$I$46</f>
        <v>1852427.5284</v>
      </c>
      <c r="J50" s="329">
        <f t="shared" ref="J50:J58" si="13">I50-F50</f>
        <v>109441.71567161987</v>
      </c>
      <c r="M50" s="7"/>
      <c r="N50" s="7"/>
      <c r="O50" s="7"/>
      <c r="Q50" s="7"/>
      <c r="R50" s="7"/>
      <c r="S50" s="8"/>
      <c r="U50" s="8"/>
      <c r="V50" s="7"/>
      <c r="X50" s="8"/>
      <c r="Y50" s="7"/>
      <c r="AB50" s="8"/>
      <c r="AC50" s="7"/>
    </row>
    <row r="51" spans="1:29" x14ac:dyDescent="0.3">
      <c r="A51" s="341" t="s">
        <v>218</v>
      </c>
      <c r="B51" s="328">
        <f t="shared" si="8"/>
        <v>45597</v>
      </c>
      <c r="C51" s="329">
        <f>Customer!BZ$11*'Assumptions and Inputs'!$C$42</f>
        <v>1742665.9642</v>
      </c>
      <c r="D51" s="330">
        <f>Customer!BZ$60/'Assumptions and Inputs'!$C$21</f>
        <v>36027.1</v>
      </c>
      <c r="E51" s="329">
        <f t="shared" si="9"/>
        <v>158519</v>
      </c>
      <c r="F51" s="329">
        <f t="shared" si="10"/>
        <v>1536464.1405775801</v>
      </c>
      <c r="G51" s="330">
        <f>Customer!BZ$65/'Assumptions and Inputs'!$C$21</f>
        <v>414278.73</v>
      </c>
      <c r="H51" s="331">
        <f t="shared" si="11"/>
        <v>1822826</v>
      </c>
      <c r="I51" s="331">
        <f t="shared" si="12"/>
        <v>1767958.9373999999</v>
      </c>
      <c r="J51" s="329">
        <f t="shared" si="13"/>
        <v>231494.79682241986</v>
      </c>
      <c r="M51" s="7"/>
      <c r="N51" s="7"/>
      <c r="O51" s="7"/>
      <c r="Q51" s="7"/>
      <c r="R51" s="7"/>
      <c r="S51" s="8"/>
      <c r="U51" s="8"/>
      <c r="V51" s="7"/>
      <c r="X51" s="8"/>
      <c r="Y51" s="7"/>
      <c r="AB51" s="8"/>
      <c r="AC51" s="7"/>
    </row>
    <row r="52" spans="1:29" x14ac:dyDescent="0.3">
      <c r="A52" s="341" t="s">
        <v>219</v>
      </c>
      <c r="B52" s="328">
        <f t="shared" si="8"/>
        <v>45627</v>
      </c>
      <c r="C52" s="331">
        <f>Customer!CA$11*'Assumptions and Inputs'!$C$42</f>
        <v>1640921.775856789</v>
      </c>
      <c r="D52" s="330">
        <f>Customer!CA$60/'Assumptions and Inputs'!$C$21</f>
        <v>38851.268715392216</v>
      </c>
      <c r="E52" s="331">
        <f t="shared" si="9"/>
        <v>170946</v>
      </c>
      <c r="F52" s="331">
        <f t="shared" si="10"/>
        <v>1425729.5050034996</v>
      </c>
      <c r="G52" s="330">
        <f>Customer!CA$65/'Assumptions and Inputs'!$C$21</f>
        <v>420011.63833333331</v>
      </c>
      <c r="H52" s="331">
        <f t="shared" si="11"/>
        <v>1848051</v>
      </c>
      <c r="I52" s="331">
        <f t="shared" si="12"/>
        <v>1792424.6649</v>
      </c>
      <c r="J52" s="329">
        <f t="shared" si="13"/>
        <v>366695.15989650041</v>
      </c>
      <c r="M52" s="7"/>
      <c r="N52" s="7"/>
      <c r="O52" s="7"/>
      <c r="Q52" s="7"/>
      <c r="R52" s="7"/>
      <c r="S52" s="8"/>
      <c r="U52" s="8"/>
      <c r="V52" s="7"/>
      <c r="X52" s="8"/>
      <c r="Y52" s="7"/>
      <c r="AB52" s="8"/>
      <c r="AC52" s="7"/>
    </row>
    <row r="53" spans="1:29" x14ac:dyDescent="0.3">
      <c r="A53" s="341" t="s">
        <v>219</v>
      </c>
      <c r="B53" s="328">
        <f t="shared" si="8"/>
        <v>45658</v>
      </c>
      <c r="C53" s="329">
        <f>Customer!CB$11*'Assumptions and Inputs'!$C$42</f>
        <v>1657330.993615357</v>
      </c>
      <c r="D53" s="330">
        <f>Customer!CB$60/'Assumptions and Inputs'!$C$21</f>
        <v>39239.781402546141</v>
      </c>
      <c r="E53" s="329">
        <f t="shared" si="9"/>
        <v>172655</v>
      </c>
      <c r="F53" s="329">
        <f t="shared" si="10"/>
        <v>1439987.2462075348</v>
      </c>
      <c r="G53" s="330">
        <f>Customer!CB$65/'Assumptions and Inputs'!$C$21</f>
        <v>420011.63833333331</v>
      </c>
      <c r="H53" s="331">
        <f t="shared" si="11"/>
        <v>1848051</v>
      </c>
      <c r="I53" s="331">
        <f t="shared" si="12"/>
        <v>1792424.6649</v>
      </c>
      <c r="J53" s="329">
        <f t="shared" si="13"/>
        <v>352437.41869246517</v>
      </c>
      <c r="M53" s="7"/>
      <c r="N53" s="7"/>
      <c r="O53" s="7"/>
      <c r="Q53" s="7"/>
      <c r="R53" s="7"/>
      <c r="S53" s="8"/>
      <c r="U53" s="8"/>
      <c r="V53" s="7"/>
      <c r="X53" s="8"/>
      <c r="Y53" s="7"/>
      <c r="AB53" s="8"/>
      <c r="AC53" s="7"/>
    </row>
    <row r="54" spans="1:29" x14ac:dyDescent="0.3">
      <c r="A54" s="341" t="s">
        <v>219</v>
      </c>
      <c r="B54" s="328">
        <f t="shared" si="8"/>
        <v>45689</v>
      </c>
      <c r="C54" s="331">
        <f>Customer!CC$11*'Assumptions and Inputs'!$C$42</f>
        <v>1574464.4439345892</v>
      </c>
      <c r="D54" s="330">
        <f>Customer!CC$60/'Assumptions and Inputs'!$C$21</f>
        <v>37277.792332418838</v>
      </c>
      <c r="E54" s="331">
        <f t="shared" si="9"/>
        <v>164022</v>
      </c>
      <c r="F54" s="331">
        <f t="shared" si="10"/>
        <v>1367988.1263721581</v>
      </c>
      <c r="G54" s="330">
        <f>Customer!CC$65/'Assumptions and Inputs'!$C$21</f>
        <v>420011.63833333331</v>
      </c>
      <c r="H54" s="331">
        <f t="shared" si="11"/>
        <v>1848051</v>
      </c>
      <c r="I54" s="331">
        <f t="shared" si="12"/>
        <v>1792424.6649</v>
      </c>
      <c r="J54" s="329">
        <f t="shared" si="13"/>
        <v>424436.53852784191</v>
      </c>
      <c r="M54" s="7"/>
      <c r="N54" s="7"/>
      <c r="O54" s="7"/>
      <c r="Q54" s="7"/>
      <c r="R54" s="7"/>
      <c r="S54" s="8"/>
      <c r="U54" s="8"/>
      <c r="V54" s="7"/>
      <c r="X54" s="8"/>
      <c r="Y54" s="7"/>
      <c r="AB54" s="8"/>
      <c r="AC54" s="7"/>
    </row>
    <row r="55" spans="1:29" x14ac:dyDescent="0.3">
      <c r="A55" s="341" t="s">
        <v>219</v>
      </c>
      <c r="B55" s="328">
        <f t="shared" si="8"/>
        <v>45717</v>
      </c>
      <c r="C55" s="329">
        <f>Customer!CD$11*'Assumptions and Inputs'!$C$42</f>
        <v>1653187.6661313188</v>
      </c>
      <c r="D55" s="330">
        <f>Customer!CD$60/'Assumptions and Inputs'!$C$21</f>
        <v>39141.681949039783</v>
      </c>
      <c r="E55" s="329">
        <f t="shared" si="9"/>
        <v>172223</v>
      </c>
      <c r="F55" s="329">
        <f t="shared" si="10"/>
        <v>1436387.629680766</v>
      </c>
      <c r="G55" s="330">
        <f>Customer!CD$65/'Assumptions and Inputs'!$C$21</f>
        <v>420011.63833333331</v>
      </c>
      <c r="H55" s="331">
        <f t="shared" si="11"/>
        <v>1848051</v>
      </c>
      <c r="I55" s="331">
        <f t="shared" si="12"/>
        <v>1792424.6649</v>
      </c>
      <c r="J55" s="329">
        <f t="shared" si="13"/>
        <v>356037.03521923395</v>
      </c>
      <c r="M55" s="7"/>
      <c r="N55" s="7"/>
      <c r="O55" s="7"/>
      <c r="Q55" s="7"/>
      <c r="R55" s="7"/>
      <c r="S55" s="8"/>
      <c r="U55" s="8"/>
      <c r="V55" s="7"/>
      <c r="X55" s="8"/>
      <c r="Y55" s="7"/>
      <c r="AB55" s="8"/>
      <c r="AC55" s="7"/>
    </row>
    <row r="56" spans="1:29" x14ac:dyDescent="0.3">
      <c r="A56" s="341" t="s">
        <v>219</v>
      </c>
      <c r="B56" s="328">
        <f t="shared" si="8"/>
        <v>45748</v>
      </c>
      <c r="C56" s="331">
        <f>Customer!CE$11*'Assumptions and Inputs'!$C$42</f>
        <v>1669719.5427926318</v>
      </c>
      <c r="D56" s="330">
        <f>Customer!CE$60/'Assumptions and Inputs'!$C$21</f>
        <v>39533.098768530173</v>
      </c>
      <c r="E56" s="331">
        <f t="shared" si="9"/>
        <v>173946</v>
      </c>
      <c r="F56" s="331">
        <f t="shared" si="10"/>
        <v>1450750.7591545735</v>
      </c>
      <c r="G56" s="330">
        <f>Customer!CE$65/'Assumptions and Inputs'!$C$21</f>
        <v>420011.63833333331</v>
      </c>
      <c r="H56" s="331">
        <f t="shared" si="11"/>
        <v>1848051</v>
      </c>
      <c r="I56" s="331">
        <f t="shared" si="12"/>
        <v>1792424.6649</v>
      </c>
      <c r="J56" s="329">
        <f t="shared" si="13"/>
        <v>341673.90574542643</v>
      </c>
      <c r="M56" s="7"/>
      <c r="N56" s="7"/>
      <c r="O56" s="7"/>
      <c r="Q56" s="7"/>
      <c r="R56" s="7"/>
      <c r="S56" s="8"/>
      <c r="U56" s="8"/>
      <c r="V56" s="7"/>
      <c r="X56" s="8"/>
      <c r="Y56" s="7"/>
      <c r="AB56" s="8"/>
      <c r="AC56" s="7"/>
    </row>
    <row r="57" spans="1:29" x14ac:dyDescent="0.3">
      <c r="A57" s="341" t="s">
        <v>219</v>
      </c>
      <c r="B57" s="328">
        <f t="shared" si="8"/>
        <v>45778</v>
      </c>
      <c r="C57" s="329">
        <f>Customer!CF$11*'Assumptions and Inputs'!$C$42</f>
        <v>1686416.738220558</v>
      </c>
      <c r="D57" s="330">
        <f>Customer!CF$60/'Assumptions and Inputs'!$C$21</f>
        <v>39928.429756215475</v>
      </c>
      <c r="E57" s="329">
        <f t="shared" si="9"/>
        <v>175685</v>
      </c>
      <c r="F57" s="329">
        <f t="shared" si="10"/>
        <v>1465258.7129001191</v>
      </c>
      <c r="G57" s="330">
        <f>Customer!CF$65/'Assumptions and Inputs'!$C$21</f>
        <v>420011.63833333331</v>
      </c>
      <c r="H57" s="331">
        <f t="shared" si="11"/>
        <v>1848051</v>
      </c>
      <c r="I57" s="331">
        <f t="shared" si="12"/>
        <v>1792424.6649</v>
      </c>
      <c r="J57" s="329">
        <f t="shared" si="13"/>
        <v>327165.95199988084</v>
      </c>
      <c r="M57" s="7"/>
      <c r="N57" s="7"/>
      <c r="O57" s="7"/>
      <c r="Q57" s="7"/>
      <c r="R57" s="7"/>
      <c r="S57" s="8"/>
      <c r="U57" s="8"/>
      <c r="V57" s="7"/>
      <c r="X57" s="8"/>
      <c r="Y57" s="7"/>
      <c r="AB57" s="8"/>
      <c r="AC57" s="7"/>
    </row>
    <row r="58" spans="1:29" x14ac:dyDescent="0.3">
      <c r="A58" s="341" t="s">
        <v>219</v>
      </c>
      <c r="B58" s="328">
        <f t="shared" si="8"/>
        <v>45809</v>
      </c>
      <c r="C58" s="331">
        <f>Customer!CG$11*'Assumptions and Inputs'!$C$42</f>
        <v>1618960.0686917359</v>
      </c>
      <c r="D58" s="330">
        <f>Customer!CG$60/'Assumptions and Inputs'!$C$21</f>
        <v>38331.292565966854</v>
      </c>
      <c r="E58" s="331">
        <f t="shared" si="9"/>
        <v>168658</v>
      </c>
      <c r="F58" s="331">
        <f t="shared" si="10"/>
        <v>1406647.9764241145</v>
      </c>
      <c r="G58" s="330">
        <f>Customer!CG$65/'Assumptions and Inputs'!$C$21</f>
        <v>420011.63833333331</v>
      </c>
      <c r="H58" s="331">
        <f t="shared" si="11"/>
        <v>1848051</v>
      </c>
      <c r="I58" s="331">
        <f t="shared" si="12"/>
        <v>1792424.6649</v>
      </c>
      <c r="J58" s="329">
        <f t="shared" si="13"/>
        <v>385776.68847588543</v>
      </c>
      <c r="M58" s="7"/>
      <c r="N58" s="7"/>
      <c r="O58" s="7"/>
      <c r="Q58" s="7"/>
      <c r="R58" s="7"/>
      <c r="S58" s="8"/>
      <c r="U58" s="8"/>
      <c r="V58" s="7"/>
      <c r="X58" s="8"/>
      <c r="Y58" s="7"/>
      <c r="AB58" s="8"/>
      <c r="AC58" s="7"/>
    </row>
    <row r="59" spans="1:29" x14ac:dyDescent="0.3">
      <c r="A59" s="341" t="s">
        <v>219</v>
      </c>
      <c r="B59" s="328">
        <f t="shared" si="8"/>
        <v>45839</v>
      </c>
      <c r="C59" s="329">
        <f>Customer!CH$11*'Assumptions and Inputs'!$C$42</f>
        <v>1683718.4714394053</v>
      </c>
      <c r="D59" s="330">
        <f>Customer!CH$60/'Assumptions and Inputs'!$C$21</f>
        <v>39864.544268605532</v>
      </c>
      <c r="E59" s="329">
        <f t="shared" si="9"/>
        <v>175404</v>
      </c>
      <c r="F59" s="329">
        <f t="shared" ref="F59" si="14">(C59-E59)*$F$46</f>
        <v>1462914.2058490792</v>
      </c>
      <c r="G59" s="330">
        <f>Customer!CH$65/'Assumptions and Inputs'!$C$21</f>
        <v>420011.63833333331</v>
      </c>
      <c r="H59" s="331">
        <f t="shared" ref="H59" si="15">ROUND($H$46*G59, 0)</f>
        <v>1848051</v>
      </c>
      <c r="I59" s="331">
        <f t="shared" ref="I59" si="16">H59*$I$46</f>
        <v>1792424.6649</v>
      </c>
      <c r="J59" s="329">
        <f t="shared" ref="J59" si="17">I59-F59</f>
        <v>329510.45905092079</v>
      </c>
      <c r="M59" s="7"/>
      <c r="N59" s="7"/>
      <c r="O59" s="7"/>
      <c r="Q59" s="7"/>
      <c r="R59" s="7"/>
      <c r="S59" s="8"/>
      <c r="U59" s="8"/>
      <c r="V59" s="7"/>
      <c r="X59" s="8"/>
      <c r="Y59" s="7"/>
      <c r="AB59" s="8"/>
      <c r="AC59" s="7"/>
    </row>
    <row r="60" spans="1:29" x14ac:dyDescent="0.3">
      <c r="A60" s="341" t="s">
        <v>219</v>
      </c>
      <c r="B60" s="328">
        <f t="shared" si="8"/>
        <v>45870</v>
      </c>
      <c r="C60" s="331">
        <f>Customer!CI$11*'Assumptions and Inputs'!$C$42</f>
        <v>1700555.6561537993</v>
      </c>
      <c r="D60" s="330">
        <f>Customer!CI$60/'Assumptions and Inputs'!$C$21</f>
        <v>40263.189711291583</v>
      </c>
      <c r="E60" s="331">
        <f>ROUND($E$46*D60, 0)</f>
        <v>177158</v>
      </c>
      <c r="F60" s="331">
        <f>(C60-E60)*$F$46</f>
        <v>1477543.3867035699</v>
      </c>
      <c r="G60" s="330">
        <f>Customer!CI$65/'Assumptions and Inputs'!$C$21</f>
        <v>420011.63833333331</v>
      </c>
      <c r="H60" s="331">
        <f>ROUND($H$46*G60, 0)</f>
        <v>1848051</v>
      </c>
      <c r="I60" s="331">
        <f>H60*$I$46</f>
        <v>1792424.6649</v>
      </c>
      <c r="J60" s="329">
        <f>I60-F60</f>
        <v>314881.27819643007</v>
      </c>
      <c r="M60" s="7"/>
      <c r="N60" s="7"/>
      <c r="O60" s="7"/>
      <c r="Q60" s="7"/>
      <c r="R60" s="7"/>
      <c r="S60" s="8"/>
      <c r="U60" s="8"/>
      <c r="V60" s="7"/>
      <c r="X60" s="8"/>
      <c r="Y60" s="7"/>
      <c r="AB60" s="8"/>
      <c r="AC60" s="7"/>
    </row>
    <row r="61" spans="1:29" ht="5.0999999999999996" customHeight="1" x14ac:dyDescent="0.3">
      <c r="A61" s="314"/>
      <c r="B61" s="318"/>
      <c r="C61" s="318"/>
      <c r="D61" s="318"/>
      <c r="E61" s="318"/>
      <c r="F61" s="318"/>
      <c r="G61" s="318"/>
      <c r="H61" s="318"/>
      <c r="I61" s="318"/>
      <c r="J61" s="318"/>
      <c r="M61" s="7"/>
      <c r="N61" s="7"/>
      <c r="O61" s="7"/>
    </row>
    <row r="62" spans="1:29" x14ac:dyDescent="0.3">
      <c r="A62" s="314"/>
      <c r="B62" s="332" t="s">
        <v>165</v>
      </c>
      <c r="C62" s="331">
        <f>SUM(C49:C60)</f>
        <v>20460445.543036185</v>
      </c>
      <c r="D62" s="330">
        <f t="shared" ref="D62:H62" si="18">SUM(D49:D60)</f>
        <v>471783.9794700066</v>
      </c>
      <c r="E62" s="331">
        <f t="shared" si="18"/>
        <v>2075850</v>
      </c>
      <c r="F62" s="331">
        <f t="shared" si="18"/>
        <v>17831219.217190795</v>
      </c>
      <c r="G62" s="330">
        <f t="shared" si="18"/>
        <v>5089819.0650000004</v>
      </c>
      <c r="H62" s="331">
        <f t="shared" si="18"/>
        <v>22395201</v>
      </c>
      <c r="I62" s="331">
        <f>SUM(I49:I60)</f>
        <v>21721105.449900001</v>
      </c>
      <c r="J62" s="329">
        <f>SUM(J48:J60)</f>
        <v>-2823319.6548138196</v>
      </c>
      <c r="M62" s="7"/>
      <c r="N62" s="7"/>
      <c r="O62" s="7"/>
    </row>
    <row r="63" spans="1:29" ht="5.0999999999999996" customHeight="1" x14ac:dyDescent="0.3">
      <c r="B63" s="37"/>
      <c r="C63" s="47"/>
      <c r="D63" s="48"/>
      <c r="E63" s="47"/>
      <c r="F63" s="47"/>
      <c r="G63" s="48"/>
      <c r="H63" s="47"/>
      <c r="I63" s="47"/>
      <c r="J63" s="22"/>
      <c r="M63" s="7"/>
      <c r="N63" s="7"/>
      <c r="O63" s="7"/>
    </row>
    <row r="64" spans="1:29" x14ac:dyDescent="0.3">
      <c r="B64" s="279"/>
      <c r="C64" s="339"/>
      <c r="D64" s="339"/>
      <c r="E64" s="339"/>
      <c r="F64" s="339"/>
      <c r="G64" s="339"/>
      <c r="H64" s="339"/>
      <c r="I64" s="335" t="s">
        <v>220</v>
      </c>
      <c r="J64" s="270">
        <f>'E-Factor PRIOR LKM-4'!U138</f>
        <v>-501690.50270903856</v>
      </c>
      <c r="K64" s="336" t="s">
        <v>232</v>
      </c>
      <c r="L64" s="314"/>
      <c r="M64" s="7"/>
      <c r="N64" s="7"/>
      <c r="O64" s="7"/>
      <c r="V64" s="8"/>
      <c r="Y64" s="8"/>
      <c r="AC64" s="8"/>
    </row>
    <row r="65" spans="2:29" x14ac:dyDescent="0.3">
      <c r="F65" s="47"/>
      <c r="G65" s="13"/>
      <c r="I65" s="22"/>
      <c r="K65" s="314"/>
      <c r="L65" s="314"/>
      <c r="N65" s="7"/>
      <c r="V65" s="7"/>
      <c r="AC65" s="7"/>
    </row>
    <row r="66" spans="2:29" x14ac:dyDescent="0.3">
      <c r="B66" s="314" t="s">
        <v>222</v>
      </c>
      <c r="C66" s="314"/>
      <c r="D66" s="314"/>
      <c r="E66" s="314"/>
      <c r="F66" s="314"/>
      <c r="G66" s="337"/>
      <c r="H66" s="314"/>
      <c r="I66" s="333" t="s">
        <v>223</v>
      </c>
      <c r="J66" s="334">
        <f>J62+J64</f>
        <v>-3325010.1575228581</v>
      </c>
      <c r="K66" s="336" t="s">
        <v>224</v>
      </c>
      <c r="L66" s="314"/>
    </row>
    <row r="67" spans="2:29" x14ac:dyDescent="0.3">
      <c r="B67" s="338" t="s">
        <v>225</v>
      </c>
      <c r="C67" s="314"/>
      <c r="D67" s="314"/>
      <c r="E67" s="314"/>
      <c r="F67" s="314"/>
      <c r="G67" s="314"/>
      <c r="H67" s="314"/>
      <c r="I67" s="314"/>
    </row>
    <row r="68" spans="2:29" hidden="1" x14ac:dyDescent="0.3">
      <c r="B68" s="338"/>
      <c r="C68" s="314"/>
      <c r="D68" s="314"/>
      <c r="E68" s="314"/>
      <c r="F68" s="314"/>
      <c r="G68" s="314"/>
      <c r="H68" s="314"/>
      <c r="I68" s="314"/>
    </row>
    <row r="69" spans="2:29" x14ac:dyDescent="0.3">
      <c r="B69" s="338" t="s">
        <v>226</v>
      </c>
      <c r="C69" s="314"/>
      <c r="D69" s="314"/>
      <c r="E69" s="314"/>
      <c r="F69" s="314"/>
      <c r="G69" s="314"/>
      <c r="H69" s="314"/>
      <c r="I69" s="314"/>
      <c r="J69" s="22"/>
    </row>
    <row r="70" spans="2:29" x14ac:dyDescent="0.3">
      <c r="B70" s="338" t="str">
        <f>"(1) - TAP Actual Discounts reflects water's "&amp;FIXED('Assumptions and Inputs'!$C$42*100, 1, 0)&amp;"% allocated portion of the Total TAP Discount."</f>
        <v>(1) - TAP Actual Discounts reflects water's 58.0% allocated portion of the Total TAP Discount.</v>
      </c>
      <c r="C70" s="314"/>
      <c r="D70" s="314"/>
      <c r="E70" s="314"/>
      <c r="F70" s="314"/>
      <c r="G70" s="314"/>
      <c r="H70" s="314"/>
      <c r="I70" s="314"/>
      <c r="J70" s="340">
        <f>+J66+J28</f>
        <v>-5705008.0166016314</v>
      </c>
      <c r="K70" s="314"/>
    </row>
    <row r="71" spans="2:29" x14ac:dyDescent="0.3">
      <c r="B71" s="338" t="s">
        <v>227</v>
      </c>
      <c r="C71" s="314"/>
      <c r="D71" s="314"/>
      <c r="E71" s="314"/>
      <c r="F71" s="314"/>
      <c r="G71" s="314"/>
      <c r="H71" s="314"/>
      <c r="I71" s="314"/>
    </row>
    <row r="72" spans="2:29" x14ac:dyDescent="0.3">
      <c r="B72" s="338" t="str">
        <f>"(3) &amp; (6) - Sewer TAP-R Rates per "&amp;TEXT('Assumptions and Inputs'!F34,)&amp;" "&amp;TEXT('Assumptions and Inputs'!G34,)&amp;"."</f>
        <v>(3) &amp; (6) - Sewer TAP-R Rates per PWD Regulations - Rates and Charges Effective September 1, 2024 Section 10.3(b)(1).</v>
      </c>
      <c r="C72" s="314"/>
      <c r="D72" s="314"/>
      <c r="E72" s="314"/>
      <c r="F72" s="314"/>
      <c r="G72" s="314"/>
      <c r="H72" s="314"/>
      <c r="I72" s="314"/>
    </row>
    <row r="73" spans="2:29" x14ac:dyDescent="0.3">
      <c r="B73" s="338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2024 Section 10.1(b)(3).</v>
      </c>
      <c r="C73" s="314"/>
      <c r="D73" s="314"/>
      <c r="E73" s="314"/>
      <c r="F73" s="314"/>
      <c r="G73" s="314"/>
      <c r="H73" s="314"/>
      <c r="I73" s="314"/>
      <c r="K73" s="9"/>
    </row>
    <row r="74" spans="2:29" x14ac:dyDescent="0.3">
      <c r="B74" s="338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2024 through August 2025 are based upon average sales for prior 12 month period.</v>
      </c>
      <c r="C74" s="314"/>
      <c r="D74" s="314"/>
      <c r="E74" s="314"/>
      <c r="F74" s="314"/>
      <c r="G74" s="314"/>
      <c r="H74" s="314"/>
      <c r="I74" s="314"/>
    </row>
    <row r="75" spans="2:29" x14ac:dyDescent="0.3">
      <c r="B75" s="338" t="s">
        <v>233</v>
      </c>
      <c r="C75" s="314"/>
      <c r="D75" s="314"/>
      <c r="E75" s="314"/>
      <c r="F75" s="314"/>
      <c r="G75" s="314"/>
      <c r="H75" s="314"/>
      <c r="I75" s="314"/>
    </row>
    <row r="76" spans="2:29" x14ac:dyDescent="0.3">
      <c r="B76" s="53"/>
    </row>
    <row r="77" spans="2:29" x14ac:dyDescent="0.3"/>
    <row r="78" spans="2:29" x14ac:dyDescent="0.3"/>
    <row r="79" spans="2:29" x14ac:dyDescent="0.3">
      <c r="C79" s="22"/>
    </row>
    <row r="80" spans="2:29" x14ac:dyDescent="0.3">
      <c r="C80" s="22"/>
    </row>
    <row r="81" spans="2:10" x14ac:dyDescent="0.3">
      <c r="B81" s="56"/>
      <c r="C81" s="22"/>
      <c r="D81" s="8"/>
      <c r="E81" s="8"/>
    </row>
    <row r="82" spans="2:10" x14ac:dyDescent="0.3">
      <c r="B82" s="56"/>
      <c r="C82" s="22"/>
      <c r="D82" s="8"/>
      <c r="E82" s="8"/>
      <c r="F82" s="22"/>
      <c r="G82" s="57"/>
      <c r="H82" s="57"/>
      <c r="I82" s="57"/>
      <c r="J82" s="22"/>
    </row>
    <row r="83" spans="2:10" x14ac:dyDescent="0.3">
      <c r="B83" s="56"/>
      <c r="C83" s="22"/>
      <c r="D83" s="8"/>
      <c r="E83" s="8"/>
      <c r="F83" s="22"/>
      <c r="G83" s="57"/>
      <c r="H83" s="57"/>
      <c r="I83" s="57"/>
      <c r="J83" s="22"/>
    </row>
    <row r="84" spans="2:10" x14ac:dyDescent="0.3">
      <c r="B84" s="56"/>
      <c r="C84" s="22"/>
      <c r="D84" s="8"/>
      <c r="E84" s="8"/>
      <c r="F84" s="22"/>
    </row>
    <row r="85" spans="2:10" x14ac:dyDescent="0.3">
      <c r="B85" s="56"/>
      <c r="C85" s="22"/>
      <c r="D85" s="8"/>
      <c r="E85" s="8"/>
      <c r="F85" s="22"/>
    </row>
    <row r="86" spans="2:10" x14ac:dyDescent="0.3">
      <c r="B86" s="56"/>
      <c r="C86" s="22"/>
      <c r="D86" s="8"/>
      <c r="E86" s="8"/>
      <c r="F86" s="22"/>
      <c r="G86" s="58"/>
      <c r="H86" s="22"/>
      <c r="I86" s="22"/>
      <c r="J86" s="22"/>
    </row>
    <row r="87" spans="2:10" x14ac:dyDescent="0.3">
      <c r="B87" s="56"/>
      <c r="C87" s="22"/>
      <c r="D87" s="8"/>
      <c r="E87" s="8"/>
      <c r="F87" s="22"/>
      <c r="G87" s="58"/>
      <c r="H87" s="22"/>
      <c r="I87" s="22"/>
      <c r="J87" s="22"/>
    </row>
    <row r="88" spans="2:10" x14ac:dyDescent="0.3">
      <c r="B88" s="56"/>
      <c r="C88" s="22"/>
      <c r="D88" s="8"/>
      <c r="E88" s="8"/>
    </row>
    <row r="89" spans="2:10" x14ac:dyDescent="0.3">
      <c r="B89" s="56"/>
      <c r="C89" s="22"/>
      <c r="D89" s="8"/>
      <c r="E89" s="8"/>
    </row>
    <row r="90" spans="2:10" x14ac:dyDescent="0.3">
      <c r="B90" s="56"/>
      <c r="C90" s="22"/>
      <c r="D90" s="8"/>
      <c r="E90" s="8"/>
    </row>
    <row r="91" spans="2:10" x14ac:dyDescent="0.3">
      <c r="B91" s="56"/>
      <c r="C91" s="22"/>
      <c r="D91" s="8"/>
      <c r="E91" s="8"/>
    </row>
    <row r="92" spans="2:10" x14ac:dyDescent="0.3">
      <c r="C92" s="22"/>
    </row>
    <row r="93" spans="2:10" x14ac:dyDescent="0.3"/>
    <row r="94" spans="2:10" x14ac:dyDescent="0.3"/>
    <row r="95" spans="2:10" x14ac:dyDescent="0.3"/>
    <row r="96" spans="2:10" x14ac:dyDescent="0.3"/>
  </sheetData>
  <printOptions horizontalCentered="1"/>
  <pageMargins left="0.7" right="0.7" top="0.75" bottom="0.75" header="0.3" footer="0.3"/>
  <pageSetup scale="56" orientation="landscape" r:id="rId1"/>
  <headerFooter>
    <oddHeader xml:space="preserve">&amp;R2025 TAP-R Rate Proceeding
 Schedule LKM-TAP-3
Revised 4/29/2025
</oddHeader>
  </headerFooter>
  <ignoredErrors>
    <ignoredError sqref="C9:D9 G9 C47:D47 G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484E-A7F5-4914-B9CB-952DFFFA3433}">
  <sheetPr codeName="Sheet8">
    <tabColor theme="4" tint="-0.249977111117893"/>
    <pageSetUpPr fitToPage="1"/>
  </sheetPr>
  <dimension ref="A1:Y172"/>
  <sheetViews>
    <sheetView topLeftCell="A18" zoomScaleNormal="100" workbookViewId="0">
      <selection activeCell="I19" sqref="I19"/>
    </sheetView>
  </sheetViews>
  <sheetFormatPr defaultColWidth="9.21875" defaultRowHeight="14.4" zeroHeight="1" x14ac:dyDescent="0.3"/>
  <cols>
    <col min="1" max="1" width="9.21875" style="1" customWidth="1"/>
    <col min="2" max="2" width="9.44140625" style="1" customWidth="1"/>
    <col min="3" max="4" width="15.5546875" style="1" customWidth="1"/>
    <col min="5" max="8" width="20.5546875" style="1" customWidth="1"/>
    <col min="9" max="9" width="24.21875" style="1" customWidth="1"/>
    <col min="10" max="10" width="20.5546875" style="1" customWidth="1"/>
    <col min="11" max="11" width="3.44140625" style="1" customWidth="1"/>
    <col min="12" max="12" width="22.21875" style="1" customWidth="1"/>
    <col min="13" max="13" width="15.44140625" style="1" customWidth="1"/>
    <col min="14" max="14" width="17.77734375" style="1" customWidth="1"/>
    <col min="15" max="15" width="21" style="1" bestFit="1" customWidth="1"/>
    <col min="16" max="16" width="14.5546875" style="1" customWidth="1"/>
    <col min="17" max="17" width="19.5546875" style="1" customWidth="1"/>
    <col min="18" max="18" width="25.5546875" style="1" customWidth="1"/>
    <col min="19" max="19" width="15.5546875" style="1" customWidth="1"/>
    <col min="20" max="20" width="2.21875" style="1" customWidth="1"/>
    <col min="21" max="21" width="14.77734375" style="1" customWidth="1"/>
    <col min="22" max="16384" width="9.21875" style="1"/>
  </cols>
  <sheetData>
    <row r="1" spans="1:14" x14ac:dyDescent="0.3"/>
    <row r="2" spans="1:14" x14ac:dyDescent="0.3">
      <c r="B2" s="316" t="str">
        <f>B74</f>
        <v xml:space="preserve">Philadelphia Water Department 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255"/>
    </row>
    <row r="3" spans="1:14" ht="15" thickBot="1" x14ac:dyDescent="0.35">
      <c r="B3" s="316" t="str">
        <f>B75</f>
        <v xml:space="preserve"> Prior Reconciliation Adjustment - Experienced &amp; Estimated Net Over/(Under) Collection (E-Factor) for Most Recent Period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255"/>
    </row>
    <row r="4" spans="1:14" ht="15" thickBot="1" x14ac:dyDescent="0.35">
      <c r="B4" s="255"/>
      <c r="C4" s="316" t="str">
        <f>C76</f>
        <v>Prior Reconciliation Period with Updated Actuals</v>
      </c>
      <c r="D4" s="316"/>
      <c r="E4" s="316"/>
      <c r="F4" s="316"/>
      <c r="G4" s="316"/>
      <c r="H4" s="316"/>
      <c r="I4" s="316"/>
      <c r="J4" s="316"/>
      <c r="K4" s="255"/>
      <c r="L4" s="343" t="s">
        <v>234</v>
      </c>
      <c r="M4" s="344" t="s">
        <v>235</v>
      </c>
      <c r="N4" s="255"/>
    </row>
    <row r="5" spans="1:14" x14ac:dyDescent="0.3">
      <c r="B5" s="323" t="str">
        <f>B77</f>
        <v>Billing</v>
      </c>
      <c r="C5" s="323" t="str">
        <f>C77</f>
        <v>Total Actual TAP</v>
      </c>
      <c r="D5" s="323" t="str">
        <f t="shared" ref="D5:J5" si="0">D77</f>
        <v>Billed TAP</v>
      </c>
      <c r="E5" s="323" t="str">
        <f t="shared" si="0"/>
        <v>Total TAP-R</v>
      </c>
      <c r="F5" s="323" t="str">
        <f t="shared" si="0"/>
        <v>Adjusted Actual TAP</v>
      </c>
      <c r="G5" s="323" t="str">
        <f t="shared" si="0"/>
        <v>Billed Non-TAP</v>
      </c>
      <c r="H5" s="323" t="str">
        <f t="shared" si="0"/>
        <v>TAP-R Billed</v>
      </c>
      <c r="I5" s="323" t="str">
        <f t="shared" si="0"/>
        <v>Estimated TAP-R</v>
      </c>
      <c r="J5" s="323" t="str">
        <f t="shared" si="0"/>
        <v>Over/(Under)</v>
      </c>
      <c r="K5" s="348"/>
      <c r="L5" s="323" t="str">
        <f>S77</f>
        <v>Over/(Under)</v>
      </c>
      <c r="M5" s="323" t="str">
        <f>U77</f>
        <v xml:space="preserve">Delta </v>
      </c>
      <c r="N5" s="255"/>
    </row>
    <row r="6" spans="1:14" x14ac:dyDescent="0.3">
      <c r="B6" s="322" t="str">
        <f>B78</f>
        <v>Period</v>
      </c>
      <c r="C6" s="322" t="str">
        <f>C78</f>
        <v>Discounts</v>
      </c>
      <c r="D6" s="322" t="str">
        <f t="shared" ref="D6:J6" si="1">D78</f>
        <v>Water Sales</v>
      </c>
      <c r="E6" s="322" t="str">
        <f t="shared" si="1"/>
        <v xml:space="preserve">Billed </v>
      </c>
      <c r="F6" s="322" t="str">
        <f t="shared" si="1"/>
        <v>Discounts</v>
      </c>
      <c r="G6" s="322" t="str">
        <f t="shared" si="1"/>
        <v>Water Sales</v>
      </c>
      <c r="H6" s="322" t="str">
        <f t="shared" si="1"/>
        <v>Non-Tap Water Sales</v>
      </c>
      <c r="I6" s="322" t="str">
        <f t="shared" si="1"/>
        <v xml:space="preserve">Revenues </v>
      </c>
      <c r="J6" s="322" t="str">
        <f t="shared" si="1"/>
        <v>Collection</v>
      </c>
      <c r="K6" s="348"/>
      <c r="L6" s="322" t="str">
        <f>S78</f>
        <v>Collection</v>
      </c>
      <c r="M6" s="322"/>
      <c r="N6" s="255"/>
    </row>
    <row r="7" spans="1:14" x14ac:dyDescent="0.3">
      <c r="B7" s="322"/>
      <c r="C7" s="322" t="str">
        <f>C79</f>
        <v xml:space="preserve">(Credits) </v>
      </c>
      <c r="D7" s="322" t="str">
        <f>D79</f>
        <v>(Mcf)</v>
      </c>
      <c r="E7" s="322" t="str">
        <f>E79</f>
        <v>to TAP Participants</v>
      </c>
      <c r="F7" s="322" t="str">
        <f>F79</f>
        <v xml:space="preserve">(Credits) </v>
      </c>
      <c r="G7" s="322" t="str">
        <f>G79</f>
        <v>(Mcf)</v>
      </c>
      <c r="H7" s="322"/>
      <c r="I7" s="322" t="str">
        <f>I79</f>
        <v>Experienced</v>
      </c>
      <c r="J7" s="322"/>
      <c r="K7" s="348"/>
      <c r="L7" s="322"/>
      <c r="M7" s="322"/>
      <c r="N7" s="255"/>
    </row>
    <row r="8" spans="1:14" x14ac:dyDescent="0.3">
      <c r="B8" s="322"/>
      <c r="C8" s="322"/>
      <c r="D8" s="322"/>
      <c r="E8" s="322">
        <f>E80</f>
        <v>0.15</v>
      </c>
      <c r="F8" s="322">
        <f>F80</f>
        <v>0.96989999999999998</v>
      </c>
      <c r="G8" s="322"/>
      <c r="H8" s="322"/>
      <c r="I8" s="322">
        <f>I80</f>
        <v>0.96989999999999998</v>
      </c>
      <c r="J8" s="322"/>
      <c r="K8" s="348"/>
      <c r="L8" s="322"/>
      <c r="M8" s="322"/>
      <c r="N8" s="255"/>
    </row>
    <row r="9" spans="1:14" x14ac:dyDescent="0.3">
      <c r="B9" s="349"/>
      <c r="C9" s="349" t="str">
        <f>C81</f>
        <v>(1)</v>
      </c>
      <c r="D9" s="349" t="str">
        <f t="shared" ref="D9:J9" si="2">D81</f>
        <v>(2)</v>
      </c>
      <c r="E9" s="349" t="str">
        <f t="shared" si="2"/>
        <v>(3) = (2) * $ 0.150/Mcf</v>
      </c>
      <c r="F9" s="349" t="str">
        <f t="shared" si="2"/>
        <v>(4) = [(1) - (3)]* 0.9699</v>
      </c>
      <c r="G9" s="349" t="str">
        <f t="shared" si="2"/>
        <v>(5)</v>
      </c>
      <c r="H9" s="349" t="str">
        <f t="shared" si="2"/>
        <v>(6) = (5) * $ 0.150/Mcf</v>
      </c>
      <c r="I9" s="349" t="str">
        <f t="shared" si="2"/>
        <v>(7) = (6) * 0.9699</v>
      </c>
      <c r="J9" s="349" t="str">
        <f t="shared" si="2"/>
        <v>(8) = (7) - (4)</v>
      </c>
      <c r="K9" s="348"/>
      <c r="L9" s="349" t="s">
        <v>236</v>
      </c>
      <c r="M9" s="349" t="s">
        <v>237</v>
      </c>
      <c r="N9" s="255"/>
    </row>
    <row r="10" spans="1:14" x14ac:dyDescent="0.3">
      <c r="B10" s="350"/>
      <c r="C10" s="351"/>
      <c r="D10" s="351"/>
      <c r="E10" s="351"/>
      <c r="F10" s="351"/>
      <c r="G10" s="351"/>
      <c r="H10" s="351"/>
      <c r="I10" s="352" t="s">
        <v>217</v>
      </c>
      <c r="J10" s="353">
        <f>J82</f>
        <v>3134517</v>
      </c>
      <c r="K10" s="348"/>
      <c r="L10" s="353">
        <f>S82</f>
        <v>3134517</v>
      </c>
      <c r="M10" s="351"/>
      <c r="N10" s="255"/>
    </row>
    <row r="11" spans="1:14" x14ac:dyDescent="0.3">
      <c r="A11" s="63"/>
      <c r="B11" s="328">
        <f t="shared" ref="B11:B20" si="3">B83</f>
        <v>45170</v>
      </c>
      <c r="C11" s="329">
        <f t="shared" ref="C11:J11" si="4">C83</f>
        <v>519365.75880000001</v>
      </c>
      <c r="D11" s="330">
        <f t="shared" si="4"/>
        <v>15847.8</v>
      </c>
      <c r="E11" s="331">
        <f t="shared" si="4"/>
        <v>2377</v>
      </c>
      <c r="F11" s="329">
        <f t="shared" si="4"/>
        <v>501427.39716012002</v>
      </c>
      <c r="G11" s="330">
        <f t="shared" si="4"/>
        <v>523650.4</v>
      </c>
      <c r="H11" s="331">
        <f t="shared" si="4"/>
        <v>78547.56</v>
      </c>
      <c r="I11" s="331">
        <f t="shared" si="4"/>
        <v>76183.278443999996</v>
      </c>
      <c r="J11" s="329">
        <f t="shared" si="4"/>
        <v>-425244.11871612002</v>
      </c>
      <c r="K11" s="255"/>
      <c r="L11" s="329">
        <f>S83</f>
        <v>-425243.69196011999</v>
      </c>
      <c r="M11" s="329">
        <f>J11-L11</f>
        <v>-0.42675600002985448</v>
      </c>
      <c r="N11" s="255"/>
    </row>
    <row r="12" spans="1:14" x14ac:dyDescent="0.3">
      <c r="A12" s="63"/>
      <c r="B12" s="328">
        <f t="shared" si="3"/>
        <v>45200</v>
      </c>
      <c r="C12" s="331">
        <f t="shared" ref="C12:J12" si="5">C84</f>
        <v>501702.77639999997</v>
      </c>
      <c r="D12" s="330">
        <f t="shared" si="5"/>
        <v>14420.6</v>
      </c>
      <c r="E12" s="331">
        <f t="shared" si="5"/>
        <v>2163</v>
      </c>
      <c r="F12" s="331">
        <f t="shared" si="5"/>
        <v>484503.62913035997</v>
      </c>
      <c r="G12" s="330">
        <f t="shared" si="5"/>
        <v>441095.3</v>
      </c>
      <c r="H12" s="331">
        <f t="shared" si="5"/>
        <v>66164.294999999998</v>
      </c>
      <c r="I12" s="331">
        <f t="shared" si="5"/>
        <v>64172.749720499996</v>
      </c>
      <c r="J12" s="329">
        <f t="shared" si="5"/>
        <v>-420330.87940986</v>
      </c>
      <c r="K12" s="255"/>
      <c r="L12" s="329">
        <f t="shared" ref="L12:L20" si="6">S84</f>
        <v>-420331.16553035995</v>
      </c>
      <c r="M12" s="329">
        <f t="shared" ref="M12:M21" si="7">J12-L12</f>
        <v>0.2861204999499023</v>
      </c>
      <c r="N12" s="255"/>
    </row>
    <row r="13" spans="1:14" x14ac:dyDescent="0.3">
      <c r="A13" s="63"/>
      <c r="B13" s="328">
        <f t="shared" si="3"/>
        <v>45231</v>
      </c>
      <c r="C13" s="329">
        <f t="shared" ref="C13:J13" si="8">C85</f>
        <v>532516.75260000001</v>
      </c>
      <c r="D13" s="330">
        <f t="shared" si="8"/>
        <v>15243.6</v>
      </c>
      <c r="E13" s="329">
        <f t="shared" si="8"/>
        <v>2287</v>
      </c>
      <c r="F13" s="329">
        <f t="shared" si="8"/>
        <v>514269.83704673999</v>
      </c>
      <c r="G13" s="330">
        <f t="shared" si="8"/>
        <v>443822.6</v>
      </c>
      <c r="H13" s="331">
        <f t="shared" si="8"/>
        <v>66573.39</v>
      </c>
      <c r="I13" s="331">
        <f t="shared" si="8"/>
        <v>64569.530960999997</v>
      </c>
      <c r="J13" s="329">
        <f t="shared" si="8"/>
        <v>-449700.30608573998</v>
      </c>
      <c r="K13" s="255"/>
      <c r="L13" s="329">
        <f t="shared" si="6"/>
        <v>-449700.68434674002</v>
      </c>
      <c r="M13" s="329">
        <f t="shared" si="7"/>
        <v>0.37826100003439933</v>
      </c>
      <c r="N13" s="255"/>
    </row>
    <row r="14" spans="1:14" x14ac:dyDescent="0.3">
      <c r="A14" s="63"/>
      <c r="B14" s="328">
        <f t="shared" si="3"/>
        <v>45261</v>
      </c>
      <c r="C14" s="331">
        <f t="shared" ref="C14:J14" si="9">C86</f>
        <v>540733.5443999999</v>
      </c>
      <c r="D14" s="330">
        <f t="shared" si="9"/>
        <v>15419.7</v>
      </c>
      <c r="E14" s="331">
        <f t="shared" si="9"/>
        <v>2313</v>
      </c>
      <c r="F14" s="331">
        <f t="shared" si="9"/>
        <v>522214.08601355989</v>
      </c>
      <c r="G14" s="330">
        <f t="shared" si="9"/>
        <v>442896.9</v>
      </c>
      <c r="H14" s="331">
        <f t="shared" si="9"/>
        <v>66434.535000000003</v>
      </c>
      <c r="I14" s="331">
        <f t="shared" si="9"/>
        <v>64434.8554965</v>
      </c>
      <c r="J14" s="329">
        <f t="shared" si="9"/>
        <v>-457779.23051705991</v>
      </c>
      <c r="K14" s="255"/>
      <c r="L14" s="329">
        <f t="shared" si="6"/>
        <v>-457778.77951355989</v>
      </c>
      <c r="M14" s="329">
        <f t="shared" si="7"/>
        <v>-0.45100350002758205</v>
      </c>
      <c r="N14" s="255"/>
    </row>
    <row r="15" spans="1:14" x14ac:dyDescent="0.3">
      <c r="A15" s="63"/>
      <c r="B15" s="328">
        <f t="shared" si="3"/>
        <v>45292</v>
      </c>
      <c r="C15" s="329">
        <f t="shared" ref="C15:J15" si="10">C87</f>
        <v>561599.95079999999</v>
      </c>
      <c r="D15" s="330">
        <f t="shared" si="10"/>
        <v>16008.2</v>
      </c>
      <c r="E15" s="329">
        <f t="shared" si="10"/>
        <v>2401</v>
      </c>
      <c r="F15" s="329">
        <f t="shared" si="10"/>
        <v>542367.06238091993</v>
      </c>
      <c r="G15" s="330">
        <f t="shared" si="10"/>
        <v>454929.7</v>
      </c>
      <c r="H15" s="331">
        <f t="shared" si="10"/>
        <v>68239.455000000002</v>
      </c>
      <c r="I15" s="331">
        <f t="shared" si="10"/>
        <v>66185.447404499995</v>
      </c>
      <c r="J15" s="329">
        <f t="shared" si="10"/>
        <v>-476181.61497641995</v>
      </c>
      <c r="K15" s="255"/>
      <c r="L15" s="329">
        <f t="shared" si="6"/>
        <v>-476182.05628091993</v>
      </c>
      <c r="M15" s="329">
        <f t="shared" si="7"/>
        <v>0.44130449998192489</v>
      </c>
      <c r="N15" s="255"/>
    </row>
    <row r="16" spans="1:14" x14ac:dyDescent="0.3">
      <c r="A16" s="63"/>
      <c r="B16" s="328">
        <f t="shared" si="3"/>
        <v>45323</v>
      </c>
      <c r="C16" s="331">
        <f t="shared" ref="C16:J16" si="11">C88</f>
        <v>640223.54339999997</v>
      </c>
      <c r="D16" s="330">
        <f t="shared" si="11"/>
        <v>19369.7</v>
      </c>
      <c r="E16" s="331">
        <f t="shared" si="11"/>
        <v>2905</v>
      </c>
      <c r="F16" s="331">
        <f t="shared" si="11"/>
        <v>618135.25524365995</v>
      </c>
      <c r="G16" s="330">
        <f t="shared" si="11"/>
        <v>436223.1</v>
      </c>
      <c r="H16" s="331">
        <f t="shared" si="11"/>
        <v>65433.464999999997</v>
      </c>
      <c r="I16" s="331">
        <f t="shared" si="11"/>
        <v>63463.917703499996</v>
      </c>
      <c r="J16" s="329">
        <f t="shared" si="11"/>
        <v>-554671.33754015993</v>
      </c>
      <c r="K16" s="255"/>
      <c r="L16" s="329">
        <f t="shared" si="6"/>
        <v>-554671.78854365996</v>
      </c>
      <c r="M16" s="329">
        <f t="shared" si="7"/>
        <v>0.45100350002758205</v>
      </c>
      <c r="N16" s="255"/>
    </row>
    <row r="17" spans="1:14" x14ac:dyDescent="0.3">
      <c r="A17" s="63"/>
      <c r="B17" s="328">
        <f t="shared" si="3"/>
        <v>45352</v>
      </c>
      <c r="C17" s="329">
        <f t="shared" ref="C17:J17" si="12">C89</f>
        <v>848598.90359999996</v>
      </c>
      <c r="D17" s="330">
        <f t="shared" si="12"/>
        <v>30046.7</v>
      </c>
      <c r="E17" s="329">
        <f t="shared" si="12"/>
        <v>4507</v>
      </c>
      <c r="F17" s="329">
        <f t="shared" si="12"/>
        <v>818684.73730163998</v>
      </c>
      <c r="G17" s="330">
        <f t="shared" si="12"/>
        <v>404939.5</v>
      </c>
      <c r="H17" s="331">
        <f t="shared" si="12"/>
        <v>60740.924999999996</v>
      </c>
      <c r="I17" s="331">
        <f t="shared" si="12"/>
        <v>58912.623157499998</v>
      </c>
      <c r="J17" s="329">
        <f t="shared" si="12"/>
        <v>-759772.11414413992</v>
      </c>
      <c r="K17" s="255"/>
      <c r="L17" s="329">
        <f t="shared" si="6"/>
        <v>-759772.04140163993</v>
      </c>
      <c r="M17" s="329">
        <f t="shared" si="7"/>
        <v>-7.2742499993182719E-2</v>
      </c>
      <c r="N17" s="255"/>
    </row>
    <row r="18" spans="1:14" x14ac:dyDescent="0.3">
      <c r="A18" s="63"/>
      <c r="B18" s="328">
        <f t="shared" si="3"/>
        <v>45383</v>
      </c>
      <c r="C18" s="331">
        <f t="shared" ref="C18:J18" si="13">C90</f>
        <v>879554.24759999989</v>
      </c>
      <c r="D18" s="330">
        <f t="shared" si="13"/>
        <v>32615.8</v>
      </c>
      <c r="E18" s="331">
        <f t="shared" si="13"/>
        <v>4892</v>
      </c>
      <c r="F18" s="331">
        <f t="shared" si="13"/>
        <v>848334.91394723987</v>
      </c>
      <c r="G18" s="330">
        <f t="shared" si="13"/>
        <v>394963.20000000001</v>
      </c>
      <c r="H18" s="331">
        <f t="shared" si="13"/>
        <v>59244.479999999996</v>
      </c>
      <c r="I18" s="331">
        <f t="shared" si="13"/>
        <v>57461.221151999998</v>
      </c>
      <c r="J18" s="329">
        <f t="shared" si="13"/>
        <v>-790873.69279523985</v>
      </c>
      <c r="K18" s="255"/>
      <c r="L18" s="329">
        <f t="shared" si="6"/>
        <v>-841464.4450336321</v>
      </c>
      <c r="M18" s="329">
        <f t="shared" si="7"/>
        <v>50590.752238392248</v>
      </c>
      <c r="N18" s="255"/>
    </row>
    <row r="19" spans="1:14" x14ac:dyDescent="0.3">
      <c r="A19" s="63"/>
      <c r="B19" s="328">
        <f t="shared" si="3"/>
        <v>45413</v>
      </c>
      <c r="C19" s="329">
        <f t="shared" ref="C19:J19" si="14">C91</f>
        <v>995011.52099999983</v>
      </c>
      <c r="D19" s="330">
        <f t="shared" si="14"/>
        <v>36430.300000000003</v>
      </c>
      <c r="E19" s="329">
        <f t="shared" si="14"/>
        <v>5465</v>
      </c>
      <c r="F19" s="329">
        <f t="shared" si="14"/>
        <v>959761.1707178998</v>
      </c>
      <c r="G19" s="330">
        <f t="shared" si="14"/>
        <v>438783.7</v>
      </c>
      <c r="H19" s="331">
        <f t="shared" si="14"/>
        <v>65817.554999999993</v>
      </c>
      <c r="I19" s="331">
        <f t="shared" si="14"/>
        <v>63836.44659449999</v>
      </c>
      <c r="J19" s="329">
        <f t="shared" si="14"/>
        <v>-895924.72412339982</v>
      </c>
      <c r="K19" s="255"/>
      <c r="L19" s="329">
        <f t="shared" si="6"/>
        <v>-841464.4450336321</v>
      </c>
      <c r="M19" s="329">
        <f t="shared" si="7"/>
        <v>-54460.279089767719</v>
      </c>
      <c r="N19" s="255"/>
    </row>
    <row r="20" spans="1:14" x14ac:dyDescent="0.3">
      <c r="A20" s="63"/>
      <c r="B20" s="328">
        <f t="shared" si="3"/>
        <v>45444</v>
      </c>
      <c r="C20" s="331">
        <f t="shared" ref="C20:J20" si="15">C92</f>
        <v>987711.65639999998</v>
      </c>
      <c r="D20" s="330">
        <f t="shared" si="15"/>
        <v>35198.800000000003</v>
      </c>
      <c r="E20" s="331">
        <f t="shared" si="15"/>
        <v>5280</v>
      </c>
      <c r="F20" s="331">
        <f t="shared" si="15"/>
        <v>952860.46354236</v>
      </c>
      <c r="G20" s="330">
        <f t="shared" si="15"/>
        <v>436439.4</v>
      </c>
      <c r="H20" s="331">
        <f t="shared" si="15"/>
        <v>65465.91</v>
      </c>
      <c r="I20" s="331">
        <f t="shared" si="15"/>
        <v>63495.386108999999</v>
      </c>
      <c r="J20" s="329">
        <f t="shared" si="15"/>
        <v>-889365.07743336004</v>
      </c>
      <c r="K20" s="255"/>
      <c r="L20" s="329">
        <f t="shared" si="6"/>
        <v>-841464.4450336321</v>
      </c>
      <c r="M20" s="329">
        <f t="shared" si="7"/>
        <v>-47900.63239972794</v>
      </c>
      <c r="N20" s="255"/>
    </row>
    <row r="21" spans="1:14" x14ac:dyDescent="0.3">
      <c r="A21" s="63"/>
      <c r="B21" s="328">
        <f>B93</f>
        <v>45474</v>
      </c>
      <c r="C21" s="329">
        <f t="shared" ref="C21:J22" si="16">C93</f>
        <v>1066881.0558</v>
      </c>
      <c r="D21" s="330">
        <f t="shared" si="16"/>
        <v>37901</v>
      </c>
      <c r="E21" s="329">
        <f t="shared" si="16"/>
        <v>5685</v>
      </c>
      <c r="F21" s="329">
        <f t="shared" si="16"/>
        <v>1029254.0545204199</v>
      </c>
      <c r="G21" s="330">
        <f t="shared" si="16"/>
        <v>495114.3</v>
      </c>
      <c r="H21" s="331">
        <f t="shared" si="16"/>
        <v>74267.14499999999</v>
      </c>
      <c r="I21" s="331">
        <f t="shared" si="16"/>
        <v>72031.703935499987</v>
      </c>
      <c r="J21" s="329">
        <f t="shared" si="16"/>
        <v>-957222.35058491991</v>
      </c>
      <c r="K21" s="255"/>
      <c r="L21" s="329">
        <f>S93</f>
        <v>-841464.4450336321</v>
      </c>
      <c r="M21" s="329">
        <f t="shared" si="7"/>
        <v>-115757.90555128781</v>
      </c>
      <c r="N21" s="255"/>
    </row>
    <row r="22" spans="1:14" x14ac:dyDescent="0.3">
      <c r="A22" s="63"/>
      <c r="B22" s="328">
        <f>B94</f>
        <v>45505</v>
      </c>
      <c r="C22" s="331">
        <f t="shared" si="16"/>
        <v>1149071.6159999999</v>
      </c>
      <c r="D22" s="330">
        <f t="shared" si="16"/>
        <v>40151.300000000003</v>
      </c>
      <c r="E22" s="331">
        <f t="shared" si="16"/>
        <v>6023</v>
      </c>
      <c r="F22" s="331">
        <f t="shared" si="16"/>
        <v>1108642.8526583998</v>
      </c>
      <c r="G22" s="330">
        <f t="shared" si="16"/>
        <v>507270.9</v>
      </c>
      <c r="H22" s="331">
        <f t="shared" si="16"/>
        <v>76090.634999999995</v>
      </c>
      <c r="I22" s="331">
        <f t="shared" si="16"/>
        <v>73800.306886499995</v>
      </c>
      <c r="J22" s="329">
        <f t="shared" si="16"/>
        <v>-1034842.5457718999</v>
      </c>
      <c r="K22" s="255"/>
      <c r="L22" s="329">
        <f>S94</f>
        <v>-841464.4450336321</v>
      </c>
      <c r="M22" s="329">
        <f t="shared" ref="M22" si="17">J22-L22</f>
        <v>-193378.10073826776</v>
      </c>
      <c r="N22" s="255"/>
    </row>
    <row r="23" spans="1:14" ht="5.0999999999999996" customHeight="1" x14ac:dyDescent="0.3">
      <c r="B23" s="318"/>
      <c r="C23" s="318"/>
      <c r="D23" s="318"/>
      <c r="E23" s="318"/>
      <c r="F23" s="318"/>
      <c r="G23" s="318"/>
      <c r="H23" s="318"/>
      <c r="I23" s="318"/>
      <c r="J23" s="318"/>
      <c r="K23" s="255"/>
      <c r="L23" s="318"/>
      <c r="M23" s="318"/>
      <c r="N23" s="255"/>
    </row>
    <row r="24" spans="1:14" x14ac:dyDescent="0.3">
      <c r="B24" s="332" t="s">
        <v>165</v>
      </c>
      <c r="C24" s="331">
        <f>SUM(C11:C22)</f>
        <v>9222971.3267999981</v>
      </c>
      <c r="D24" s="330">
        <f t="shared" ref="D24:I24" si="18">SUM(D11:D22)</f>
        <v>308653.49999999994</v>
      </c>
      <c r="E24" s="331">
        <f t="shared" si="18"/>
        <v>46298</v>
      </c>
      <c r="F24" s="331">
        <f t="shared" si="18"/>
        <v>8900455.4596633185</v>
      </c>
      <c r="G24" s="330">
        <f t="shared" si="18"/>
        <v>5420129.0000000009</v>
      </c>
      <c r="H24" s="331">
        <f t="shared" si="18"/>
        <v>813019.35000000021</v>
      </c>
      <c r="I24" s="331">
        <f t="shared" si="18"/>
        <v>788547.46756499994</v>
      </c>
      <c r="J24" s="329">
        <f>SUM(J10:J22)</f>
        <v>-4977390.9920983193</v>
      </c>
      <c r="K24" s="255"/>
      <c r="L24" s="329">
        <f>SUM(L10:L22)</f>
        <v>-4616485.4327451605</v>
      </c>
      <c r="M24" s="329">
        <f>SUM(M11:M22)</f>
        <v>-360905.55935315904</v>
      </c>
      <c r="N24" s="255"/>
    </row>
    <row r="25" spans="1:14" x14ac:dyDescent="0.3">
      <c r="B25" s="255"/>
      <c r="C25" s="255"/>
      <c r="D25" s="255"/>
      <c r="E25" s="255"/>
      <c r="F25" s="339"/>
      <c r="G25" s="345"/>
      <c r="H25" s="255"/>
      <c r="I25" s="255"/>
      <c r="J25" s="255"/>
      <c r="K25" s="255"/>
      <c r="L25" s="255"/>
      <c r="M25" s="255"/>
      <c r="N25" s="255"/>
    </row>
    <row r="26" spans="1:14" x14ac:dyDescent="0.3">
      <c r="B26" s="255"/>
      <c r="C26" s="255"/>
      <c r="D26" s="255"/>
      <c r="E26" s="255"/>
      <c r="F26" s="255"/>
      <c r="G26" s="255"/>
      <c r="H26" s="255"/>
      <c r="I26" s="333" t="s">
        <v>238</v>
      </c>
      <c r="J26" s="334">
        <f>J24</f>
        <v>-4977390.9920983193</v>
      </c>
      <c r="K26" s="255"/>
      <c r="L26" s="346">
        <f>L24</f>
        <v>-4616485.4327451605</v>
      </c>
      <c r="M26" s="346">
        <f>J26-L26</f>
        <v>-360905.55935315881</v>
      </c>
      <c r="N26" s="355" t="s">
        <v>220</v>
      </c>
    </row>
    <row r="27" spans="1:14" x14ac:dyDescent="0.3">
      <c r="B27" s="308" t="s">
        <v>222</v>
      </c>
      <c r="C27" s="308"/>
      <c r="D27" s="308"/>
      <c r="E27" s="308"/>
      <c r="F27" s="308"/>
      <c r="G27" s="255"/>
      <c r="H27" s="255"/>
      <c r="I27" s="255"/>
      <c r="J27" s="255"/>
      <c r="K27" s="255"/>
      <c r="L27" s="255"/>
      <c r="M27" s="255"/>
      <c r="N27" s="308" t="s">
        <v>239</v>
      </c>
    </row>
    <row r="28" spans="1:14" x14ac:dyDescent="0.3">
      <c r="B28" s="356" t="str">
        <f>"(1) - TAP Actual Discounts reflect water's "&amp;FIXED('Assumptions and Inputs'!$C$47*100, 1, 0)&amp;"% allocated portion of the Total TAP Discount."</f>
        <v>(1) - TAP Actual Discounts reflect water's 42.0% allocated portion of the Total TAP Discount.</v>
      </c>
      <c r="C28" s="308"/>
      <c r="D28" s="308"/>
      <c r="E28" s="308"/>
      <c r="F28" s="308"/>
      <c r="G28" s="255"/>
      <c r="H28" s="255"/>
      <c r="I28" s="255"/>
      <c r="J28" s="255"/>
      <c r="K28" s="255"/>
      <c r="L28" s="255"/>
      <c r="M28" s="255"/>
      <c r="N28" s="255"/>
    </row>
    <row r="29" spans="1:14" x14ac:dyDescent="0.3">
      <c r="B29" s="356" t="s">
        <v>240</v>
      </c>
      <c r="C29" s="308"/>
      <c r="D29" s="308"/>
      <c r="E29" s="308"/>
      <c r="F29" s="308"/>
      <c r="G29" s="255"/>
      <c r="H29" s="255"/>
      <c r="I29" s="255"/>
      <c r="J29" s="255"/>
      <c r="K29" s="255"/>
      <c r="L29" s="255"/>
      <c r="M29" s="255"/>
      <c r="N29" s="255"/>
    </row>
    <row r="30" spans="1:14" x14ac:dyDescent="0.3">
      <c r="B30" s="356" t="str">
        <f>"(3) &amp; (6) - Water TAP-R Rates per "&amp;TEXT('Assumptions and Inputs'!F27,)&amp;" "&amp;TEXT('Assumptions and Inputs'!G27,)&amp;"."</f>
        <v>(3) &amp; (6) - Water TAP-R Rates per PWD Regulations - Rates and Charges Effective September 1, 2023 Section 10.3(a)(1).</v>
      </c>
      <c r="C30" s="308"/>
      <c r="D30" s="308"/>
      <c r="E30" s="308"/>
      <c r="F30" s="308"/>
      <c r="G30" s="255"/>
      <c r="H30" s="255"/>
      <c r="I30" s="255"/>
      <c r="J30" s="255"/>
      <c r="K30" s="255"/>
      <c r="L30" s="255"/>
      <c r="M30" s="255"/>
      <c r="N30" s="255"/>
    </row>
    <row r="31" spans="1:14" x14ac:dyDescent="0.3">
      <c r="B31" s="356" t="str">
        <f>"(4) &amp; (7) - Adjusted for system-wide collection factor in accordance with "&amp;'Assumptions and Inputs'!F45&amp;" "&amp;'Assumptions and Inputs'!G45&amp;"."</f>
        <v>(4) &amp; (7) - Adjusted for system-wide collection factor in accordance with PWD Regulations - Rates and Charges Effective September 1, 2023 Section 10.1(b)(3).</v>
      </c>
      <c r="C31" s="308"/>
      <c r="D31" s="308"/>
      <c r="E31" s="308"/>
      <c r="F31" s="308"/>
      <c r="G31" s="255"/>
      <c r="H31" s="255"/>
      <c r="I31" s="255"/>
      <c r="J31" s="255"/>
      <c r="K31" s="255"/>
      <c r="L31" s="255"/>
      <c r="M31" s="255"/>
      <c r="N31" s="255"/>
    </row>
    <row r="32" spans="1:14" x14ac:dyDescent="0.3">
      <c r="B32" s="357" t="s">
        <v>241</v>
      </c>
      <c r="C32" s="308"/>
      <c r="D32" s="308"/>
      <c r="E32" s="308"/>
      <c r="F32" s="308"/>
      <c r="G32" s="255"/>
      <c r="H32" s="255"/>
      <c r="I32" s="255"/>
      <c r="J32" s="255"/>
      <c r="K32" s="255"/>
      <c r="L32" s="255"/>
      <c r="M32" s="255"/>
      <c r="N32" s="255"/>
    </row>
    <row r="33" spans="2:14" x14ac:dyDescent="0.3">
      <c r="B33" s="357" t="s">
        <v>242</v>
      </c>
      <c r="C33" s="308"/>
      <c r="D33" s="308"/>
      <c r="E33" s="308"/>
      <c r="F33" s="308"/>
      <c r="G33" s="255"/>
      <c r="H33" s="255"/>
      <c r="I33" s="255"/>
      <c r="J33" s="255"/>
      <c r="K33" s="255"/>
      <c r="L33" s="255"/>
      <c r="M33" s="255"/>
      <c r="N33" s="255"/>
    </row>
    <row r="34" spans="2:14" x14ac:dyDescent="0.3">
      <c r="B34" s="357" t="str">
        <f>"(9) - Over/(Under) Collection for "&amp;TEXT(B11,"MMMM YYYY")&amp;" to "&amp;TEXT(B22,"MMMM YYYY")&amp;" as calculated during the prior TAP-R Reconciliation Determination."</f>
        <v>(9) - Over/(Under) Collection for September 2023 to August 2024 as calculated during the prior TAP-R Reconciliation Determination.</v>
      </c>
      <c r="C34" s="308"/>
      <c r="D34" s="308"/>
      <c r="E34" s="308"/>
      <c r="F34" s="308"/>
      <c r="G34" s="255"/>
      <c r="H34" s="255"/>
      <c r="I34" s="255"/>
      <c r="J34" s="255"/>
      <c r="K34" s="255"/>
      <c r="L34" s="255"/>
      <c r="M34" s="255"/>
      <c r="N34" s="255"/>
    </row>
    <row r="35" spans="2:14" x14ac:dyDescent="0.3">
      <c r="B35" s="357" t="s">
        <v>243</v>
      </c>
      <c r="C35" s="308"/>
      <c r="D35" s="308"/>
      <c r="E35" s="308"/>
      <c r="F35" s="308"/>
      <c r="G35" s="255"/>
      <c r="H35" s="255"/>
      <c r="I35" s="255"/>
      <c r="J35" s="255"/>
      <c r="K35" s="255"/>
      <c r="L35" s="255"/>
      <c r="M35" s="255"/>
      <c r="N35" s="255"/>
    </row>
    <row r="36" spans="2:14" x14ac:dyDescent="0.3"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</row>
    <row r="37" spans="2:14" x14ac:dyDescent="0.3">
      <c r="B37" s="316" t="str">
        <f>B114</f>
        <v xml:space="preserve">Philadelphia Water Department 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255"/>
    </row>
    <row r="38" spans="2:14" ht="15" thickBot="1" x14ac:dyDescent="0.35">
      <c r="B38" s="316" t="str">
        <f>B115</f>
        <v xml:space="preserve">Table 3-WW-A - Prior Reconciliation Adjustment - Experienced &amp; Estimated Net Over/(Under) Collection (E-Factor) for Most Recent Period 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255"/>
    </row>
    <row r="39" spans="2:14" ht="15" thickBot="1" x14ac:dyDescent="0.35">
      <c r="B39" s="255"/>
      <c r="C39" s="316" t="str">
        <f>C116</f>
        <v>Prior Reconciliation Period with Updated Actuals</v>
      </c>
      <c r="D39" s="316"/>
      <c r="E39" s="316"/>
      <c r="F39" s="316"/>
      <c r="G39" s="316"/>
      <c r="H39" s="316"/>
      <c r="I39" s="316"/>
      <c r="J39" s="316"/>
      <c r="K39" s="255"/>
      <c r="L39" s="343" t="str">
        <f>L4</f>
        <v>Original Estimates</v>
      </c>
      <c r="M39" s="344" t="s">
        <v>235</v>
      </c>
      <c r="N39" s="255"/>
    </row>
    <row r="40" spans="2:14" x14ac:dyDescent="0.3">
      <c r="B40" s="323" t="str">
        <f>B117</f>
        <v>Billing</v>
      </c>
      <c r="C40" s="323" t="str">
        <f>C117</f>
        <v>Total Actual TAP</v>
      </c>
      <c r="D40" s="323" t="str">
        <f t="shared" ref="D40:J41" si="19">D117</f>
        <v>Billed</v>
      </c>
      <c r="E40" s="323" t="str">
        <f t="shared" si="19"/>
        <v>Total TAP-R</v>
      </c>
      <c r="F40" s="323" t="str">
        <f t="shared" si="19"/>
        <v>Adjusted Actual TAP</v>
      </c>
      <c r="G40" s="323" t="str">
        <f t="shared" si="19"/>
        <v>Billed Non-TAP</v>
      </c>
      <c r="H40" s="323" t="str">
        <f t="shared" si="19"/>
        <v>TAP-R Billed</v>
      </c>
      <c r="I40" s="323" t="str">
        <f t="shared" si="19"/>
        <v>Estimated TAP-R</v>
      </c>
      <c r="J40" s="323" t="str">
        <f t="shared" si="19"/>
        <v>Over/(Under)</v>
      </c>
      <c r="K40" s="348"/>
      <c r="L40" s="323" t="str">
        <f>S117</f>
        <v>Over/(Under)</v>
      </c>
      <c r="M40" s="323" t="str">
        <f>U77</f>
        <v xml:space="preserve">Delta </v>
      </c>
      <c r="N40" s="255"/>
    </row>
    <row r="41" spans="2:14" x14ac:dyDescent="0.3">
      <c r="B41" s="322" t="str">
        <f>B118</f>
        <v>Period</v>
      </c>
      <c r="C41" s="322" t="str">
        <f>C118</f>
        <v>Discounts</v>
      </c>
      <c r="D41" s="322" t="str">
        <f t="shared" si="19"/>
        <v>Sewer Volume</v>
      </c>
      <c r="E41" s="322" t="str">
        <f t="shared" si="19"/>
        <v xml:space="preserve">Billed </v>
      </c>
      <c r="F41" s="322" t="str">
        <f t="shared" si="19"/>
        <v>Discounts</v>
      </c>
      <c r="G41" s="322" t="str">
        <f t="shared" si="19"/>
        <v>Sewer Volume</v>
      </c>
      <c r="H41" s="322" t="str">
        <f t="shared" si="19"/>
        <v>Non-Tap Water Sales</v>
      </c>
      <c r="I41" s="322" t="str">
        <f t="shared" si="19"/>
        <v xml:space="preserve">Revenues </v>
      </c>
      <c r="J41" s="322" t="str">
        <f t="shared" si="19"/>
        <v>Collection</v>
      </c>
      <c r="K41" s="348"/>
      <c r="L41" s="322" t="str">
        <f>S118</f>
        <v>Collection</v>
      </c>
      <c r="M41" s="322"/>
      <c r="N41" s="255"/>
    </row>
    <row r="42" spans="2:14" x14ac:dyDescent="0.3">
      <c r="B42" s="322"/>
      <c r="C42" s="322" t="str">
        <f>C119</f>
        <v xml:space="preserve">(Credits) </v>
      </c>
      <c r="D42" s="322" t="str">
        <f>D119</f>
        <v>TAP Participants</v>
      </c>
      <c r="E42" s="322" t="str">
        <f>E119</f>
        <v>to TAP Participants</v>
      </c>
      <c r="F42" s="322" t="str">
        <f>F119</f>
        <v xml:space="preserve">(Credits) </v>
      </c>
      <c r="G42" s="322" t="str">
        <f>G119</f>
        <v>(Mcf)</v>
      </c>
      <c r="H42" s="322"/>
      <c r="I42" s="322" t="str">
        <f>I119</f>
        <v>Experienced</v>
      </c>
      <c r="J42" s="322"/>
      <c r="K42" s="348"/>
      <c r="L42" s="322"/>
      <c r="M42" s="322"/>
      <c r="N42" s="255"/>
    </row>
    <row r="43" spans="2:14" x14ac:dyDescent="0.3">
      <c r="B43" s="322"/>
      <c r="C43" s="322"/>
      <c r="D43" s="322" t="str">
        <f t="shared" ref="D43:F44" si="20">D120</f>
        <v>(Mcf)</v>
      </c>
      <c r="E43" s="322">
        <f t="shared" si="20"/>
        <v>0.24</v>
      </c>
      <c r="F43" s="322">
        <f t="shared" si="20"/>
        <v>0.96989999999999998</v>
      </c>
      <c r="G43" s="322"/>
      <c r="H43" s="322">
        <f>H120</f>
        <v>0.24</v>
      </c>
      <c r="I43" s="322">
        <f>I120</f>
        <v>0.96989999999999998</v>
      </c>
      <c r="J43" s="322"/>
      <c r="K43" s="348"/>
      <c r="L43" s="322"/>
      <c r="M43" s="322"/>
      <c r="N43" s="255"/>
    </row>
    <row r="44" spans="2:14" x14ac:dyDescent="0.3">
      <c r="B44" s="349"/>
      <c r="C44" s="349" t="str">
        <f>C121</f>
        <v>(1)</v>
      </c>
      <c r="D44" s="349" t="str">
        <f t="shared" si="20"/>
        <v>(2)</v>
      </c>
      <c r="E44" s="349" t="str">
        <f t="shared" si="20"/>
        <v>(3) = (2) * $ 0.240/Mcf</v>
      </c>
      <c r="F44" s="349" t="str">
        <f t="shared" si="20"/>
        <v>(4) = [(1) - (3)]* 0.9699</v>
      </c>
      <c r="G44" s="349" t="str">
        <f>G121</f>
        <v>(5)</v>
      </c>
      <c r="H44" s="349" t="str">
        <f>H121</f>
        <v>(6) = (5) * $ 0.240/Mcf</v>
      </c>
      <c r="I44" s="349" t="str">
        <f>I121</f>
        <v>(7) = (6) * 0.9699</v>
      </c>
      <c r="J44" s="349" t="str">
        <f>J121</f>
        <v>(8) = (7) - (4)</v>
      </c>
      <c r="K44" s="348"/>
      <c r="L44" s="349" t="s">
        <v>236</v>
      </c>
      <c r="M44" s="349" t="s">
        <v>237</v>
      </c>
      <c r="N44" s="255"/>
    </row>
    <row r="45" spans="2:14" x14ac:dyDescent="0.3">
      <c r="B45" s="350"/>
      <c r="C45" s="351"/>
      <c r="D45" s="351"/>
      <c r="E45" s="351"/>
      <c r="F45" s="351"/>
      <c r="G45" s="351"/>
      <c r="H45" s="351"/>
      <c r="I45" s="352" t="s">
        <v>217</v>
      </c>
      <c r="J45" s="353">
        <f>J122</f>
        <v>4689002</v>
      </c>
      <c r="K45" s="348"/>
      <c r="L45" s="353">
        <f>S122</f>
        <v>4689002</v>
      </c>
      <c r="M45" s="351"/>
      <c r="N45" s="255"/>
    </row>
    <row r="46" spans="2:14" x14ac:dyDescent="0.3">
      <c r="B46" s="328">
        <f t="shared" ref="B46:J46" si="21">B123</f>
        <v>45170</v>
      </c>
      <c r="C46" s="329">
        <f t="shared" si="21"/>
        <v>717219.38120000006</v>
      </c>
      <c r="D46" s="330">
        <f t="shared" si="21"/>
        <v>15843.5</v>
      </c>
      <c r="E46" s="331">
        <f t="shared" si="21"/>
        <v>3802.44</v>
      </c>
      <c r="F46" s="329">
        <f t="shared" si="21"/>
        <v>691943.09126988007</v>
      </c>
      <c r="G46" s="330">
        <f t="shared" si="21"/>
        <v>492840.7</v>
      </c>
      <c r="H46" s="331">
        <f t="shared" si="21"/>
        <v>118282</v>
      </c>
      <c r="I46" s="331">
        <f t="shared" si="21"/>
        <v>114721.7118</v>
      </c>
      <c r="J46" s="329">
        <f t="shared" si="21"/>
        <v>-577221.37946988002</v>
      </c>
      <c r="K46" s="255"/>
      <c r="L46" s="329">
        <f t="shared" ref="L46:L56" si="22">S123</f>
        <v>-577221.80622588005</v>
      </c>
      <c r="M46" s="329">
        <f>J46-L46</f>
        <v>0.42675600002985448</v>
      </c>
      <c r="N46" s="255"/>
    </row>
    <row r="47" spans="2:14" x14ac:dyDescent="0.3">
      <c r="B47" s="328">
        <f t="shared" ref="B47:J47" si="23">B124</f>
        <v>45200</v>
      </c>
      <c r="C47" s="331">
        <f t="shared" si="23"/>
        <v>692827.64359999995</v>
      </c>
      <c r="D47" s="330">
        <f t="shared" si="23"/>
        <v>14414.4</v>
      </c>
      <c r="E47" s="331">
        <f t="shared" si="23"/>
        <v>3459.4559999999997</v>
      </c>
      <c r="F47" s="331">
        <f t="shared" si="23"/>
        <v>668618.20515323989</v>
      </c>
      <c r="G47" s="330">
        <f t="shared" si="23"/>
        <v>420550.3</v>
      </c>
      <c r="H47" s="331">
        <f t="shared" si="23"/>
        <v>100932</v>
      </c>
      <c r="I47" s="331">
        <f t="shared" si="23"/>
        <v>97893.946800000005</v>
      </c>
      <c r="J47" s="329">
        <f t="shared" si="23"/>
        <v>-570724.25835323986</v>
      </c>
      <c r="K47" s="255"/>
      <c r="L47" s="329">
        <f t="shared" si="22"/>
        <v>-570724.70062763989</v>
      </c>
      <c r="M47" s="329">
        <f t="shared" ref="M47:M56" si="24">J47-L47</f>
        <v>0.44227440003305674</v>
      </c>
      <c r="N47" s="255"/>
    </row>
    <row r="48" spans="2:14" x14ac:dyDescent="0.3">
      <c r="B48" s="328">
        <f t="shared" ref="B48:J48" si="25">B125</f>
        <v>45231</v>
      </c>
      <c r="C48" s="329">
        <f t="shared" si="25"/>
        <v>735380.27740000002</v>
      </c>
      <c r="D48" s="330">
        <f t="shared" si="25"/>
        <v>15239.1</v>
      </c>
      <c r="E48" s="329">
        <f t="shared" si="25"/>
        <v>3657.384</v>
      </c>
      <c r="F48" s="329">
        <f t="shared" si="25"/>
        <v>709698.03430866008</v>
      </c>
      <c r="G48" s="330">
        <f t="shared" si="25"/>
        <v>422652.2</v>
      </c>
      <c r="H48" s="331">
        <f t="shared" si="25"/>
        <v>101437</v>
      </c>
      <c r="I48" s="331">
        <f t="shared" si="25"/>
        <v>98383.746299999999</v>
      </c>
      <c r="J48" s="329">
        <f t="shared" si="25"/>
        <v>-611314.28800866008</v>
      </c>
      <c r="K48" s="255"/>
      <c r="L48" s="329">
        <f t="shared" si="22"/>
        <v>-611314.66045026004</v>
      </c>
      <c r="M48" s="329">
        <f t="shared" si="24"/>
        <v>0.37244159996043891</v>
      </c>
      <c r="N48" s="255"/>
    </row>
    <row r="49" spans="2:14" x14ac:dyDescent="0.3">
      <c r="B49" s="328">
        <f t="shared" ref="B49:J49" si="26">B126</f>
        <v>45261</v>
      </c>
      <c r="C49" s="331">
        <f t="shared" si="26"/>
        <v>746727.27559999982</v>
      </c>
      <c r="D49" s="330">
        <f t="shared" si="26"/>
        <v>15414.7</v>
      </c>
      <c r="E49" s="331">
        <f t="shared" si="26"/>
        <v>3699.5280000000002</v>
      </c>
      <c r="F49" s="331">
        <f t="shared" si="26"/>
        <v>720662.61239723978</v>
      </c>
      <c r="G49" s="330">
        <f t="shared" si="26"/>
        <v>423419.1</v>
      </c>
      <c r="H49" s="331">
        <f t="shared" si="26"/>
        <v>101621</v>
      </c>
      <c r="I49" s="331">
        <f t="shared" si="26"/>
        <v>98562.207899999994</v>
      </c>
      <c r="J49" s="329">
        <f t="shared" si="26"/>
        <v>-622100.40449723974</v>
      </c>
      <c r="K49" s="255"/>
      <c r="L49" s="329">
        <f t="shared" si="22"/>
        <v>-622099.94670443982</v>
      </c>
      <c r="M49" s="329">
        <f t="shared" si="24"/>
        <v>-0.45779279991984367</v>
      </c>
      <c r="N49" s="255"/>
    </row>
    <row r="50" spans="2:14" x14ac:dyDescent="0.3">
      <c r="B50" s="328">
        <f t="shared" ref="B50:J50" si="27">B127</f>
        <v>45292</v>
      </c>
      <c r="C50" s="329">
        <f t="shared" si="27"/>
        <v>775542.7892</v>
      </c>
      <c r="D50" s="330">
        <f t="shared" si="27"/>
        <v>16003.4</v>
      </c>
      <c r="E50" s="329">
        <f t="shared" si="27"/>
        <v>3840.8159999999998</v>
      </c>
      <c r="F50" s="329">
        <f t="shared" si="27"/>
        <v>748473.74380667997</v>
      </c>
      <c r="G50" s="330">
        <f t="shared" si="27"/>
        <v>423003</v>
      </c>
      <c r="H50" s="331">
        <f t="shared" si="27"/>
        <v>101521</v>
      </c>
      <c r="I50" s="331">
        <f t="shared" si="27"/>
        <v>98465.217900000003</v>
      </c>
      <c r="J50" s="329">
        <f t="shared" si="27"/>
        <v>-650008.52590667992</v>
      </c>
      <c r="K50" s="255"/>
      <c r="L50" s="329">
        <f t="shared" si="22"/>
        <v>-650008.34744507994</v>
      </c>
      <c r="M50" s="329">
        <f t="shared" si="24"/>
        <v>-0.17846159997861832</v>
      </c>
      <c r="N50" s="255"/>
    </row>
    <row r="51" spans="2:14" x14ac:dyDescent="0.3">
      <c r="B51" s="328">
        <f t="shared" ref="B51:J51" si="28">B128</f>
        <v>45323</v>
      </c>
      <c r="C51" s="331">
        <f t="shared" si="28"/>
        <v>884118.22659999994</v>
      </c>
      <c r="D51" s="330">
        <f t="shared" si="28"/>
        <v>19362.3</v>
      </c>
      <c r="E51" s="331">
        <f t="shared" si="28"/>
        <v>4646.9519999999993</v>
      </c>
      <c r="F51" s="331">
        <f t="shared" si="28"/>
        <v>852999.18923453987</v>
      </c>
      <c r="G51" s="330">
        <f t="shared" si="28"/>
        <v>417930.9</v>
      </c>
      <c r="H51" s="331">
        <f t="shared" si="28"/>
        <v>100303</v>
      </c>
      <c r="I51" s="331">
        <f t="shared" si="28"/>
        <v>97283.879700000005</v>
      </c>
      <c r="J51" s="329">
        <f t="shared" si="28"/>
        <v>-755715.30953453982</v>
      </c>
      <c r="K51" s="255"/>
      <c r="L51" s="329">
        <f t="shared" si="22"/>
        <v>-755715.26297933992</v>
      </c>
      <c r="M51" s="329">
        <f t="shared" si="24"/>
        <v>-4.6555199893191457E-2</v>
      </c>
      <c r="N51" s="255"/>
    </row>
    <row r="52" spans="2:14" x14ac:dyDescent="0.3">
      <c r="B52" s="328">
        <f t="shared" ref="B52:J52" si="29">B129</f>
        <v>45352</v>
      </c>
      <c r="C52" s="329">
        <f t="shared" si="29"/>
        <v>1171874.6764</v>
      </c>
      <c r="D52" s="330">
        <f t="shared" si="29"/>
        <v>30027.1</v>
      </c>
      <c r="E52" s="329">
        <f t="shared" si="29"/>
        <v>7206.503999999999</v>
      </c>
      <c r="F52" s="329">
        <f t="shared" si="29"/>
        <v>1129611.66041076</v>
      </c>
      <c r="G52" s="330">
        <f t="shared" si="29"/>
        <v>385256.6</v>
      </c>
      <c r="H52" s="331">
        <f t="shared" si="29"/>
        <v>92462</v>
      </c>
      <c r="I52" s="331">
        <f t="shared" si="29"/>
        <v>89678.893800000005</v>
      </c>
      <c r="J52" s="329">
        <f t="shared" si="29"/>
        <v>-1039932.76661076</v>
      </c>
      <c r="K52" s="255"/>
      <c r="L52" s="329">
        <f t="shared" si="22"/>
        <v>-1039932.28554036</v>
      </c>
      <c r="M52" s="329">
        <f t="shared" si="24"/>
        <v>-0.48107039998285472</v>
      </c>
      <c r="N52" s="255"/>
    </row>
    <row r="53" spans="2:14" x14ac:dyDescent="0.3">
      <c r="B53" s="328">
        <f t="shared" ref="B53:J53" si="30">B130</f>
        <v>45383</v>
      </c>
      <c r="C53" s="331">
        <f t="shared" si="30"/>
        <v>1214622.5323999999</v>
      </c>
      <c r="D53" s="330">
        <f t="shared" si="30"/>
        <v>32587.4</v>
      </c>
      <c r="E53" s="331">
        <f t="shared" si="30"/>
        <v>7820.9759999999997</v>
      </c>
      <c r="F53" s="331">
        <f t="shared" si="30"/>
        <v>1170476.8295523599</v>
      </c>
      <c r="G53" s="330">
        <f t="shared" si="30"/>
        <v>374615.5</v>
      </c>
      <c r="H53" s="331">
        <f t="shared" si="30"/>
        <v>89908</v>
      </c>
      <c r="I53" s="331">
        <f t="shared" si="30"/>
        <v>87201.769199999995</v>
      </c>
      <c r="J53" s="329">
        <f t="shared" si="30"/>
        <v>-1083275.0603523599</v>
      </c>
      <c r="K53" s="255"/>
      <c r="L53" s="329">
        <f>S130</f>
        <v>-1152032.0355559681</v>
      </c>
      <c r="M53" s="329">
        <f t="shared" si="24"/>
        <v>68756.975203608163</v>
      </c>
      <c r="N53" s="255"/>
    </row>
    <row r="54" spans="2:14" x14ac:dyDescent="0.3">
      <c r="B54" s="328">
        <f t="shared" ref="B54:J54" si="31">B131</f>
        <v>45413</v>
      </c>
      <c r="C54" s="329">
        <f t="shared" si="31"/>
        <v>1374063.5289999999</v>
      </c>
      <c r="D54" s="330">
        <f t="shared" si="31"/>
        <v>36400.1</v>
      </c>
      <c r="E54" s="329">
        <f t="shared" si="31"/>
        <v>8736.0239999999994</v>
      </c>
      <c r="F54" s="329">
        <f t="shared" si="31"/>
        <v>1324231.1470994998</v>
      </c>
      <c r="G54" s="330">
        <f t="shared" si="31"/>
        <v>413472.4</v>
      </c>
      <c r="H54" s="331">
        <f t="shared" si="31"/>
        <v>99233</v>
      </c>
      <c r="I54" s="331">
        <f t="shared" si="31"/>
        <v>96246.0867</v>
      </c>
      <c r="J54" s="329">
        <f t="shared" si="31"/>
        <v>-1227985.0603994997</v>
      </c>
      <c r="K54" s="255"/>
      <c r="L54" s="329">
        <f t="shared" si="22"/>
        <v>-1152032.0355559681</v>
      </c>
      <c r="M54" s="329">
        <f t="shared" si="24"/>
        <v>-75953.024843531661</v>
      </c>
      <c r="N54" s="255"/>
    </row>
    <row r="55" spans="2:14" x14ac:dyDescent="0.3">
      <c r="B55" s="328">
        <f t="shared" ref="B55:J55" si="32">B132</f>
        <v>45444</v>
      </c>
      <c r="C55" s="331">
        <f t="shared" si="32"/>
        <v>1363982.7635999999</v>
      </c>
      <c r="D55" s="330">
        <f t="shared" si="32"/>
        <v>35166</v>
      </c>
      <c r="E55" s="331">
        <f t="shared" si="32"/>
        <v>8439.84</v>
      </c>
      <c r="F55" s="331">
        <f t="shared" si="32"/>
        <v>1314741.08159964</v>
      </c>
      <c r="G55" s="330">
        <f t="shared" si="32"/>
        <v>410489</v>
      </c>
      <c r="H55" s="331">
        <f t="shared" si="32"/>
        <v>98517</v>
      </c>
      <c r="I55" s="331">
        <f t="shared" si="32"/>
        <v>95551.638299999991</v>
      </c>
      <c r="J55" s="329">
        <f t="shared" si="32"/>
        <v>-1219189.44329964</v>
      </c>
      <c r="K55" s="255"/>
      <c r="L55" s="329">
        <f t="shared" si="22"/>
        <v>-1152032.0355559681</v>
      </c>
      <c r="M55" s="329">
        <f t="shared" si="24"/>
        <v>-67157.407743671909</v>
      </c>
      <c r="N55" s="255"/>
    </row>
    <row r="56" spans="2:14" x14ac:dyDescent="0.3">
      <c r="B56" s="328">
        <f t="shared" ref="B56:J57" si="33">B133</f>
        <v>45474</v>
      </c>
      <c r="C56" s="329">
        <f t="shared" si="33"/>
        <v>1473311.9342</v>
      </c>
      <c r="D56" s="330">
        <f t="shared" si="33"/>
        <v>37858.5</v>
      </c>
      <c r="E56" s="329">
        <f t="shared" si="33"/>
        <v>9086.0399999999991</v>
      </c>
      <c r="F56" s="329">
        <f t="shared" si="33"/>
        <v>1420152.69478458</v>
      </c>
      <c r="G56" s="330">
        <f t="shared" si="33"/>
        <v>464443.4</v>
      </c>
      <c r="H56" s="331">
        <f t="shared" si="33"/>
        <v>111466</v>
      </c>
      <c r="I56" s="331">
        <f t="shared" si="33"/>
        <v>108110.8734</v>
      </c>
      <c r="J56" s="329">
        <f t="shared" si="33"/>
        <v>-1312041.8213845801</v>
      </c>
      <c r="K56" s="255"/>
      <c r="L56" s="329">
        <f t="shared" si="22"/>
        <v>-1152032.0355559681</v>
      </c>
      <c r="M56" s="329">
        <f t="shared" si="24"/>
        <v>-160009.78582861205</v>
      </c>
      <c r="N56" s="255"/>
    </row>
    <row r="57" spans="2:14" x14ac:dyDescent="0.3">
      <c r="B57" s="328">
        <f t="shared" si="33"/>
        <v>45505</v>
      </c>
      <c r="C57" s="331">
        <f t="shared" si="33"/>
        <v>1586813.1839999999</v>
      </c>
      <c r="D57" s="330">
        <f t="shared" si="33"/>
        <v>40109.300000000003</v>
      </c>
      <c r="E57" s="331">
        <f t="shared" si="33"/>
        <v>9626.232</v>
      </c>
      <c r="F57" s="331">
        <f t="shared" si="33"/>
        <v>1529713.6247447997</v>
      </c>
      <c r="G57" s="330">
        <f t="shared" si="33"/>
        <v>474078.4</v>
      </c>
      <c r="H57" s="331">
        <f t="shared" si="33"/>
        <v>113779</v>
      </c>
      <c r="I57" s="331">
        <f t="shared" si="33"/>
        <v>110354.2521</v>
      </c>
      <c r="J57" s="329">
        <f t="shared" si="33"/>
        <v>-1419359.3726447998</v>
      </c>
      <c r="K57" s="255"/>
      <c r="L57" s="329">
        <f t="shared" ref="L57" si="34">S134</f>
        <v>-1152032.0355559681</v>
      </c>
      <c r="M57" s="329">
        <f t="shared" ref="M57" si="35">J57-L57</f>
        <v>-267327.3370888317</v>
      </c>
      <c r="N57" s="255"/>
    </row>
    <row r="58" spans="2:14" ht="5.0999999999999996" customHeight="1" x14ac:dyDescent="0.3">
      <c r="B58" s="318"/>
      <c r="C58" s="318"/>
      <c r="D58" s="318"/>
      <c r="E58" s="318"/>
      <c r="F58" s="318"/>
      <c r="G58" s="318"/>
      <c r="H58" s="318"/>
      <c r="I58" s="318"/>
      <c r="J58" s="318"/>
      <c r="K58" s="255"/>
      <c r="L58" s="318"/>
      <c r="M58" s="318"/>
      <c r="N58" s="255"/>
    </row>
    <row r="59" spans="2:14" x14ac:dyDescent="0.3">
      <c r="B59" s="332" t="s">
        <v>165</v>
      </c>
      <c r="C59" s="331">
        <f>SUM(C46:C57)</f>
        <v>12736484.213199999</v>
      </c>
      <c r="D59" s="330">
        <f t="shared" ref="D59:I59" si="36">SUM(D46:D57)</f>
        <v>308425.8</v>
      </c>
      <c r="E59" s="331">
        <f t="shared" si="36"/>
        <v>74022.191999999995</v>
      </c>
      <c r="F59" s="331">
        <f t="shared" si="36"/>
        <v>12281321.914361877</v>
      </c>
      <c r="G59" s="330">
        <f t="shared" si="36"/>
        <v>5122751.5</v>
      </c>
      <c r="H59" s="331">
        <f t="shared" si="36"/>
        <v>1229461</v>
      </c>
      <c r="I59" s="331">
        <f t="shared" si="36"/>
        <v>1192454.2238999999</v>
      </c>
      <c r="J59" s="329">
        <f>SUM(J45:J57)</f>
        <v>-6399865.6904618787</v>
      </c>
      <c r="K59" s="255"/>
      <c r="L59" s="329">
        <f>SUM(L45:L57)</f>
        <v>-5898175.1877528401</v>
      </c>
      <c r="M59" s="329">
        <f>SUM(M46:M57)</f>
        <v>-501690.5027090389</v>
      </c>
      <c r="N59" s="255"/>
    </row>
    <row r="60" spans="2:14" x14ac:dyDescent="0.3">
      <c r="B60" s="255"/>
      <c r="C60" s="255"/>
      <c r="D60" s="255"/>
      <c r="E60" s="255"/>
      <c r="F60" s="339"/>
      <c r="G60" s="345"/>
      <c r="H60" s="255"/>
      <c r="I60" s="255"/>
      <c r="J60" s="255"/>
      <c r="K60" s="255"/>
      <c r="L60" s="255"/>
      <c r="M60" s="255"/>
      <c r="N60" s="255"/>
    </row>
    <row r="61" spans="2:14" x14ac:dyDescent="0.3">
      <c r="B61" s="255"/>
      <c r="C61" s="255"/>
      <c r="D61" s="255"/>
      <c r="E61" s="255"/>
      <c r="F61" s="255"/>
      <c r="G61" s="255"/>
      <c r="H61" s="255"/>
      <c r="I61" s="333" t="s">
        <v>238</v>
      </c>
      <c r="J61" s="334">
        <f>J59</f>
        <v>-6399865.6904618787</v>
      </c>
      <c r="K61" s="255"/>
      <c r="L61" s="346">
        <f>L59</f>
        <v>-5898175.1877528401</v>
      </c>
      <c r="M61" s="346">
        <f>J61-L61</f>
        <v>-501690.50270903856</v>
      </c>
      <c r="N61" s="354" t="s">
        <v>328</v>
      </c>
    </row>
    <row r="62" spans="2:14" x14ac:dyDescent="0.3">
      <c r="B62" s="308" t="s">
        <v>222</v>
      </c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308" t="s">
        <v>244</v>
      </c>
    </row>
    <row r="63" spans="2:14" x14ac:dyDescent="0.3">
      <c r="B63" s="338" t="str">
        <f>"(1) - TAP Actual Discounts reflects sewer's "&amp;FIXED('Assumptions and Inputs'!$C$49*100, 1, 0)&amp;"% allocated portion of the Total TAP Discount."</f>
        <v>(1) - TAP Actual Discounts reflects sewer's 58.0% allocated portion of the Total TAP Discount.</v>
      </c>
      <c r="N63" s="314"/>
    </row>
    <row r="64" spans="2:14" x14ac:dyDescent="0.3">
      <c r="B64" s="338" t="s">
        <v>240</v>
      </c>
    </row>
    <row r="65" spans="1:22" x14ac:dyDescent="0.3">
      <c r="B65" s="338" t="str">
        <f>"(3) &amp; (6) - Sewer TAP-R Rates per PWD Regulations - Rates and Charges Effective "&amp;TEXT('Assumptions and Inputs'!F29,)&amp;" "&amp;TEXT('Assumptions and Inputs'!G29,)&amp;"."</f>
        <v>(3) &amp; (6) - Sewer TAP-R Rates per PWD Regulations - Rates and Charges Effective PWD Regulations - Rates and Charges Effective September 1, 2023 Section 10.3(b)(1).</v>
      </c>
    </row>
    <row r="66" spans="1:22" x14ac:dyDescent="0.3">
      <c r="B66" s="338" t="str">
        <f>"(4) &amp; (7) - Adjusted for system-wide collection factor in accordance with  "&amp;'Assumptions and Inputs'!F45&amp;" "&amp;'Assumptions and Inputs'!G45&amp;"."</f>
        <v>(4) &amp; (7) - Adjusted for system-wide collection factor in accordance with  PWD Regulations - Rates and Charges Effective September 1, 2023 Section 10.1(b)(3).</v>
      </c>
    </row>
    <row r="67" spans="1:22" x14ac:dyDescent="0.3">
      <c r="B67" s="338" t="str">
        <f>"(5) - Updated to reflect actual billed water sales volumes for April 2024 through August 2024."</f>
        <v>(5) - Updated to reflect actual billed water sales volumes for April 2024 through August 2024.</v>
      </c>
    </row>
    <row r="68" spans="1:22" x14ac:dyDescent="0.3">
      <c r="B68" s="358" t="s">
        <v>242</v>
      </c>
    </row>
    <row r="69" spans="1:22" x14ac:dyDescent="0.3">
      <c r="B69" s="358" t="str">
        <f>"(9) - Over/(Under) Collection for "&amp;TEXT(B46,"MMMM YYYY")&amp;" to "&amp;TEXT(B57,"MMMM YYYY")&amp;" as calculated during the prior TAP-R Reconciliation Determination."</f>
        <v>(9) - Over/(Under) Collection for September 2023 to August 2024 as calculated during the prior TAP-R Reconciliation Determination.</v>
      </c>
    </row>
    <row r="70" spans="1:22" x14ac:dyDescent="0.3">
      <c r="B70" s="358" t="s">
        <v>243</v>
      </c>
    </row>
    <row r="71" spans="1:22" x14ac:dyDescent="0.3">
      <c r="B71" s="67"/>
    </row>
    <row r="72" spans="1:22" x14ac:dyDescent="0.3">
      <c r="A72" s="68" t="s">
        <v>245</v>
      </c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</row>
    <row r="73" spans="1:22" x14ac:dyDescent="0.3"/>
    <row r="74" spans="1:22" x14ac:dyDescent="0.3">
      <c r="B74" s="20" t="s">
        <v>31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2" ht="15" thickBot="1" x14ac:dyDescent="0.35">
      <c r="B75" s="20" t="s">
        <v>327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2" ht="15" thickBot="1" x14ac:dyDescent="0.35">
      <c r="C76" s="59" t="s">
        <v>246</v>
      </c>
      <c r="D76" s="60"/>
      <c r="E76" s="60"/>
      <c r="F76" s="60"/>
      <c r="G76" s="60"/>
      <c r="H76" s="60"/>
      <c r="I76" s="60"/>
      <c r="J76" s="61"/>
      <c r="L76" s="71" t="s">
        <v>247</v>
      </c>
      <c r="M76" s="72"/>
      <c r="N76" s="72"/>
      <c r="O76" s="72"/>
      <c r="P76" s="72"/>
      <c r="Q76" s="72"/>
      <c r="R76" s="72"/>
      <c r="S76" s="73"/>
      <c r="U76" s="62" t="s">
        <v>235</v>
      </c>
    </row>
    <row r="77" spans="1:22" x14ac:dyDescent="0.3">
      <c r="B77" s="24" t="s">
        <v>197</v>
      </c>
      <c r="C77" s="25" t="s">
        <v>198</v>
      </c>
      <c r="D77" s="25" t="s">
        <v>199</v>
      </c>
      <c r="E77" s="25" t="s">
        <v>200</v>
      </c>
      <c r="F77" s="25" t="s">
        <v>201</v>
      </c>
      <c r="G77" s="25" t="s">
        <v>202</v>
      </c>
      <c r="H77" s="25" t="s">
        <v>203</v>
      </c>
      <c r="I77" s="25" t="s">
        <v>204</v>
      </c>
      <c r="J77" s="25" t="s">
        <v>205</v>
      </c>
      <c r="L77" s="24" t="s">
        <v>198</v>
      </c>
      <c r="M77" s="24" t="s">
        <v>199</v>
      </c>
      <c r="N77" s="24" t="s">
        <v>200</v>
      </c>
      <c r="O77" s="24" t="s">
        <v>201</v>
      </c>
      <c r="P77" s="24" t="s">
        <v>202</v>
      </c>
      <c r="Q77" s="24" t="s">
        <v>203</v>
      </c>
      <c r="R77" s="24" t="s">
        <v>204</v>
      </c>
      <c r="S77" s="25" t="s">
        <v>205</v>
      </c>
      <c r="U77" s="25" t="s">
        <v>248</v>
      </c>
    </row>
    <row r="78" spans="1:22" x14ac:dyDescent="0.3">
      <c r="B78" s="25" t="s">
        <v>196</v>
      </c>
      <c r="C78" s="25" t="s">
        <v>206</v>
      </c>
      <c r="D78" s="25" t="s">
        <v>207</v>
      </c>
      <c r="E78" s="25" t="s">
        <v>208</v>
      </c>
      <c r="F78" s="25" t="s">
        <v>206</v>
      </c>
      <c r="G78" s="25" t="s">
        <v>207</v>
      </c>
      <c r="H78" s="25" t="s">
        <v>209</v>
      </c>
      <c r="I78" s="25" t="s">
        <v>210</v>
      </c>
      <c r="J78" s="25" t="s">
        <v>211</v>
      </c>
      <c r="L78" s="25" t="s">
        <v>206</v>
      </c>
      <c r="M78" s="25" t="s">
        <v>207</v>
      </c>
      <c r="N78" s="25" t="s">
        <v>208</v>
      </c>
      <c r="O78" s="25" t="s">
        <v>206</v>
      </c>
      <c r="P78" s="25" t="s">
        <v>207</v>
      </c>
      <c r="Q78" s="25" t="s">
        <v>209</v>
      </c>
      <c r="R78" s="25" t="s">
        <v>210</v>
      </c>
      <c r="S78" s="25" t="s">
        <v>211</v>
      </c>
      <c r="U78" s="25" t="s">
        <v>249</v>
      </c>
    </row>
    <row r="79" spans="1:22" x14ac:dyDescent="0.3">
      <c r="B79" s="25"/>
      <c r="C79" s="25" t="s">
        <v>212</v>
      </c>
      <c r="D79" s="25" t="s">
        <v>213</v>
      </c>
      <c r="E79" s="25" t="s">
        <v>214</v>
      </c>
      <c r="F79" s="25" t="s">
        <v>212</v>
      </c>
      <c r="G79" s="25" t="s">
        <v>213</v>
      </c>
      <c r="H79" s="25"/>
      <c r="I79" s="25" t="s">
        <v>215</v>
      </c>
      <c r="J79" s="25"/>
      <c r="L79" s="25" t="s">
        <v>212</v>
      </c>
      <c r="M79" s="25" t="s">
        <v>213</v>
      </c>
      <c r="N79" s="25" t="s">
        <v>214</v>
      </c>
      <c r="O79" s="25" t="s">
        <v>212</v>
      </c>
      <c r="P79" s="25" t="s">
        <v>213</v>
      </c>
      <c r="Q79" s="25"/>
      <c r="R79" s="25" t="s">
        <v>215</v>
      </c>
      <c r="S79" s="25"/>
      <c r="U79" s="25"/>
    </row>
    <row r="80" spans="1:22" x14ac:dyDescent="0.3">
      <c r="B80" s="25"/>
      <c r="C80" s="26"/>
      <c r="D80" s="26"/>
      <c r="E80" s="27">
        <f>'Assumptions and Inputs'!$C$27</f>
        <v>0.15</v>
      </c>
      <c r="F80" s="28">
        <f>'Assumptions and Inputs'!$C$45</f>
        <v>0.96989999999999998</v>
      </c>
      <c r="G80" s="26"/>
      <c r="H80" s="27">
        <f>'Assumptions and Inputs'!$C$27</f>
        <v>0.15</v>
      </c>
      <c r="I80" s="28">
        <f>'Assumptions and Inputs'!$C$45</f>
        <v>0.96989999999999998</v>
      </c>
      <c r="J80" s="29"/>
      <c r="L80" s="26"/>
      <c r="M80" s="26"/>
      <c r="N80" s="27">
        <v>0.15</v>
      </c>
      <c r="O80" s="28">
        <v>0.96989999999999998</v>
      </c>
      <c r="P80" s="26"/>
      <c r="Q80" s="27">
        <v>0.15</v>
      </c>
      <c r="R80" s="28">
        <v>0.96989999999999998</v>
      </c>
      <c r="S80" s="29"/>
      <c r="U80" s="29"/>
    </row>
    <row r="81" spans="1:25" x14ac:dyDescent="0.3">
      <c r="B81" s="30"/>
      <c r="C81" s="31" t="s">
        <v>178</v>
      </c>
      <c r="D81" s="31" t="s">
        <v>179</v>
      </c>
      <c r="E81" s="31" t="str">
        <f>"(3) = (2) * $ "&amp;FIXED(E80,3,)&amp;"/Mcf"</f>
        <v>(3) = (2) * $ 0.150/Mcf</v>
      </c>
      <c r="F81" s="31" t="str">
        <f>"(4) = [(1) - (3)]* "&amp;FIXED(F80,4,)&amp;""</f>
        <v>(4) = [(1) - (3)]* 0.9699</v>
      </c>
      <c r="G81" s="31" t="s">
        <v>182</v>
      </c>
      <c r="H81" s="31" t="str">
        <f>"(6) = (5) * $ "&amp;FIXED(H80,3,)&amp;"/Mcf"</f>
        <v>(6) = (5) * $ 0.150/Mcf</v>
      </c>
      <c r="I81" s="32" t="str">
        <f>"(7) = (6) * "&amp;FIXED(F80,4,)&amp;""</f>
        <v>(7) = (6) * 0.9699</v>
      </c>
      <c r="J81" s="31" t="s">
        <v>216</v>
      </c>
      <c r="L81" s="31" t="s">
        <v>178</v>
      </c>
      <c r="M81" s="31" t="s">
        <v>179</v>
      </c>
      <c r="N81" s="31" t="s">
        <v>250</v>
      </c>
      <c r="O81" s="31" t="s">
        <v>251</v>
      </c>
      <c r="P81" s="31" t="s">
        <v>182</v>
      </c>
      <c r="Q81" s="31" t="s">
        <v>252</v>
      </c>
      <c r="R81" s="32" t="s">
        <v>253</v>
      </c>
      <c r="S81" s="31" t="s">
        <v>216</v>
      </c>
      <c r="U81" s="31" t="s">
        <v>254</v>
      </c>
    </row>
    <row r="82" spans="1:25" x14ac:dyDescent="0.3">
      <c r="B82" s="33"/>
      <c r="C82" s="34"/>
      <c r="D82" s="34"/>
      <c r="E82" s="34"/>
      <c r="F82" s="34"/>
      <c r="G82" s="34"/>
      <c r="H82" s="34"/>
      <c r="I82" s="35" t="s">
        <v>217</v>
      </c>
      <c r="J82" s="36">
        <v>3134517</v>
      </c>
      <c r="L82" s="34"/>
      <c r="M82" s="34"/>
      <c r="N82" s="34"/>
      <c r="O82" s="34"/>
      <c r="P82" s="34"/>
      <c r="Q82" s="34"/>
      <c r="R82" s="35" t="s">
        <v>217</v>
      </c>
      <c r="S82" s="36">
        <v>3134517</v>
      </c>
      <c r="U82" s="34"/>
      <c r="Y82" s="22"/>
    </row>
    <row r="83" spans="1:25" x14ac:dyDescent="0.3">
      <c r="A83" s="74">
        <v>1</v>
      </c>
      <c r="B83" s="38">
        <v>45170</v>
      </c>
      <c r="C83" s="39">
        <f>Customer!BL$11*'Assumptions and Inputs'!$C$40</f>
        <v>519365.75880000001</v>
      </c>
      <c r="D83" s="40">
        <f>Customer!BL$35/'Assumptions and Inputs'!$C$21</f>
        <v>15847.8</v>
      </c>
      <c r="E83" s="65">
        <f t="shared" ref="E83:E93" si="37">ROUND($E$80*D83, 0)</f>
        <v>2377</v>
      </c>
      <c r="F83" s="39">
        <f>(C83-E83)*$F$80</f>
        <v>501427.39716012002</v>
      </c>
      <c r="G83" s="40">
        <f>Customer!BL$40/'Assumptions and Inputs'!$C$21</f>
        <v>523650.4</v>
      </c>
      <c r="H83" s="65">
        <f>$H$80*G83</f>
        <v>78547.56</v>
      </c>
      <c r="I83" s="65">
        <f>H83*$I$80</f>
        <v>76183.278443999996</v>
      </c>
      <c r="J83" s="39">
        <f>I83-F83</f>
        <v>-425244.11871612002</v>
      </c>
      <c r="L83" s="75">
        <v>519365.75880000001</v>
      </c>
      <c r="M83" s="76">
        <v>15847.8</v>
      </c>
      <c r="N83" s="77">
        <v>2377</v>
      </c>
      <c r="O83" s="75">
        <v>501427.39716012002</v>
      </c>
      <c r="P83" s="76">
        <v>523650.4</v>
      </c>
      <c r="Q83" s="77">
        <v>78548</v>
      </c>
      <c r="R83" s="77">
        <v>76183.705199999997</v>
      </c>
      <c r="S83" s="75">
        <v>-425243.69196011999</v>
      </c>
      <c r="U83" s="39">
        <f t="shared" ref="U83:U94" si="38">J83-S83</f>
        <v>-0.42675600002985448</v>
      </c>
    </row>
    <row r="84" spans="1:25" x14ac:dyDescent="0.3">
      <c r="A84" s="74">
        <v>2</v>
      </c>
      <c r="B84" s="42">
        <v>45200</v>
      </c>
      <c r="C84" s="43">
        <f>Customer!BM$11*'Assumptions and Inputs'!$C$40</f>
        <v>501702.77639999997</v>
      </c>
      <c r="D84" s="44">
        <f>Customer!BM$35/'Assumptions and Inputs'!$C$21</f>
        <v>14420.6</v>
      </c>
      <c r="E84" s="49">
        <f t="shared" si="37"/>
        <v>2163</v>
      </c>
      <c r="F84" s="49">
        <f t="shared" ref="F84:F93" si="39">(C84-E84)*$F$80</f>
        <v>484503.62913035997</v>
      </c>
      <c r="G84" s="44">
        <f>Customer!BM$40/'Assumptions and Inputs'!$C$21</f>
        <v>441095.3</v>
      </c>
      <c r="H84" s="49">
        <f t="shared" ref="H84:H92" si="40">$H$80*G84</f>
        <v>66164.294999999998</v>
      </c>
      <c r="I84" s="49">
        <f t="shared" ref="I84:I93" si="41">H84*$I$80</f>
        <v>64172.749720499996</v>
      </c>
      <c r="J84" s="45">
        <f t="shared" ref="J84:J93" si="42">I84-F84</f>
        <v>-420330.87940986</v>
      </c>
      <c r="L84" s="78">
        <v>501702.77639999997</v>
      </c>
      <c r="M84" s="79">
        <v>14420.6</v>
      </c>
      <c r="N84" s="78">
        <v>2163</v>
      </c>
      <c r="O84" s="78">
        <v>484503.62913035997</v>
      </c>
      <c r="P84" s="79">
        <v>441095.3</v>
      </c>
      <c r="Q84" s="78">
        <v>66164</v>
      </c>
      <c r="R84" s="78">
        <v>64172.463599999995</v>
      </c>
      <c r="S84" s="80">
        <v>-420331.16553035995</v>
      </c>
      <c r="U84" s="45">
        <f t="shared" si="38"/>
        <v>0.2861204999499023</v>
      </c>
    </row>
    <row r="85" spans="1:25" x14ac:dyDescent="0.3">
      <c r="A85" s="74">
        <v>3</v>
      </c>
      <c r="B85" s="38">
        <v>45231</v>
      </c>
      <c r="C85" s="39">
        <f>Customer!BN$11*'Assumptions and Inputs'!$C$40</f>
        <v>532516.75260000001</v>
      </c>
      <c r="D85" s="40">
        <f>Customer!BN$35/'Assumptions and Inputs'!$C$21</f>
        <v>15243.6</v>
      </c>
      <c r="E85" s="39">
        <f t="shared" si="37"/>
        <v>2287</v>
      </c>
      <c r="F85" s="39">
        <f t="shared" si="39"/>
        <v>514269.83704673999</v>
      </c>
      <c r="G85" s="40">
        <f>Customer!BN$40/'Assumptions and Inputs'!$C$21</f>
        <v>443822.6</v>
      </c>
      <c r="H85" s="41">
        <f t="shared" si="40"/>
        <v>66573.39</v>
      </c>
      <c r="I85" s="41">
        <f t="shared" si="41"/>
        <v>64569.530960999997</v>
      </c>
      <c r="J85" s="39">
        <f t="shared" si="42"/>
        <v>-449700.30608573998</v>
      </c>
      <c r="L85" s="75">
        <v>532516.75260000001</v>
      </c>
      <c r="M85" s="81">
        <v>15243.6</v>
      </c>
      <c r="N85" s="75">
        <v>2287</v>
      </c>
      <c r="O85" s="75">
        <v>514269.83704673999</v>
      </c>
      <c r="P85" s="81">
        <v>443822.6</v>
      </c>
      <c r="Q85" s="82">
        <v>66573</v>
      </c>
      <c r="R85" s="82">
        <v>64569.152699999999</v>
      </c>
      <c r="S85" s="75">
        <v>-449700.68434674002</v>
      </c>
      <c r="U85" s="39">
        <f t="shared" si="38"/>
        <v>0.37826100003439933</v>
      </c>
    </row>
    <row r="86" spans="1:25" x14ac:dyDescent="0.3">
      <c r="A86" s="74">
        <v>4</v>
      </c>
      <c r="B86" s="42">
        <v>45261</v>
      </c>
      <c r="C86" s="43">
        <f>Customer!BO$11*'Assumptions and Inputs'!$C$40</f>
        <v>540733.5443999999</v>
      </c>
      <c r="D86" s="44">
        <f>Customer!BO$35/'Assumptions and Inputs'!$C$21</f>
        <v>15419.7</v>
      </c>
      <c r="E86" s="43">
        <f t="shared" si="37"/>
        <v>2313</v>
      </c>
      <c r="F86" s="43">
        <f t="shared" si="39"/>
        <v>522214.08601355989</v>
      </c>
      <c r="G86" s="44">
        <f>Customer!BO$40/'Assumptions and Inputs'!$C$21</f>
        <v>442896.9</v>
      </c>
      <c r="H86" s="43">
        <f t="shared" si="40"/>
        <v>66434.535000000003</v>
      </c>
      <c r="I86" s="43">
        <f t="shared" si="41"/>
        <v>64434.8554965</v>
      </c>
      <c r="J86" s="45">
        <f t="shared" si="42"/>
        <v>-457779.23051705991</v>
      </c>
      <c r="L86" s="83">
        <v>540733.5443999999</v>
      </c>
      <c r="M86" s="84">
        <v>15419.7</v>
      </c>
      <c r="N86" s="83">
        <v>2313</v>
      </c>
      <c r="O86" s="83">
        <v>522214.08601355989</v>
      </c>
      <c r="P86" s="84">
        <v>442896.9</v>
      </c>
      <c r="Q86" s="83">
        <v>66435</v>
      </c>
      <c r="R86" s="83">
        <v>64435.306499999999</v>
      </c>
      <c r="S86" s="80">
        <v>-457778.77951355989</v>
      </c>
      <c r="U86" s="45">
        <f t="shared" si="38"/>
        <v>-0.45100350002758205</v>
      </c>
    </row>
    <row r="87" spans="1:25" x14ac:dyDescent="0.3">
      <c r="A87" s="74">
        <v>5</v>
      </c>
      <c r="B87" s="38">
        <v>45292</v>
      </c>
      <c r="C87" s="39">
        <f>Customer!BP$11*'Assumptions and Inputs'!$C$40</f>
        <v>561599.95079999999</v>
      </c>
      <c r="D87" s="40">
        <f>Customer!BP$35/'Assumptions and Inputs'!$C$21</f>
        <v>16008.2</v>
      </c>
      <c r="E87" s="39">
        <f t="shared" si="37"/>
        <v>2401</v>
      </c>
      <c r="F87" s="39">
        <f t="shared" si="39"/>
        <v>542367.06238091993</v>
      </c>
      <c r="G87" s="40">
        <f>Customer!BP$40/'Assumptions and Inputs'!$C$21</f>
        <v>454929.7</v>
      </c>
      <c r="H87" s="41">
        <f t="shared" si="40"/>
        <v>68239.455000000002</v>
      </c>
      <c r="I87" s="41">
        <f t="shared" si="41"/>
        <v>66185.447404499995</v>
      </c>
      <c r="J87" s="39">
        <f t="shared" si="42"/>
        <v>-476181.61497641995</v>
      </c>
      <c r="L87" s="75">
        <v>561599.95079999999</v>
      </c>
      <c r="M87" s="81">
        <v>16008.2</v>
      </c>
      <c r="N87" s="75">
        <v>2401</v>
      </c>
      <c r="O87" s="75">
        <v>542367.06238091993</v>
      </c>
      <c r="P87" s="81">
        <v>454929.7</v>
      </c>
      <c r="Q87" s="82">
        <v>68239</v>
      </c>
      <c r="R87" s="82">
        <v>66185.006099999999</v>
      </c>
      <c r="S87" s="75">
        <v>-476182.05628091993</v>
      </c>
      <c r="U87" s="39">
        <f t="shared" si="38"/>
        <v>0.44130449998192489</v>
      </c>
    </row>
    <row r="88" spans="1:25" x14ac:dyDescent="0.3">
      <c r="A88" s="74">
        <v>6</v>
      </c>
      <c r="B88" s="42">
        <v>45323</v>
      </c>
      <c r="C88" s="43">
        <f>Customer!BQ$11*'Assumptions and Inputs'!$C$40</f>
        <v>640223.54339999997</v>
      </c>
      <c r="D88" s="44">
        <f>Customer!BQ$35/'Assumptions and Inputs'!$C$21</f>
        <v>19369.7</v>
      </c>
      <c r="E88" s="43">
        <f t="shared" si="37"/>
        <v>2905</v>
      </c>
      <c r="F88" s="43">
        <f t="shared" si="39"/>
        <v>618135.25524365995</v>
      </c>
      <c r="G88" s="44">
        <f>Customer!BQ$40/'Assumptions and Inputs'!$C$21</f>
        <v>436223.1</v>
      </c>
      <c r="H88" s="43">
        <f t="shared" si="40"/>
        <v>65433.464999999997</v>
      </c>
      <c r="I88" s="43">
        <f t="shared" si="41"/>
        <v>63463.917703499996</v>
      </c>
      <c r="J88" s="45">
        <f t="shared" si="42"/>
        <v>-554671.33754015993</v>
      </c>
      <c r="L88" s="83">
        <v>640223.54339999997</v>
      </c>
      <c r="M88" s="84">
        <v>19369.7</v>
      </c>
      <c r="N88" s="83">
        <v>2905</v>
      </c>
      <c r="O88" s="83">
        <v>618135.25524365995</v>
      </c>
      <c r="P88" s="84">
        <v>436223.1</v>
      </c>
      <c r="Q88" s="83">
        <v>65433</v>
      </c>
      <c r="R88" s="83">
        <v>63463.466699999997</v>
      </c>
      <c r="S88" s="80">
        <v>-554671.78854365996</v>
      </c>
      <c r="U88" s="45">
        <f t="shared" si="38"/>
        <v>0.45100350002758205</v>
      </c>
    </row>
    <row r="89" spans="1:25" x14ac:dyDescent="0.3">
      <c r="A89" s="74">
        <v>7</v>
      </c>
      <c r="B89" s="38">
        <v>45352</v>
      </c>
      <c r="C89" s="39">
        <f>Customer!BR$11*'Assumptions and Inputs'!$C$40</f>
        <v>848598.90359999996</v>
      </c>
      <c r="D89" s="40">
        <f>Customer!BR$35/'Assumptions and Inputs'!$C$21</f>
        <v>30046.7</v>
      </c>
      <c r="E89" s="39">
        <f t="shared" si="37"/>
        <v>4507</v>
      </c>
      <c r="F89" s="39">
        <f t="shared" si="39"/>
        <v>818684.73730163998</v>
      </c>
      <c r="G89" s="40">
        <f>Customer!BR$40/'Assumptions and Inputs'!$C$21</f>
        <v>404939.5</v>
      </c>
      <c r="H89" s="41">
        <f t="shared" si="40"/>
        <v>60740.924999999996</v>
      </c>
      <c r="I89" s="41">
        <f t="shared" si="41"/>
        <v>58912.623157499998</v>
      </c>
      <c r="J89" s="39">
        <f t="shared" si="42"/>
        <v>-759772.11414413992</v>
      </c>
      <c r="L89" s="75">
        <v>848598.90359999996</v>
      </c>
      <c r="M89" s="81">
        <v>30046.7</v>
      </c>
      <c r="N89" s="75">
        <v>4507</v>
      </c>
      <c r="O89" s="75">
        <v>818684.73730163998</v>
      </c>
      <c r="P89" s="81">
        <v>404939.5</v>
      </c>
      <c r="Q89" s="82">
        <v>60741</v>
      </c>
      <c r="R89" s="82">
        <v>58912.695899999999</v>
      </c>
      <c r="S89" s="75">
        <v>-759772.04140163993</v>
      </c>
      <c r="U89" s="39">
        <f t="shared" si="38"/>
        <v>-7.2742499993182719E-2</v>
      </c>
    </row>
    <row r="90" spans="1:25" x14ac:dyDescent="0.3">
      <c r="A90" s="74">
        <v>8</v>
      </c>
      <c r="B90" s="42">
        <v>45383</v>
      </c>
      <c r="C90" s="43">
        <f>Customer!BS$11*'Assumptions and Inputs'!$C$40</f>
        <v>879554.24759999989</v>
      </c>
      <c r="D90" s="44">
        <f>Customer!BS$35/'Assumptions and Inputs'!$C$21</f>
        <v>32615.8</v>
      </c>
      <c r="E90" s="43">
        <f t="shared" si="37"/>
        <v>4892</v>
      </c>
      <c r="F90" s="43">
        <f t="shared" si="39"/>
        <v>848334.91394723987</v>
      </c>
      <c r="G90" s="44">
        <f>Customer!BS$40/'Assumptions and Inputs'!$C$21</f>
        <v>394963.20000000001</v>
      </c>
      <c r="H90" s="43">
        <f t="shared" si="40"/>
        <v>59244.479999999996</v>
      </c>
      <c r="I90" s="43">
        <f t="shared" si="41"/>
        <v>57461.221151999998</v>
      </c>
      <c r="J90" s="45">
        <f t="shared" si="42"/>
        <v>-790873.69279523985</v>
      </c>
      <c r="L90" s="83">
        <v>940371.55968000006</v>
      </c>
      <c r="M90" s="84">
        <v>39182.14832</v>
      </c>
      <c r="N90" s="83">
        <v>5877</v>
      </c>
      <c r="O90" s="83">
        <v>906366.2734336321</v>
      </c>
      <c r="P90" s="84">
        <v>446107.66834666661</v>
      </c>
      <c r="Q90" s="83">
        <v>66916</v>
      </c>
      <c r="R90" s="83">
        <v>64901.828399999999</v>
      </c>
      <c r="S90" s="80">
        <v>-841464.4450336321</v>
      </c>
      <c r="U90" s="45">
        <f t="shared" si="38"/>
        <v>50590.752238392248</v>
      </c>
    </row>
    <row r="91" spans="1:25" x14ac:dyDescent="0.3">
      <c r="A91" s="74">
        <v>9</v>
      </c>
      <c r="B91" s="38">
        <v>45413</v>
      </c>
      <c r="C91" s="39">
        <f>Customer!BT$11*'Assumptions and Inputs'!$C$40</f>
        <v>995011.52099999983</v>
      </c>
      <c r="D91" s="40">
        <f>Customer!BT$35/'Assumptions and Inputs'!$C$21</f>
        <v>36430.300000000003</v>
      </c>
      <c r="E91" s="39">
        <f t="shared" si="37"/>
        <v>5465</v>
      </c>
      <c r="F91" s="39">
        <f t="shared" si="39"/>
        <v>959761.1707178998</v>
      </c>
      <c r="G91" s="40">
        <f>Customer!BT$40/'Assumptions and Inputs'!$C$21</f>
        <v>438783.7</v>
      </c>
      <c r="H91" s="41">
        <f t="shared" si="40"/>
        <v>65817.554999999993</v>
      </c>
      <c r="I91" s="41">
        <f t="shared" si="41"/>
        <v>63836.44659449999</v>
      </c>
      <c r="J91" s="39">
        <f t="shared" si="42"/>
        <v>-895924.72412339982</v>
      </c>
      <c r="L91" s="75">
        <v>940371.55968000006</v>
      </c>
      <c r="M91" s="81">
        <v>39182.14832</v>
      </c>
      <c r="N91" s="75">
        <v>5877</v>
      </c>
      <c r="O91" s="75">
        <v>906366.2734336321</v>
      </c>
      <c r="P91" s="81">
        <v>446107.66834666661</v>
      </c>
      <c r="Q91" s="82">
        <v>66916</v>
      </c>
      <c r="R91" s="82">
        <v>64901.828399999999</v>
      </c>
      <c r="S91" s="75">
        <v>-841464.4450336321</v>
      </c>
      <c r="U91" s="39">
        <f t="shared" si="38"/>
        <v>-54460.279089767719</v>
      </c>
    </row>
    <row r="92" spans="1:25" x14ac:dyDescent="0.3">
      <c r="A92" s="74">
        <v>10</v>
      </c>
      <c r="B92" s="42">
        <v>45444</v>
      </c>
      <c r="C92" s="43">
        <f>Customer!BU$11*'Assumptions and Inputs'!$C$40</f>
        <v>987711.65639999998</v>
      </c>
      <c r="D92" s="44">
        <f>Customer!BU$35/'Assumptions and Inputs'!$C$21</f>
        <v>35198.800000000003</v>
      </c>
      <c r="E92" s="43">
        <f t="shared" si="37"/>
        <v>5280</v>
      </c>
      <c r="F92" s="43">
        <f t="shared" si="39"/>
        <v>952860.46354236</v>
      </c>
      <c r="G92" s="44">
        <f>Customer!BU$40/'Assumptions and Inputs'!$C$21</f>
        <v>436439.4</v>
      </c>
      <c r="H92" s="43">
        <f t="shared" si="40"/>
        <v>65465.91</v>
      </c>
      <c r="I92" s="43">
        <f t="shared" si="41"/>
        <v>63495.386108999999</v>
      </c>
      <c r="J92" s="45">
        <f t="shared" si="42"/>
        <v>-889365.07743336004</v>
      </c>
      <c r="L92" s="83">
        <v>940371.55968000006</v>
      </c>
      <c r="M92" s="84">
        <v>39182.14832</v>
      </c>
      <c r="N92" s="83">
        <v>5877</v>
      </c>
      <c r="O92" s="83">
        <v>906366.2734336321</v>
      </c>
      <c r="P92" s="84">
        <v>446107.66834666661</v>
      </c>
      <c r="Q92" s="83">
        <v>66916</v>
      </c>
      <c r="R92" s="83">
        <v>64901.828399999999</v>
      </c>
      <c r="S92" s="80">
        <v>-841464.4450336321</v>
      </c>
      <c r="U92" s="45">
        <f t="shared" si="38"/>
        <v>-47900.63239972794</v>
      </c>
    </row>
    <row r="93" spans="1:25" x14ac:dyDescent="0.3">
      <c r="A93" s="74">
        <v>11</v>
      </c>
      <c r="B93" s="38">
        <v>45474</v>
      </c>
      <c r="C93" s="39">
        <f>Customer!BV$11*'Assumptions and Inputs'!$C$40</f>
        <v>1066881.0558</v>
      </c>
      <c r="D93" s="40">
        <f>Customer!BV$35/'Assumptions and Inputs'!$C$21</f>
        <v>37901</v>
      </c>
      <c r="E93" s="39">
        <f t="shared" si="37"/>
        <v>5685</v>
      </c>
      <c r="F93" s="39">
        <f t="shared" si="39"/>
        <v>1029254.0545204199</v>
      </c>
      <c r="G93" s="40">
        <f>Customer!BV$40/'Assumptions and Inputs'!$C$21</f>
        <v>495114.3</v>
      </c>
      <c r="H93" s="41">
        <f>$H$80*G93</f>
        <v>74267.14499999999</v>
      </c>
      <c r="I93" s="41">
        <f t="shared" si="41"/>
        <v>72031.703935499987</v>
      </c>
      <c r="J93" s="39">
        <f t="shared" si="42"/>
        <v>-957222.35058491991</v>
      </c>
      <c r="L93" s="75">
        <v>940371.55968000006</v>
      </c>
      <c r="M93" s="81">
        <v>39182.14832</v>
      </c>
      <c r="N93" s="75">
        <v>5877</v>
      </c>
      <c r="O93" s="75">
        <v>906366.2734336321</v>
      </c>
      <c r="P93" s="81">
        <v>446107.66834666661</v>
      </c>
      <c r="Q93" s="82">
        <v>66916</v>
      </c>
      <c r="R93" s="82">
        <v>64901.828399999999</v>
      </c>
      <c r="S93" s="75">
        <v>-841464.4450336321</v>
      </c>
      <c r="U93" s="39">
        <f t="shared" si="38"/>
        <v>-115757.90555128781</v>
      </c>
    </row>
    <row r="94" spans="1:25" x14ac:dyDescent="0.3">
      <c r="A94" s="74">
        <v>12</v>
      </c>
      <c r="B94" s="42">
        <v>45505</v>
      </c>
      <c r="C94" s="43">
        <f>Customer!BW$11*'Assumptions and Inputs'!$C$40</f>
        <v>1149071.6159999999</v>
      </c>
      <c r="D94" s="44">
        <f>Customer!BW$35/'Assumptions and Inputs'!$C$21</f>
        <v>40151.300000000003</v>
      </c>
      <c r="E94" s="43">
        <f>ROUND($E$80*D94, 0)</f>
        <v>6023</v>
      </c>
      <c r="F94" s="43">
        <f>(C94-E94)*$F$80</f>
        <v>1108642.8526583998</v>
      </c>
      <c r="G94" s="44">
        <f>Customer!BW$40/'Assumptions and Inputs'!$C$21</f>
        <v>507270.9</v>
      </c>
      <c r="H94" s="43">
        <f>$H$80*G94</f>
        <v>76090.634999999995</v>
      </c>
      <c r="I94" s="43">
        <f t="shared" ref="I94" si="43">H94*$I$80</f>
        <v>73800.306886499995</v>
      </c>
      <c r="J94" s="45">
        <f>I94-F94</f>
        <v>-1034842.5457718999</v>
      </c>
      <c r="L94" s="83">
        <v>940371.55968000006</v>
      </c>
      <c r="M94" s="84">
        <v>39182.14832</v>
      </c>
      <c r="N94" s="83">
        <v>5877</v>
      </c>
      <c r="O94" s="83">
        <v>906366.2734336321</v>
      </c>
      <c r="P94" s="84">
        <v>446107.66834666661</v>
      </c>
      <c r="Q94" s="83">
        <v>66916</v>
      </c>
      <c r="R94" s="83">
        <v>64901.828399999999</v>
      </c>
      <c r="S94" s="80">
        <v>-841464.4450336321</v>
      </c>
      <c r="U94" s="45">
        <f t="shared" si="38"/>
        <v>-193378.10073826776</v>
      </c>
    </row>
    <row r="95" spans="1:25" ht="5.0999999999999996" customHeight="1" x14ac:dyDescent="0.3">
      <c r="B95" s="85"/>
    </row>
    <row r="96" spans="1:25" x14ac:dyDescent="0.3">
      <c r="B96" s="46" t="s">
        <v>165</v>
      </c>
      <c r="C96" s="65">
        <f>SUM(C83:C94)</f>
        <v>9222971.3267999981</v>
      </c>
      <c r="D96" s="64">
        <f t="shared" ref="D96:I96" si="44">SUM(D83:D94)</f>
        <v>308653.49999999994</v>
      </c>
      <c r="E96" s="65">
        <f t="shared" si="44"/>
        <v>46298</v>
      </c>
      <c r="F96" s="65">
        <f t="shared" si="44"/>
        <v>8900455.4596633185</v>
      </c>
      <c r="G96" s="64">
        <f t="shared" si="44"/>
        <v>5420129.0000000009</v>
      </c>
      <c r="H96" s="65">
        <f t="shared" si="44"/>
        <v>813019.35000000021</v>
      </c>
      <c r="I96" s="65">
        <f t="shared" si="44"/>
        <v>788547.46756499994</v>
      </c>
      <c r="J96" s="39">
        <f>SUM(J82:J94)</f>
        <v>-4977390.9920983193</v>
      </c>
      <c r="L96" s="65">
        <v>8846599.0284000002</v>
      </c>
      <c r="M96" s="64">
        <v>322267.0416</v>
      </c>
      <c r="N96" s="65">
        <v>48338</v>
      </c>
      <c r="O96" s="65">
        <v>8533433.3714451604</v>
      </c>
      <c r="P96" s="64">
        <v>5378095.8417333337</v>
      </c>
      <c r="Q96" s="65">
        <v>806713</v>
      </c>
      <c r="R96" s="65">
        <v>782430.93869999994</v>
      </c>
      <c r="S96" s="39">
        <v>-4616485.4327451605</v>
      </c>
      <c r="U96" s="39">
        <f>J96-S96</f>
        <v>-360905.55935315881</v>
      </c>
    </row>
    <row r="97" spans="2:21" x14ac:dyDescent="0.3">
      <c r="F97" s="47"/>
      <c r="G97" s="13"/>
      <c r="J97" s="22"/>
      <c r="O97" s="47"/>
      <c r="P97" s="13"/>
    </row>
    <row r="98" spans="2:21" x14ac:dyDescent="0.3">
      <c r="B98" s="1" t="s">
        <v>222</v>
      </c>
      <c r="I98" s="51" t="s">
        <v>223</v>
      </c>
      <c r="J98" s="52">
        <f>J96</f>
        <v>-4977390.9920983193</v>
      </c>
      <c r="K98" s="50"/>
      <c r="R98" s="51" t="s">
        <v>223</v>
      </c>
      <c r="S98" s="52">
        <f>S96</f>
        <v>-4616485.4327451605</v>
      </c>
      <c r="T98" s="22"/>
      <c r="U98" s="66">
        <f>J98-S98</f>
        <v>-360905.55935315881</v>
      </c>
    </row>
    <row r="99" spans="2:21" x14ac:dyDescent="0.3">
      <c r="B99" s="86" t="s">
        <v>255</v>
      </c>
      <c r="L99" s="53"/>
    </row>
    <row r="100" spans="2:21" x14ac:dyDescent="0.3">
      <c r="B100" s="53" t="str">
        <f>"(1) - Updated TAP Actual Discounts reflect water's "&amp;FIXED('Assumptions and Inputs'!$C$47*100, 1, 0)&amp;"% allocated portion of the Total TAP Discount."</f>
        <v>(1) - Updated TAP Actual Discounts reflect water's 42.0% allocated portion of the Total TAP Discount.</v>
      </c>
      <c r="L100" s="53"/>
    </row>
    <row r="101" spans="2:21" x14ac:dyDescent="0.3">
      <c r="B101" s="53" t="s">
        <v>240</v>
      </c>
      <c r="L101" s="53"/>
    </row>
    <row r="102" spans="2:21" x14ac:dyDescent="0.3">
      <c r="B102" s="67" t="s">
        <v>256</v>
      </c>
      <c r="L102" s="53"/>
    </row>
    <row r="103" spans="2:21" x14ac:dyDescent="0.3">
      <c r="B103" s="53"/>
      <c r="L103" s="53"/>
    </row>
    <row r="104" spans="2:21" x14ac:dyDescent="0.3">
      <c r="B104" s="86" t="s">
        <v>257</v>
      </c>
      <c r="L104" s="53"/>
    </row>
    <row r="105" spans="2:21" x14ac:dyDescent="0.3">
      <c r="B105" s="53" t="str">
        <f>"(9) - TAP Actual Discounts reflect water's "&amp;FIXED('Assumptions and Inputs'!$C$47*100, 1, 0)&amp;"% allocated portion of the Total TAP Discount."</f>
        <v>(9) - TAP Actual Discounts reflect water's 42.0% allocated portion of the Total TAP Discount.</v>
      </c>
      <c r="L105" s="53"/>
    </row>
    <row r="106" spans="2:21" x14ac:dyDescent="0.3">
      <c r="B106" s="53" t="s">
        <v>258</v>
      </c>
      <c r="L106" s="53"/>
    </row>
    <row r="107" spans="2:21" x14ac:dyDescent="0.3">
      <c r="B107" s="53" t="s">
        <v>259</v>
      </c>
      <c r="L107" s="53"/>
    </row>
    <row r="108" spans="2:21" x14ac:dyDescent="0.3">
      <c r="B108" s="53"/>
      <c r="L108" s="53"/>
    </row>
    <row r="109" spans="2:21" x14ac:dyDescent="0.3">
      <c r="B109" s="86" t="s">
        <v>260</v>
      </c>
      <c r="L109" s="53"/>
    </row>
    <row r="110" spans="2:21" x14ac:dyDescent="0.3">
      <c r="B110" s="53" t="str">
        <f>"(3), (6), (11) &amp; (14) - Water TAP-R Rates per "&amp;TEXT('Assumptions and Inputs'!F27,)&amp;" "&amp;TEXT('Assumptions and Inputs'!G27,)&amp;"."</f>
        <v>(3), (6), (11) &amp; (14) - Water TAP-R Rates per PWD Regulations - Rates and Charges Effective September 1, 2023 Section 10.3(a)(1).</v>
      </c>
      <c r="L110" s="53"/>
    </row>
    <row r="111" spans="2:21" x14ac:dyDescent="0.3">
      <c r="B111" s="53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2023 Section 10.1(b)(3).</v>
      </c>
      <c r="L111" s="53"/>
    </row>
    <row r="112" spans="2:21" x14ac:dyDescent="0.3">
      <c r="B112" s="53"/>
      <c r="L112" s="53"/>
    </row>
    <row r="113" spans="1:21" x14ac:dyDescent="0.3"/>
    <row r="114" spans="1:21" x14ac:dyDescent="0.3">
      <c r="B114" s="20" t="s">
        <v>31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15" thickBot="1" x14ac:dyDescent="0.35">
      <c r="B115" s="20" t="s">
        <v>261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15" thickBot="1" x14ac:dyDescent="0.35">
      <c r="C116" s="59" t="s">
        <v>246</v>
      </c>
      <c r="D116" s="60"/>
      <c r="E116" s="60"/>
      <c r="F116" s="60"/>
      <c r="G116" s="60"/>
      <c r="H116" s="60"/>
      <c r="I116" s="60"/>
      <c r="J116" s="61"/>
      <c r="L116" s="71" t="s">
        <v>247</v>
      </c>
      <c r="M116" s="72"/>
      <c r="N116" s="72"/>
      <c r="O116" s="72"/>
      <c r="P116" s="72"/>
      <c r="Q116" s="72"/>
      <c r="R116" s="72"/>
      <c r="S116" s="73"/>
      <c r="U116" s="62" t="s">
        <v>235</v>
      </c>
    </row>
    <row r="117" spans="1:21" x14ac:dyDescent="0.3">
      <c r="B117" s="24" t="s">
        <v>197</v>
      </c>
      <c r="C117" s="24" t="s">
        <v>198</v>
      </c>
      <c r="D117" s="24" t="s">
        <v>230</v>
      </c>
      <c r="E117" s="24" t="s">
        <v>200</v>
      </c>
      <c r="F117" s="24" t="s">
        <v>201</v>
      </c>
      <c r="G117" s="24" t="s">
        <v>202</v>
      </c>
      <c r="H117" s="24" t="s">
        <v>203</v>
      </c>
      <c r="I117" s="24" t="s">
        <v>204</v>
      </c>
      <c r="J117" s="25" t="s">
        <v>205</v>
      </c>
      <c r="L117" s="24" t="s">
        <v>198</v>
      </c>
      <c r="M117" s="24" t="s">
        <v>230</v>
      </c>
      <c r="N117" s="24" t="s">
        <v>200</v>
      </c>
      <c r="O117" s="24" t="s">
        <v>201</v>
      </c>
      <c r="P117" s="24" t="s">
        <v>202</v>
      </c>
      <c r="Q117" s="24" t="s">
        <v>203</v>
      </c>
      <c r="R117" s="24" t="s">
        <v>204</v>
      </c>
      <c r="S117" s="25" t="s">
        <v>205</v>
      </c>
      <c r="U117" s="25" t="s">
        <v>248</v>
      </c>
    </row>
    <row r="118" spans="1:21" x14ac:dyDescent="0.3">
      <c r="B118" s="25" t="s">
        <v>196</v>
      </c>
      <c r="C118" s="25" t="s">
        <v>206</v>
      </c>
      <c r="D118" s="25" t="s">
        <v>231</v>
      </c>
      <c r="E118" s="25" t="s">
        <v>208</v>
      </c>
      <c r="F118" s="25" t="s">
        <v>206</v>
      </c>
      <c r="G118" s="25" t="s">
        <v>231</v>
      </c>
      <c r="H118" s="25" t="s">
        <v>209</v>
      </c>
      <c r="I118" s="25" t="s">
        <v>210</v>
      </c>
      <c r="J118" s="25" t="s">
        <v>211</v>
      </c>
      <c r="L118" s="25" t="s">
        <v>206</v>
      </c>
      <c r="M118" s="25" t="s">
        <v>231</v>
      </c>
      <c r="N118" s="25" t="s">
        <v>208</v>
      </c>
      <c r="O118" s="25" t="s">
        <v>206</v>
      </c>
      <c r="P118" s="25" t="s">
        <v>231</v>
      </c>
      <c r="Q118" s="25" t="s">
        <v>209</v>
      </c>
      <c r="R118" s="25" t="s">
        <v>210</v>
      </c>
      <c r="S118" s="25" t="s">
        <v>211</v>
      </c>
      <c r="U118" s="25" t="s">
        <v>249</v>
      </c>
    </row>
    <row r="119" spans="1:21" x14ac:dyDescent="0.3">
      <c r="B119" s="25"/>
      <c r="C119" s="25" t="s">
        <v>212</v>
      </c>
      <c r="D119" s="25" t="s">
        <v>158</v>
      </c>
      <c r="E119" s="25" t="s">
        <v>214</v>
      </c>
      <c r="F119" s="25" t="s">
        <v>212</v>
      </c>
      <c r="G119" s="25" t="s">
        <v>213</v>
      </c>
      <c r="H119" s="25"/>
      <c r="I119" s="25" t="s">
        <v>215</v>
      </c>
      <c r="J119" s="25"/>
      <c r="L119" s="25" t="s">
        <v>212</v>
      </c>
      <c r="M119" s="25" t="s">
        <v>158</v>
      </c>
      <c r="N119" s="25" t="s">
        <v>214</v>
      </c>
      <c r="O119" s="25" t="s">
        <v>212</v>
      </c>
      <c r="P119" s="25" t="s">
        <v>213</v>
      </c>
      <c r="Q119" s="25"/>
      <c r="R119" s="25" t="s">
        <v>215</v>
      </c>
      <c r="S119" s="25"/>
      <c r="U119" s="25"/>
    </row>
    <row r="120" spans="1:21" x14ac:dyDescent="0.3">
      <c r="B120" s="25"/>
      <c r="C120" s="26"/>
      <c r="D120" s="25" t="s">
        <v>213</v>
      </c>
      <c r="E120" s="27">
        <f>'Assumptions and Inputs'!$C$29</f>
        <v>0.24</v>
      </c>
      <c r="F120" s="54">
        <f>'Assumptions and Inputs'!$C$45</f>
        <v>0.96989999999999998</v>
      </c>
      <c r="G120" s="25"/>
      <c r="H120" s="27">
        <f>'Assumptions and Inputs'!$C$29</f>
        <v>0.24</v>
      </c>
      <c r="I120" s="28">
        <f>'Assumptions and Inputs'!$C$45</f>
        <v>0.96989999999999998</v>
      </c>
      <c r="J120" s="29"/>
      <c r="L120" s="26"/>
      <c r="M120" s="25" t="s">
        <v>213</v>
      </c>
      <c r="N120" s="27">
        <v>1.63</v>
      </c>
      <c r="O120" s="54">
        <v>0.97319999999999995</v>
      </c>
      <c r="P120" s="25"/>
      <c r="Q120" s="27">
        <v>1.63</v>
      </c>
      <c r="R120" s="28">
        <v>0.97319999999999995</v>
      </c>
      <c r="S120" s="29"/>
      <c r="U120" s="29"/>
    </row>
    <row r="121" spans="1:21" x14ac:dyDescent="0.3">
      <c r="B121" s="30"/>
      <c r="C121" s="31" t="s">
        <v>178</v>
      </c>
      <c r="D121" s="31" t="s">
        <v>179</v>
      </c>
      <c r="E121" s="31" t="str">
        <f>"(3) = (2) * $ "&amp;FIXED(E120,3,)&amp;"/Mcf"</f>
        <v>(3) = (2) * $ 0.240/Mcf</v>
      </c>
      <c r="F121" s="31" t="str">
        <f>"(4) = [(1) - (3)]* "&amp;FIXED(F120,4,)&amp;""</f>
        <v>(4) = [(1) - (3)]* 0.9699</v>
      </c>
      <c r="G121" s="31" t="s">
        <v>182</v>
      </c>
      <c r="H121" s="31" t="str">
        <f>"(6) = (5) * $ "&amp;FIXED(H120,3,)&amp;"/Mcf"</f>
        <v>(6) = (5) * $ 0.240/Mcf</v>
      </c>
      <c r="I121" s="32" t="str">
        <f>"(7) = (6) * "&amp;FIXED(F120,4,)&amp;""</f>
        <v>(7) = (6) * 0.9699</v>
      </c>
      <c r="J121" s="31" t="s">
        <v>216</v>
      </c>
      <c r="L121" s="31" t="s">
        <v>178</v>
      </c>
      <c r="M121" s="31" t="s">
        <v>179</v>
      </c>
      <c r="N121" s="31" t="s">
        <v>262</v>
      </c>
      <c r="O121" s="31" t="s">
        <v>263</v>
      </c>
      <c r="P121" s="31" t="s">
        <v>182</v>
      </c>
      <c r="Q121" s="31" t="s">
        <v>264</v>
      </c>
      <c r="R121" s="32" t="s">
        <v>265</v>
      </c>
      <c r="S121" s="31" t="s">
        <v>216</v>
      </c>
      <c r="U121" s="31" t="s">
        <v>254</v>
      </c>
    </row>
    <row r="122" spans="1:21" x14ac:dyDescent="0.3">
      <c r="B122" s="33"/>
      <c r="C122" s="34"/>
      <c r="D122" s="34"/>
      <c r="E122" s="34"/>
      <c r="F122" s="34"/>
      <c r="G122" s="34"/>
      <c r="H122" s="34"/>
      <c r="I122" s="35" t="s">
        <v>217</v>
      </c>
      <c r="J122" s="36">
        <v>4689002</v>
      </c>
      <c r="L122" s="34"/>
      <c r="M122" s="34"/>
      <c r="N122" s="34"/>
      <c r="O122" s="34"/>
      <c r="P122" s="34"/>
      <c r="Q122" s="34"/>
      <c r="R122" s="35" t="s">
        <v>217</v>
      </c>
      <c r="S122" s="36">
        <v>4689002</v>
      </c>
      <c r="U122" s="34"/>
    </row>
    <row r="123" spans="1:21" x14ac:dyDescent="0.3">
      <c r="A123" s="74">
        <v>1</v>
      </c>
      <c r="B123" s="38">
        <f>B83</f>
        <v>45170</v>
      </c>
      <c r="C123" s="39">
        <f>Customer!BL$11*'Assumptions and Inputs'!$C$42</f>
        <v>717219.38120000006</v>
      </c>
      <c r="D123" s="40">
        <f>Customer!BL$60/'Assumptions and Inputs'!$C$21</f>
        <v>15843.5</v>
      </c>
      <c r="E123" s="39">
        <f t="shared" ref="E123:E134" si="45">$E$120*D123</f>
        <v>3802.44</v>
      </c>
      <c r="F123" s="39">
        <f t="shared" ref="F123:F133" si="46">(C123-E123)*$F$120</f>
        <v>691943.09126988007</v>
      </c>
      <c r="G123" s="40">
        <f>Customer!BL$65/'Assumptions and Inputs'!$C$21</f>
        <v>492840.7</v>
      </c>
      <c r="H123" s="65">
        <f t="shared" ref="H123:H134" si="47">ROUND($H$120*G123, 0)</f>
        <v>118282</v>
      </c>
      <c r="I123" s="65">
        <f t="shared" ref="I123:I134" si="48">H123*$I$120</f>
        <v>114721.7118</v>
      </c>
      <c r="J123" s="39">
        <f>I123-F123</f>
        <v>-577221.37946988002</v>
      </c>
      <c r="L123" s="39">
        <v>717219.38120000006</v>
      </c>
      <c r="M123" s="64">
        <v>15843.5</v>
      </c>
      <c r="N123" s="39">
        <v>3802</v>
      </c>
      <c r="O123" s="39">
        <v>691943.5180258801</v>
      </c>
      <c r="P123" s="64">
        <v>492840.7</v>
      </c>
      <c r="Q123" s="65">
        <v>118282</v>
      </c>
      <c r="R123" s="65">
        <v>114721.7118</v>
      </c>
      <c r="S123" s="39">
        <v>-577221.80622588005</v>
      </c>
      <c r="U123" s="39">
        <f>J123-S123</f>
        <v>0.42675600002985448</v>
      </c>
    </row>
    <row r="124" spans="1:21" x14ac:dyDescent="0.3">
      <c r="A124" s="74">
        <v>2</v>
      </c>
      <c r="B124" s="42">
        <f t="shared" ref="B124:B134" si="49">B84</f>
        <v>45200</v>
      </c>
      <c r="C124" s="43">
        <f>Customer!BM$11*'Assumptions and Inputs'!$C$42</f>
        <v>692827.64359999995</v>
      </c>
      <c r="D124" s="44">
        <f>Customer!BM$60/'Assumptions and Inputs'!$C$21</f>
        <v>14414.4</v>
      </c>
      <c r="E124" s="49">
        <f t="shared" si="45"/>
        <v>3459.4559999999997</v>
      </c>
      <c r="F124" s="49">
        <f t="shared" si="46"/>
        <v>668618.20515323989</v>
      </c>
      <c r="G124" s="44">
        <f>Customer!BM$65/'Assumptions and Inputs'!$C$21</f>
        <v>420550.3</v>
      </c>
      <c r="H124" s="49">
        <f t="shared" si="47"/>
        <v>100932</v>
      </c>
      <c r="I124" s="49">
        <f t="shared" si="48"/>
        <v>97893.946800000005</v>
      </c>
      <c r="J124" s="45">
        <f>I124-F124</f>
        <v>-570724.25835323986</v>
      </c>
      <c r="L124" s="49">
        <v>692827.64359999995</v>
      </c>
      <c r="M124" s="55">
        <v>14414.4</v>
      </c>
      <c r="N124" s="49">
        <v>3459</v>
      </c>
      <c r="O124" s="49">
        <v>668618.64742763992</v>
      </c>
      <c r="P124" s="55">
        <v>420550.3</v>
      </c>
      <c r="Q124" s="49">
        <v>100932</v>
      </c>
      <c r="R124" s="49">
        <v>97893.946800000005</v>
      </c>
      <c r="S124" s="45">
        <v>-570724.70062763989</v>
      </c>
      <c r="U124" s="45">
        <f t="shared" ref="U124:U126" si="50">J124-S124</f>
        <v>0.44227440003305674</v>
      </c>
    </row>
    <row r="125" spans="1:21" x14ac:dyDescent="0.3">
      <c r="A125" s="74">
        <v>3</v>
      </c>
      <c r="B125" s="38">
        <f t="shared" si="49"/>
        <v>45231</v>
      </c>
      <c r="C125" s="39">
        <f>Customer!BN$11*'Assumptions and Inputs'!$C$42</f>
        <v>735380.27740000002</v>
      </c>
      <c r="D125" s="40">
        <f>Customer!BN$60/'Assumptions and Inputs'!$C$21</f>
        <v>15239.1</v>
      </c>
      <c r="E125" s="39">
        <f t="shared" si="45"/>
        <v>3657.384</v>
      </c>
      <c r="F125" s="39">
        <f t="shared" si="46"/>
        <v>709698.03430866008</v>
      </c>
      <c r="G125" s="40">
        <f>Customer!BN$65/'Assumptions and Inputs'!$C$21</f>
        <v>422652.2</v>
      </c>
      <c r="H125" s="41">
        <f t="shared" si="47"/>
        <v>101437</v>
      </c>
      <c r="I125" s="41">
        <f t="shared" si="48"/>
        <v>98383.746299999999</v>
      </c>
      <c r="J125" s="39">
        <f t="shared" ref="J125:J133" si="51">I125-F125</f>
        <v>-611314.28800866008</v>
      </c>
      <c r="L125" s="39">
        <v>735380.27740000002</v>
      </c>
      <c r="M125" s="40">
        <v>15239.1</v>
      </c>
      <c r="N125" s="39">
        <v>3657</v>
      </c>
      <c r="O125" s="39">
        <v>709698.40675026004</v>
      </c>
      <c r="P125" s="40">
        <v>422652.2</v>
      </c>
      <c r="Q125" s="41">
        <v>101437</v>
      </c>
      <c r="R125" s="41">
        <v>98383.746299999999</v>
      </c>
      <c r="S125" s="39">
        <v>-611314.66045026004</v>
      </c>
      <c r="U125" s="39">
        <f t="shared" si="50"/>
        <v>0.37244159996043891</v>
      </c>
    </row>
    <row r="126" spans="1:21" x14ac:dyDescent="0.3">
      <c r="A126" s="74">
        <v>4</v>
      </c>
      <c r="B126" s="42">
        <f t="shared" si="49"/>
        <v>45261</v>
      </c>
      <c r="C126" s="43">
        <f>Customer!BO$11*'Assumptions and Inputs'!$C$42</f>
        <v>746727.27559999982</v>
      </c>
      <c r="D126" s="44">
        <f>Customer!BO$60/'Assumptions and Inputs'!$C$21</f>
        <v>15414.7</v>
      </c>
      <c r="E126" s="43">
        <f t="shared" si="45"/>
        <v>3699.5280000000002</v>
      </c>
      <c r="F126" s="43">
        <f t="shared" si="46"/>
        <v>720662.61239723978</v>
      </c>
      <c r="G126" s="44">
        <f>Customer!BO$65/'Assumptions and Inputs'!$C$21</f>
        <v>423419.1</v>
      </c>
      <c r="H126" s="43">
        <f t="shared" si="47"/>
        <v>101621</v>
      </c>
      <c r="I126" s="43">
        <f t="shared" si="48"/>
        <v>98562.207899999994</v>
      </c>
      <c r="J126" s="45">
        <f t="shared" si="51"/>
        <v>-622100.40449723974</v>
      </c>
      <c r="L126" s="43">
        <v>746727.27559999982</v>
      </c>
      <c r="M126" s="44">
        <v>15414.7</v>
      </c>
      <c r="N126" s="43">
        <v>3700</v>
      </c>
      <c r="O126" s="43">
        <v>720662.15460443986</v>
      </c>
      <c r="P126" s="44">
        <v>423419.1</v>
      </c>
      <c r="Q126" s="43">
        <v>101621</v>
      </c>
      <c r="R126" s="43">
        <v>98562.207899999994</v>
      </c>
      <c r="S126" s="45">
        <v>-622099.94670443982</v>
      </c>
      <c r="U126" s="45">
        <f t="shared" si="50"/>
        <v>-0.45779279991984367</v>
      </c>
    </row>
    <row r="127" spans="1:21" x14ac:dyDescent="0.3">
      <c r="A127" s="74">
        <v>5</v>
      </c>
      <c r="B127" s="38">
        <f t="shared" si="49"/>
        <v>45292</v>
      </c>
      <c r="C127" s="39">
        <f>Customer!BP$11*'Assumptions and Inputs'!$C$42</f>
        <v>775542.7892</v>
      </c>
      <c r="D127" s="40">
        <f>Customer!BP$60/'Assumptions and Inputs'!$C$21</f>
        <v>16003.4</v>
      </c>
      <c r="E127" s="39">
        <f t="shared" si="45"/>
        <v>3840.8159999999998</v>
      </c>
      <c r="F127" s="39">
        <f t="shared" si="46"/>
        <v>748473.74380667997</v>
      </c>
      <c r="G127" s="40">
        <f>Customer!BP$65/'Assumptions and Inputs'!$C$21</f>
        <v>423003</v>
      </c>
      <c r="H127" s="41">
        <f t="shared" si="47"/>
        <v>101521</v>
      </c>
      <c r="I127" s="41">
        <f t="shared" si="48"/>
        <v>98465.217900000003</v>
      </c>
      <c r="J127" s="39">
        <f t="shared" si="51"/>
        <v>-650008.52590667992</v>
      </c>
      <c r="L127" s="39">
        <v>775542.7892</v>
      </c>
      <c r="M127" s="40">
        <v>16003.4</v>
      </c>
      <c r="N127" s="39">
        <v>3841</v>
      </c>
      <c r="O127" s="39">
        <v>748473.56534507999</v>
      </c>
      <c r="P127" s="40">
        <v>423003</v>
      </c>
      <c r="Q127" s="41">
        <v>101521</v>
      </c>
      <c r="R127" s="41">
        <v>98465.217900000003</v>
      </c>
      <c r="S127" s="39">
        <v>-650008.34744507994</v>
      </c>
      <c r="U127" s="39">
        <f t="shared" ref="U127:U134" si="52">J127-S127</f>
        <v>-0.17846159997861832</v>
      </c>
    </row>
    <row r="128" spans="1:21" x14ac:dyDescent="0.3">
      <c r="A128" s="74">
        <v>6</v>
      </c>
      <c r="B128" s="42">
        <f t="shared" si="49"/>
        <v>45323</v>
      </c>
      <c r="C128" s="43">
        <f>Customer!BQ$11*'Assumptions and Inputs'!$C$42</f>
        <v>884118.22659999994</v>
      </c>
      <c r="D128" s="44">
        <f>Customer!BQ$60/'Assumptions and Inputs'!$C$21</f>
        <v>19362.3</v>
      </c>
      <c r="E128" s="43">
        <f t="shared" si="45"/>
        <v>4646.9519999999993</v>
      </c>
      <c r="F128" s="43">
        <f t="shared" si="46"/>
        <v>852999.18923453987</v>
      </c>
      <c r="G128" s="44">
        <f>Customer!BQ$65/'Assumptions and Inputs'!$C$21</f>
        <v>417930.9</v>
      </c>
      <c r="H128" s="43">
        <f t="shared" si="47"/>
        <v>100303</v>
      </c>
      <c r="I128" s="43">
        <f t="shared" si="48"/>
        <v>97283.879700000005</v>
      </c>
      <c r="J128" s="45">
        <f t="shared" si="51"/>
        <v>-755715.30953453982</v>
      </c>
      <c r="L128" s="43">
        <v>884118.22659999994</v>
      </c>
      <c r="M128" s="44">
        <v>19362.3</v>
      </c>
      <c r="N128" s="43">
        <v>4647</v>
      </c>
      <c r="O128" s="43">
        <v>852999.14267933997</v>
      </c>
      <c r="P128" s="44">
        <v>417930.9</v>
      </c>
      <c r="Q128" s="43">
        <v>100303</v>
      </c>
      <c r="R128" s="43">
        <v>97283.879700000005</v>
      </c>
      <c r="S128" s="45">
        <v>-755715.26297933992</v>
      </c>
      <c r="U128" s="45">
        <f t="shared" si="52"/>
        <v>-4.6555199893191457E-2</v>
      </c>
    </row>
    <row r="129" spans="1:21" x14ac:dyDescent="0.3">
      <c r="A129" s="74">
        <v>7</v>
      </c>
      <c r="B129" s="38">
        <f t="shared" si="49"/>
        <v>45352</v>
      </c>
      <c r="C129" s="39">
        <f>Customer!BR$11*'Assumptions and Inputs'!$C$42</f>
        <v>1171874.6764</v>
      </c>
      <c r="D129" s="40">
        <f>Customer!BR$60/'Assumptions and Inputs'!$C$21</f>
        <v>30027.1</v>
      </c>
      <c r="E129" s="39">
        <f t="shared" si="45"/>
        <v>7206.503999999999</v>
      </c>
      <c r="F129" s="39">
        <f t="shared" si="46"/>
        <v>1129611.66041076</v>
      </c>
      <c r="G129" s="40">
        <f>Customer!BR$65/'Assumptions and Inputs'!$C$21</f>
        <v>385256.6</v>
      </c>
      <c r="H129" s="41">
        <f t="shared" si="47"/>
        <v>92462</v>
      </c>
      <c r="I129" s="41">
        <f t="shared" si="48"/>
        <v>89678.893800000005</v>
      </c>
      <c r="J129" s="39">
        <f t="shared" si="51"/>
        <v>-1039932.76661076</v>
      </c>
      <c r="L129" s="39">
        <v>1171874.6764</v>
      </c>
      <c r="M129" s="40">
        <v>30027.1</v>
      </c>
      <c r="N129" s="39">
        <v>7207</v>
      </c>
      <c r="O129" s="39">
        <v>1129611.17934036</v>
      </c>
      <c r="P129" s="40">
        <v>385256.6</v>
      </c>
      <c r="Q129" s="41">
        <v>92462</v>
      </c>
      <c r="R129" s="41">
        <v>89678.893800000005</v>
      </c>
      <c r="S129" s="39">
        <v>-1039932.28554036</v>
      </c>
      <c r="U129" s="39">
        <f t="shared" si="52"/>
        <v>-0.48107039998285472</v>
      </c>
    </row>
    <row r="130" spans="1:21" x14ac:dyDescent="0.3">
      <c r="A130" s="74">
        <v>8</v>
      </c>
      <c r="B130" s="42">
        <f t="shared" si="49"/>
        <v>45383</v>
      </c>
      <c r="C130" s="43">
        <f>Customer!BS$11*'Assumptions and Inputs'!$C$42</f>
        <v>1214622.5323999999</v>
      </c>
      <c r="D130" s="44">
        <f>Customer!BS$60/'Assumptions and Inputs'!$C$21</f>
        <v>32587.4</v>
      </c>
      <c r="E130" s="43">
        <f t="shared" si="45"/>
        <v>7820.9759999999997</v>
      </c>
      <c r="F130" s="43">
        <f t="shared" si="46"/>
        <v>1170476.8295523599</v>
      </c>
      <c r="G130" s="44">
        <f>Customer!BS$65/'Assumptions and Inputs'!$C$21</f>
        <v>374615.5</v>
      </c>
      <c r="H130" s="43">
        <f t="shared" si="47"/>
        <v>89908</v>
      </c>
      <c r="I130" s="43">
        <f t="shared" si="48"/>
        <v>87201.769199999995</v>
      </c>
      <c r="J130" s="45">
        <f t="shared" si="51"/>
        <v>-1083275.0603523599</v>
      </c>
      <c r="L130" s="43">
        <v>1298608.3443199999</v>
      </c>
      <c r="M130" s="44">
        <v>39182.14832</v>
      </c>
      <c r="N130" s="43">
        <v>9404</v>
      </c>
      <c r="O130" s="43">
        <v>1250399.293555968</v>
      </c>
      <c r="P130" s="44">
        <v>422583.93501333334</v>
      </c>
      <c r="Q130" s="43">
        <v>101420</v>
      </c>
      <c r="R130" s="43">
        <v>98367.258000000002</v>
      </c>
      <c r="S130" s="45">
        <v>-1152032.0355559681</v>
      </c>
      <c r="U130" s="45">
        <f t="shared" si="52"/>
        <v>68756.975203608163</v>
      </c>
    </row>
    <row r="131" spans="1:21" x14ac:dyDescent="0.3">
      <c r="A131" s="74">
        <v>9</v>
      </c>
      <c r="B131" s="38">
        <f t="shared" si="49"/>
        <v>45413</v>
      </c>
      <c r="C131" s="39">
        <f>Customer!BT$11*'Assumptions and Inputs'!$C$42</f>
        <v>1374063.5289999999</v>
      </c>
      <c r="D131" s="40">
        <f>Customer!BT$60/'Assumptions and Inputs'!$C$21</f>
        <v>36400.1</v>
      </c>
      <c r="E131" s="39">
        <f t="shared" si="45"/>
        <v>8736.0239999999994</v>
      </c>
      <c r="F131" s="39">
        <f t="shared" si="46"/>
        <v>1324231.1470994998</v>
      </c>
      <c r="G131" s="40">
        <f>Customer!BT$65/'Assumptions and Inputs'!$C$21</f>
        <v>413472.4</v>
      </c>
      <c r="H131" s="41">
        <f t="shared" si="47"/>
        <v>99233</v>
      </c>
      <c r="I131" s="41">
        <f t="shared" si="48"/>
        <v>96246.0867</v>
      </c>
      <c r="J131" s="39">
        <f t="shared" si="51"/>
        <v>-1227985.0603994997</v>
      </c>
      <c r="L131" s="39">
        <v>1298608.3443199999</v>
      </c>
      <c r="M131" s="40">
        <v>39182.14832</v>
      </c>
      <c r="N131" s="39">
        <v>9404</v>
      </c>
      <c r="O131" s="39">
        <v>1250399.293555968</v>
      </c>
      <c r="P131" s="40">
        <v>422583.93501333334</v>
      </c>
      <c r="Q131" s="41">
        <v>101420</v>
      </c>
      <c r="R131" s="41">
        <v>98367.258000000002</v>
      </c>
      <c r="S131" s="39">
        <v>-1152032.0355559681</v>
      </c>
      <c r="U131" s="39">
        <f t="shared" si="52"/>
        <v>-75953.024843531661</v>
      </c>
    </row>
    <row r="132" spans="1:21" x14ac:dyDescent="0.3">
      <c r="A132" s="74">
        <v>10</v>
      </c>
      <c r="B132" s="42">
        <f t="shared" si="49"/>
        <v>45444</v>
      </c>
      <c r="C132" s="43">
        <f>Customer!BU$11*'Assumptions and Inputs'!$C$42</f>
        <v>1363982.7635999999</v>
      </c>
      <c r="D132" s="44">
        <f>Customer!BU$60/'Assumptions and Inputs'!$C$21</f>
        <v>35166</v>
      </c>
      <c r="E132" s="43">
        <f t="shared" si="45"/>
        <v>8439.84</v>
      </c>
      <c r="F132" s="43">
        <f t="shared" si="46"/>
        <v>1314741.08159964</v>
      </c>
      <c r="G132" s="44">
        <f>Customer!BU$65/'Assumptions and Inputs'!$C$21</f>
        <v>410489</v>
      </c>
      <c r="H132" s="43">
        <f t="shared" si="47"/>
        <v>98517</v>
      </c>
      <c r="I132" s="43">
        <f t="shared" si="48"/>
        <v>95551.638299999991</v>
      </c>
      <c r="J132" s="45">
        <f t="shared" si="51"/>
        <v>-1219189.44329964</v>
      </c>
      <c r="L132" s="43">
        <v>1298608.3443199999</v>
      </c>
      <c r="M132" s="44">
        <v>39182.14832</v>
      </c>
      <c r="N132" s="43">
        <v>9404</v>
      </c>
      <c r="O132" s="43">
        <v>1250399.293555968</v>
      </c>
      <c r="P132" s="44">
        <v>422583.93501333334</v>
      </c>
      <c r="Q132" s="43">
        <v>101420</v>
      </c>
      <c r="R132" s="43">
        <v>98367.258000000002</v>
      </c>
      <c r="S132" s="45">
        <v>-1152032.0355559681</v>
      </c>
      <c r="U132" s="45">
        <f t="shared" si="52"/>
        <v>-67157.407743671909</v>
      </c>
    </row>
    <row r="133" spans="1:21" x14ac:dyDescent="0.3">
      <c r="A133" s="74">
        <v>11</v>
      </c>
      <c r="B133" s="38">
        <f t="shared" si="49"/>
        <v>45474</v>
      </c>
      <c r="C133" s="39">
        <f>Customer!BV$11*'Assumptions and Inputs'!$C$42</f>
        <v>1473311.9342</v>
      </c>
      <c r="D133" s="40">
        <f>Customer!BV$60/'Assumptions and Inputs'!$C$21</f>
        <v>37858.5</v>
      </c>
      <c r="E133" s="39">
        <f t="shared" si="45"/>
        <v>9086.0399999999991</v>
      </c>
      <c r="F133" s="39">
        <f t="shared" si="46"/>
        <v>1420152.69478458</v>
      </c>
      <c r="G133" s="40">
        <f>Customer!BV$65/'Assumptions and Inputs'!$C$21</f>
        <v>464443.4</v>
      </c>
      <c r="H133" s="41">
        <f t="shared" si="47"/>
        <v>111466</v>
      </c>
      <c r="I133" s="41">
        <f t="shared" si="48"/>
        <v>108110.8734</v>
      </c>
      <c r="J133" s="39">
        <f t="shared" si="51"/>
        <v>-1312041.8213845801</v>
      </c>
      <c r="L133" s="39">
        <v>1298608.3443199999</v>
      </c>
      <c r="M133" s="40">
        <v>39182.14832</v>
      </c>
      <c r="N133" s="39">
        <v>9404</v>
      </c>
      <c r="O133" s="39">
        <v>1250399.293555968</v>
      </c>
      <c r="P133" s="40">
        <v>422583.93501333334</v>
      </c>
      <c r="Q133" s="41">
        <v>101420</v>
      </c>
      <c r="R133" s="41">
        <v>98367.258000000002</v>
      </c>
      <c r="S133" s="39">
        <v>-1152032.0355559681</v>
      </c>
      <c r="U133" s="39">
        <f t="shared" si="52"/>
        <v>-160009.78582861205</v>
      </c>
    </row>
    <row r="134" spans="1:21" x14ac:dyDescent="0.3">
      <c r="A134" s="74">
        <v>12</v>
      </c>
      <c r="B134" s="42">
        <f t="shared" si="49"/>
        <v>45505</v>
      </c>
      <c r="C134" s="43">
        <f>Customer!BW$11*'Assumptions and Inputs'!$C$42</f>
        <v>1586813.1839999999</v>
      </c>
      <c r="D134" s="44">
        <f>Customer!BW$60/'Assumptions and Inputs'!$C$21</f>
        <v>40109.300000000003</v>
      </c>
      <c r="E134" s="43">
        <f t="shared" si="45"/>
        <v>9626.232</v>
      </c>
      <c r="F134" s="43">
        <f>(C134-E134)*$F$120</f>
        <v>1529713.6247447997</v>
      </c>
      <c r="G134" s="44">
        <f>Customer!BW$65/'Assumptions and Inputs'!$C$21</f>
        <v>474078.4</v>
      </c>
      <c r="H134" s="43">
        <f t="shared" si="47"/>
        <v>113779</v>
      </c>
      <c r="I134" s="43">
        <f t="shared" si="48"/>
        <v>110354.2521</v>
      </c>
      <c r="J134" s="45">
        <f t="shared" ref="J134" si="53">I134-F134</f>
        <v>-1419359.3726447998</v>
      </c>
      <c r="L134" s="43">
        <v>1298608.3443199999</v>
      </c>
      <c r="M134" s="44">
        <v>39182.14832</v>
      </c>
      <c r="N134" s="43">
        <v>9404</v>
      </c>
      <c r="O134" s="43">
        <v>1250399.293555968</v>
      </c>
      <c r="P134" s="44">
        <v>422583.93501333334</v>
      </c>
      <c r="Q134" s="43">
        <v>101420</v>
      </c>
      <c r="R134" s="43">
        <v>98367.258000000002</v>
      </c>
      <c r="S134" s="45">
        <v>-1152032.0355559681</v>
      </c>
      <c r="U134" s="45">
        <f t="shared" si="52"/>
        <v>-267327.3370888317</v>
      </c>
    </row>
    <row r="135" spans="1:21" ht="5.0999999999999996" customHeight="1" x14ac:dyDescent="0.3">
      <c r="D135" s="10"/>
      <c r="M135" s="10"/>
    </row>
    <row r="136" spans="1:21" x14ac:dyDescent="0.3">
      <c r="B136" s="46" t="s">
        <v>165</v>
      </c>
      <c r="C136" s="65">
        <f>SUM(C123:C134)</f>
        <v>12736484.213199999</v>
      </c>
      <c r="D136" s="64">
        <f t="shared" ref="D136:I136" si="54">SUM(D123:D134)</f>
        <v>308425.8</v>
      </c>
      <c r="E136" s="65">
        <f t="shared" si="54"/>
        <v>74022.191999999995</v>
      </c>
      <c r="F136" s="65">
        <f t="shared" si="54"/>
        <v>12281321.914361877</v>
      </c>
      <c r="G136" s="64">
        <f t="shared" si="54"/>
        <v>5122751.5</v>
      </c>
      <c r="H136" s="65">
        <f t="shared" si="54"/>
        <v>1229461</v>
      </c>
      <c r="I136" s="65">
        <f t="shared" si="54"/>
        <v>1192454.2238999999</v>
      </c>
      <c r="J136" s="39">
        <f>SUM(J122:J134)</f>
        <v>-6399865.6904618787</v>
      </c>
      <c r="L136" s="65">
        <v>12216731.991599998</v>
      </c>
      <c r="M136" s="64">
        <v>322215.24160000001</v>
      </c>
      <c r="N136" s="65">
        <v>77333</v>
      </c>
      <c r="O136" s="65">
        <v>11774003.081952838</v>
      </c>
      <c r="P136" s="64">
        <v>5098572.4750666665</v>
      </c>
      <c r="Q136" s="65">
        <v>1223658</v>
      </c>
      <c r="R136" s="65">
        <v>1186825.8942</v>
      </c>
      <c r="S136" s="39">
        <v>-5898175.1877528401</v>
      </c>
      <c r="U136" s="39">
        <f>J136-S136</f>
        <v>-501690.50270903856</v>
      </c>
    </row>
    <row r="137" spans="1:21" x14ac:dyDescent="0.3">
      <c r="F137" s="47"/>
      <c r="J137" s="22"/>
      <c r="O137" s="47"/>
    </row>
    <row r="138" spans="1:21" x14ac:dyDescent="0.3">
      <c r="B138" s="1" t="s">
        <v>222</v>
      </c>
      <c r="I138" s="51" t="s">
        <v>223</v>
      </c>
      <c r="J138" s="52">
        <f>J136</f>
        <v>-6399865.6904618787</v>
      </c>
      <c r="K138" s="50"/>
      <c r="L138" s="1" t="s">
        <v>222</v>
      </c>
      <c r="R138" s="51" t="s">
        <v>223</v>
      </c>
      <c r="S138" s="52">
        <f>S136</f>
        <v>-5898175.1877528401</v>
      </c>
      <c r="T138" s="22"/>
      <c r="U138" s="66">
        <f>J138-S138</f>
        <v>-501690.50270903856</v>
      </c>
    </row>
    <row r="139" spans="1:21" x14ac:dyDescent="0.3">
      <c r="B139" s="86" t="s">
        <v>255</v>
      </c>
      <c r="L139" s="53"/>
    </row>
    <row r="140" spans="1:21" x14ac:dyDescent="0.3">
      <c r="B140" s="53" t="str">
        <f>"(1) - Updated TAP Actual Discounts reflect sewer's "&amp;FIXED('Assumptions and Inputs'!$C$49*100, 1, 0)&amp;"% allocated portion of the Total TAP Discount."</f>
        <v>(1) - Updated TAP Actual Discounts reflect sewer's 58.0% allocated portion of the Total TAP Discount.</v>
      </c>
      <c r="L140" s="53"/>
    </row>
    <row r="141" spans="1:21" x14ac:dyDescent="0.3">
      <c r="B141" s="53" t="s">
        <v>240</v>
      </c>
      <c r="L141" s="53"/>
    </row>
    <row r="142" spans="1:21" x14ac:dyDescent="0.3">
      <c r="B142" s="53" t="s">
        <v>266</v>
      </c>
      <c r="L142" s="53"/>
    </row>
    <row r="143" spans="1:21" x14ac:dyDescent="0.3">
      <c r="B143" s="53"/>
      <c r="L143" s="53"/>
    </row>
    <row r="144" spans="1:21" x14ac:dyDescent="0.3">
      <c r="B144" s="86" t="s">
        <v>257</v>
      </c>
      <c r="K144" s="9"/>
      <c r="L144" s="53"/>
    </row>
    <row r="145" spans="2:12" x14ac:dyDescent="0.3">
      <c r="B145" s="53" t="str">
        <f>"(9) - TAP Actual Discounts reflect sewer's "&amp;FIXED('Assumptions and Inputs'!$C$49*100, 1, 0)&amp;"% allocated portion of the Total TAP Discount."</f>
        <v>(9) - TAP Actual Discounts reflect sewer's 58.0% allocated portion of the Total TAP Discount.</v>
      </c>
      <c r="L145" s="53"/>
    </row>
    <row r="146" spans="2:12" x14ac:dyDescent="0.3">
      <c r="B146" s="53" t="s">
        <v>258</v>
      </c>
    </row>
    <row r="147" spans="2:12" x14ac:dyDescent="0.3">
      <c r="B147" s="53" t="s">
        <v>267</v>
      </c>
    </row>
    <row r="148" spans="2:12" x14ac:dyDescent="0.3">
      <c r="B148" s="53"/>
    </row>
    <row r="149" spans="2:12" x14ac:dyDescent="0.3">
      <c r="B149" s="86" t="s">
        <v>260</v>
      </c>
    </row>
    <row r="150" spans="2:12" x14ac:dyDescent="0.3">
      <c r="B150" s="53" t="str">
        <f>"(3), (6), (11) &amp; (14) - Sewer TAP-R Rates per "&amp;TEXT('Assumptions and Inputs'!F29,)&amp;" "&amp;TEXT('Assumptions and Inputs'!G29,)&amp;"."</f>
        <v>(3), (6), (11) &amp; (14) - Sewer TAP-R Rates per PWD Regulations - Rates and Charges Effective September 1, 2023 Section 10.3(b)(1).</v>
      </c>
    </row>
    <row r="151" spans="2:12" x14ac:dyDescent="0.3">
      <c r="B151" s="53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2023 Section 10.1(b)(3).</v>
      </c>
    </row>
    <row r="152" spans="2:12" x14ac:dyDescent="0.3"/>
    <row r="153" spans="2:12" x14ac:dyDescent="0.3">
      <c r="C153" s="22"/>
    </row>
    <row r="154" spans="2:12" x14ac:dyDescent="0.3">
      <c r="C154" s="22"/>
    </row>
    <row r="155" spans="2:12" x14ac:dyDescent="0.3">
      <c r="C155" s="22"/>
    </row>
    <row r="156" spans="2:12" x14ac:dyDescent="0.3">
      <c r="C156" s="22"/>
    </row>
    <row r="157" spans="2:12" x14ac:dyDescent="0.3">
      <c r="C157" s="22"/>
    </row>
    <row r="158" spans="2:12" x14ac:dyDescent="0.3">
      <c r="C158" s="22"/>
    </row>
    <row r="159" spans="2:12" x14ac:dyDescent="0.3">
      <c r="C159" s="22"/>
    </row>
    <row r="160" spans="2:12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</sheetData>
  <printOptions horizontalCentered="1"/>
  <pageMargins left="0.7" right="0.7" top="0.75" bottom="0.75" header="0.3" footer="0.3"/>
  <pageSetup scale="54" orientation="landscape" r:id="rId1"/>
  <headerFooter>
    <oddHeader>&amp;R2025 TAP-R Rate Proceeding
 Schedule LKM-TAP-4
Revised 4/29/2025</oddHeader>
  </headerFooter>
  <ignoredErrors>
    <ignoredError sqref="C81:D81 G81 C121:D1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-0.249977111117893"/>
    <pageSetUpPr fitToPage="1"/>
  </sheetPr>
  <dimension ref="A1:U111"/>
  <sheetViews>
    <sheetView topLeftCell="E31" zoomScaleNormal="100" workbookViewId="0">
      <selection activeCell="I19" sqref="I19"/>
    </sheetView>
  </sheetViews>
  <sheetFormatPr defaultColWidth="0" defaultRowHeight="14.4" zeroHeight="1" x14ac:dyDescent="0.3"/>
  <cols>
    <col min="1" max="1" width="9.21875" style="1" customWidth="1"/>
    <col min="2" max="4" width="20.5546875" style="1" customWidth="1"/>
    <col min="5" max="5" width="21.44140625" style="1" customWidth="1"/>
    <col min="6" max="6" width="20.5546875" style="1" customWidth="1"/>
    <col min="7" max="7" width="32.21875" style="1" bestFit="1" customWidth="1"/>
    <col min="8" max="8" width="30.5546875" style="1" customWidth="1"/>
    <col min="9" max="9" width="9.21875" style="1" customWidth="1"/>
    <col min="10" max="10" width="9.44140625" style="1" customWidth="1"/>
    <col min="11" max="18" width="9.21875" style="1" customWidth="1"/>
    <col min="19" max="21" width="0" style="1" hidden="1" customWidth="1"/>
    <col min="22" max="16384" width="9.21875" style="1" hidden="1"/>
  </cols>
  <sheetData>
    <row r="1" spans="2:11" x14ac:dyDescent="0.3"/>
    <row r="2" spans="2:11" x14ac:dyDescent="0.3">
      <c r="B2" s="316" t="s">
        <v>31</v>
      </c>
      <c r="C2" s="316"/>
      <c r="D2" s="316"/>
      <c r="E2" s="316"/>
      <c r="F2" s="316"/>
      <c r="G2" s="316"/>
      <c r="H2" s="316"/>
    </row>
    <row r="3" spans="2:11" x14ac:dyDescent="0.3">
      <c r="B3" s="316" t="s">
        <v>268</v>
      </c>
      <c r="C3" s="316"/>
      <c r="D3" s="316"/>
      <c r="E3" s="316"/>
      <c r="F3" s="316"/>
      <c r="G3" s="316"/>
      <c r="H3" s="316"/>
    </row>
    <row r="4" spans="2:11" x14ac:dyDescent="0.3">
      <c r="B4" s="255"/>
      <c r="D4" s="317"/>
      <c r="E4" s="316"/>
      <c r="F4" s="255"/>
      <c r="G4" s="316"/>
      <c r="H4" s="372"/>
    </row>
    <row r="5" spans="2:11" x14ac:dyDescent="0.3">
      <c r="B5" s="323" t="s">
        <v>197</v>
      </c>
      <c r="C5" s="323" t="s">
        <v>269</v>
      </c>
      <c r="D5" s="323" t="s">
        <v>202</v>
      </c>
      <c r="E5" s="323" t="s">
        <v>270</v>
      </c>
      <c r="F5" s="373" t="s">
        <v>271</v>
      </c>
      <c r="G5" s="323" t="s">
        <v>272</v>
      </c>
      <c r="H5" s="323" t="s">
        <v>273</v>
      </c>
    </row>
    <row r="6" spans="2:11" x14ac:dyDescent="0.3">
      <c r="B6" s="322" t="s">
        <v>196</v>
      </c>
      <c r="C6" s="322" t="s">
        <v>211</v>
      </c>
      <c r="D6" s="322" t="s">
        <v>207</v>
      </c>
      <c r="E6" s="322" t="s">
        <v>274</v>
      </c>
      <c r="F6" s="320" t="s">
        <v>274</v>
      </c>
      <c r="G6" s="322" t="s">
        <v>275</v>
      </c>
      <c r="H6" s="322" t="s">
        <v>276</v>
      </c>
    </row>
    <row r="7" spans="2:11" x14ac:dyDescent="0.3">
      <c r="B7" s="322"/>
      <c r="C7" s="322" t="s">
        <v>277</v>
      </c>
      <c r="D7" s="322" t="s">
        <v>213</v>
      </c>
      <c r="E7" s="322" t="s">
        <v>277</v>
      </c>
      <c r="F7" s="320" t="s">
        <v>277</v>
      </c>
      <c r="G7" s="322" t="s">
        <v>278</v>
      </c>
      <c r="H7" s="322" t="s">
        <v>279</v>
      </c>
    </row>
    <row r="8" spans="2:11" x14ac:dyDescent="0.3">
      <c r="B8" s="322"/>
      <c r="C8" s="322" t="s">
        <v>280</v>
      </c>
      <c r="D8" s="322" t="s">
        <v>280</v>
      </c>
      <c r="E8" s="322">
        <f>'Assumptions and Inputs'!$C$95</f>
        <v>-0.9694262811148262</v>
      </c>
      <c r="F8" s="320"/>
      <c r="G8" s="322" t="s">
        <v>277</v>
      </c>
      <c r="H8" s="322" t="s">
        <v>277</v>
      </c>
    </row>
    <row r="9" spans="2:11" x14ac:dyDescent="0.3">
      <c r="B9" s="322"/>
      <c r="C9" s="322" t="s">
        <v>178</v>
      </c>
      <c r="D9" s="322" t="s">
        <v>179</v>
      </c>
      <c r="E9" s="322" t="str">
        <f>"(3) = (2) * $ "&amp;FIXED(E8,3,)&amp;"/Mcf"</f>
        <v>(3) = (2) * $ -0.969/Mcf</v>
      </c>
      <c r="F9" s="320" t="str">
        <f>"(4) = (3) + (1)"</f>
        <v>(4) = (3) + (1)</v>
      </c>
      <c r="G9" s="322" t="s">
        <v>281</v>
      </c>
      <c r="H9" s="322" t="str">
        <f>"(6) = (5) * ["&amp;FIXED('Assumptions and Inputs'!$C$56*100,2,TRUE)&amp;"% / 12]"</f>
        <v>(6) = (5) * [4.17% / 12]</v>
      </c>
    </row>
    <row r="10" spans="2:11" x14ac:dyDescent="0.3">
      <c r="B10" s="350"/>
      <c r="C10" s="351"/>
      <c r="D10" s="351"/>
      <c r="E10" s="351"/>
      <c r="F10" s="351"/>
      <c r="G10" s="351"/>
      <c r="H10" s="351"/>
    </row>
    <row r="11" spans="2:11" x14ac:dyDescent="0.3">
      <c r="B11" s="328">
        <f>'E-Factor LKM-3'!B11</f>
        <v>45536</v>
      </c>
      <c r="C11" s="367">
        <f>'E-Factor LKM-3'!J11</f>
        <v>291251.6160904204</v>
      </c>
      <c r="D11" s="367">
        <f>'E-Factor LKM-3'!G11</f>
        <v>491266.72000000003</v>
      </c>
      <c r="E11" s="368">
        <f>$E$8*$D11</f>
        <v>-476246.86940507864</v>
      </c>
      <c r="F11" s="318">
        <f>E11+C11</f>
        <v>-184995.25331465824</v>
      </c>
      <c r="G11" s="368">
        <f>F11</f>
        <v>-184995.25331465824</v>
      </c>
      <c r="H11" s="368">
        <f>G11*('Assumptions and Inputs'!$C$56)/12</f>
        <v>-642.8585052684374</v>
      </c>
      <c r="K11" s="89"/>
    </row>
    <row r="12" spans="2:11" x14ac:dyDescent="0.3">
      <c r="B12" s="328">
        <f>'E-Factor LKM-3'!B12</f>
        <v>45566</v>
      </c>
      <c r="C12" s="367">
        <f>'E-Factor LKM-3'!J12</f>
        <v>112579.16991737997</v>
      </c>
      <c r="D12" s="367">
        <f>'E-Factor LKM-3'!G12</f>
        <v>461577.505</v>
      </c>
      <c r="E12" s="368">
        <f t="shared" ref="E12:E22" si="0">$E$8*$D12</f>
        <v>-447465.3641184101</v>
      </c>
      <c r="F12" s="318">
        <f t="shared" ref="F12:F22" si="1">E12+C12</f>
        <v>-334886.19420103013</v>
      </c>
      <c r="G12" s="368">
        <f>G11+F12</f>
        <v>-519881.44751568837</v>
      </c>
      <c r="H12" s="368">
        <f>G12*('Assumptions and Inputs'!$C$56)/12</f>
        <v>-1806.5880301170171</v>
      </c>
      <c r="K12" s="89"/>
    </row>
    <row r="13" spans="2:11" x14ac:dyDescent="0.3">
      <c r="B13" s="328">
        <f>'E-Factor LKM-3'!B13</f>
        <v>45597</v>
      </c>
      <c r="C13" s="367">
        <f>'E-Factor LKM-3'!J13</f>
        <v>191736.11132657994</v>
      </c>
      <c r="D13" s="367">
        <f>'E-Factor LKM-3'!G13</f>
        <v>437840.44000000006</v>
      </c>
      <c r="E13" s="368">
        <f t="shared" si="0"/>
        <v>-424454.02947087924</v>
      </c>
      <c r="F13" s="318">
        <f t="shared" si="1"/>
        <v>-232717.9181442993</v>
      </c>
      <c r="G13" s="368">
        <f t="shared" ref="G13:G22" si="2">G12+F13</f>
        <v>-752599.36565998767</v>
      </c>
      <c r="H13" s="368">
        <f>G13*('Assumptions and Inputs'!$C$56)/12</f>
        <v>-2615.2827956684573</v>
      </c>
      <c r="K13" s="89"/>
    </row>
    <row r="14" spans="2:11" x14ac:dyDescent="0.3">
      <c r="B14" s="328">
        <f>'E-Factor LKM-3'!B14</f>
        <v>45627</v>
      </c>
      <c r="C14" s="367">
        <f>'E-Factor LKM-3'!J14</f>
        <v>294316.44620436244</v>
      </c>
      <c r="D14" s="367">
        <f>'E-Factor LKM-3'!G14</f>
        <v>445468.08416666667</v>
      </c>
      <c r="E14" s="368">
        <f t="shared" si="0"/>
        <v>-431848.46818903805</v>
      </c>
      <c r="F14" s="318">
        <f t="shared" si="1"/>
        <v>-137532.02198467561</v>
      </c>
      <c r="G14" s="368">
        <f t="shared" si="2"/>
        <v>-890131.38764466322</v>
      </c>
      <c r="H14" s="368">
        <f>G14*('Assumptions and Inputs'!$C$56)/12</f>
        <v>-3093.2065720652049</v>
      </c>
      <c r="K14" s="89"/>
    </row>
    <row r="15" spans="2:11" x14ac:dyDescent="0.3">
      <c r="B15" s="328">
        <f>'E-Factor LKM-3'!B15</f>
        <v>45658</v>
      </c>
      <c r="C15" s="367">
        <f>'E-Factor LKM-3'!J15</f>
        <v>283952.54387040599</v>
      </c>
      <c r="D15" s="367">
        <f>'E-Factor LKM-3'!G15</f>
        <v>445468.08416666667</v>
      </c>
      <c r="E15" s="368">
        <f t="shared" si="0"/>
        <v>-431848.46818903805</v>
      </c>
      <c r="F15" s="318">
        <f t="shared" si="1"/>
        <v>-147895.92431863205</v>
      </c>
      <c r="G15" s="368">
        <f t="shared" si="2"/>
        <v>-1038027.3119632953</v>
      </c>
      <c r="H15" s="368">
        <f>G15*('Assumptions and Inputs'!$C$56)/12</f>
        <v>-3607.1449090724514</v>
      </c>
      <c r="K15" s="89"/>
    </row>
    <row r="16" spans="2:11" x14ac:dyDescent="0.3">
      <c r="B16" s="328">
        <f>'E-Factor LKM-3'!B16</f>
        <v>45689</v>
      </c>
      <c r="C16" s="367">
        <f>'E-Factor LKM-3'!J16</f>
        <v>336292.04497188551</v>
      </c>
      <c r="D16" s="367">
        <f>'E-Factor LKM-3'!G16</f>
        <v>445468.08416666667</v>
      </c>
      <c r="E16" s="368">
        <f t="shared" si="0"/>
        <v>-431848.46818903805</v>
      </c>
      <c r="F16" s="318">
        <f t="shared" si="1"/>
        <v>-95556.423217152536</v>
      </c>
      <c r="G16" s="368">
        <f t="shared" si="2"/>
        <v>-1133583.7351804478</v>
      </c>
      <c r="H16" s="368">
        <f>G16*('Assumptions and Inputs'!$C$56)/12</f>
        <v>-3939.203479752056</v>
      </c>
      <c r="K16" s="89"/>
    </row>
    <row r="17" spans="2:11" x14ac:dyDescent="0.3">
      <c r="B17" s="328">
        <f>'E-Factor LKM-3'!B17</f>
        <v>45717</v>
      </c>
      <c r="C17" s="367">
        <f>'E-Factor LKM-3'!J17</f>
        <v>286568.69451047969</v>
      </c>
      <c r="D17" s="367">
        <f>'E-Factor LKM-3'!G17</f>
        <v>445468.08416666667</v>
      </c>
      <c r="E17" s="368">
        <f t="shared" si="0"/>
        <v>-431848.46818903805</v>
      </c>
      <c r="F17" s="318">
        <f t="shared" si="1"/>
        <v>-145279.77367855835</v>
      </c>
      <c r="G17" s="368">
        <f t="shared" si="2"/>
        <v>-1278863.5088590062</v>
      </c>
      <c r="H17" s="368">
        <f>G17*('Assumptions and Inputs'!$C$56)/12</f>
        <v>-4444.0506932850467</v>
      </c>
      <c r="K17" s="89"/>
    </row>
    <row r="18" spans="2:11" x14ac:dyDescent="0.3">
      <c r="B18" s="328">
        <f>'E-Factor LKM-3'!B18</f>
        <v>45748</v>
      </c>
      <c r="C18" s="367">
        <f>'E-Factor LKM-3'!J18</f>
        <v>276127.37285358459</v>
      </c>
      <c r="D18" s="367">
        <f>'E-Factor LKM-3'!G18</f>
        <v>445468.08416666667</v>
      </c>
      <c r="E18" s="368">
        <f t="shared" si="0"/>
        <v>-431848.46818903805</v>
      </c>
      <c r="F18" s="318">
        <f t="shared" si="1"/>
        <v>-155721.09533545346</v>
      </c>
      <c r="G18" s="368">
        <f t="shared" si="2"/>
        <v>-1434584.6041944597</v>
      </c>
      <c r="H18" s="368">
        <f>G18*('Assumptions and Inputs'!$C$56)/12</f>
        <v>-4985.1814995757477</v>
      </c>
      <c r="K18" s="89"/>
    </row>
    <row r="19" spans="2:11" x14ac:dyDescent="0.3">
      <c r="B19" s="328">
        <f>'E-Factor LKM-3'!B19</f>
        <v>45778</v>
      </c>
      <c r="C19" s="367">
        <f>'E-Factor LKM-3'!J19</f>
        <v>265581.57978612045</v>
      </c>
      <c r="D19" s="367">
        <f>'E-Factor LKM-3'!G19</f>
        <v>445468.08416666667</v>
      </c>
      <c r="E19" s="368">
        <f t="shared" si="0"/>
        <v>-431848.46818903805</v>
      </c>
      <c r="F19" s="318">
        <f t="shared" si="1"/>
        <v>-166266.8884029176</v>
      </c>
      <c r="G19" s="368">
        <f t="shared" si="2"/>
        <v>-1600851.4925973774</v>
      </c>
      <c r="H19" s="368">
        <f>G19*('Assumptions and Inputs'!$C$56)/12</f>
        <v>-5562.9589367758863</v>
      </c>
      <c r="K19" s="89"/>
    </row>
    <row r="20" spans="2:11" x14ac:dyDescent="0.3">
      <c r="B20" s="328">
        <f>'E-Factor LKM-3'!B20</f>
        <v>45809</v>
      </c>
      <c r="C20" s="367">
        <f>'E-Factor LKM-3'!J20</f>
        <v>308187.28210667556</v>
      </c>
      <c r="D20" s="367">
        <f>'E-Factor LKM-3'!G20</f>
        <v>445468.08416666667</v>
      </c>
      <c r="E20" s="368">
        <f t="shared" si="0"/>
        <v>-431848.46818903805</v>
      </c>
      <c r="F20" s="318">
        <f t="shared" si="1"/>
        <v>-123661.18608236249</v>
      </c>
      <c r="G20" s="368">
        <f t="shared" si="2"/>
        <v>-1724512.6786797398</v>
      </c>
      <c r="H20" s="368">
        <f>G20*('Assumptions and Inputs'!$C$56)/12</f>
        <v>-5992.6815584120959</v>
      </c>
      <c r="K20" s="89"/>
    </row>
    <row r="21" spans="2:11" x14ac:dyDescent="0.3">
      <c r="B21" s="328">
        <f>'E-Factor LKM-3'!B21</f>
        <v>45839</v>
      </c>
      <c r="C21" s="367">
        <f>'E-Factor LKM-3'!J21</f>
        <v>267285.61389894248</v>
      </c>
      <c r="D21" s="367">
        <f>'E-Factor LKM-3'!G21</f>
        <v>445468.08416666667</v>
      </c>
      <c r="E21" s="368">
        <f t="shared" si="0"/>
        <v>-431848.46818903805</v>
      </c>
      <c r="F21" s="318">
        <f t="shared" si="1"/>
        <v>-164562.85429009557</v>
      </c>
      <c r="G21" s="368">
        <f t="shared" si="2"/>
        <v>-1889075.5329698354</v>
      </c>
      <c r="H21" s="368">
        <f>G21*('Assumptions and Inputs'!$C$56)/12</f>
        <v>-6564.5374770701783</v>
      </c>
      <c r="K21" s="89"/>
    </row>
    <row r="22" spans="2:11" x14ac:dyDescent="0.3">
      <c r="B22" s="328">
        <f>'E-Factor LKM-3'!B22</f>
        <v>45870</v>
      </c>
      <c r="C22" s="367">
        <f>'E-Factor LKM-3'!J22</f>
        <v>256651.1995629319</v>
      </c>
      <c r="D22" s="367">
        <f>'E-Factor LKM-3'!G22</f>
        <v>445468.08416666667</v>
      </c>
      <c r="E22" s="368">
        <f t="shared" si="0"/>
        <v>-431848.46818903805</v>
      </c>
      <c r="F22" s="318">
        <f t="shared" si="1"/>
        <v>-175197.26862610615</v>
      </c>
      <c r="G22" s="368">
        <f t="shared" si="2"/>
        <v>-2064272.8015959417</v>
      </c>
      <c r="H22" s="368">
        <f>G22*('Assumptions and Inputs'!$C$56)/12</f>
        <v>-7173.3479855458972</v>
      </c>
      <c r="K22" s="89"/>
    </row>
    <row r="23" spans="2:11" x14ac:dyDescent="0.3">
      <c r="B23" s="332" t="s">
        <v>165</v>
      </c>
      <c r="C23" s="331"/>
      <c r="D23" s="369"/>
      <c r="E23" s="331"/>
      <c r="F23" s="318"/>
      <c r="G23" s="331"/>
      <c r="H23" s="331">
        <f>SUM(H11:H22)</f>
        <v>-50427.042442608479</v>
      </c>
    </row>
    <row r="24" spans="2:11" ht="15" thickBot="1" x14ac:dyDescent="0.35">
      <c r="B24" s="255"/>
      <c r="C24" s="270"/>
      <c r="D24" s="255"/>
      <c r="E24" s="361"/>
      <c r="F24" s="255"/>
      <c r="G24" s="361"/>
      <c r="H24" s="270"/>
    </row>
    <row r="25" spans="2:11" ht="15" thickBot="1" x14ac:dyDescent="0.35">
      <c r="B25" s="255"/>
      <c r="C25" s="255"/>
      <c r="D25" s="362"/>
      <c r="E25" s="363"/>
      <c r="F25" s="364"/>
      <c r="G25" s="365" t="s">
        <v>220</v>
      </c>
      <c r="H25" s="344">
        <f>'I-Factor PRIOR LKM-6'!K87</f>
        <v>-2133.9166534785472</v>
      </c>
    </row>
    <row r="26" spans="2:11" ht="15" thickBot="1" x14ac:dyDescent="0.35">
      <c r="C26" s="22"/>
      <c r="D26" s="22"/>
      <c r="E26" s="22"/>
      <c r="F26" s="22"/>
      <c r="H26" s="8"/>
    </row>
    <row r="27" spans="2:11" ht="15" thickBot="1" x14ac:dyDescent="0.35">
      <c r="G27" s="365" t="s">
        <v>282</v>
      </c>
      <c r="H27" s="344">
        <f>H23+H25</f>
        <v>-52560.959096087026</v>
      </c>
      <c r="I27" s="336" t="s">
        <v>283</v>
      </c>
    </row>
    <row r="28" spans="2:11" x14ac:dyDescent="0.3">
      <c r="B28" s="315" t="s">
        <v>222</v>
      </c>
      <c r="C28" s="314"/>
      <c r="D28" s="314"/>
      <c r="E28" s="314"/>
      <c r="H28" s="8"/>
    </row>
    <row r="29" spans="2:11" x14ac:dyDescent="0.3">
      <c r="B29" s="338" t="s">
        <v>284</v>
      </c>
      <c r="C29" s="314"/>
      <c r="D29" s="314"/>
      <c r="E29" s="314"/>
    </row>
    <row r="30" spans="2:11" x14ac:dyDescent="0.3">
      <c r="B30" s="338" t="s">
        <v>285</v>
      </c>
      <c r="C30" s="314"/>
      <c r="D30" s="314"/>
      <c r="E30" s="314"/>
    </row>
    <row r="31" spans="2:11" x14ac:dyDescent="0.3">
      <c r="B31" s="338" t="s">
        <v>286</v>
      </c>
      <c r="C31" s="314"/>
      <c r="D31" s="314"/>
      <c r="E31" s="314"/>
    </row>
    <row r="32" spans="2:11" x14ac:dyDescent="0.3">
      <c r="B32" s="338" t="s">
        <v>287</v>
      </c>
      <c r="C32" s="314"/>
      <c r="D32" s="314"/>
      <c r="E32" s="314"/>
    </row>
    <row r="33" spans="2:11" x14ac:dyDescent="0.3">
      <c r="B33" s="338" t="str">
        <f>"(6) Interest calculated monthly based on 1-year interest rate for constant maturity U.S. Treasury Securities"</f>
        <v>(6) Interest calculated monthly based on 1-year interest rate for constant maturity U.S. Treasury Securities</v>
      </c>
      <c r="C33" s="314"/>
      <c r="D33" s="314"/>
      <c r="E33" s="314"/>
    </row>
    <row r="34" spans="2:11" x14ac:dyDescent="0.3">
      <c r="B34" s="374" t="str">
        <f>"as published in the Federal Reserve Statistical Release H.15 (519) on "&amp;TEXT('Assumptions and Inputs'!$C$57,"MMMM DD, YYYY")&amp;"."</f>
        <v>as published in the Federal Reserve Statistical Release H.15 (519) on January 02, 2025.</v>
      </c>
      <c r="C34" s="314"/>
      <c r="D34" s="314"/>
      <c r="E34" s="314"/>
    </row>
    <row r="35" spans="2:11" x14ac:dyDescent="0.3"/>
    <row r="36" spans="2:11" x14ac:dyDescent="0.3">
      <c r="B36" s="316" t="s">
        <v>31</v>
      </c>
      <c r="C36" s="316"/>
      <c r="D36" s="316"/>
      <c r="E36" s="316"/>
      <c r="F36" s="316"/>
      <c r="G36" s="316"/>
      <c r="H36" s="316"/>
    </row>
    <row r="37" spans="2:11" x14ac:dyDescent="0.3">
      <c r="B37" s="316" t="s">
        <v>288</v>
      </c>
      <c r="C37" s="316"/>
      <c r="D37" s="316"/>
      <c r="E37" s="316"/>
      <c r="F37" s="316"/>
      <c r="G37" s="316"/>
      <c r="H37" s="316"/>
    </row>
    <row r="38" spans="2:11" x14ac:dyDescent="0.3">
      <c r="B38" s="255"/>
      <c r="D38" s="317"/>
      <c r="E38" s="316"/>
      <c r="F38" s="255"/>
      <c r="G38" s="316"/>
      <c r="H38" s="372"/>
    </row>
    <row r="39" spans="2:11" x14ac:dyDescent="0.3">
      <c r="B39" s="323" t="s">
        <v>197</v>
      </c>
      <c r="C39" s="323" t="s">
        <v>269</v>
      </c>
      <c r="D39" s="323" t="s">
        <v>202</v>
      </c>
      <c r="E39" s="323" t="s">
        <v>270</v>
      </c>
      <c r="F39" s="373" t="s">
        <v>271</v>
      </c>
      <c r="G39" s="323" t="s">
        <v>272</v>
      </c>
      <c r="H39" s="323" t="s">
        <v>273</v>
      </c>
    </row>
    <row r="40" spans="2:11" x14ac:dyDescent="0.3">
      <c r="B40" s="322" t="s">
        <v>196</v>
      </c>
      <c r="C40" s="322" t="s">
        <v>211</v>
      </c>
      <c r="D40" s="322" t="s">
        <v>231</v>
      </c>
      <c r="E40" s="322" t="s">
        <v>274</v>
      </c>
      <c r="F40" s="320" t="s">
        <v>274</v>
      </c>
      <c r="G40" s="322" t="s">
        <v>275</v>
      </c>
      <c r="H40" s="322" t="s">
        <v>276</v>
      </c>
    </row>
    <row r="41" spans="2:11" x14ac:dyDescent="0.3">
      <c r="B41" s="322"/>
      <c r="C41" s="322" t="s">
        <v>289</v>
      </c>
      <c r="D41" s="322" t="s">
        <v>213</v>
      </c>
      <c r="E41" s="322" t="s">
        <v>289</v>
      </c>
      <c r="F41" s="320" t="s">
        <v>289</v>
      </c>
      <c r="G41" s="322" t="s">
        <v>278</v>
      </c>
      <c r="H41" s="322" t="s">
        <v>279</v>
      </c>
    </row>
    <row r="42" spans="2:11" x14ac:dyDescent="0.3">
      <c r="B42" s="322"/>
      <c r="C42" s="322" t="s">
        <v>290</v>
      </c>
      <c r="D42" s="322" t="s">
        <v>290</v>
      </c>
      <c r="E42" s="322">
        <f>'Assumptions and Inputs'!$C$96</f>
        <v>-1.3238407275056514</v>
      </c>
      <c r="F42" s="320"/>
      <c r="G42" s="322" t="s">
        <v>289</v>
      </c>
      <c r="H42" s="322" t="s">
        <v>289</v>
      </c>
    </row>
    <row r="43" spans="2:11" x14ac:dyDescent="0.3">
      <c r="B43" s="322"/>
      <c r="C43" s="322" t="s">
        <v>178</v>
      </c>
      <c r="D43" s="322" t="s">
        <v>179</v>
      </c>
      <c r="E43" s="322" t="str">
        <f>"(3) = (2) * $ "&amp;FIXED(E42,3,)&amp;"/Mcf"</f>
        <v>(3) = (2) * $ -1.324/Mcf</v>
      </c>
      <c r="F43" s="320" t="str">
        <f>"(4) = (3) + (1)"</f>
        <v>(4) = (3) + (1)</v>
      </c>
      <c r="G43" s="322" t="s">
        <v>281</v>
      </c>
      <c r="H43" s="322" t="str">
        <f>"(6) = (5) * ["&amp;FIXED('Assumptions and Inputs'!$C$56*100,2,TRUE)&amp;"% / 12]"</f>
        <v>(6) = (5) * [4.17% / 12]</v>
      </c>
    </row>
    <row r="44" spans="2:11" x14ac:dyDescent="0.3">
      <c r="B44" s="350"/>
      <c r="C44" s="351"/>
      <c r="D44" s="351"/>
      <c r="E44" s="351"/>
      <c r="F44" s="351"/>
      <c r="G44" s="351"/>
      <c r="H44" s="351"/>
    </row>
    <row r="45" spans="2:11" x14ac:dyDescent="0.3">
      <c r="B45" s="328">
        <f>'E-Factor LKM-3'!B49</f>
        <v>45536</v>
      </c>
      <c r="C45" s="367">
        <f>'E-Factor LKM-3'!J49</f>
        <v>350335.28441058029</v>
      </c>
      <c r="D45" s="367">
        <f>'E-Factor LKM-3'!G49</f>
        <v>461363.74000000005</v>
      </c>
      <c r="E45" s="368">
        <f>$E$42*$D45</f>
        <v>-610772.10920632828</v>
      </c>
      <c r="F45" s="318">
        <f>E45+C45</f>
        <v>-260436.82479574799</v>
      </c>
      <c r="G45" s="368">
        <f>F45</f>
        <v>-260436.82479574799</v>
      </c>
      <c r="H45" s="368">
        <f>G45*('Assumptions and Inputs'!$C$56)/12</f>
        <v>-905.01796616522427</v>
      </c>
      <c r="K45" s="93"/>
    </row>
    <row r="46" spans="2:11" x14ac:dyDescent="0.3">
      <c r="B46" s="328">
        <f>'E-Factor LKM-3'!B50</f>
        <v>45566</v>
      </c>
      <c r="C46" s="367">
        <f>'E-Factor LKM-3'!J50</f>
        <v>109441.71567161987</v>
      </c>
      <c r="D46" s="367">
        <f>'E-Factor LKM-3'!G50</f>
        <v>434071.85</v>
      </c>
      <c r="E46" s="368">
        <f t="shared" ref="E46:E56" si="3">$E$42*$D46</f>
        <v>-574641.99369372393</v>
      </c>
      <c r="F46" s="318">
        <f t="shared" ref="F46:F56" si="4">E46+C46</f>
        <v>-465200.27802210406</v>
      </c>
      <c r="G46" s="368">
        <f>G45+F46</f>
        <v>-725637.10281785205</v>
      </c>
      <c r="H46" s="368">
        <f>G46*('Assumptions and Inputs'!$C$56)/12</f>
        <v>-2521.5889322920361</v>
      </c>
      <c r="K46" s="93"/>
    </row>
    <row r="47" spans="2:11" x14ac:dyDescent="0.3">
      <c r="B47" s="328">
        <f>'E-Factor LKM-3'!B51</f>
        <v>45597</v>
      </c>
      <c r="C47" s="367">
        <f>'E-Factor LKM-3'!J51</f>
        <v>231494.79682241986</v>
      </c>
      <c r="D47" s="367">
        <f>'E-Factor LKM-3'!G51</f>
        <v>414278.73</v>
      </c>
      <c r="E47" s="368">
        <f t="shared" si="3"/>
        <v>-548439.05531331734</v>
      </c>
      <c r="F47" s="318">
        <f t="shared" si="4"/>
        <v>-316944.25849089748</v>
      </c>
      <c r="G47" s="368">
        <f t="shared" ref="G47:G56" si="5">G46+F47</f>
        <v>-1042581.3613087495</v>
      </c>
      <c r="H47" s="368">
        <f>G47*('Assumptions and Inputs'!$C$56)/12</f>
        <v>-3622.9702305479045</v>
      </c>
      <c r="K47" s="93"/>
    </row>
    <row r="48" spans="2:11" x14ac:dyDescent="0.3">
      <c r="B48" s="328">
        <f>'E-Factor LKM-3'!B52</f>
        <v>45627</v>
      </c>
      <c r="C48" s="367">
        <f>'E-Factor LKM-3'!J52</f>
        <v>366695.15989650041</v>
      </c>
      <c r="D48" s="367">
        <f>'E-Factor LKM-3'!G52</f>
        <v>420011.63833333331</v>
      </c>
      <c r="E48" s="368">
        <f t="shared" si="3"/>
        <v>-556028.51285204047</v>
      </c>
      <c r="F48" s="318">
        <f t="shared" si="4"/>
        <v>-189333.35295554006</v>
      </c>
      <c r="G48" s="368">
        <f t="shared" si="5"/>
        <v>-1231914.7142642895</v>
      </c>
      <c r="H48" s="368">
        <f>G48*('Assumptions and Inputs'!$C$56)/12</f>
        <v>-4280.9036320684063</v>
      </c>
      <c r="K48" s="93"/>
    </row>
    <row r="49" spans="2:11" x14ac:dyDescent="0.3">
      <c r="B49" s="328">
        <f>'E-Factor LKM-3'!B53</f>
        <v>45658</v>
      </c>
      <c r="C49" s="367">
        <f>'E-Factor LKM-3'!J53</f>
        <v>352437.41869246517</v>
      </c>
      <c r="D49" s="367">
        <f>'E-Factor LKM-3'!G53</f>
        <v>420011.63833333331</v>
      </c>
      <c r="E49" s="368">
        <f t="shared" si="3"/>
        <v>-556028.51285204047</v>
      </c>
      <c r="F49" s="318">
        <f t="shared" si="4"/>
        <v>-203591.0941595753</v>
      </c>
      <c r="G49" s="368">
        <f t="shared" si="5"/>
        <v>-1435505.8084238647</v>
      </c>
      <c r="H49" s="368">
        <f>G49*('Assumptions and Inputs'!$C$56)/12</f>
        <v>-4988.3826842729295</v>
      </c>
      <c r="K49" s="93"/>
    </row>
    <row r="50" spans="2:11" x14ac:dyDescent="0.3">
      <c r="B50" s="328">
        <f>'E-Factor LKM-3'!B54</f>
        <v>45689</v>
      </c>
      <c r="C50" s="367">
        <f>'E-Factor LKM-3'!J54</f>
        <v>424436.53852784191</v>
      </c>
      <c r="D50" s="367">
        <f>'E-Factor LKM-3'!G54</f>
        <v>420011.63833333331</v>
      </c>
      <c r="E50" s="368">
        <f t="shared" si="3"/>
        <v>-556028.51285204047</v>
      </c>
      <c r="F50" s="318">
        <f t="shared" si="4"/>
        <v>-131591.97432419856</v>
      </c>
      <c r="G50" s="368">
        <f t="shared" si="5"/>
        <v>-1567097.7827480631</v>
      </c>
      <c r="H50" s="368">
        <f>G50*('Assumptions and Inputs'!$C$56)/12</f>
        <v>-5445.6647950495199</v>
      </c>
      <c r="K50" s="93"/>
    </row>
    <row r="51" spans="2:11" x14ac:dyDescent="0.3">
      <c r="B51" s="328">
        <f>'E-Factor LKM-3'!B55</f>
        <v>45717</v>
      </c>
      <c r="C51" s="367">
        <f>'E-Factor LKM-3'!J55</f>
        <v>356037.03521923395</v>
      </c>
      <c r="D51" s="367">
        <f>'E-Factor LKM-3'!G55</f>
        <v>420011.63833333331</v>
      </c>
      <c r="E51" s="368">
        <f t="shared" si="3"/>
        <v>-556028.51285204047</v>
      </c>
      <c r="F51" s="318">
        <f t="shared" si="4"/>
        <v>-199991.47763280652</v>
      </c>
      <c r="G51" s="368">
        <f t="shared" si="5"/>
        <v>-1767089.2603808697</v>
      </c>
      <c r="H51" s="368">
        <f>G51*('Assumptions and Inputs'!$C$56)/12</f>
        <v>-6140.6351798235228</v>
      </c>
      <c r="K51" s="93"/>
    </row>
    <row r="52" spans="2:11" x14ac:dyDescent="0.3">
      <c r="B52" s="328">
        <f>'E-Factor LKM-3'!B56</f>
        <v>45748</v>
      </c>
      <c r="C52" s="367">
        <f>'E-Factor LKM-3'!J56</f>
        <v>341673.90574542643</v>
      </c>
      <c r="D52" s="367">
        <f>'E-Factor LKM-3'!G56</f>
        <v>420011.63833333331</v>
      </c>
      <c r="E52" s="368">
        <f t="shared" si="3"/>
        <v>-556028.51285204047</v>
      </c>
      <c r="F52" s="318">
        <f t="shared" si="4"/>
        <v>-214354.60710661404</v>
      </c>
      <c r="G52" s="368">
        <f t="shared" si="5"/>
        <v>-1981443.8674874837</v>
      </c>
      <c r="H52" s="368">
        <f>G52*('Assumptions and Inputs'!$C$56)/12</f>
        <v>-6885.5174395190052</v>
      </c>
      <c r="K52" s="93"/>
    </row>
    <row r="53" spans="2:11" x14ac:dyDescent="0.3">
      <c r="B53" s="328">
        <f>'E-Factor LKM-3'!B57</f>
        <v>45778</v>
      </c>
      <c r="C53" s="367">
        <f>'E-Factor LKM-3'!J57</f>
        <v>327165.95199988084</v>
      </c>
      <c r="D53" s="367">
        <f>'E-Factor LKM-3'!G57</f>
        <v>420011.63833333331</v>
      </c>
      <c r="E53" s="368">
        <f t="shared" si="3"/>
        <v>-556028.51285204047</v>
      </c>
      <c r="F53" s="318">
        <f t="shared" si="4"/>
        <v>-228862.56085215963</v>
      </c>
      <c r="G53" s="368">
        <f t="shared" si="5"/>
        <v>-2210306.4283396434</v>
      </c>
      <c r="H53" s="368">
        <f>G53*('Assumptions and Inputs'!$C$56)/12</f>
        <v>-7680.8148384802616</v>
      </c>
      <c r="K53" s="93"/>
    </row>
    <row r="54" spans="2:11" x14ac:dyDescent="0.3">
      <c r="B54" s="328">
        <f>'E-Factor LKM-3'!B58</f>
        <v>45809</v>
      </c>
      <c r="C54" s="367">
        <f>'E-Factor LKM-3'!J58</f>
        <v>385776.68847588543</v>
      </c>
      <c r="D54" s="367">
        <f>'E-Factor LKM-3'!G58</f>
        <v>420011.63833333331</v>
      </c>
      <c r="E54" s="368">
        <f t="shared" si="3"/>
        <v>-556028.51285204047</v>
      </c>
      <c r="F54" s="318">
        <f t="shared" si="4"/>
        <v>-170251.82437615504</v>
      </c>
      <c r="G54" s="368">
        <f t="shared" si="5"/>
        <v>-2380558.2527157986</v>
      </c>
      <c r="H54" s="368">
        <f>G54*('Assumptions and Inputs'!$C$56)/12</f>
        <v>-8272.4399281874012</v>
      </c>
      <c r="K54" s="93"/>
    </row>
    <row r="55" spans="2:11" x14ac:dyDescent="0.3">
      <c r="B55" s="328">
        <f>'E-Factor LKM-3'!B59</f>
        <v>45839</v>
      </c>
      <c r="C55" s="367">
        <f>'E-Factor LKM-3'!J59</f>
        <v>329510.45905092079</v>
      </c>
      <c r="D55" s="367">
        <f>'E-Factor LKM-3'!G59</f>
        <v>420011.63833333331</v>
      </c>
      <c r="E55" s="368">
        <f t="shared" si="3"/>
        <v>-556028.51285204047</v>
      </c>
      <c r="F55" s="318">
        <f t="shared" si="4"/>
        <v>-226518.05380111968</v>
      </c>
      <c r="G55" s="368">
        <f t="shared" si="5"/>
        <v>-2607076.3065169184</v>
      </c>
      <c r="H55" s="368">
        <f>G55*('Assumptions and Inputs'!$C$56)/12</f>
        <v>-9059.5901651462918</v>
      </c>
      <c r="K55" s="93"/>
    </row>
    <row r="56" spans="2:11" x14ac:dyDescent="0.3">
      <c r="B56" s="328">
        <f>'E-Factor LKM-3'!B60</f>
        <v>45870</v>
      </c>
      <c r="C56" s="367">
        <f>'E-Factor LKM-3'!J60</f>
        <v>314881.27819643007</v>
      </c>
      <c r="D56" s="367">
        <f>'E-Factor LKM-3'!G60</f>
        <v>420011.63833333331</v>
      </c>
      <c r="E56" s="368">
        <f t="shared" si="3"/>
        <v>-556028.51285204047</v>
      </c>
      <c r="F56" s="318">
        <f t="shared" si="4"/>
        <v>-241147.2346556104</v>
      </c>
      <c r="G56" s="368">
        <f t="shared" si="5"/>
        <v>-2848223.5411725286</v>
      </c>
      <c r="H56" s="368">
        <f>G56*('Assumptions and Inputs'!$C$56)/12</f>
        <v>-9897.5768055745375</v>
      </c>
      <c r="K56" s="93"/>
    </row>
    <row r="57" spans="2:11" x14ac:dyDescent="0.3">
      <c r="B57" s="332" t="s">
        <v>165</v>
      </c>
      <c r="C57" s="331"/>
      <c r="D57" s="369"/>
      <c r="E57" s="331"/>
      <c r="F57" s="318"/>
      <c r="G57" s="331"/>
      <c r="H57" s="331">
        <f>SUM(H45:H56)</f>
        <v>-69701.102597127043</v>
      </c>
    </row>
    <row r="58" spans="2:11" ht="15" thickBot="1" x14ac:dyDescent="0.35">
      <c r="B58" s="255"/>
      <c r="C58" s="270"/>
      <c r="D58" s="255"/>
      <c r="E58" s="361"/>
      <c r="F58" s="255"/>
      <c r="G58" s="361"/>
      <c r="H58" s="270"/>
    </row>
    <row r="59" spans="2:11" ht="15" thickBot="1" x14ac:dyDescent="0.35">
      <c r="B59" s="255"/>
      <c r="C59" s="255"/>
      <c r="D59" s="362"/>
      <c r="E59" s="363"/>
      <c r="F59" s="364"/>
      <c r="G59" s="365" t="s">
        <v>220</v>
      </c>
      <c r="H59" s="344">
        <f>'I-Factor PRIOR LKM-6'!K116</f>
        <v>-2995.3656198542449</v>
      </c>
    </row>
    <row r="60" spans="2:11" ht="15" thickBot="1" x14ac:dyDescent="0.35">
      <c r="C60" s="22"/>
      <c r="D60" s="22"/>
      <c r="E60" s="22"/>
      <c r="F60" s="22"/>
      <c r="H60" s="8"/>
    </row>
    <row r="61" spans="2:11" ht="15" thickBot="1" x14ac:dyDescent="0.35">
      <c r="G61" s="365" t="s">
        <v>282</v>
      </c>
      <c r="H61" s="344">
        <f>H57+H59</f>
        <v>-72696.468216981288</v>
      </c>
      <c r="I61" s="336" t="s">
        <v>283</v>
      </c>
    </row>
    <row r="62" spans="2:11" x14ac:dyDescent="0.3">
      <c r="B62" s="315" t="s">
        <v>222</v>
      </c>
      <c r="C62" s="314"/>
      <c r="D62" s="314"/>
      <c r="E62" s="314"/>
      <c r="H62" s="8"/>
    </row>
    <row r="63" spans="2:11" x14ac:dyDescent="0.3">
      <c r="B63" s="338" t="s">
        <v>291</v>
      </c>
      <c r="C63" s="314"/>
      <c r="D63" s="314"/>
      <c r="E63" s="314"/>
    </row>
    <row r="64" spans="2:11" x14ac:dyDescent="0.3">
      <c r="B64" s="338" t="s">
        <v>292</v>
      </c>
      <c r="C64" s="314"/>
      <c r="D64" s="314"/>
      <c r="E64" s="314"/>
    </row>
    <row r="65" spans="2:5" x14ac:dyDescent="0.3">
      <c r="B65" s="338" t="s">
        <v>293</v>
      </c>
      <c r="C65" s="314"/>
      <c r="D65" s="314"/>
      <c r="E65" s="314"/>
    </row>
    <row r="66" spans="2:5" x14ac:dyDescent="0.3">
      <c r="B66" s="338" t="s">
        <v>287</v>
      </c>
      <c r="C66" s="314"/>
      <c r="D66" s="314"/>
      <c r="E66" s="314"/>
    </row>
    <row r="67" spans="2:5" x14ac:dyDescent="0.3">
      <c r="B67" s="338" t="str">
        <f>"(3) Interest calculated monthly based on 1-year interest rate for constant maturity U.S. Treasury Securities"</f>
        <v>(3) Interest calculated monthly based on 1-year interest rate for constant maturity U.S. Treasury Securities</v>
      </c>
      <c r="C67" s="314"/>
      <c r="D67" s="314"/>
      <c r="E67" s="314"/>
    </row>
    <row r="68" spans="2:5" x14ac:dyDescent="0.3">
      <c r="B68" s="374" t="str">
        <f>"as published in the Federal Reserve Statistical Release H.15 (519) on "&amp;TEXT('Assumptions and Inputs'!$C$57,"MMMM DD, YYYY")&amp;"."</f>
        <v>as published in the Federal Reserve Statistical Release H.15 (519) on January 02, 2025.</v>
      </c>
      <c r="C68" s="314"/>
      <c r="D68" s="314"/>
      <c r="E68" s="314"/>
    </row>
    <row r="69" spans="2:5" x14ac:dyDescent="0.3"/>
    <row r="70" spans="2:5" x14ac:dyDescent="0.3"/>
    <row r="71" spans="2:5" x14ac:dyDescent="0.3"/>
    <row r="72" spans="2:5" x14ac:dyDescent="0.3"/>
    <row r="73" spans="2:5" x14ac:dyDescent="0.3"/>
    <row r="74" spans="2:5" x14ac:dyDescent="0.3"/>
    <row r="75" spans="2:5" x14ac:dyDescent="0.3"/>
    <row r="76" spans="2:5" x14ac:dyDescent="0.3"/>
    <row r="77" spans="2:5" x14ac:dyDescent="0.3"/>
    <row r="78" spans="2:5" x14ac:dyDescent="0.3"/>
    <row r="79" spans="2:5" x14ac:dyDescent="0.3"/>
    <row r="80" spans="2:5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</sheetData>
  <printOptions horizontalCentered="1"/>
  <pageMargins left="0.7" right="0.7" top="0.75" bottom="0.75" header="0.3" footer="0.3"/>
  <pageSetup scale="55" orientation="landscape" r:id="rId1"/>
  <headerFooter>
    <oddHeader>&amp;R2025 TAP-R Rate Proceeding
 Schedule LKM-TAP-5
Revised 4/29/2025</oddHeader>
  </headerFooter>
  <ignoredErrors>
    <ignoredError sqref="C43 C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Props1.xml><?xml version="1.0" encoding="utf-8"?>
<ds:datastoreItem xmlns:ds="http://schemas.openxmlformats.org/officeDocument/2006/customXml" ds:itemID="{C06C3F40-B0F4-4A67-85FA-26666D3E8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8B5F9D-21C6-4446-98E5-D6DB1CFE3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00982D-8269-4AA5-8785-B9434E7EBCCA}">
  <ds:schemaRefs>
    <ds:schemaRef ds:uri="http://purl.org/dc/elements/1.1/"/>
    <ds:schemaRef ds:uri="1ecad1bf-37b2-4fe5-8d43-af4e731dea56"/>
    <ds:schemaRef ds:uri="http://schemas.microsoft.com/office/infopath/2007/PartnerControls"/>
    <ds:schemaRef ds:uri="c1eecfb3-5e1e-4c14-a199-821554a453d0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4a816c8-2012-4a06-9eee-7fac2e12fc0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Home</vt:lpstr>
      <vt:lpstr>Table of Contents</vt:lpstr>
      <vt:lpstr>Customer</vt:lpstr>
      <vt:lpstr>Assumptions and Inputs</vt:lpstr>
      <vt:lpstr>Summary LKM-1</vt:lpstr>
      <vt:lpstr>C-Factor LKM-2</vt:lpstr>
      <vt:lpstr>E-Factor LKM-3</vt:lpstr>
      <vt:lpstr>E-Factor PRIOR LKM-4</vt:lpstr>
      <vt:lpstr>I-FactorLKM-5</vt:lpstr>
      <vt:lpstr>I-Factor PRIOR LKM-6</vt:lpstr>
      <vt:lpstr>Rates</vt:lpstr>
      <vt:lpstr>'C-Factor LKM-2'!Print_Area</vt:lpstr>
      <vt:lpstr>'E-Factor LKM-3'!Print_Area</vt:lpstr>
      <vt:lpstr>'E-Factor PRIOR LKM-4'!Print_Area</vt:lpstr>
      <vt:lpstr>'I-Factor PRIOR LKM-6'!Print_Area</vt:lpstr>
      <vt:lpstr>'I-FactorLKM-5'!Print_Area</vt:lpstr>
      <vt:lpstr>Rates!Print_Area</vt:lpstr>
      <vt:lpstr>'Summary LKM-1'!Print_Area</vt:lpstr>
      <vt:lpstr>'Table of Contents'!Print_Area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Merritt, Brian L.</dc:creator>
  <cp:keywords/>
  <dc:description/>
  <cp:lastModifiedBy>L Morgan</cp:lastModifiedBy>
  <cp:revision/>
  <cp:lastPrinted>2025-04-29T19:55:54Z</cp:lastPrinted>
  <dcterms:created xsi:type="dcterms:W3CDTF">2018-04-12T12:14:16Z</dcterms:created>
  <dcterms:modified xsi:type="dcterms:W3CDTF">2025-04-29T20:08:29Z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