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lackandveatch.sharepoint.com/sites/411071/Shared Documents/FY 2026 to FY 2027 Rate Proceeding/General Rate Proceeding Discovery/PA-SET-XIV/Response Attachments/"/>
    </mc:Choice>
  </mc:AlternateContent>
  <xr:revisionPtr revIDLastSave="1" documentId="8_{5BF190DD-5B74-4659-B5EE-2DAA77D3777A}" xr6:coauthVersionLast="47" xr6:coauthVersionMax="47" xr10:uidLastSave="{57679E42-DFC7-470D-AC49-D6A901CFB545}"/>
  <bookViews>
    <workbookView xWindow="28680" yWindow="-120" windowWidth="29040" windowHeight="15840" activeTab="1" xr2:uid="{00000000-000D-0000-FFFF-FFFF00000000}"/>
  </bookViews>
  <sheets>
    <sheet name="POWER" sheetId="1" r:id="rId1"/>
    <sheet name="GAS" sheetId="2" r:id="rId2"/>
    <sheet name="Sheet3" sheetId="3" r:id="rId3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6" i="2" l="1"/>
  <c r="Y23" i="2" l="1"/>
  <c r="X23" i="2"/>
  <c r="Y22" i="2"/>
  <c r="X22" i="2"/>
  <c r="Y21" i="2"/>
  <c r="X21" i="2"/>
  <c r="Y20" i="2"/>
  <c r="X20" i="2"/>
  <c r="Y19" i="2"/>
  <c r="X19" i="2"/>
  <c r="Y18" i="2"/>
  <c r="X18" i="2"/>
  <c r="Y15" i="2"/>
  <c r="X15" i="2"/>
  <c r="Y14" i="2"/>
  <c r="X14" i="2"/>
  <c r="Y13" i="2"/>
  <c r="X13" i="2"/>
  <c r="Y12" i="2"/>
  <c r="X12" i="2"/>
  <c r="Y11" i="2"/>
  <c r="X11" i="2"/>
  <c r="Y10" i="2"/>
  <c r="X10" i="2"/>
  <c r="Y7" i="2"/>
  <c r="X7" i="2"/>
  <c r="X6" i="2"/>
  <c r="Y5" i="2"/>
  <c r="X5" i="2"/>
  <c r="Y4" i="2"/>
  <c r="X4" i="2"/>
  <c r="AC32" i="1"/>
  <c r="AB32" i="1"/>
  <c r="AC31" i="1"/>
  <c r="AB31" i="1"/>
  <c r="AC30" i="1"/>
  <c r="AB30" i="1"/>
  <c r="AC29" i="1"/>
  <c r="AB29" i="1"/>
  <c r="AC28" i="1"/>
  <c r="AB28" i="1"/>
  <c r="AC26" i="1"/>
  <c r="AB26" i="1"/>
  <c r="AC25" i="1"/>
  <c r="AB25" i="1"/>
  <c r="AC24" i="1"/>
  <c r="AB24" i="1"/>
  <c r="AC21" i="1"/>
  <c r="AB21" i="1"/>
  <c r="AC20" i="1"/>
  <c r="AB20" i="1"/>
  <c r="AC19" i="1"/>
  <c r="AB19" i="1"/>
  <c r="AC18" i="1"/>
  <c r="AB18" i="1"/>
  <c r="AC17" i="1"/>
  <c r="AB17" i="1"/>
  <c r="AC16" i="1"/>
  <c r="AB16" i="1"/>
  <c r="AC15" i="1"/>
  <c r="AB15" i="1"/>
  <c r="AC14" i="1"/>
  <c r="AB14" i="1"/>
  <c r="AC13" i="1"/>
  <c r="AB13" i="1"/>
  <c r="AC12" i="1"/>
  <c r="AB12" i="1"/>
  <c r="AC9" i="1"/>
  <c r="AB9" i="1"/>
  <c r="AC8" i="1"/>
  <c r="AB8" i="1"/>
  <c r="AC7" i="1"/>
  <c r="AB7" i="1"/>
  <c r="AC6" i="1"/>
  <c r="AB6" i="1"/>
  <c r="AC5" i="1"/>
  <c r="AB5" i="1"/>
  <c r="AC4" i="1"/>
  <c r="AB4" i="1"/>
  <c r="X32" i="1"/>
  <c r="X31" i="1"/>
  <c r="X30" i="1"/>
  <c r="X29" i="1"/>
  <c r="X28" i="1"/>
  <c r="X26" i="1"/>
  <c r="X25" i="1"/>
  <c r="X24" i="1"/>
  <c r="Y33" i="1"/>
  <c r="Y32" i="1"/>
  <c r="Y31" i="1"/>
  <c r="Y30" i="1"/>
  <c r="Y29" i="1"/>
  <c r="Y28" i="1"/>
  <c r="Y26" i="1"/>
  <c r="Y25" i="1"/>
  <c r="Y24" i="1"/>
  <c r="Y21" i="1"/>
  <c r="X21" i="1"/>
  <c r="Y20" i="1"/>
  <c r="X20" i="1"/>
  <c r="Y19" i="1"/>
  <c r="X19" i="1"/>
  <c r="Y18" i="1"/>
  <c r="X18" i="1"/>
  <c r="Y17" i="1"/>
  <c r="X17" i="1"/>
  <c r="Y16" i="1"/>
  <c r="X16" i="1"/>
  <c r="Y15" i="1"/>
  <c r="X15" i="1"/>
  <c r="Y14" i="1"/>
  <c r="X14" i="1"/>
  <c r="Y13" i="1"/>
  <c r="X13" i="1"/>
  <c r="Y12" i="1"/>
  <c r="X12" i="1"/>
  <c r="Y9" i="1"/>
  <c r="X9" i="1"/>
  <c r="Y8" i="1"/>
  <c r="X8" i="1"/>
  <c r="Y7" i="1"/>
  <c r="X7" i="1"/>
  <c r="Y6" i="1"/>
  <c r="X6" i="1"/>
  <c r="Y5" i="1"/>
  <c r="X5" i="1"/>
  <c r="Y4" i="1"/>
  <c r="X4" i="1"/>
  <c r="X33" i="1" l="1"/>
  <c r="U23" i="2" l="1"/>
  <c r="U22" i="2"/>
  <c r="U21" i="2"/>
  <c r="U20" i="2"/>
  <c r="U19" i="2"/>
  <c r="U18" i="2"/>
  <c r="U24" i="2" s="1"/>
  <c r="U16" i="2"/>
  <c r="U15" i="2"/>
  <c r="U14" i="2"/>
  <c r="U13" i="2"/>
  <c r="U12" i="2"/>
  <c r="U11" i="2"/>
  <c r="U10" i="2"/>
  <c r="U7" i="2"/>
  <c r="U6" i="2"/>
  <c r="U5" i="2"/>
  <c r="U4" i="2"/>
  <c r="T23" i="2"/>
  <c r="T22" i="2"/>
  <c r="T21" i="2"/>
  <c r="T20" i="2"/>
  <c r="T19" i="2"/>
  <c r="T18" i="2"/>
  <c r="T24" i="2" s="1"/>
  <c r="T15" i="2"/>
  <c r="T14" i="2"/>
  <c r="T13" i="2"/>
  <c r="T12" i="2"/>
  <c r="T11" i="2"/>
  <c r="T10" i="2"/>
  <c r="T7" i="2"/>
  <c r="T6" i="2"/>
  <c r="T5" i="2"/>
  <c r="T16" i="2" s="1"/>
  <c r="T4" i="2"/>
  <c r="S23" i="2"/>
  <c r="S22" i="2"/>
  <c r="S21" i="2"/>
  <c r="S20" i="2"/>
  <c r="S19" i="2"/>
  <c r="S18" i="2"/>
  <c r="S24" i="2" s="1"/>
  <c r="S15" i="2"/>
  <c r="S14" i="2"/>
  <c r="S13" i="2"/>
  <c r="S12" i="2"/>
  <c r="S11" i="2"/>
  <c r="S10" i="2"/>
  <c r="S7" i="2"/>
  <c r="S6" i="2"/>
  <c r="S5" i="2"/>
  <c r="S4" i="2"/>
  <c r="S16" i="2" s="1"/>
  <c r="R23" i="2"/>
  <c r="R22" i="2"/>
  <c r="R21" i="2"/>
  <c r="R20" i="2"/>
  <c r="R19" i="2"/>
  <c r="R18" i="2"/>
  <c r="R24" i="2" s="1"/>
  <c r="R16" i="2"/>
  <c r="R15" i="2"/>
  <c r="R14" i="2"/>
  <c r="R13" i="2"/>
  <c r="R12" i="2"/>
  <c r="R11" i="2"/>
  <c r="R10" i="2"/>
  <c r="R7" i="2"/>
  <c r="R6" i="2"/>
  <c r="R5" i="2"/>
  <c r="R4" i="2"/>
  <c r="K26" i="2"/>
  <c r="J26" i="2"/>
  <c r="I26" i="2"/>
  <c r="K24" i="2"/>
  <c r="J24" i="2"/>
  <c r="I24" i="2"/>
  <c r="K16" i="2"/>
  <c r="J16" i="2"/>
  <c r="I16" i="2"/>
  <c r="U3" i="2" l="1"/>
  <c r="T3" i="2"/>
  <c r="S3" i="2"/>
  <c r="R3" i="2"/>
  <c r="Q3" i="2"/>
  <c r="P3" i="2"/>
  <c r="O3" i="2"/>
  <c r="N3" i="2"/>
  <c r="M3" i="2"/>
  <c r="H24" i="2"/>
  <c r="H26" i="2" s="1"/>
  <c r="H16" i="2"/>
  <c r="T72" i="1"/>
  <c r="T71" i="1"/>
  <c r="T70" i="1"/>
  <c r="T69" i="1"/>
  <c r="T67" i="1"/>
  <c r="T66" i="1"/>
  <c r="T65" i="1"/>
  <c r="T64" i="1"/>
  <c r="T62" i="1"/>
  <c r="T61" i="1"/>
  <c r="T60" i="1"/>
  <c r="T59" i="1"/>
  <c r="T74" i="1" s="1"/>
  <c r="S74" i="1"/>
  <c r="S72" i="1"/>
  <c r="S71" i="1"/>
  <c r="S70" i="1"/>
  <c r="S69" i="1"/>
  <c r="S67" i="1"/>
  <c r="S66" i="1"/>
  <c r="S65" i="1"/>
  <c r="S64" i="1"/>
  <c r="S62" i="1"/>
  <c r="S61" i="1"/>
  <c r="S60" i="1"/>
  <c r="S59" i="1"/>
  <c r="R74" i="1"/>
  <c r="R72" i="1"/>
  <c r="R71" i="1"/>
  <c r="R70" i="1"/>
  <c r="R69" i="1"/>
  <c r="R67" i="1"/>
  <c r="R66" i="1"/>
  <c r="R65" i="1"/>
  <c r="R64" i="1"/>
  <c r="R62" i="1"/>
  <c r="R61" i="1"/>
  <c r="R60" i="1"/>
  <c r="R59" i="1"/>
  <c r="K72" i="1"/>
  <c r="K71" i="1"/>
  <c r="K70" i="1"/>
  <c r="K69" i="1"/>
  <c r="K67" i="1"/>
  <c r="K66" i="1"/>
  <c r="K65" i="1"/>
  <c r="K64" i="1"/>
  <c r="K62" i="1"/>
  <c r="K61" i="1"/>
  <c r="K59" i="1"/>
  <c r="J72" i="1"/>
  <c r="J71" i="1"/>
  <c r="J70" i="1"/>
  <c r="J69" i="1"/>
  <c r="J67" i="1"/>
  <c r="J66" i="1"/>
  <c r="J65" i="1"/>
  <c r="J64" i="1"/>
  <c r="J62" i="1"/>
  <c r="J61" i="1"/>
  <c r="J59" i="1"/>
  <c r="I72" i="1"/>
  <c r="I71" i="1"/>
  <c r="I70" i="1"/>
  <c r="I69" i="1"/>
  <c r="I67" i="1"/>
  <c r="I66" i="1"/>
  <c r="I65" i="1"/>
  <c r="I64" i="1"/>
  <c r="I62" i="1"/>
  <c r="I61" i="1"/>
  <c r="I59" i="1"/>
  <c r="H72" i="1"/>
  <c r="H71" i="1"/>
  <c r="H70" i="1"/>
  <c r="H69" i="1"/>
  <c r="H67" i="1"/>
  <c r="H66" i="1"/>
  <c r="H65" i="1"/>
  <c r="H64" i="1"/>
  <c r="H62" i="1"/>
  <c r="H61" i="1"/>
  <c r="H59" i="1"/>
  <c r="K60" i="1" l="1"/>
  <c r="K74" i="1" s="1"/>
  <c r="J60" i="1"/>
  <c r="J74" i="1" s="1"/>
  <c r="I60" i="1"/>
  <c r="I74" i="1" s="1"/>
  <c r="H60" i="1"/>
  <c r="H74" i="1" s="1"/>
  <c r="K35" i="1"/>
  <c r="J35" i="1"/>
  <c r="I35" i="1"/>
  <c r="K33" i="1"/>
  <c r="J33" i="1"/>
  <c r="T29" i="1" s="1"/>
  <c r="I33" i="1"/>
  <c r="S31" i="1" s="1"/>
  <c r="U22" i="1"/>
  <c r="U21" i="1"/>
  <c r="U20" i="1"/>
  <c r="U19" i="1"/>
  <c r="U18" i="1"/>
  <c r="U17" i="1"/>
  <c r="U16" i="1"/>
  <c r="U15" i="1"/>
  <c r="U14" i="1"/>
  <c r="U13" i="1"/>
  <c r="U12" i="1"/>
  <c r="U9" i="1"/>
  <c r="U8" i="1"/>
  <c r="U7" i="1"/>
  <c r="U6" i="1"/>
  <c r="U5" i="1"/>
  <c r="U4" i="1"/>
  <c r="T21" i="1"/>
  <c r="T20" i="1"/>
  <c r="T19" i="1"/>
  <c r="T18" i="1"/>
  <c r="T17" i="1"/>
  <c r="T16" i="1"/>
  <c r="T15" i="1"/>
  <c r="T14" i="1"/>
  <c r="T13" i="1"/>
  <c r="T12" i="1"/>
  <c r="T9" i="1"/>
  <c r="T8" i="1"/>
  <c r="T7" i="1"/>
  <c r="T6" i="1"/>
  <c r="T5" i="1"/>
  <c r="T4" i="1"/>
  <c r="T22" i="1" s="1"/>
  <c r="S21" i="1"/>
  <c r="S20" i="1"/>
  <c r="S19" i="1"/>
  <c r="S18" i="1"/>
  <c r="S17" i="1"/>
  <c r="S16" i="1"/>
  <c r="S15" i="1"/>
  <c r="S14" i="1"/>
  <c r="S13" i="1"/>
  <c r="S12" i="1"/>
  <c r="S9" i="1"/>
  <c r="S8" i="1"/>
  <c r="S7" i="1"/>
  <c r="S6" i="1"/>
  <c r="S22" i="1" s="1"/>
  <c r="S5" i="1"/>
  <c r="S4" i="1"/>
  <c r="R32" i="1"/>
  <c r="R31" i="1"/>
  <c r="R30" i="1"/>
  <c r="R29" i="1"/>
  <c r="R28" i="1"/>
  <c r="R33" i="1" s="1"/>
  <c r="R26" i="1"/>
  <c r="R25" i="1"/>
  <c r="R24" i="1"/>
  <c r="R21" i="1"/>
  <c r="R20" i="1"/>
  <c r="R19" i="1"/>
  <c r="R18" i="1"/>
  <c r="R17" i="1"/>
  <c r="R16" i="1"/>
  <c r="R15" i="1"/>
  <c r="R14" i="1"/>
  <c r="R13" i="1"/>
  <c r="R12" i="1"/>
  <c r="R9" i="1"/>
  <c r="R8" i="1"/>
  <c r="R7" i="1"/>
  <c r="R6" i="1"/>
  <c r="R5" i="1"/>
  <c r="R4" i="1"/>
  <c r="R22" i="1" s="1"/>
  <c r="U3" i="1"/>
  <c r="T3" i="1"/>
  <c r="S3" i="1"/>
  <c r="R3" i="1"/>
  <c r="Q3" i="1"/>
  <c r="P3" i="1"/>
  <c r="O3" i="1"/>
  <c r="N3" i="1"/>
  <c r="M3" i="1"/>
  <c r="K22" i="1"/>
  <c r="J22" i="1"/>
  <c r="I22" i="1"/>
  <c r="H33" i="1"/>
  <c r="H22" i="1"/>
  <c r="T26" i="1" l="1"/>
  <c r="T30" i="1"/>
  <c r="T31" i="1"/>
  <c r="T24" i="1"/>
  <c r="T25" i="1"/>
  <c r="T28" i="1"/>
  <c r="T32" i="1"/>
  <c r="S32" i="1"/>
  <c r="S26" i="1"/>
  <c r="S28" i="1"/>
  <c r="S24" i="1"/>
  <c r="S33" i="1" s="1"/>
  <c r="S29" i="1"/>
  <c r="S30" i="1"/>
  <c r="S25" i="1"/>
  <c r="H35" i="1"/>
  <c r="T33" i="1" l="1"/>
  <c r="U32" i="1"/>
  <c r="U31" i="1"/>
  <c r="U30" i="1"/>
  <c r="U29" i="1"/>
  <c r="U28" i="1"/>
  <c r="U26" i="1"/>
  <c r="U25" i="1"/>
  <c r="U24" i="1"/>
  <c r="U33" i="1" l="1"/>
  <c r="U62" i="1"/>
  <c r="U64" i="1"/>
  <c r="U72" i="1"/>
  <c r="U69" i="1"/>
  <c r="U59" i="1"/>
  <c r="U67" i="1"/>
  <c r="U66" i="1"/>
  <c r="U65" i="1"/>
  <c r="U71" i="1"/>
  <c r="U61" i="1"/>
  <c r="U70" i="1"/>
  <c r="U60" i="1"/>
  <c r="U74" i="1" l="1"/>
  <c r="C72" i="1"/>
  <c r="C71" i="1"/>
  <c r="C70" i="1"/>
  <c r="C69" i="1"/>
  <c r="C67" i="1"/>
  <c r="C66" i="1"/>
  <c r="C65" i="1"/>
  <c r="C64" i="1"/>
  <c r="C62" i="1"/>
  <c r="C61" i="1"/>
  <c r="C59" i="1"/>
  <c r="D72" i="1"/>
  <c r="D71" i="1"/>
  <c r="D70" i="1"/>
  <c r="D69" i="1"/>
  <c r="D67" i="1"/>
  <c r="D66" i="1"/>
  <c r="D65" i="1"/>
  <c r="D64" i="1"/>
  <c r="D62" i="1"/>
  <c r="D61" i="1"/>
  <c r="D59" i="1"/>
  <c r="E72" i="1"/>
  <c r="E71" i="1"/>
  <c r="E70" i="1"/>
  <c r="E69" i="1"/>
  <c r="E67" i="1"/>
  <c r="E66" i="1"/>
  <c r="E65" i="1"/>
  <c r="E64" i="1"/>
  <c r="E62" i="1"/>
  <c r="E61" i="1"/>
  <c r="E59" i="1"/>
  <c r="G72" i="1"/>
  <c r="F72" i="1"/>
  <c r="G71" i="1"/>
  <c r="F71" i="1"/>
  <c r="G70" i="1"/>
  <c r="F70" i="1"/>
  <c r="G69" i="1"/>
  <c r="F69" i="1"/>
  <c r="G66" i="1"/>
  <c r="F66" i="1"/>
  <c r="G67" i="1"/>
  <c r="F67" i="1"/>
  <c r="G65" i="1"/>
  <c r="F65" i="1"/>
  <c r="G64" i="1"/>
  <c r="F64" i="1"/>
  <c r="G62" i="1"/>
  <c r="F62" i="1"/>
  <c r="G61" i="1"/>
  <c r="G59" i="1"/>
  <c r="F61" i="1"/>
  <c r="F59" i="1"/>
  <c r="E60" i="1" l="1"/>
  <c r="F60" i="1"/>
  <c r="F74" i="1" s="1"/>
  <c r="P69" i="1" s="1"/>
  <c r="E74" i="1"/>
  <c r="O62" i="1" s="1"/>
  <c r="C60" i="1"/>
  <c r="D60" i="1"/>
  <c r="G60" i="1"/>
  <c r="O70" i="1" l="1"/>
  <c r="O60" i="1"/>
  <c r="O69" i="1"/>
  <c r="O71" i="1"/>
  <c r="P67" i="1"/>
  <c r="P61" i="1"/>
  <c r="P66" i="1"/>
  <c r="P64" i="1"/>
  <c r="O59" i="1"/>
  <c r="P70" i="1"/>
  <c r="C74" i="1"/>
  <c r="O65" i="1"/>
  <c r="O64" i="1"/>
  <c r="O66" i="1"/>
  <c r="O67" i="1"/>
  <c r="P71" i="1"/>
  <c r="P72" i="1"/>
  <c r="O61" i="1"/>
  <c r="P59" i="1"/>
  <c r="G74" i="1"/>
  <c r="Q60" i="1" s="1"/>
  <c r="P60" i="1"/>
  <c r="D74" i="1"/>
  <c r="N60" i="1" s="1"/>
  <c r="P62" i="1"/>
  <c r="P65" i="1"/>
  <c r="O72" i="1"/>
  <c r="G33" i="1"/>
  <c r="G22" i="1"/>
  <c r="Q7" i="1" l="1"/>
  <c r="Q25" i="1"/>
  <c r="O74" i="1"/>
  <c r="Q64" i="1"/>
  <c r="Q62" i="1"/>
  <c r="Q72" i="1"/>
  <c r="Q69" i="1"/>
  <c r="Q70" i="1"/>
  <c r="Q59" i="1"/>
  <c r="Q61" i="1"/>
  <c r="Q66" i="1"/>
  <c r="Q71" i="1"/>
  <c r="Q65" i="1"/>
  <c r="Q67" i="1"/>
  <c r="N59" i="1"/>
  <c r="N69" i="1"/>
  <c r="N61" i="1"/>
  <c r="N71" i="1"/>
  <c r="N70" i="1"/>
  <c r="N65" i="1"/>
  <c r="N72" i="1"/>
  <c r="N66" i="1"/>
  <c r="N62" i="1"/>
  <c r="N67" i="1"/>
  <c r="N64" i="1"/>
  <c r="P74" i="1"/>
  <c r="M66" i="1"/>
  <c r="M67" i="1"/>
  <c r="M65" i="1"/>
  <c r="M70" i="1"/>
  <c r="M62" i="1"/>
  <c r="M71" i="1"/>
  <c r="M69" i="1"/>
  <c r="M61" i="1"/>
  <c r="M72" i="1"/>
  <c r="M64" i="1"/>
  <c r="M59" i="1"/>
  <c r="M60" i="1"/>
  <c r="Q24" i="1"/>
  <c r="Q32" i="1"/>
  <c r="Q30" i="1"/>
  <c r="Q31" i="1"/>
  <c r="Q29" i="1"/>
  <c r="Q28" i="1"/>
  <c r="Q26" i="1"/>
  <c r="Q6" i="1"/>
  <c r="Q16" i="1"/>
  <c r="Q14" i="1"/>
  <c r="Q4" i="1"/>
  <c r="Q21" i="1"/>
  <c r="Q13" i="1"/>
  <c r="Q5" i="1"/>
  <c r="Q20" i="1"/>
  <c r="Q19" i="1"/>
  <c r="Q18" i="1"/>
  <c r="Q8" i="1"/>
  <c r="Q15" i="1"/>
  <c r="G35" i="1"/>
  <c r="Q12" i="1"/>
  <c r="Q9" i="1"/>
  <c r="Q17" i="1"/>
  <c r="G24" i="2"/>
  <c r="G16" i="2"/>
  <c r="AC50" i="1" l="1"/>
  <c r="AC43" i="1"/>
  <c r="AC48" i="1"/>
  <c r="AC46" i="1"/>
  <c r="AC47" i="1"/>
  <c r="AC51" i="1"/>
  <c r="N74" i="1"/>
  <c r="Q13" i="2"/>
  <c r="Q6" i="2"/>
  <c r="Q4" i="2"/>
  <c r="Q14" i="2"/>
  <c r="Q10" i="2"/>
  <c r="Q5" i="2"/>
  <c r="Q15" i="2"/>
  <c r="Q11" i="2"/>
  <c r="Q7" i="2"/>
  <c r="Q12" i="2"/>
  <c r="Q74" i="1"/>
  <c r="Q23" i="2"/>
  <c r="Q19" i="2"/>
  <c r="Q22" i="2"/>
  <c r="Q18" i="2"/>
  <c r="Q21" i="2"/>
  <c r="Q20" i="2"/>
  <c r="M74" i="1"/>
  <c r="Q33" i="1"/>
  <c r="Q22" i="1"/>
  <c r="G26" i="2"/>
  <c r="Y37" i="2" l="1"/>
  <c r="Y42" i="2"/>
  <c r="Y34" i="2"/>
  <c r="Y38" i="2"/>
  <c r="Y41" i="2"/>
  <c r="Y40" i="2"/>
  <c r="Y39" i="2"/>
  <c r="AC42" i="1"/>
  <c r="AC49" i="1"/>
  <c r="AC22" i="1"/>
  <c r="AC33" i="1"/>
  <c r="Q24" i="2"/>
  <c r="Q16" i="2"/>
  <c r="Y33" i="2" l="1"/>
  <c r="Y44" i="2" s="1"/>
  <c r="AC53" i="1"/>
  <c r="C18" i="2"/>
  <c r="C5" i="2"/>
  <c r="C4" i="2"/>
  <c r="F24" i="2"/>
  <c r="P21" i="2" s="1"/>
  <c r="E24" i="2"/>
  <c r="O22" i="2" s="1"/>
  <c r="D24" i="2"/>
  <c r="F16" i="2"/>
  <c r="P11" i="2" s="1"/>
  <c r="E16" i="2"/>
  <c r="O12" i="2" s="1"/>
  <c r="D16" i="2"/>
  <c r="C6" i="2"/>
  <c r="F33" i="1"/>
  <c r="E33" i="1"/>
  <c r="D33" i="1"/>
  <c r="F22" i="1"/>
  <c r="E22" i="1"/>
  <c r="P19" i="1" l="1"/>
  <c r="P25" i="1"/>
  <c r="P19" i="2"/>
  <c r="O26" i="1"/>
  <c r="P26" i="1"/>
  <c r="P31" i="1"/>
  <c r="P5" i="1"/>
  <c r="P28" i="1"/>
  <c r="P6" i="1"/>
  <c r="P12" i="1"/>
  <c r="P16" i="1"/>
  <c r="P15" i="1"/>
  <c r="P20" i="1"/>
  <c r="O25" i="1"/>
  <c r="P22" i="2"/>
  <c r="O18" i="2"/>
  <c r="O23" i="2"/>
  <c r="O20" i="2"/>
  <c r="P12" i="2"/>
  <c r="O6" i="1"/>
  <c r="E35" i="1"/>
  <c r="O12" i="1"/>
  <c r="O20" i="1"/>
  <c r="O31" i="1"/>
  <c r="O10" i="2"/>
  <c r="F35" i="1"/>
  <c r="O13" i="1"/>
  <c r="O21" i="1"/>
  <c r="O32" i="1"/>
  <c r="P13" i="1"/>
  <c r="P21" i="1"/>
  <c r="P32" i="1"/>
  <c r="O13" i="2"/>
  <c r="P13" i="2"/>
  <c r="O4" i="1"/>
  <c r="O14" i="1"/>
  <c r="O24" i="1"/>
  <c r="P4" i="1"/>
  <c r="P14" i="1"/>
  <c r="P24" i="1"/>
  <c r="O14" i="2"/>
  <c r="P15" i="2"/>
  <c r="O7" i="1"/>
  <c r="P7" i="1"/>
  <c r="O5" i="1"/>
  <c r="O17" i="1"/>
  <c r="O28" i="1"/>
  <c r="P17" i="1"/>
  <c r="P23" i="2"/>
  <c r="O8" i="1"/>
  <c r="O18" i="1"/>
  <c r="O29" i="1"/>
  <c r="P8" i="1"/>
  <c r="P18" i="1"/>
  <c r="P29" i="1"/>
  <c r="O4" i="2"/>
  <c r="P5" i="2"/>
  <c r="O9" i="1"/>
  <c r="O19" i="1"/>
  <c r="O30" i="1"/>
  <c r="P9" i="1"/>
  <c r="P30" i="1"/>
  <c r="O6" i="2"/>
  <c r="P7" i="2"/>
  <c r="O15" i="1"/>
  <c r="O16" i="1"/>
  <c r="O5" i="2"/>
  <c r="O15" i="2"/>
  <c r="P4" i="2"/>
  <c r="P14" i="2"/>
  <c r="O7" i="2"/>
  <c r="O19" i="2"/>
  <c r="P6" i="2"/>
  <c r="P18" i="2"/>
  <c r="E26" i="2"/>
  <c r="O11" i="2"/>
  <c r="O21" i="2"/>
  <c r="P10" i="2"/>
  <c r="P20" i="2"/>
  <c r="F26" i="2"/>
  <c r="X37" i="2" l="1"/>
  <c r="X34" i="2"/>
  <c r="X42" i="2"/>
  <c r="X38" i="2"/>
  <c r="X41" i="2"/>
  <c r="X39" i="2"/>
  <c r="X40" i="2"/>
  <c r="AB48" i="1"/>
  <c r="AB50" i="1"/>
  <c r="AB43" i="1"/>
  <c r="AB46" i="1"/>
  <c r="AB47" i="1"/>
  <c r="AB51" i="1"/>
  <c r="O33" i="1"/>
  <c r="AC35" i="1"/>
  <c r="O24" i="2"/>
  <c r="P24" i="2"/>
  <c r="P22" i="1"/>
  <c r="O22" i="1"/>
  <c r="Y22" i="1"/>
  <c r="P33" i="1"/>
  <c r="P16" i="2"/>
  <c r="O16" i="2"/>
  <c r="X33" i="2" l="1"/>
  <c r="X44" i="2" s="1"/>
  <c r="AB49" i="1"/>
  <c r="AB42" i="1"/>
  <c r="AB22" i="1"/>
  <c r="AB33" i="1"/>
  <c r="Y16" i="2"/>
  <c r="X24" i="2"/>
  <c r="Y24" i="2"/>
  <c r="C33" i="1"/>
  <c r="N29" i="1"/>
  <c r="D22" i="1"/>
  <c r="AB53" i="1" l="1"/>
  <c r="W32" i="1"/>
  <c r="W31" i="1"/>
  <c r="W25" i="1"/>
  <c r="W24" i="1"/>
  <c r="W30" i="1"/>
  <c r="W26" i="1"/>
  <c r="W29" i="1"/>
  <c r="W28" i="1"/>
  <c r="Y26" i="2"/>
  <c r="N19" i="1"/>
  <c r="D35" i="1"/>
  <c r="N12" i="1"/>
  <c r="N20" i="1"/>
  <c r="N13" i="1"/>
  <c r="N21" i="1"/>
  <c r="N24" i="1"/>
  <c r="N8" i="1"/>
  <c r="M29" i="1"/>
  <c r="N4" i="1"/>
  <c r="N14" i="1"/>
  <c r="N7" i="1"/>
  <c r="N32" i="1"/>
  <c r="N18" i="1"/>
  <c r="N5" i="1"/>
  <c r="N15" i="1"/>
  <c r="M25" i="1"/>
  <c r="N6" i="1"/>
  <c r="N16" i="1"/>
  <c r="M30" i="1"/>
  <c r="N17" i="1"/>
  <c r="N9" i="1"/>
  <c r="C24" i="2"/>
  <c r="N4" i="2"/>
  <c r="N21" i="2"/>
  <c r="C16" i="2"/>
  <c r="M26" i="1"/>
  <c r="M31" i="1"/>
  <c r="M28" i="1"/>
  <c r="M32" i="1"/>
  <c r="M24" i="1"/>
  <c r="N25" i="1"/>
  <c r="N30" i="1"/>
  <c r="N26" i="1"/>
  <c r="N31" i="1"/>
  <c r="N28" i="1"/>
  <c r="C22" i="1"/>
  <c r="W21" i="1" l="1"/>
  <c r="W13" i="1"/>
  <c r="W7" i="1"/>
  <c r="W6" i="1"/>
  <c r="W15" i="1"/>
  <c r="W20" i="1"/>
  <c r="W12" i="1"/>
  <c r="W14" i="1"/>
  <c r="W19" i="1"/>
  <c r="W9" i="1"/>
  <c r="W17" i="1"/>
  <c r="W18" i="1"/>
  <c r="W8" i="1"/>
  <c r="W16" i="1"/>
  <c r="W5" i="1"/>
  <c r="W4" i="1"/>
  <c r="AB35" i="1"/>
  <c r="C35" i="1"/>
  <c r="X22" i="1"/>
  <c r="N33" i="1"/>
  <c r="N15" i="2"/>
  <c r="N14" i="2"/>
  <c r="M19" i="1"/>
  <c r="M9" i="1"/>
  <c r="M8" i="1"/>
  <c r="M16" i="1"/>
  <c r="M6" i="1"/>
  <c r="M17" i="1"/>
  <c r="M15" i="1"/>
  <c r="M14" i="1"/>
  <c r="M4" i="1"/>
  <c r="M7" i="1"/>
  <c r="M21" i="1"/>
  <c r="M13" i="1"/>
  <c r="M18" i="1"/>
  <c r="M20" i="1"/>
  <c r="M12" i="1"/>
  <c r="M5" i="1"/>
  <c r="M23" i="2"/>
  <c r="N12" i="2"/>
  <c r="M14" i="2"/>
  <c r="N22" i="1"/>
  <c r="M21" i="2"/>
  <c r="M19" i="2"/>
  <c r="M22" i="2"/>
  <c r="M18" i="2"/>
  <c r="M20" i="2"/>
  <c r="N13" i="2"/>
  <c r="D26" i="2"/>
  <c r="N10" i="2"/>
  <c r="N6" i="2"/>
  <c r="N11" i="2"/>
  <c r="N5" i="2"/>
  <c r="N7" i="2"/>
  <c r="M15" i="2"/>
  <c r="C26" i="2"/>
  <c r="N23" i="2"/>
  <c r="N22" i="2"/>
  <c r="M5" i="2"/>
  <c r="M6" i="2"/>
  <c r="M12" i="2"/>
  <c r="N18" i="2"/>
  <c r="N19" i="2"/>
  <c r="N20" i="2"/>
  <c r="M13" i="2"/>
  <c r="M7" i="2"/>
  <c r="M4" i="2"/>
  <c r="M10" i="2"/>
  <c r="M11" i="2"/>
  <c r="M33" i="1"/>
  <c r="W20" i="2" l="1"/>
  <c r="W39" i="2" s="1"/>
  <c r="W19" i="2"/>
  <c r="W38" i="2" s="1"/>
  <c r="W22" i="2"/>
  <c r="W41" i="2" s="1"/>
  <c r="W21" i="2"/>
  <c r="W40" i="2" s="1"/>
  <c r="W15" i="2"/>
  <c r="W34" i="2" s="1"/>
  <c r="W23" i="2"/>
  <c r="W42" i="2" s="1"/>
  <c r="W7" i="2"/>
  <c r="W14" i="2"/>
  <c r="W10" i="2"/>
  <c r="W13" i="2"/>
  <c r="W12" i="2"/>
  <c r="W11" i="2"/>
  <c r="W6" i="2"/>
  <c r="W4" i="2"/>
  <c r="W5" i="2"/>
  <c r="W18" i="2"/>
  <c r="W37" i="2" s="1"/>
  <c r="AA30" i="1"/>
  <c r="AA19" i="1"/>
  <c r="AA9" i="1"/>
  <c r="AA25" i="1"/>
  <c r="AA47" i="1" s="1"/>
  <c r="AA15" i="1"/>
  <c r="AA31" i="1"/>
  <c r="AA51" i="1" s="1"/>
  <c r="AA17" i="1"/>
  <c r="AA26" i="1"/>
  <c r="AA48" i="1" s="1"/>
  <c r="AA16" i="1"/>
  <c r="AA6" i="1"/>
  <c r="AA12" i="1"/>
  <c r="AA7" i="1"/>
  <c r="AA24" i="1"/>
  <c r="AA46" i="1" s="1"/>
  <c r="AA32" i="1"/>
  <c r="AA50" i="1" s="1"/>
  <c r="AA21" i="1"/>
  <c r="AA43" i="1" s="1"/>
  <c r="AA13" i="1"/>
  <c r="AA20" i="1"/>
  <c r="AA29" i="1"/>
  <c r="AA18" i="1"/>
  <c r="AA8" i="1"/>
  <c r="AA5" i="1"/>
  <c r="AA28" i="1"/>
  <c r="AA49" i="1" s="1"/>
  <c r="AA4" i="1"/>
  <c r="AA14" i="1"/>
  <c r="M24" i="2"/>
  <c r="W22" i="1"/>
  <c r="W33" i="1"/>
  <c r="M22" i="1"/>
  <c r="N16" i="2"/>
  <c r="N24" i="2"/>
  <c r="M16" i="2"/>
  <c r="W33" i="2" l="1"/>
  <c r="W44" i="2" s="1"/>
  <c r="AA42" i="1"/>
  <c r="AA53" i="1" s="1"/>
  <c r="AA33" i="1"/>
  <c r="AA22" i="1"/>
  <c r="W24" i="2"/>
  <c r="X16" i="2"/>
  <c r="X26" i="2" s="1"/>
  <c r="W16" i="2"/>
  <c r="W26" i="2" l="1"/>
  <c r="AA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Emily Hill</author>
    <author>tc={49B5CAD8-1AEF-4AED-AC5E-757441C079B2}</author>
    <author>tc={590839D7-9AFB-40E4-9069-2D04F13E2B8D}</author>
  </authors>
  <commentList>
    <comment ref="I6" authorId="0" shapeId="0" xr:uid="{5E1A539D-41EA-49DC-AB08-4E95663E1348}">
      <text>
        <r>
          <rPr>
            <b/>
            <sz val="9"/>
            <color indexed="81"/>
            <rFont val="Tahoma"/>
            <family val="2"/>
          </rPr>
          <t>Emily Hill:</t>
        </r>
        <r>
          <rPr>
            <sz val="9"/>
            <color indexed="81"/>
            <rFont val="Tahoma"/>
            <family val="2"/>
          </rPr>
          <t xml:space="preserve">
Issues with billing service; flooding in September 2021 caused the site to run on generators. PECO billing adjustments still underway.
</t>
        </r>
        <r>
          <rPr>
            <b/>
            <sz val="9"/>
            <color indexed="81"/>
            <rFont val="Tahoma"/>
            <family val="2"/>
          </rPr>
          <t>Sam Serratore:</t>
        </r>
        <r>
          <rPr>
            <sz val="9"/>
            <color indexed="81"/>
            <rFont val="Tahoma"/>
            <family val="2"/>
          </rPr>
          <t xml:space="preserve"> This is closer but still not the final cost, but I can update once I have access to EnergyCAP again</t>
        </r>
      </text>
    </comment>
    <comment ref="K12" authorId="1" shapeId="0" xr:uid="{49B5CAD8-1AEF-4AED-AC5E-757441C079B2}">
      <text>
        <t>[Threaded comment]
Your version of Excel allows you to read this threaded comment; however, any edits to it will get removed if the file is opened in a newer version of Excel. Learn more: https://go.microsoft.com/fwlink/?linkid=870924
Comment:
    Missing June 2024 billing data</t>
      </text>
    </comment>
    <comment ref="K18" authorId="2" shapeId="0" xr:uid="{590839D7-9AFB-40E4-9069-2D04F13E2B8D}">
      <text>
        <t>[Threaded comment]
Your version of Excel allows you to read this threaded comment; however, any edits to it will get removed if the file is opened in a newer version of Excel. Learn more: https://go.microsoft.com/fwlink/?linkid=870924
Comment:
    Missing June 2024 billing data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tc={3064FC59-5C29-4C79-934E-03CF5369AB2B}</author>
    <author>tc={98ACEC5D-ABE8-4011-A33D-770FA258A1A5}</author>
  </authors>
  <commentList>
    <comment ref="J6" authorId="0" shapeId="0" xr:uid="{3064FC59-5C29-4C79-934E-03CF5369AB2B}">
      <text>
        <t>[Threaded comment]
Your version of Excel allows you to read this threaded comment; however, any edits to it will get removed if the file is opened in a newer version of Excel. Learn more: https://go.microsoft.com/fwlink/?linkid=870924
Comment:
    Likely not complete billing cost - cannot confirm until we have access to EnergyCAP</t>
      </text>
    </comment>
    <comment ref="J23" authorId="1" shapeId="0" xr:uid="{98ACEC5D-ABE8-4011-A33D-770FA258A1A5}">
      <text>
        <t>[Threaded comment]
Your version of Excel allows you to read this threaded comment; however, any edits to it will get removed if the file is opened in a newer version of Excel. Learn more: https://go.microsoft.com/fwlink/?linkid=870924
Comment:
    Previous values do not align with current cost data - concerned data or facility are incorrect</t>
      </text>
    </comment>
  </commentList>
</comments>
</file>

<file path=xl/sharedStrings.xml><?xml version="1.0" encoding="utf-8"?>
<sst xmlns="http://schemas.openxmlformats.org/spreadsheetml/2006/main" count="192" uniqueCount="74">
  <si>
    <t xml:space="preserve">ELECTRIC COSTS </t>
  </si>
  <si>
    <r>
      <rPr>
        <b/>
        <sz val="9"/>
        <rFont val="Arial"/>
        <family val="2"/>
      </rPr>
      <t>Baxter WTP</t>
    </r>
  </si>
  <si>
    <r>
      <rPr>
        <b/>
        <sz val="9"/>
        <rFont val="Arial"/>
        <family val="2"/>
      </rPr>
      <t>Belmont WTP</t>
    </r>
  </si>
  <si>
    <t>Belmont Raw Water Pumping Station</t>
  </si>
  <si>
    <r>
      <rPr>
        <b/>
        <sz val="9"/>
        <rFont val="Arial"/>
        <family val="2"/>
      </rPr>
      <t>Queen Lane WTP</t>
    </r>
  </si>
  <si>
    <t>Queen Lane Raw Water Pumping Station</t>
  </si>
  <si>
    <t>Queen Lane Pumping Station</t>
  </si>
  <si>
    <t>Northeast WPCP</t>
  </si>
  <si>
    <t>Southeast WPCP</t>
  </si>
  <si>
    <t>Southwest WPCP</t>
  </si>
  <si>
    <t>Pump Stations</t>
  </si>
  <si>
    <t>Torresdale PS</t>
  </si>
  <si>
    <r>
      <rPr>
        <sz val="9"/>
        <rFont val="Arial"/>
        <family val="2"/>
      </rPr>
      <t>Lardner's Pt PS</t>
    </r>
  </si>
  <si>
    <t>Belmont HSPS</t>
  </si>
  <si>
    <r>
      <rPr>
        <sz val="9"/>
        <rFont val="Arial"/>
        <family val="2"/>
      </rPr>
      <t>East Park</t>
    </r>
  </si>
  <si>
    <t>East Oak Lane PS</t>
  </si>
  <si>
    <t>West Oak Lane PS</t>
  </si>
  <si>
    <t>Roxborough PS</t>
  </si>
  <si>
    <t>Neil Drive</t>
  </si>
  <si>
    <t>Central Schuylkill PS</t>
  </si>
  <si>
    <r>
      <rPr>
        <sz val="9"/>
        <rFont val="Arial"/>
        <family val="2"/>
      </rPr>
      <t>Fox Chase PS</t>
    </r>
  </si>
  <si>
    <t>Chestnut Hill PS</t>
  </si>
  <si>
    <t>Water HQ</t>
  </si>
  <si>
    <t>TOTAL*</t>
  </si>
  <si>
    <t>NOTES</t>
  </si>
  <si>
    <t>Source: PDFdocuments sent from Roy Ramono on 4/11/17</t>
  </si>
  <si>
    <t>*Difference in total amounts and FAMIS Actuals are be due to invoice payment timing differences</t>
  </si>
  <si>
    <t>WW HQ</t>
  </si>
  <si>
    <t>Other</t>
  </si>
  <si>
    <t>BLS</t>
  </si>
  <si>
    <t>GAS COSTS</t>
  </si>
  <si>
    <t>BRC</t>
  </si>
  <si>
    <t>Fairhill PS</t>
  </si>
  <si>
    <t>Load Control</t>
  </si>
  <si>
    <t>Treatment HQ</t>
  </si>
  <si>
    <t>NE</t>
  </si>
  <si>
    <t>SW</t>
  </si>
  <si>
    <t>SE</t>
  </si>
  <si>
    <t>Dist</t>
  </si>
  <si>
    <t>Collector Support</t>
  </si>
  <si>
    <t>Flow Control</t>
  </si>
  <si>
    <t xml:space="preserve">FY2016 </t>
  </si>
  <si>
    <t xml:space="preserve">FY2017 </t>
  </si>
  <si>
    <t>FY2018</t>
  </si>
  <si>
    <t>FY2019</t>
  </si>
  <si>
    <t>All Data</t>
  </si>
  <si>
    <t xml:space="preserve">2 Year </t>
  </si>
  <si>
    <t xml:space="preserve">3 Year </t>
  </si>
  <si>
    <t>Dist by Utility</t>
  </si>
  <si>
    <t>Dist of Total</t>
  </si>
  <si>
    <t>FY2020</t>
  </si>
  <si>
    <t>Includes RW, LS and HS pumping for Baxter</t>
  </si>
  <si>
    <t>Baxter RW</t>
  </si>
  <si>
    <t>Baxter LS</t>
  </si>
  <si>
    <t>Baxter HS</t>
  </si>
  <si>
    <t>Baxter</t>
  </si>
  <si>
    <t xml:space="preserve">  Raw Water PS</t>
  </si>
  <si>
    <t xml:space="preserve">  Hi Service PS</t>
  </si>
  <si>
    <t xml:space="preserve">  Lo Service PS</t>
  </si>
  <si>
    <t xml:space="preserve">  Filter Bldg</t>
  </si>
  <si>
    <t>Queen Lane</t>
  </si>
  <si>
    <t xml:space="preserve">  Rox Exp PS</t>
  </si>
  <si>
    <t>Belmont</t>
  </si>
  <si>
    <t>Distrib./Booster PS</t>
  </si>
  <si>
    <t>Allocation of Torresdale (Source: waterpumping.xls)</t>
  </si>
  <si>
    <t>FY2021</t>
  </si>
  <si>
    <t>Water</t>
  </si>
  <si>
    <t>Distribution</t>
  </si>
  <si>
    <t>Sewer</t>
  </si>
  <si>
    <t>FY2022</t>
  </si>
  <si>
    <t>FY2023</t>
  </si>
  <si>
    <t>FY2024</t>
  </si>
  <si>
    <t>USE</t>
  </si>
  <si>
    <t>Includes Supply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</si>
</sst>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F2DCDB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indexed="64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8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8" borderId="0" applyNumberFormat="0" applyBorder="0" applyAlignment="0" applyProtection="0"/>
  </cellStyleXfs>
  <cellXfs count="88">
    <xf numFmtId="0" fontId="0" fillId="0" borderId="0" xfId="0"/>
    <xf numFmtId="0" fontId="2" fillId="3" borderId="4" xfId="0" applyFont="1" applyFill="1" applyBorder="1"/>
    <xf numFmtId="0" fontId="3" fillId="3" borderId="5" xfId="0" applyFont="1" applyFill="1" applyBorder="1" applyAlignment="1">
      <alignment horizontal="right" vertical="center" indent="1"/>
    </xf>
    <xf numFmtId="0" fontId="2" fillId="4" borderId="4" xfId="0" applyFont="1" applyFill="1" applyBorder="1" applyAlignment="1">
      <alignment horizontal="left" indent="1"/>
    </xf>
    <xf numFmtId="164" fontId="5" fillId="0" borderId="5" xfId="1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vertical="center"/>
    </xf>
    <xf numFmtId="164" fontId="5" fillId="0" borderId="5" xfId="1" applyNumberFormat="1" applyFont="1" applyBorder="1" applyAlignment="1">
      <alignment horizontal="center"/>
    </xf>
    <xf numFmtId="164" fontId="5" fillId="0" borderId="6" xfId="1" applyNumberFormat="1" applyFont="1" applyBorder="1" applyAlignment="1"/>
    <xf numFmtId="0" fontId="6" fillId="4" borderId="4" xfId="0" applyFont="1" applyFill="1" applyBorder="1" applyAlignment="1">
      <alignment horizontal="left" indent="1"/>
    </xf>
    <xf numFmtId="0" fontId="6" fillId="4" borderId="4" xfId="0" applyFont="1" applyFill="1" applyBorder="1" applyAlignment="1">
      <alignment horizontal="left" indent="2"/>
    </xf>
    <xf numFmtId="0" fontId="5" fillId="4" borderId="4" xfId="0" applyFont="1" applyFill="1" applyBorder="1" applyAlignment="1">
      <alignment horizontal="left" indent="2"/>
    </xf>
    <xf numFmtId="164" fontId="5" fillId="0" borderId="5" xfId="1" applyNumberFormat="1" applyFont="1" applyFill="1" applyBorder="1" applyAlignment="1">
      <alignment horizontal="center"/>
    </xf>
    <xf numFmtId="164" fontId="5" fillId="0" borderId="6" xfId="1" applyNumberFormat="1" applyFont="1" applyFill="1" applyBorder="1" applyAlignment="1">
      <alignment horizontal="center"/>
    </xf>
    <xf numFmtId="164" fontId="6" fillId="0" borderId="5" xfId="1" applyNumberFormat="1" applyFont="1" applyBorder="1"/>
    <xf numFmtId="164" fontId="6" fillId="0" borderId="6" xfId="0" applyNumberFormat="1" applyFont="1" applyBorder="1"/>
    <xf numFmtId="0" fontId="6" fillId="5" borderId="4" xfId="0" applyFont="1" applyFill="1" applyBorder="1" applyAlignment="1">
      <alignment horizontal="left" indent="2"/>
    </xf>
    <xf numFmtId="164" fontId="6" fillId="5" borderId="5" xfId="1" applyNumberFormat="1" applyFont="1" applyFill="1" applyBorder="1"/>
    <xf numFmtId="164" fontId="6" fillId="5" borderId="6" xfId="0" applyNumberFormat="1" applyFont="1" applyFill="1" applyBorder="1"/>
    <xf numFmtId="0" fontId="6" fillId="4" borderId="7" xfId="0" applyFont="1" applyFill="1" applyBorder="1" applyAlignment="1">
      <alignment horizontal="left" indent="2"/>
    </xf>
    <xf numFmtId="164" fontId="6" fillId="0" borderId="8" xfId="1" applyNumberFormat="1" applyFont="1" applyBorder="1"/>
    <xf numFmtId="164" fontId="6" fillId="0" borderId="9" xfId="0" applyNumberFormat="1" applyFont="1" applyBorder="1"/>
    <xf numFmtId="0" fontId="5" fillId="4" borderId="10" xfId="0" applyFont="1" applyFill="1" applyBorder="1" applyAlignment="1">
      <alignment horizontal="left" indent="2"/>
    </xf>
    <xf numFmtId="164" fontId="6" fillId="0" borderId="11" xfId="1" applyNumberFormat="1" applyFont="1" applyBorder="1"/>
    <xf numFmtId="164" fontId="6" fillId="0" borderId="12" xfId="0" applyNumberFormat="1" applyFont="1" applyBorder="1"/>
    <xf numFmtId="0" fontId="2" fillId="6" borderId="10" xfId="0" applyFont="1" applyFill="1" applyBorder="1" applyAlignment="1">
      <alignment horizontal="left" vertical="center"/>
    </xf>
    <xf numFmtId="44" fontId="4" fillId="6" borderId="11" xfId="1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/>
    </xf>
    <xf numFmtId="44" fontId="0" fillId="0" borderId="0" xfId="0" applyNumberFormat="1"/>
    <xf numFmtId="0" fontId="7" fillId="4" borderId="14" xfId="0" applyFont="1" applyFill="1" applyBorder="1" applyAlignment="1">
      <alignment horizontal="left"/>
    </xf>
    <xf numFmtId="0" fontId="2" fillId="6" borderId="15" xfId="0" applyFont="1" applyFill="1" applyBorder="1" applyAlignment="1">
      <alignment horizontal="left" vertical="center"/>
    </xf>
    <xf numFmtId="44" fontId="4" fillId="6" borderId="0" xfId="1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left" indent="2"/>
    </xf>
    <xf numFmtId="164" fontId="6" fillId="5" borderId="0" xfId="1" applyNumberFormat="1" applyFont="1" applyFill="1" applyBorder="1"/>
    <xf numFmtId="164" fontId="6" fillId="5" borderId="0" xfId="0" applyNumberFormat="1" applyFont="1" applyFill="1" applyBorder="1"/>
    <xf numFmtId="164" fontId="5" fillId="0" borderId="0" xfId="1" applyNumberFormat="1" applyFont="1" applyBorder="1" applyAlignment="1">
      <alignment horizontal="center"/>
    </xf>
    <xf numFmtId="165" fontId="0" fillId="0" borderId="0" xfId="2" applyNumberFormat="1" applyFont="1"/>
    <xf numFmtId="165" fontId="0" fillId="0" borderId="0" xfId="0" applyNumberFormat="1"/>
    <xf numFmtId="165" fontId="4" fillId="6" borderId="11" xfId="2" applyNumberFormat="1" applyFont="1" applyFill="1" applyBorder="1" applyAlignment="1">
      <alignment horizontal="right" vertical="center"/>
    </xf>
    <xf numFmtId="44" fontId="5" fillId="0" borderId="5" xfId="1" applyFont="1" applyFill="1" applyBorder="1" applyAlignment="1">
      <alignment horizontal="center" vertical="center"/>
    </xf>
    <xf numFmtId="44" fontId="5" fillId="0" borderId="5" xfId="1" applyFont="1" applyBorder="1" applyAlignment="1">
      <alignment horizontal="center"/>
    </xf>
    <xf numFmtId="44" fontId="5" fillId="0" borderId="6" xfId="1" applyFont="1" applyFill="1" applyBorder="1" applyAlignment="1">
      <alignment vertical="center"/>
    </xf>
    <xf numFmtId="44" fontId="5" fillId="0" borderId="6" xfId="1" applyFont="1" applyBorder="1" applyAlignment="1"/>
    <xf numFmtId="44" fontId="6" fillId="0" borderId="5" xfId="1" applyFont="1" applyBorder="1"/>
    <xf numFmtId="44" fontId="6" fillId="0" borderId="6" xfId="1" applyFont="1" applyBorder="1"/>
    <xf numFmtId="44" fontId="6" fillId="0" borderId="8" xfId="1" applyFont="1" applyBorder="1"/>
    <xf numFmtId="44" fontId="6" fillId="0" borderId="9" xfId="1" applyFont="1" applyBorder="1"/>
    <xf numFmtId="44" fontId="6" fillId="0" borderId="11" xfId="1" applyFont="1" applyBorder="1"/>
    <xf numFmtId="44" fontId="6" fillId="0" borderId="12" xfId="1" applyFont="1" applyBorder="1"/>
    <xf numFmtId="0" fontId="2" fillId="3" borderId="16" xfId="0" applyFont="1" applyFill="1" applyBorder="1"/>
    <xf numFmtId="0" fontId="3" fillId="3" borderId="17" xfId="0" applyFont="1" applyFill="1" applyBorder="1" applyAlignment="1">
      <alignment horizontal="right" vertical="center" indent="1"/>
    </xf>
    <xf numFmtId="17" fontId="3" fillId="3" borderId="18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164" fontId="5" fillId="0" borderId="0" xfId="1" applyNumberFormat="1" applyFont="1" applyFill="1" applyBorder="1" applyAlignment="1">
      <alignment vertical="center"/>
    </xf>
    <xf numFmtId="164" fontId="5" fillId="0" borderId="0" xfId="1" applyNumberFormat="1" applyFont="1" applyBorder="1" applyAlignment="1"/>
    <xf numFmtId="164" fontId="5" fillId="0" borderId="0" xfId="1" applyNumberFormat="1" applyFont="1" applyFill="1" applyBorder="1" applyAlignment="1">
      <alignment horizontal="center"/>
    </xf>
    <xf numFmtId="164" fontId="6" fillId="0" borderId="0" xfId="0" applyNumberFormat="1" applyFont="1" applyBorder="1"/>
    <xf numFmtId="17" fontId="3" fillId="3" borderId="19" xfId="0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/>
    <xf numFmtId="164" fontId="5" fillId="0" borderId="20" xfId="1" applyNumberFormat="1" applyFont="1" applyFill="1" applyBorder="1" applyAlignment="1"/>
    <xf numFmtId="0" fontId="3" fillId="3" borderId="0" xfId="0" applyFont="1" applyFill="1" applyBorder="1" applyAlignment="1">
      <alignment horizontal="right" vertical="center" indent="1"/>
    </xf>
    <xf numFmtId="44" fontId="5" fillId="0" borderId="0" xfId="1" applyFont="1" applyBorder="1" applyAlignment="1"/>
    <xf numFmtId="44" fontId="6" fillId="0" borderId="0" xfId="1" applyFont="1" applyBorder="1"/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right" vertical="center" indent="1"/>
    </xf>
    <xf numFmtId="0" fontId="3" fillId="3" borderId="19" xfId="0" applyFont="1" applyFill="1" applyBorder="1" applyAlignment="1">
      <alignment horizontal="right" vertical="center" indent="1"/>
    </xf>
    <xf numFmtId="44" fontId="5" fillId="0" borderId="21" xfId="1" applyFont="1" applyFill="1" applyBorder="1" applyAlignment="1">
      <alignment vertical="center"/>
    </xf>
    <xf numFmtId="44" fontId="5" fillId="0" borderId="21" xfId="1" applyFont="1" applyBorder="1" applyAlignment="1"/>
    <xf numFmtId="10" fontId="0" fillId="0" borderId="0" xfId="0" applyNumberFormat="1"/>
    <xf numFmtId="17" fontId="3" fillId="3" borderId="0" xfId="0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/>
    <xf numFmtId="44" fontId="5" fillId="0" borderId="0" xfId="1" applyFont="1" applyFill="1" applyBorder="1" applyAlignment="1">
      <alignment vertical="center"/>
    </xf>
    <xf numFmtId="9" fontId="0" fillId="0" borderId="0" xfId="2" applyFont="1"/>
    <xf numFmtId="164" fontId="0" fillId="0" borderId="0" xfId="0" applyNumberFormat="1"/>
    <xf numFmtId="0" fontId="8" fillId="0" borderId="22" xfId="0" applyFont="1" applyBorder="1" applyProtection="1"/>
    <xf numFmtId="165" fontId="0" fillId="7" borderId="0" xfId="2" applyNumberFormat="1" applyFont="1" applyFill="1"/>
    <xf numFmtId="164" fontId="9" fillId="8" borderId="0" xfId="3" applyNumberFormat="1" applyBorder="1" applyAlignment="1"/>
    <xf numFmtId="164" fontId="9" fillId="8" borderId="0" xfId="3" applyNumberFormat="1" applyBorder="1"/>
    <xf numFmtId="164" fontId="9" fillId="8" borderId="0" xfId="3" applyNumberFormat="1" applyBorder="1" applyAlignment="1">
      <alignment horizontal="center"/>
    </xf>
    <xf numFmtId="0" fontId="0" fillId="9" borderId="0" xfId="0" applyFill="1" applyAlignment="1">
      <alignment horizontal="center"/>
    </xf>
    <xf numFmtId="44" fontId="9" fillId="8" borderId="0" xfId="3" applyNumberFormat="1" applyBorder="1" applyAlignment="1"/>
    <xf numFmtId="44" fontId="9" fillId="8" borderId="0" xfId="3" applyNumberFormat="1" applyBorder="1"/>
    <xf numFmtId="44" fontId="6" fillId="10" borderId="0" xfId="0" applyNumberFormat="1" applyFont="1" applyFill="1"/>
    <xf numFmtId="44" fontId="5" fillId="10" borderId="0" xfId="1" applyFont="1" applyFill="1" applyBorder="1" applyAlignment="1">
      <alignment vertical="center"/>
    </xf>
    <xf numFmtId="44" fontId="5" fillId="10" borderId="0" xfId="1" applyFont="1" applyFill="1" applyBorder="1" applyAlignment="1"/>
    <xf numFmtId="44" fontId="6" fillId="10" borderId="0" xfId="1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</cellXfs>
  <cellStyles count="4">
    <cellStyle name="Bad" xfId="3" builtinId="27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2DCD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amantha Serratore" id="{A759802A-96D8-43BC-AAA5-A6E0EC2FCBD1}" userId="S::Samantha.Serratore@phila.gov::3fa8b7f7-5a15-4407-80c0-b6aec72c28e4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12" dT="2024-12-09T16:01:20.00" personId="{A759802A-96D8-43BC-AAA5-A6E0EC2FCBD1}" id="{49B5CAD8-1AEF-4AED-AC5E-757441C079B2}">
    <text>Missing June 2024 billing data</text>
  </threadedComment>
  <threadedComment ref="K18" dT="2024-12-09T16:03:18.58" personId="{A759802A-96D8-43BC-AAA5-A6E0EC2FCBD1}" id="{590839D7-9AFB-40E4-9069-2D04F13E2B8D}">
    <text>Missing June 2024 billing data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6" dT="2024-12-12T17:14:03.49" personId="{A759802A-96D8-43BC-AAA5-A6E0EC2FCBD1}" id="{3064FC59-5C29-4C79-934E-03CF5369AB2B}">
    <text>Likely not complete billing cost - cannot confirm until we have access to EnergyCAP</text>
  </threadedComment>
  <threadedComment ref="J23" dT="2024-12-12T17:15:41.72" personId="{A759802A-96D8-43BC-AAA5-A6E0EC2FCBD1}" id="{98ACEC5D-ABE8-4011-A33D-770FA258A1A5}">
    <text>Previous values do not align with current cost data - concerned data or facility are incorrect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G74"/>
  <sheetViews>
    <sheetView workbookViewId="0">
      <selection activeCell="AB49" sqref="AB49"/>
    </sheetView>
  </sheetViews>
  <sheetFormatPr defaultRowHeight="14.5" x14ac:dyDescent="0.35"/>
  <cols>
    <col min="2" max="2" width="65.1796875" bestFit="1" customWidth="1"/>
    <col min="3" max="3" width="16.81640625" bestFit="1" customWidth="1"/>
    <col min="4" max="4" width="15.81640625" bestFit="1" customWidth="1"/>
    <col min="5" max="11" width="15.81640625" customWidth="1"/>
    <col min="13" max="13" width="16.81640625" bestFit="1" customWidth="1"/>
    <col min="14" max="14" width="15.81640625" bestFit="1" customWidth="1"/>
    <col min="15" max="21" width="15.81640625" customWidth="1"/>
  </cols>
  <sheetData>
    <row r="1" spans="2:33" x14ac:dyDescent="0.35">
      <c r="M1" t="s">
        <v>48</v>
      </c>
      <c r="W1" t="s">
        <v>48</v>
      </c>
      <c r="AA1" t="s">
        <v>49</v>
      </c>
    </row>
    <row r="2" spans="2:33" x14ac:dyDescent="0.35">
      <c r="B2" s="85" t="s">
        <v>0</v>
      </c>
      <c r="C2" s="86"/>
      <c r="D2" s="87"/>
      <c r="E2" s="51"/>
      <c r="F2" s="51"/>
      <c r="G2" s="51"/>
      <c r="H2" s="51"/>
      <c r="I2" s="51"/>
      <c r="J2" s="51"/>
      <c r="K2" s="51"/>
    </row>
    <row r="3" spans="2:33" x14ac:dyDescent="0.35">
      <c r="B3" s="48"/>
      <c r="C3" s="49" t="s">
        <v>41</v>
      </c>
      <c r="D3" s="50" t="s">
        <v>42</v>
      </c>
      <c r="E3" s="50" t="s">
        <v>43</v>
      </c>
      <c r="F3" s="56" t="s">
        <v>44</v>
      </c>
      <c r="G3" s="68" t="s">
        <v>50</v>
      </c>
      <c r="H3" s="68" t="s">
        <v>65</v>
      </c>
      <c r="I3" s="68" t="s">
        <v>69</v>
      </c>
      <c r="J3" s="68" t="s">
        <v>70</v>
      </c>
      <c r="K3" s="68" t="s">
        <v>71</v>
      </c>
      <c r="M3" s="49" t="str">
        <f t="shared" ref="M3:U3" si="0">+C3</f>
        <v xml:space="preserve">FY2016 </v>
      </c>
      <c r="N3" s="49" t="str">
        <f t="shared" si="0"/>
        <v xml:space="preserve">FY2017 </v>
      </c>
      <c r="O3" s="49" t="str">
        <f t="shared" si="0"/>
        <v>FY2018</v>
      </c>
      <c r="P3" s="49" t="str">
        <f t="shared" si="0"/>
        <v>FY2019</v>
      </c>
      <c r="Q3" s="49" t="str">
        <f t="shared" si="0"/>
        <v>FY2020</v>
      </c>
      <c r="R3" s="49" t="str">
        <f t="shared" si="0"/>
        <v>FY2021</v>
      </c>
      <c r="S3" s="49" t="str">
        <f t="shared" si="0"/>
        <v>FY2022</v>
      </c>
      <c r="T3" s="49" t="str">
        <f t="shared" si="0"/>
        <v>FY2023</v>
      </c>
      <c r="U3" s="49" t="str">
        <f t="shared" si="0"/>
        <v>FY2024</v>
      </c>
      <c r="W3" s="2" t="s">
        <v>45</v>
      </c>
      <c r="X3" s="59" t="s">
        <v>47</v>
      </c>
      <c r="Y3" s="59" t="s">
        <v>46</v>
      </c>
      <c r="AA3" s="2" t="s">
        <v>45</v>
      </c>
      <c r="AB3" s="59" t="s">
        <v>47</v>
      </c>
      <c r="AC3" s="59" t="s">
        <v>46</v>
      </c>
    </row>
    <row r="4" spans="2:33" x14ac:dyDescent="0.35">
      <c r="B4" s="3" t="s">
        <v>1</v>
      </c>
      <c r="C4" s="4">
        <v>297539</v>
      </c>
      <c r="D4" s="5">
        <v>231840</v>
      </c>
      <c r="E4" s="52">
        <v>206633.76</v>
      </c>
      <c r="F4" s="52">
        <v>212860.035</v>
      </c>
      <c r="G4" s="52">
        <v>232866.86452703</v>
      </c>
      <c r="H4" s="52">
        <v>208079.41</v>
      </c>
      <c r="I4" s="52">
        <v>229682.41</v>
      </c>
      <c r="J4" s="52">
        <v>335620.11</v>
      </c>
      <c r="K4" s="52">
        <v>276554.07</v>
      </c>
      <c r="M4" s="35">
        <f t="shared" ref="M4:U9" si="1">+C4/C$22</f>
        <v>3.0587126984908595E-2</v>
      </c>
      <c r="N4" s="35">
        <f t="shared" si="1"/>
        <v>4.0751820464184747E-2</v>
      </c>
      <c r="O4" s="35">
        <f t="shared" si="1"/>
        <v>3.118755030671139E-2</v>
      </c>
      <c r="P4" s="35">
        <f t="shared" si="1"/>
        <v>3.1936432518084985E-2</v>
      </c>
      <c r="Q4" s="35">
        <f t="shared" si="1"/>
        <v>3.4658198392888154E-2</v>
      </c>
      <c r="R4" s="35">
        <f t="shared" si="1"/>
        <v>3.1982245671809496E-2</v>
      </c>
      <c r="S4" s="35">
        <f t="shared" si="1"/>
        <v>3.5371033069719636E-2</v>
      </c>
      <c r="T4" s="35">
        <f t="shared" si="1"/>
        <v>3.1875133179452148E-2</v>
      </c>
      <c r="U4" s="35">
        <f t="shared" si="1"/>
        <v>3.8477031201210286E-2</v>
      </c>
      <c r="W4" s="35">
        <f>SUM(C4:$K4)/SUM(C$22:$K$22)</f>
        <v>3.3740375558661405E-2</v>
      </c>
      <c r="X4" s="35">
        <f>SUM(G4:$H4,$J4)/SUM(G$22:$H$22,$J$22)</f>
        <v>3.2691667663708936E-2</v>
      </c>
      <c r="Y4" s="35">
        <f t="shared" ref="Y4:Y9" si="2">SUM($J4,$H4)/SUM(J$22,$H$22)</f>
        <v>3.1916041377279311E-2</v>
      </c>
      <c r="AA4" s="35">
        <f>SUM(C4:$K4)/SUM(C$35:$K$35)</f>
        <v>1.7208640999920907E-2</v>
      </c>
      <c r="AB4" s="35">
        <f>SUM(G4:$H4,$J4)/SUM(G$35:$H$35,$J$35)</f>
        <v>1.6854049832228608E-2</v>
      </c>
      <c r="AC4" s="35">
        <f t="shared" ref="AC4:AC9" si="3">SUM($J4,$H4)/SUM(J$35,$H$35)</f>
        <v>1.6318105585997136E-2</v>
      </c>
      <c r="AE4" t="s">
        <v>33</v>
      </c>
    </row>
    <row r="5" spans="2:33" x14ac:dyDescent="0.35">
      <c r="B5" s="3" t="s">
        <v>2</v>
      </c>
      <c r="C5" s="6">
        <v>176394</v>
      </c>
      <c r="D5" s="7">
        <v>130168</v>
      </c>
      <c r="E5" s="53">
        <v>122570.93999999999</v>
      </c>
      <c r="F5" s="53">
        <v>125090.20724999999</v>
      </c>
      <c r="G5" s="53">
        <v>127694.86786090421</v>
      </c>
      <c r="H5" s="53">
        <v>121222.14</v>
      </c>
      <c r="I5" s="53">
        <v>127755.55</v>
      </c>
      <c r="J5" s="53">
        <v>191225.08</v>
      </c>
      <c r="K5" s="53">
        <v>159934.34</v>
      </c>
      <c r="M5" s="35">
        <f t="shared" si="1"/>
        <v>1.8133373027992856E-2</v>
      </c>
      <c r="N5" s="35">
        <f t="shared" si="1"/>
        <v>2.2880361310308836E-2</v>
      </c>
      <c r="O5" s="35">
        <f t="shared" si="1"/>
        <v>1.8499819958708117E-2</v>
      </c>
      <c r="P5" s="35">
        <f t="shared" si="1"/>
        <v>1.8767895826536391E-2</v>
      </c>
      <c r="Q5" s="35">
        <f t="shared" si="1"/>
        <v>1.9005168782023709E-2</v>
      </c>
      <c r="R5" s="35">
        <f t="shared" si="1"/>
        <v>1.8632099458290877E-2</v>
      </c>
      <c r="S5" s="35">
        <f t="shared" si="1"/>
        <v>1.9674322399744152E-2</v>
      </c>
      <c r="T5" s="35">
        <f t="shared" si="1"/>
        <v>1.8161381605683258E-2</v>
      </c>
      <c r="U5" s="35">
        <f t="shared" si="1"/>
        <v>2.2251701413488412E-2</v>
      </c>
      <c r="W5" s="35">
        <f>SUM(C5:$K5)/SUM(C$22:$K$22)</f>
        <v>1.9383202582993725E-2</v>
      </c>
      <c r="X5" s="35">
        <f>SUM(G5:$H5,$J5)/SUM(G$22:$H$22,$J$22)</f>
        <v>1.8528974660580125E-2</v>
      </c>
      <c r="Y5" s="35">
        <f t="shared" si="2"/>
        <v>1.8341157265939635E-2</v>
      </c>
      <c r="AA5" s="35">
        <f>SUM(C5:$K5)/SUM(C$35:$K$35)</f>
        <v>9.8860362149659504E-3</v>
      </c>
      <c r="AB5" s="35">
        <f>SUM(G5:$H5,$J5)/SUM(G$35:$H$35,$J$35)</f>
        <v>9.5525338591457096E-3</v>
      </c>
      <c r="AC5" s="35">
        <f t="shared" si="3"/>
        <v>9.3775082347162548E-3</v>
      </c>
      <c r="AE5" t="s">
        <v>33</v>
      </c>
    </row>
    <row r="6" spans="2:33" x14ac:dyDescent="0.35">
      <c r="B6" s="8" t="s">
        <v>3</v>
      </c>
      <c r="C6" s="6">
        <v>1671570</v>
      </c>
      <c r="D6" s="7">
        <v>1197103</v>
      </c>
      <c r="E6" s="53">
        <v>1120867.6000000001</v>
      </c>
      <c r="F6" s="53">
        <v>1047795.152</v>
      </c>
      <c r="G6" s="53">
        <v>1056802.3900000001</v>
      </c>
      <c r="H6" s="53">
        <v>1089276.22</v>
      </c>
      <c r="I6" s="75">
        <v>459093.25420000002</v>
      </c>
      <c r="J6" s="53">
        <v>1719442.01</v>
      </c>
      <c r="K6" s="53">
        <v>1346564.29</v>
      </c>
      <c r="M6" s="35">
        <f t="shared" si="1"/>
        <v>0.17183805771399263</v>
      </c>
      <c r="N6" s="35">
        <f t="shared" si="1"/>
        <v>0.2104215257640483</v>
      </c>
      <c r="O6" s="35">
        <f t="shared" si="1"/>
        <v>0.16917426591938733</v>
      </c>
      <c r="P6" s="35">
        <f t="shared" si="1"/>
        <v>0.15720583323508616</v>
      </c>
      <c r="Q6" s="35">
        <f t="shared" si="1"/>
        <v>0.15728672677020952</v>
      </c>
      <c r="R6" s="35">
        <f t="shared" si="1"/>
        <v>0.1674240602301785</v>
      </c>
      <c r="S6" s="35">
        <f t="shared" si="1"/>
        <v>7.0700245074898874E-2</v>
      </c>
      <c r="T6" s="35">
        <f t="shared" si="1"/>
        <v>0.16330202341896286</v>
      </c>
      <c r="U6" s="35">
        <f t="shared" si="1"/>
        <v>0.18734779857250183</v>
      </c>
      <c r="W6" s="35">
        <f>SUM(C6:$K6)/SUM(C$22:$K$22)</f>
        <v>0.16190044447781185</v>
      </c>
      <c r="X6" s="35">
        <f>SUM(G6:$H6,$J6)/SUM(G$22:$H$22,$J$22)</f>
        <v>0.16272957209346675</v>
      </c>
      <c r="Y6" s="35">
        <f t="shared" si="2"/>
        <v>0.16487630381906299</v>
      </c>
      <c r="AA6" s="35">
        <f>SUM(C6:$K6)/SUM(C$35:$K$35)</f>
        <v>8.2574262456040812E-2</v>
      </c>
      <c r="AB6" s="35">
        <f>SUM(G6:$H6,$J6)/SUM(G$35:$H$35,$J$35)</f>
        <v>8.3894536842032935E-2</v>
      </c>
      <c r="AC6" s="35">
        <f t="shared" si="3"/>
        <v>8.4298328309090634E-2</v>
      </c>
      <c r="AE6" t="s">
        <v>33</v>
      </c>
    </row>
    <row r="7" spans="2:33" x14ac:dyDescent="0.35">
      <c r="B7" s="3" t="s">
        <v>4</v>
      </c>
      <c r="C7" s="6">
        <v>284607</v>
      </c>
      <c r="D7" s="7">
        <v>218509</v>
      </c>
      <c r="E7" s="53">
        <v>202388.62000000002</v>
      </c>
      <c r="F7" s="53">
        <v>199318.10725</v>
      </c>
      <c r="G7" s="53">
        <v>198402.39438580599</v>
      </c>
      <c r="H7" s="53">
        <v>194908.28</v>
      </c>
      <c r="I7" s="53">
        <v>205816.05</v>
      </c>
      <c r="J7" s="53">
        <v>309517.46000000002</v>
      </c>
      <c r="K7" s="53">
        <v>236225.44</v>
      </c>
      <c r="M7" s="35">
        <f t="shared" si="1"/>
        <v>2.9257712265598392E-2</v>
      </c>
      <c r="N7" s="35">
        <f t="shared" si="1"/>
        <v>3.8408555632369501E-2</v>
      </c>
      <c r="O7" s="35">
        <f t="shared" si="1"/>
        <v>3.0546824815828232E-2</v>
      </c>
      <c r="P7" s="35">
        <f t="shared" si="1"/>
        <v>2.9904670840733682E-2</v>
      </c>
      <c r="Q7" s="35">
        <f t="shared" si="1"/>
        <v>2.952875910539492E-2</v>
      </c>
      <c r="R7" s="35">
        <f t="shared" si="1"/>
        <v>2.9957815116977857E-2</v>
      </c>
      <c r="S7" s="35">
        <f t="shared" si="1"/>
        <v>3.1695619663817835E-2</v>
      </c>
      <c r="T7" s="35">
        <f t="shared" si="1"/>
        <v>2.9396064076332475E-2</v>
      </c>
      <c r="U7" s="35">
        <f t="shared" si="1"/>
        <v>3.2866099657834102E-2</v>
      </c>
      <c r="W7" s="35">
        <f>SUM(C7:$K7)/SUM(C$22:$K$22)</f>
        <v>3.098899673376589E-2</v>
      </c>
      <c r="X7" s="35">
        <f>SUM(G7:$H7,$J7)/SUM(G$22:$H$22,$J$22)</f>
        <v>2.958745607825829E-2</v>
      </c>
      <c r="Y7" s="35">
        <f t="shared" si="2"/>
        <v>2.9610606957322191E-2</v>
      </c>
      <c r="AA7" s="35">
        <f>SUM(C7:$K7)/SUM(C$35:$K$35)</f>
        <v>1.5805352219981507E-2</v>
      </c>
      <c r="AB7" s="35">
        <f>SUM(G7:$H7,$J7)/SUM(G$35:$H$35,$J$35)</f>
        <v>1.5253686788986079E-2</v>
      </c>
      <c r="AC7" s="35">
        <f t="shared" si="3"/>
        <v>1.5139377878455252E-2</v>
      </c>
      <c r="AE7" t="s">
        <v>33</v>
      </c>
    </row>
    <row r="8" spans="2:33" x14ac:dyDescent="0.35">
      <c r="B8" s="8" t="s">
        <v>5</v>
      </c>
      <c r="C8" s="6">
        <v>1377000</v>
      </c>
      <c r="D8" s="7">
        <v>911565</v>
      </c>
      <c r="E8" s="53">
        <v>1043654.3400000001</v>
      </c>
      <c r="F8" s="53">
        <v>1068254.7935000001</v>
      </c>
      <c r="G8" s="53">
        <v>1131526.83</v>
      </c>
      <c r="H8" s="53">
        <v>1148890.51</v>
      </c>
      <c r="I8" s="53">
        <v>1226591.81</v>
      </c>
      <c r="J8" s="53">
        <v>1803912.78</v>
      </c>
      <c r="K8" s="53">
        <v>1376090.13</v>
      </c>
      <c r="M8" s="35">
        <f t="shared" si="1"/>
        <v>0.14155614510440356</v>
      </c>
      <c r="N8" s="35">
        <f t="shared" si="1"/>
        <v>0.1602309058895556</v>
      </c>
      <c r="O8" s="35">
        <f t="shared" si="1"/>
        <v>0.15752035016721214</v>
      </c>
      <c r="P8" s="35">
        <f t="shared" si="1"/>
        <v>0.16027549335286714</v>
      </c>
      <c r="Q8" s="35">
        <f t="shared" si="1"/>
        <v>0.16840816507177969</v>
      </c>
      <c r="R8" s="35">
        <f t="shared" si="1"/>
        <v>0.17658690276385591</v>
      </c>
      <c r="S8" s="35">
        <f t="shared" si="1"/>
        <v>0.18889482862251952</v>
      </c>
      <c r="T8" s="35">
        <f t="shared" si="1"/>
        <v>0.17132453745580312</v>
      </c>
      <c r="U8" s="35">
        <f t="shared" si="1"/>
        <v>0.19145573546499428</v>
      </c>
      <c r="W8" s="35">
        <f>SUM(C8:$K8)/SUM(C$22:$K$22)</f>
        <v>0.16763007051367276</v>
      </c>
      <c r="X8" s="35">
        <f>SUM(G8:$H8,$J8)/SUM(G$22:$H$22,$J$22)</f>
        <v>0.17194095131125123</v>
      </c>
      <c r="Y8" s="35">
        <f t="shared" si="2"/>
        <v>0.17333432993026457</v>
      </c>
      <c r="AA8" s="35">
        <f>SUM(C8:$K8)/SUM(C$35:$K$35)</f>
        <v>8.5496549949358874E-2</v>
      </c>
      <c r="AB8" s="35">
        <f>SUM(G8:$H8,$J8)/SUM(G$35:$H$35,$J$35)</f>
        <v>8.8643424110712618E-2</v>
      </c>
      <c r="AC8" s="35">
        <f t="shared" si="3"/>
        <v>8.862276696676083E-2</v>
      </c>
      <c r="AE8" t="s">
        <v>33</v>
      </c>
    </row>
    <row r="9" spans="2:33" x14ac:dyDescent="0.35">
      <c r="B9" s="8" t="s">
        <v>6</v>
      </c>
      <c r="C9" s="6">
        <v>513798</v>
      </c>
      <c r="D9" s="7">
        <v>368484</v>
      </c>
      <c r="E9" s="53">
        <v>332468.61999999994</v>
      </c>
      <c r="F9" s="53">
        <v>328489.36575</v>
      </c>
      <c r="G9" s="53">
        <v>334609.37</v>
      </c>
      <c r="H9" s="53">
        <v>338726.6</v>
      </c>
      <c r="I9" s="53">
        <v>368819.76</v>
      </c>
      <c r="J9" s="53">
        <v>529240.81000000006</v>
      </c>
      <c r="K9" s="53">
        <v>403925.52</v>
      </c>
      <c r="M9" s="35">
        <f t="shared" si="1"/>
        <v>5.2818637794010415E-2</v>
      </c>
      <c r="N9" s="35">
        <f t="shared" si="1"/>
        <v>6.4770504709819932E-2</v>
      </c>
      <c r="O9" s="35">
        <f t="shared" si="1"/>
        <v>5.0179998716825894E-2</v>
      </c>
      <c r="P9" s="35">
        <f t="shared" si="1"/>
        <v>4.9284866753796279E-2</v>
      </c>
      <c r="Q9" s="35">
        <f t="shared" si="1"/>
        <v>4.9800807655196476E-2</v>
      </c>
      <c r="R9" s="35">
        <f t="shared" si="1"/>
        <v>5.2062995261168539E-2</v>
      </c>
      <c r="S9" s="35">
        <f t="shared" si="1"/>
        <v>5.6798149791819318E-2</v>
      </c>
      <c r="T9" s="35">
        <f t="shared" si="1"/>
        <v>5.0264036033928754E-2</v>
      </c>
      <c r="U9" s="35">
        <f t="shared" si="1"/>
        <v>5.6198250259000306E-2</v>
      </c>
      <c r="W9" s="35">
        <f>SUM(C9:$K9)/SUM(C$22:$K$22)</f>
        <v>5.319662126673793E-2</v>
      </c>
      <c r="X9" s="35">
        <f>SUM(G9:$H9,$J9)/SUM(G$22:$H$22,$J$22)</f>
        <v>5.0625730414274463E-2</v>
      </c>
      <c r="Y9" s="35">
        <f t="shared" si="2"/>
        <v>5.095109109474652E-2</v>
      </c>
      <c r="AA9" s="35">
        <f>SUM(C9:$K9)/SUM(C$35:$K$35)</f>
        <v>2.7131931480621891E-2</v>
      </c>
      <c r="AB9" s="35">
        <f>SUM(G9:$H9,$J9)/SUM(G$35:$H$35,$J$35)</f>
        <v>2.6099879393498962E-2</v>
      </c>
      <c r="AC9" s="35">
        <f t="shared" si="3"/>
        <v>2.6050388717621945E-2</v>
      </c>
      <c r="AE9" t="s">
        <v>33</v>
      </c>
    </row>
    <row r="10" spans="2:33" x14ac:dyDescent="0.35">
      <c r="B10" s="9"/>
      <c r="C10" s="6"/>
      <c r="D10" s="7"/>
      <c r="E10" s="53"/>
      <c r="F10" s="53"/>
      <c r="G10" s="53"/>
      <c r="H10" s="53"/>
      <c r="I10" s="53"/>
      <c r="J10" s="53"/>
      <c r="K10" s="53"/>
      <c r="M10" s="36"/>
      <c r="N10" s="36"/>
      <c r="O10" s="36"/>
      <c r="P10" s="36"/>
      <c r="Q10" s="36"/>
      <c r="R10" s="36"/>
      <c r="S10" s="36"/>
      <c r="T10" s="36"/>
      <c r="U10" s="36"/>
      <c r="W10" s="36"/>
      <c r="X10" s="36"/>
      <c r="Y10" s="36"/>
      <c r="AA10" s="35"/>
      <c r="AB10" s="36"/>
      <c r="AC10" s="67"/>
    </row>
    <row r="11" spans="2:33" x14ac:dyDescent="0.35">
      <c r="B11" s="3" t="s">
        <v>10</v>
      </c>
      <c r="C11" s="6"/>
      <c r="D11" s="7"/>
      <c r="E11" s="53"/>
      <c r="F11" s="53"/>
      <c r="G11" s="53"/>
      <c r="H11" s="53"/>
      <c r="I11" s="53"/>
      <c r="J11" s="53"/>
      <c r="K11" s="53"/>
      <c r="M11" s="36"/>
      <c r="N11" s="36"/>
      <c r="O11" s="36"/>
      <c r="P11" s="36"/>
      <c r="Q11" s="36"/>
      <c r="R11" s="36"/>
      <c r="S11" s="36"/>
      <c r="T11" s="36"/>
      <c r="U11" s="36"/>
      <c r="W11" s="36"/>
      <c r="X11" s="36"/>
      <c r="Y11" s="36"/>
      <c r="AA11" s="35"/>
      <c r="AB11" s="36"/>
      <c r="AC11" s="67"/>
    </row>
    <row r="12" spans="2:33" x14ac:dyDescent="0.35">
      <c r="B12" s="10" t="s">
        <v>11</v>
      </c>
      <c r="C12" s="11">
        <v>2140318</v>
      </c>
      <c r="D12" s="12">
        <v>155338</v>
      </c>
      <c r="E12" s="54">
        <v>1433119.9100000001</v>
      </c>
      <c r="F12" s="54">
        <v>1431649.4625000001</v>
      </c>
      <c r="G12" s="54">
        <v>1448217.9</v>
      </c>
      <c r="H12" s="54">
        <v>1381913.86</v>
      </c>
      <c r="I12" s="54">
        <v>1440454.33</v>
      </c>
      <c r="J12" s="54">
        <v>2318805.16</v>
      </c>
      <c r="K12" s="77">
        <v>821132.69</v>
      </c>
      <c r="M12" s="35">
        <f t="shared" ref="M12:M21" si="4">+C12/C$22</f>
        <v>0.22002553767434047</v>
      </c>
      <c r="N12" s="35">
        <f t="shared" ref="N12:N21" si="5">+D12/D$22</f>
        <v>2.7304633744244008E-2</v>
      </c>
      <c r="O12" s="35">
        <f t="shared" ref="O12:O21" si="6">+E12/E$22</f>
        <v>0.21630298596257794</v>
      </c>
      <c r="P12" s="35">
        <f t="shared" ref="P12:P21" si="7">+F12/F$22</f>
        <v>0.21479737353554365</v>
      </c>
      <c r="Q12" s="35">
        <f t="shared" ref="Q12:Q21" si="8">+G12/G$22</f>
        <v>0.21554214420448706</v>
      </c>
      <c r="R12" s="35">
        <f t="shared" ref="R12:R21" si="9">+H12/H$22</f>
        <v>0.21240308480208858</v>
      </c>
      <c r="S12" s="35">
        <f t="shared" ref="S12:S21" si="10">+I12/I$22</f>
        <v>0.22182960263195969</v>
      </c>
      <c r="T12" s="35">
        <f t="shared" ref="T12:T21" si="11">+J12/J$22</f>
        <v>0.2202258478855777</v>
      </c>
      <c r="U12" s="35">
        <f t="shared" ref="U12:U21" si="12">+K12/K$22</f>
        <v>0.11424437952934025</v>
      </c>
      <c r="W12" s="35">
        <f>SUM(C12:$K12)/SUM(C$22:$K$22)</f>
        <v>0.19005833088780399</v>
      </c>
      <c r="X12" s="35">
        <f>SUM(G12:$H12,$J12)/SUM(G$22:$H$22,$J$22)</f>
        <v>0.21675846130342272</v>
      </c>
      <c r="Y12" s="35">
        <f t="shared" ref="Y12:Y21" si="13">SUM($J12,$H12)/SUM(J$22,$H$22)</f>
        <v>0.21723819319907539</v>
      </c>
      <c r="AA12" s="35">
        <f>SUM(C12:$K12)/SUM(C$35:$K$35)</f>
        <v>9.6935660351676181E-2</v>
      </c>
      <c r="AB12" s="35">
        <f>SUM(G12:$H12,$J12)/SUM(G$35:$H$35,$J$35)</f>
        <v>0.11174890023798231</v>
      </c>
      <c r="AC12" s="35">
        <f t="shared" ref="AC12:AC21" si="14">SUM($J12,$H12)/SUM(J$35,$H$35)</f>
        <v>0.1110700331544671</v>
      </c>
      <c r="AE12" t="s">
        <v>33</v>
      </c>
      <c r="AG12" t="s">
        <v>51</v>
      </c>
    </row>
    <row r="13" spans="2:33" x14ac:dyDescent="0.35">
      <c r="B13" s="9" t="s">
        <v>12</v>
      </c>
      <c r="C13" s="6">
        <v>2164199</v>
      </c>
      <c r="D13" s="7">
        <v>1666105</v>
      </c>
      <c r="E13" s="53">
        <v>1427523.4055300225</v>
      </c>
      <c r="F13" s="53">
        <v>1468326.0500000003</v>
      </c>
      <c r="G13" s="53">
        <v>1418357.98</v>
      </c>
      <c r="H13" s="53">
        <v>1329638.3799999999</v>
      </c>
      <c r="I13" s="53">
        <v>1694958.74</v>
      </c>
      <c r="J13" s="53">
        <v>2367407.92</v>
      </c>
      <c r="K13" s="53">
        <v>1762078.32</v>
      </c>
      <c r="M13" s="35">
        <f t="shared" si="4"/>
        <v>0.22248051392796303</v>
      </c>
      <c r="N13" s="35">
        <f t="shared" si="5"/>
        <v>0.29286064455866345</v>
      </c>
      <c r="O13" s="35">
        <f t="shared" si="6"/>
        <v>0.21545829695968141</v>
      </c>
      <c r="P13" s="35">
        <f t="shared" si="7"/>
        <v>0.22030014140686996</v>
      </c>
      <c r="Q13" s="35">
        <f t="shared" si="8"/>
        <v>0.21109801243220719</v>
      </c>
      <c r="R13" s="35">
        <f t="shared" si="9"/>
        <v>0.20436823289640618</v>
      </c>
      <c r="S13" s="35">
        <f t="shared" si="10"/>
        <v>0.26102321742596801</v>
      </c>
      <c r="T13" s="35">
        <f t="shared" si="11"/>
        <v>0.22484183900687535</v>
      </c>
      <c r="U13" s="35">
        <f t="shared" si="12"/>
        <v>0.24515836088623175</v>
      </c>
      <c r="W13" s="35">
        <f>SUM(C13:$K13)/SUM(C$22:$K$22)</f>
        <v>0.23129720114900679</v>
      </c>
      <c r="X13" s="35">
        <f>SUM(G13:$H13,$J13)/SUM(G$22:$H$22,$J$22)</f>
        <v>0.21534681389682722</v>
      </c>
      <c r="Y13" s="35">
        <f t="shared" si="13"/>
        <v>0.21702259859364484</v>
      </c>
      <c r="AA13" s="35">
        <f>SUM(C13:$K13)/SUM(C$35:$K$35)</f>
        <v>0.11796876688404188</v>
      </c>
      <c r="AB13" s="35">
        <f>SUM(G13:$H13,$J13)/SUM(G$35:$H$35,$J$35)</f>
        <v>0.11102113143826739</v>
      </c>
      <c r="AC13" s="35">
        <f t="shared" si="14"/>
        <v>0.11095980345857219</v>
      </c>
      <c r="AE13" t="s">
        <v>33</v>
      </c>
    </row>
    <row r="14" spans="2:33" x14ac:dyDescent="0.35">
      <c r="B14" s="10" t="s">
        <v>13</v>
      </c>
      <c r="C14" s="13">
        <v>224284</v>
      </c>
      <c r="D14" s="14">
        <v>162019</v>
      </c>
      <c r="E14" s="55">
        <v>148471.29</v>
      </c>
      <c r="F14" s="55">
        <v>146946.73374999998</v>
      </c>
      <c r="G14" s="55">
        <v>139900.12999999998</v>
      </c>
      <c r="H14" s="55">
        <v>139996.79999999999</v>
      </c>
      <c r="I14" s="55">
        <v>123865.52</v>
      </c>
      <c r="J14" s="55">
        <v>179933.24</v>
      </c>
      <c r="K14" s="55">
        <v>131724.29999999999</v>
      </c>
      <c r="M14" s="35">
        <f t="shared" si="4"/>
        <v>2.3056483985908535E-2</v>
      </c>
      <c r="N14" s="35">
        <f t="shared" si="5"/>
        <v>2.8478990682309992E-2</v>
      </c>
      <c r="O14" s="35">
        <f t="shared" si="6"/>
        <v>2.2408999507037647E-2</v>
      </c>
      <c r="P14" s="35">
        <f t="shared" si="7"/>
        <v>2.204713743545084E-2</v>
      </c>
      <c r="Q14" s="35">
        <f t="shared" si="8"/>
        <v>2.0821710596648807E-2</v>
      </c>
      <c r="R14" s="35">
        <f t="shared" si="9"/>
        <v>2.151780443277487E-2</v>
      </c>
      <c r="S14" s="35">
        <f t="shared" si="10"/>
        <v>1.907525876325496E-2</v>
      </c>
      <c r="T14" s="35">
        <f t="shared" si="11"/>
        <v>1.7088952114372186E-2</v>
      </c>
      <c r="U14" s="35">
        <f t="shared" si="12"/>
        <v>1.8326832076843356E-2</v>
      </c>
      <c r="W14" s="35">
        <f>SUM(C14:$K14)/SUM(C$22:$K$22)</f>
        <v>2.1123169180562982E-2</v>
      </c>
      <c r="X14" s="35">
        <f>SUM(G14:$H14,$J14)/SUM(G$22:$H$22,$J$22)</f>
        <v>1.935779786365906E-2</v>
      </c>
      <c r="Y14" s="35">
        <f t="shared" si="13"/>
        <v>1.8780410905042965E-2</v>
      </c>
      <c r="AA14" s="35">
        <f>SUM(C14:$K14)/SUM(C$35:$K$35)</f>
        <v>1.0773473299872278E-2</v>
      </c>
      <c r="AB14" s="35">
        <f>SUM(G14:$H14,$J14)/SUM(G$35:$H$35,$J$35)</f>
        <v>9.9798301265155986E-3</v>
      </c>
      <c r="AC14" s="35">
        <f t="shared" si="14"/>
        <v>9.6020908255579976E-3</v>
      </c>
      <c r="AE14" t="s">
        <v>33</v>
      </c>
    </row>
    <row r="15" spans="2:33" x14ac:dyDescent="0.35">
      <c r="B15" s="9" t="s">
        <v>14</v>
      </c>
      <c r="C15" s="13">
        <v>114472</v>
      </c>
      <c r="D15" s="14">
        <v>93468</v>
      </c>
      <c r="E15" s="55">
        <v>65500.909999999996</v>
      </c>
      <c r="F15" s="55">
        <v>71767.120500000005</v>
      </c>
      <c r="G15" s="55">
        <v>71475.790000000008</v>
      </c>
      <c r="H15" s="55">
        <v>68674.44</v>
      </c>
      <c r="I15" s="55">
        <v>98154.28</v>
      </c>
      <c r="J15" s="55">
        <v>103628.92</v>
      </c>
      <c r="K15" s="55">
        <v>93845.63</v>
      </c>
      <c r="M15" s="35">
        <f t="shared" si="4"/>
        <v>1.1767766915316837E-2</v>
      </c>
      <c r="N15" s="35">
        <f t="shared" si="5"/>
        <v>1.6429395941797879E-2</v>
      </c>
      <c r="O15" s="35">
        <f t="shared" si="6"/>
        <v>9.8861528036869421E-3</v>
      </c>
      <c r="P15" s="35">
        <f t="shared" si="7"/>
        <v>1.0767572225878493E-2</v>
      </c>
      <c r="Q15" s="35">
        <f t="shared" si="8"/>
        <v>1.0637933031562194E-2</v>
      </c>
      <c r="R15" s="35">
        <f t="shared" si="9"/>
        <v>1.0555406762514086E-2</v>
      </c>
      <c r="S15" s="35">
        <f t="shared" si="10"/>
        <v>1.5115734303791574E-2</v>
      </c>
      <c r="T15" s="35">
        <f t="shared" si="11"/>
        <v>9.8420372552848294E-3</v>
      </c>
      <c r="U15" s="35">
        <f t="shared" si="12"/>
        <v>1.3056764030293374E-2</v>
      </c>
      <c r="W15" s="35">
        <f>SUM(C15:$K15)/SUM(C$22:$K$22)</f>
        <v>1.1807628777705512E-2</v>
      </c>
      <c r="X15" s="35">
        <f>SUM(G15:$H15,$J15)/SUM(G$22:$H$22,$J$22)</f>
        <v>1.0262544341261086E-2</v>
      </c>
      <c r="Y15" s="35">
        <f t="shared" si="13"/>
        <v>1.0114485970493872E-2</v>
      </c>
      <c r="AA15" s="35">
        <f>SUM(C15:$K15)/SUM(C$35:$K$35)</f>
        <v>6.0222579426418938E-3</v>
      </c>
      <c r="AB15" s="35">
        <f>SUM(G15:$H15,$J15)/SUM(G$35:$H$35,$J$35)</f>
        <v>5.2908109648098249E-3</v>
      </c>
      <c r="AC15" s="35">
        <f t="shared" si="14"/>
        <v>5.1713571888054545E-3</v>
      </c>
      <c r="AE15" t="s">
        <v>33</v>
      </c>
    </row>
    <row r="16" spans="2:33" x14ac:dyDescent="0.35">
      <c r="B16" s="10" t="s">
        <v>15</v>
      </c>
      <c r="C16" s="13">
        <v>294741</v>
      </c>
      <c r="D16" s="14">
        <v>221501</v>
      </c>
      <c r="E16" s="55">
        <v>189135.24000000002</v>
      </c>
      <c r="F16" s="55">
        <v>234641.79300000001</v>
      </c>
      <c r="G16" s="55">
        <v>217506.28999999998</v>
      </c>
      <c r="H16" s="55">
        <v>192174.33</v>
      </c>
      <c r="I16" s="55">
        <v>196769.03</v>
      </c>
      <c r="J16" s="55">
        <v>240159.99</v>
      </c>
      <c r="K16" s="55">
        <v>234245.3</v>
      </c>
      <c r="M16" s="35">
        <f t="shared" si="4"/>
        <v>3.0299491477281781E-2</v>
      </c>
      <c r="N16" s="35">
        <f t="shared" si="5"/>
        <v>3.893447629674511E-2</v>
      </c>
      <c r="O16" s="35">
        <f t="shared" si="6"/>
        <v>2.8546471845994247E-2</v>
      </c>
      <c r="P16" s="35">
        <f t="shared" si="7"/>
        <v>3.5204456243122233E-2</v>
      </c>
      <c r="Q16" s="35">
        <f t="shared" si="8"/>
        <v>3.2372042994747531E-2</v>
      </c>
      <c r="R16" s="35">
        <f t="shared" si="9"/>
        <v>2.9537601216167372E-2</v>
      </c>
      <c r="S16" s="35">
        <f t="shared" si="10"/>
        <v>3.0302380871163166E-2</v>
      </c>
      <c r="T16" s="35">
        <f t="shared" si="11"/>
        <v>2.2808918290462082E-2</v>
      </c>
      <c r="U16" s="35">
        <f t="shared" si="12"/>
        <v>3.2590602325385638E-2</v>
      </c>
      <c r="W16" s="35">
        <f>SUM(C16:$K16)/SUM(C$22:$K$22)</f>
        <v>3.0553295912272023E-2</v>
      </c>
      <c r="X16" s="35">
        <f>SUM(G16:$H16,$J16)/SUM(G$22:$H$22,$J$22)</f>
        <v>2.7356802560338532E-2</v>
      </c>
      <c r="Y16" s="35">
        <f t="shared" si="13"/>
        <v>2.537872397963109E-2</v>
      </c>
      <c r="AA16" s="35">
        <f>SUM(C16:$K16)/SUM(C$35:$K$35)</f>
        <v>1.5583131248924952E-2</v>
      </c>
      <c r="AB16" s="35">
        <f>SUM(G16:$H16,$J16)/SUM(G$35:$H$35,$J$35)</f>
        <v>1.4103682881684938E-2</v>
      </c>
      <c r="AC16" s="35">
        <f t="shared" si="14"/>
        <v>1.2975691209383949E-2</v>
      </c>
      <c r="AE16" t="s">
        <v>33</v>
      </c>
    </row>
    <row r="17" spans="2:31" x14ac:dyDescent="0.35">
      <c r="B17" s="10" t="s">
        <v>16</v>
      </c>
      <c r="C17" s="13">
        <v>90335</v>
      </c>
      <c r="D17" s="14">
        <v>65050</v>
      </c>
      <c r="E17" s="55">
        <v>67248.800000000003</v>
      </c>
      <c r="F17" s="55">
        <v>63876.413000000008</v>
      </c>
      <c r="G17" s="55">
        <v>62103.98</v>
      </c>
      <c r="H17" s="55">
        <v>30939.47</v>
      </c>
      <c r="I17" s="55">
        <v>38476.410000000003</v>
      </c>
      <c r="J17" s="55">
        <v>44465</v>
      </c>
      <c r="K17" s="55">
        <v>43658.74</v>
      </c>
      <c r="M17" s="35">
        <f t="shared" si="4"/>
        <v>9.2864737603531571E-3</v>
      </c>
      <c r="N17" s="35">
        <f t="shared" si="5"/>
        <v>1.1434204283968331E-2</v>
      </c>
      <c r="O17" s="35">
        <f t="shared" si="6"/>
        <v>1.0149964522089579E-2</v>
      </c>
      <c r="P17" s="35">
        <f t="shared" si="7"/>
        <v>9.5836907725389917E-3</v>
      </c>
      <c r="Q17" s="35">
        <f t="shared" si="8"/>
        <v>9.2431014786052441E-3</v>
      </c>
      <c r="R17" s="35">
        <f t="shared" si="9"/>
        <v>4.7554620156582518E-3</v>
      </c>
      <c r="S17" s="35">
        <f t="shared" si="10"/>
        <v>5.9253574120634285E-3</v>
      </c>
      <c r="T17" s="35">
        <f t="shared" si="11"/>
        <v>4.2230121336422292E-3</v>
      </c>
      <c r="U17" s="35">
        <f t="shared" si="12"/>
        <v>6.0742505116107215E-3</v>
      </c>
      <c r="W17" s="35">
        <f>SUM(C17:$K17)/SUM(C$22:$K$22)</f>
        <v>7.6524649395906669E-3</v>
      </c>
      <c r="X17" s="35">
        <f>SUM(G17:$H17,$J17)/SUM(G$22:$H$22,$J$22)</f>
        <v>5.7887910652862761E-3</v>
      </c>
      <c r="Y17" s="35">
        <f t="shared" si="13"/>
        <v>4.4263643722764669E-3</v>
      </c>
      <c r="AA17" s="35">
        <f>SUM(C17:$K17)/SUM(C$35:$K$35)</f>
        <v>3.9029951424500906E-3</v>
      </c>
      <c r="AB17" s="35">
        <f>SUM(G17:$H17,$J17)/SUM(G$35:$H$35,$J$35)</f>
        <v>2.9843865441897045E-3</v>
      </c>
      <c r="AC17" s="35">
        <f t="shared" si="14"/>
        <v>2.263121554928269E-3</v>
      </c>
      <c r="AE17" t="s">
        <v>33</v>
      </c>
    </row>
    <row r="18" spans="2:31" x14ac:dyDescent="0.35">
      <c r="B18" s="10" t="s">
        <v>17</v>
      </c>
      <c r="C18" s="13">
        <v>141139</v>
      </c>
      <c r="D18" s="14">
        <v>92649</v>
      </c>
      <c r="E18" s="55">
        <v>96042.52</v>
      </c>
      <c r="F18" s="55">
        <v>101583.06050000001</v>
      </c>
      <c r="G18" s="55">
        <v>105849.32</v>
      </c>
      <c r="H18" s="55">
        <v>104890.42</v>
      </c>
      <c r="I18" s="55">
        <v>110679.78</v>
      </c>
      <c r="J18" s="55">
        <v>146971.39000000001</v>
      </c>
      <c r="K18" s="76">
        <v>99330.16</v>
      </c>
      <c r="M18" s="35">
        <f t="shared" si="4"/>
        <v>1.4509145071815843E-2</v>
      </c>
      <c r="N18" s="35">
        <f t="shared" si="5"/>
        <v>1.6285435706462445E-2</v>
      </c>
      <c r="O18" s="35">
        <f t="shared" si="6"/>
        <v>1.4495844842020659E-2</v>
      </c>
      <c r="P18" s="35">
        <f t="shared" si="7"/>
        <v>1.5241003585472467E-2</v>
      </c>
      <c r="Q18" s="35">
        <f t="shared" si="8"/>
        <v>1.5753837454561843E-2</v>
      </c>
      <c r="R18" s="35">
        <f t="shared" si="9"/>
        <v>1.6121879531757997E-2</v>
      </c>
      <c r="S18" s="35">
        <f t="shared" si="10"/>
        <v>1.704465813698704E-2</v>
      </c>
      <c r="T18" s="35">
        <f t="shared" si="11"/>
        <v>1.39584383957779E-2</v>
      </c>
      <c r="U18" s="35">
        <f t="shared" si="12"/>
        <v>1.3819827947356587E-2</v>
      </c>
      <c r="W18" s="35">
        <f>SUM(C18:$K18)/SUM(C$22:$K$22)</f>
        <v>1.5105769603046389E-2</v>
      </c>
      <c r="X18" s="35">
        <f>SUM(G18:$H18,$J18)/SUM(G$22:$H$22,$J$22)</f>
        <v>1.5058819972863177E-2</v>
      </c>
      <c r="Y18" s="35">
        <f t="shared" si="13"/>
        <v>1.4784695688744512E-2</v>
      </c>
      <c r="AA18" s="35">
        <f>SUM(C18:$K18)/SUM(C$35:$K$35)</f>
        <v>7.7044123493643811E-3</v>
      </c>
      <c r="AB18" s="35">
        <f>SUM(G18:$H18,$J18)/SUM(G$35:$H$35,$J$35)</f>
        <v>7.7635104102976513E-3</v>
      </c>
      <c r="AC18" s="35">
        <f t="shared" si="14"/>
        <v>7.5591525419414557E-3</v>
      </c>
      <c r="AE18" t="s">
        <v>33</v>
      </c>
    </row>
    <row r="19" spans="2:31" x14ac:dyDescent="0.35">
      <c r="B19" s="9" t="s">
        <v>20</v>
      </c>
      <c r="C19" s="13">
        <v>134440</v>
      </c>
      <c r="D19" s="14">
        <v>92649</v>
      </c>
      <c r="E19" s="55">
        <v>95133.680000000008</v>
      </c>
      <c r="F19" s="55">
        <v>90408.35</v>
      </c>
      <c r="G19" s="55">
        <v>100850.09</v>
      </c>
      <c r="H19" s="55">
        <v>85289.83</v>
      </c>
      <c r="I19" s="55">
        <v>95288.73</v>
      </c>
      <c r="J19" s="55">
        <v>136186.44</v>
      </c>
      <c r="K19" s="55">
        <v>115878.63</v>
      </c>
      <c r="M19" s="35">
        <f t="shared" si="4"/>
        <v>1.3820485219924485E-2</v>
      </c>
      <c r="N19" s="35">
        <f t="shared" si="5"/>
        <v>1.6285435706462445E-2</v>
      </c>
      <c r="O19" s="35">
        <f t="shared" si="6"/>
        <v>1.4358672226951604E-2</v>
      </c>
      <c r="P19" s="35">
        <f t="shared" si="7"/>
        <v>1.3564407094297475E-2</v>
      </c>
      <c r="Q19" s="35">
        <f t="shared" si="8"/>
        <v>1.5009788680153379E-2</v>
      </c>
      <c r="R19" s="35">
        <f t="shared" si="9"/>
        <v>1.3109227368372814E-2</v>
      </c>
      <c r="S19" s="35">
        <f t="shared" si="10"/>
        <v>1.4674440328284546E-2</v>
      </c>
      <c r="T19" s="35">
        <f t="shared" si="11"/>
        <v>1.2934150198078028E-2</v>
      </c>
      <c r="U19" s="35">
        <f t="shared" si="12"/>
        <v>1.6122220374711903E-2</v>
      </c>
      <c r="W19" s="35">
        <f>SUM(C19:$K19)/SUM(C$22:$K$22)</f>
        <v>1.4304320726027967E-2</v>
      </c>
      <c r="X19" s="35">
        <f>SUM(G19:$H19,$J19)/SUM(G$22:$H$22,$J$22)</f>
        <v>1.3569202131754431E-2</v>
      </c>
      <c r="Y19" s="35">
        <f t="shared" si="13"/>
        <v>1.3001015335465967E-2</v>
      </c>
      <c r="AA19" s="35">
        <f>SUM(C19:$K19)/SUM(C$35:$K$35)</f>
        <v>7.2956484937154982E-3</v>
      </c>
      <c r="AB19" s="35">
        <f>SUM(G19:$H19,$J19)/SUM(G$35:$H$35,$J$35)</f>
        <v>6.9955442856176947E-3</v>
      </c>
      <c r="AC19" s="35">
        <f t="shared" si="14"/>
        <v>6.6471884298386179E-3</v>
      </c>
      <c r="AE19" t="s">
        <v>33</v>
      </c>
    </row>
    <row r="20" spans="2:31" x14ac:dyDescent="0.35">
      <c r="B20" s="18" t="s">
        <v>21</v>
      </c>
      <c r="C20" s="19">
        <v>11685</v>
      </c>
      <c r="D20" s="20">
        <v>9340</v>
      </c>
      <c r="E20" s="55">
        <v>9200.0600000000013</v>
      </c>
      <c r="F20" s="55">
        <v>8774.0152500000004</v>
      </c>
      <c r="G20" s="55">
        <v>8626.4699999999993</v>
      </c>
      <c r="H20" s="55">
        <v>8702.9</v>
      </c>
      <c r="I20" s="55">
        <v>8997.9699999999993</v>
      </c>
      <c r="J20" s="55">
        <v>8020.27</v>
      </c>
      <c r="K20" s="55">
        <v>10024.73</v>
      </c>
      <c r="M20" s="35">
        <f t="shared" si="4"/>
        <v>1.2012226256680868E-3</v>
      </c>
      <c r="N20" s="35">
        <f t="shared" si="5"/>
        <v>1.6417443199425706E-3</v>
      </c>
      <c r="O20" s="35">
        <f t="shared" si="6"/>
        <v>1.3885791657411799E-3</v>
      </c>
      <c r="P20" s="35">
        <f t="shared" si="7"/>
        <v>1.316408436859806E-3</v>
      </c>
      <c r="Q20" s="35">
        <f t="shared" si="8"/>
        <v>1.2839006068877351E-3</v>
      </c>
      <c r="R20" s="35">
        <f t="shared" si="9"/>
        <v>1.3376541477947812E-3</v>
      </c>
      <c r="S20" s="35">
        <f t="shared" si="10"/>
        <v>1.3856851050559125E-3</v>
      </c>
      <c r="T20" s="35">
        <f t="shared" si="11"/>
        <v>7.6171590071037374E-4</v>
      </c>
      <c r="U20" s="35">
        <f t="shared" si="12"/>
        <v>1.3947429845950514E-3</v>
      </c>
      <c r="W20" s="35">
        <f>SUM(C20:$K20)/SUM(C$22:$K$22)</f>
        <v>1.2604801461106048E-3</v>
      </c>
      <c r="X20" s="35">
        <f>SUM(G20:$H20,$J20)/SUM(G$22:$H$22,$J$22)</f>
        <v>1.0671618328926228E-3</v>
      </c>
      <c r="Y20" s="35">
        <f t="shared" si="13"/>
        <v>9.816771323970931E-4</v>
      </c>
      <c r="AA20" s="35">
        <f>SUM(C20:$K20)/SUM(C$35:$K$35)</f>
        <v>6.4288408065383759E-4</v>
      </c>
      <c r="AB20" s="35">
        <f>SUM(G20:$H20,$J20)/SUM(G$35:$H$35,$J$35)</f>
        <v>5.5017073144270838E-4</v>
      </c>
      <c r="AC20" s="35">
        <f t="shared" si="14"/>
        <v>5.0191409731717201E-4</v>
      </c>
      <c r="AE20" t="s">
        <v>33</v>
      </c>
    </row>
    <row r="21" spans="2:31" x14ac:dyDescent="0.35">
      <c r="B21" s="21" t="s">
        <v>22</v>
      </c>
      <c r="C21" s="22">
        <v>91068</v>
      </c>
      <c r="D21" s="23">
        <v>73283</v>
      </c>
      <c r="E21" s="23">
        <v>65561</v>
      </c>
      <c r="F21" s="23">
        <v>65335.58</v>
      </c>
      <c r="G21" s="55">
        <v>64164.020000000004</v>
      </c>
      <c r="H21" s="55">
        <v>62767.7</v>
      </c>
      <c r="I21" s="55">
        <v>68113.53</v>
      </c>
      <c r="J21" s="55">
        <v>94677.78</v>
      </c>
      <c r="K21" s="55">
        <v>76298.320000000007</v>
      </c>
      <c r="M21" s="35">
        <f t="shared" si="4"/>
        <v>9.3618264505212958E-3</v>
      </c>
      <c r="N21" s="35">
        <f t="shared" si="5"/>
        <v>1.2881364989116852E-2</v>
      </c>
      <c r="O21" s="35">
        <f t="shared" si="6"/>
        <v>9.8952222795457307E-3</v>
      </c>
      <c r="P21" s="35">
        <f t="shared" si="7"/>
        <v>9.8026167368615875E-3</v>
      </c>
      <c r="Q21" s="35">
        <f t="shared" si="8"/>
        <v>9.5497027426463873E-3</v>
      </c>
      <c r="R21" s="35">
        <f t="shared" si="9"/>
        <v>9.6475283241837188E-3</v>
      </c>
      <c r="S21" s="35">
        <f t="shared" si="10"/>
        <v>1.0489466398952103E-2</v>
      </c>
      <c r="T21" s="35">
        <f t="shared" si="11"/>
        <v>8.9919130490567767E-3</v>
      </c>
      <c r="U21" s="35">
        <f t="shared" si="12"/>
        <v>1.061540276460197E-2</v>
      </c>
      <c r="W21" s="35">
        <f>SUM(C21:$K21)/SUM(C$22:$K$22)</f>
        <v>9.9976275442295974E-3</v>
      </c>
      <c r="X21" s="35">
        <f>SUM(G21:$H21,$J21)/SUM(G$22:$H$22,$J$22)</f>
        <v>9.3292528101550053E-3</v>
      </c>
      <c r="Y21" s="35">
        <f t="shared" si="13"/>
        <v>9.2423043786126601E-3</v>
      </c>
      <c r="AA21" s="35">
        <f>SUM(C21:$K21)/SUM(C$35:$K$35)</f>
        <v>5.0991010150568004E-3</v>
      </c>
      <c r="AB21" s="35">
        <f>SUM(G21:$H21,$J21)/SUM(G$35:$H$35,$J$35)</f>
        <v>4.8096564964888212E-3</v>
      </c>
      <c r="AC21" s="35">
        <f t="shared" si="14"/>
        <v>4.7254262182868951E-3</v>
      </c>
      <c r="AE21" t="s">
        <v>38</v>
      </c>
    </row>
    <row r="22" spans="2:31" x14ac:dyDescent="0.35">
      <c r="B22" s="24" t="s">
        <v>23</v>
      </c>
      <c r="C22" s="25">
        <f t="shared" ref="C22:G22" si="15">SUM(C4:C21)</f>
        <v>9727589</v>
      </c>
      <c r="D22" s="25">
        <f t="shared" si="15"/>
        <v>5689071</v>
      </c>
      <c r="E22" s="25">
        <f t="shared" si="15"/>
        <v>6625520.6955300225</v>
      </c>
      <c r="F22" s="25">
        <f t="shared" si="15"/>
        <v>6665116.2392499996</v>
      </c>
      <c r="G22" s="25">
        <f t="shared" si="15"/>
        <v>6718954.6867737416</v>
      </c>
      <c r="H22" s="25">
        <f t="shared" ref="H22:K22" si="16">SUM(H4:H21)</f>
        <v>6506091.290000001</v>
      </c>
      <c r="I22" s="25">
        <f t="shared" si="16"/>
        <v>6493517.1542000016</v>
      </c>
      <c r="J22" s="25">
        <f t="shared" si="16"/>
        <v>10529214.359999999</v>
      </c>
      <c r="K22" s="25">
        <f t="shared" si="16"/>
        <v>7187510.6100000013</v>
      </c>
      <c r="M22" s="37">
        <f t="shared" ref="M22:Q22" si="17">SUM(M4:M21)</f>
        <v>1</v>
      </c>
      <c r="N22" s="37">
        <f t="shared" si="17"/>
        <v>1</v>
      </c>
      <c r="O22" s="37">
        <f t="shared" si="17"/>
        <v>1.0000000000000002</v>
      </c>
      <c r="P22" s="37">
        <f t="shared" si="17"/>
        <v>1</v>
      </c>
      <c r="Q22" s="37">
        <f t="shared" si="17"/>
        <v>0.99999999999999989</v>
      </c>
      <c r="R22" s="37">
        <f t="shared" ref="R22:U22" si="18">SUM(R4:R21)</f>
        <v>0.99999999999999978</v>
      </c>
      <c r="S22" s="37">
        <f t="shared" si="18"/>
        <v>0.99999999999999989</v>
      </c>
      <c r="T22" s="37">
        <f t="shared" si="18"/>
        <v>1</v>
      </c>
      <c r="U22" s="37">
        <f t="shared" si="18"/>
        <v>0.99999999999999978</v>
      </c>
      <c r="W22" s="37">
        <f>SUM(W4:W21)</f>
        <v>1.0000000000000002</v>
      </c>
      <c r="X22" s="37">
        <f>SUM(X4:X21)</f>
        <v>0.99999999999999989</v>
      </c>
      <c r="Y22" s="37">
        <f>SUM(Y4:Y21)</f>
        <v>1</v>
      </c>
      <c r="AA22" s="37">
        <f t="shared" ref="AA22:AC22" si="19">SUM(AA4:AA21)</f>
        <v>0.51003110412928776</v>
      </c>
      <c r="AB22" s="37">
        <f t="shared" si="19"/>
        <v>0.51554573494390155</v>
      </c>
      <c r="AC22" s="37">
        <f t="shared" si="19"/>
        <v>0.51128225437174113</v>
      </c>
    </row>
    <row r="23" spans="2:31" x14ac:dyDescent="0.35">
      <c r="B23" s="29"/>
      <c r="C23" s="30"/>
      <c r="D23" s="30"/>
      <c r="E23" s="30"/>
      <c r="F23" s="30"/>
      <c r="G23" s="30"/>
      <c r="H23" s="30"/>
      <c r="I23" s="30"/>
      <c r="J23" s="30"/>
      <c r="K23" s="30"/>
      <c r="M23" s="36"/>
      <c r="N23" s="36"/>
      <c r="O23" s="36"/>
      <c r="P23" s="36"/>
      <c r="Q23" s="36"/>
      <c r="R23" s="36"/>
      <c r="S23" s="36"/>
      <c r="T23" s="36"/>
      <c r="U23" s="36"/>
      <c r="W23" s="36"/>
      <c r="X23" s="36"/>
      <c r="Y23" s="36"/>
      <c r="AA23" s="35"/>
      <c r="AB23" s="36"/>
      <c r="AC23" s="67"/>
    </row>
    <row r="24" spans="2:31" x14ac:dyDescent="0.35">
      <c r="B24" s="3" t="s">
        <v>7</v>
      </c>
      <c r="C24" s="6">
        <v>1462213</v>
      </c>
      <c r="D24" s="57">
        <v>1082285</v>
      </c>
      <c r="E24" s="57">
        <v>1069127.58</v>
      </c>
      <c r="F24" s="58">
        <v>1011041.9270000001</v>
      </c>
      <c r="G24" s="69">
        <v>1016058.4331566361</v>
      </c>
      <c r="H24" s="69">
        <v>1362813.8</v>
      </c>
      <c r="I24" s="69">
        <v>1478730.74</v>
      </c>
      <c r="J24" s="69">
        <v>2447109.89</v>
      </c>
      <c r="K24" s="69">
        <v>1406656</v>
      </c>
      <c r="M24" s="35">
        <f t="shared" ref="M24:U26" si="20">+C24/C$33</f>
        <v>0.1656778431932415</v>
      </c>
      <c r="N24" s="35">
        <f t="shared" si="20"/>
        <v>0.17732499175049701</v>
      </c>
      <c r="O24" s="35">
        <f t="shared" si="20"/>
        <v>0.17790146505540186</v>
      </c>
      <c r="P24" s="35">
        <f t="shared" si="20"/>
        <v>0.16819559750525387</v>
      </c>
      <c r="Q24" s="35">
        <f t="shared" si="20"/>
        <v>0.16827152655226432</v>
      </c>
      <c r="R24" s="35">
        <f t="shared" si="20"/>
        <v>0.21931449112424189</v>
      </c>
      <c r="S24" s="35">
        <f t="shared" si="20"/>
        <v>0.21742664201933695</v>
      </c>
      <c r="T24" s="35">
        <f t="shared" si="20"/>
        <v>0.24302167389637416</v>
      </c>
      <c r="U24" s="35">
        <f t="shared" si="20"/>
        <v>0.18835037298296259</v>
      </c>
      <c r="W24" s="35">
        <f>SUM(C24:$K24)/SUM(C$33:$K$33)</f>
        <v>0.19414339860364646</v>
      </c>
      <c r="X24" s="35">
        <f>SUM(G24:$H24,$J24)/SUM(G$33:$H$33,$J$33)</f>
        <v>0.21620145461951837</v>
      </c>
      <c r="Y24" s="35">
        <f>SUM($J24,$H24)/SUM(J$33,$H$33)</f>
        <v>0.23397473155182127</v>
      </c>
      <c r="AA24" s="35">
        <f>SUM(C24:$K24)/SUM(C$35:$K$35)</f>
        <v>9.5124226654416222E-2</v>
      </c>
      <c r="AB24" s="35">
        <f>SUM(G24:$H24,$J24)/SUM(G$35:$H$35,$J$35)</f>
        <v>0.1047397168017582</v>
      </c>
      <c r="AC24" s="35">
        <f>SUM($J24,$H24)/SUM(J$35,$H$35)</f>
        <v>0.11434760333798313</v>
      </c>
      <c r="AE24" t="s">
        <v>35</v>
      </c>
    </row>
    <row r="25" spans="2:31" x14ac:dyDescent="0.35">
      <c r="B25" s="3" t="s">
        <v>8</v>
      </c>
      <c r="C25" s="6">
        <v>1413698</v>
      </c>
      <c r="D25" s="57">
        <v>1051971</v>
      </c>
      <c r="E25" s="57">
        <v>1001191.3799999999</v>
      </c>
      <c r="F25" s="58">
        <v>1046631.79625</v>
      </c>
      <c r="G25" s="69">
        <v>992146.07645571872</v>
      </c>
      <c r="H25" s="69">
        <v>976304.7</v>
      </c>
      <c r="I25" s="69">
        <v>1055977.81</v>
      </c>
      <c r="J25" s="69">
        <v>1509472.85</v>
      </c>
      <c r="K25" s="69">
        <v>1300090.8700000001</v>
      </c>
      <c r="M25" s="35">
        <f t="shared" si="20"/>
        <v>0.16018079142135869</v>
      </c>
      <c r="N25" s="35">
        <f t="shared" si="20"/>
        <v>0.17235825027304463</v>
      </c>
      <c r="O25" s="35">
        <f t="shared" si="20"/>
        <v>0.16659696806515789</v>
      </c>
      <c r="P25" s="35">
        <f t="shared" si="20"/>
        <v>0.17411628107314472</v>
      </c>
      <c r="Q25" s="35">
        <f t="shared" si="20"/>
        <v>0.16431135198531072</v>
      </c>
      <c r="R25" s="35">
        <f t="shared" si="20"/>
        <v>0.15711447041606538</v>
      </c>
      <c r="S25" s="35">
        <f t="shared" si="20"/>
        <v>0.15526674536787774</v>
      </c>
      <c r="T25" s="35">
        <f t="shared" si="20"/>
        <v>0.1499052495383158</v>
      </c>
      <c r="U25" s="35">
        <f t="shared" si="20"/>
        <v>0.17408136763803259</v>
      </c>
      <c r="W25" s="35">
        <f>SUM(C25:$K25)/SUM(C$33:$K$33)</f>
        <v>0.16284775305388266</v>
      </c>
      <c r="X25" s="35">
        <f>SUM(G25:$H25,$J25)/SUM(G$33:$H$33,$J$33)</f>
        <v>0.15580914473083127</v>
      </c>
      <c r="Y25" s="35">
        <f>SUM($J25,$H25)/SUM(J$33,$H$33)</f>
        <v>0.15265637379702843</v>
      </c>
      <c r="AA25" s="35">
        <f>SUM(C25:$K25)/SUM(C$35:$K$35)</f>
        <v>7.979033375883729E-2</v>
      </c>
      <c r="AB25" s="35">
        <f>SUM(G25:$H25,$J25)/SUM(G$35:$H$35,$J$35)</f>
        <v>7.5482404699594136E-2</v>
      </c>
      <c r="AC25" s="35">
        <f>SUM($J25,$H25)/SUM(J$35,$H$35)</f>
        <v>7.4605878857868541E-2</v>
      </c>
      <c r="AE25" t="s">
        <v>37</v>
      </c>
    </row>
    <row r="26" spans="2:31" x14ac:dyDescent="0.35">
      <c r="B26" s="3" t="s">
        <v>9</v>
      </c>
      <c r="C26" s="6">
        <v>5279019</v>
      </c>
      <c r="D26" s="57">
        <v>3656060</v>
      </c>
      <c r="E26" s="57">
        <v>3436807.61</v>
      </c>
      <c r="F26" s="58">
        <v>3456910.4564999999</v>
      </c>
      <c r="G26" s="69">
        <v>3510104.2150815679</v>
      </c>
      <c r="H26" s="69">
        <v>3374752.34</v>
      </c>
      <c r="I26" s="69">
        <v>3688069.31</v>
      </c>
      <c r="J26" s="69">
        <v>5339355.2300000004</v>
      </c>
      <c r="K26" s="69">
        <v>4178673.58</v>
      </c>
      <c r="M26" s="35">
        <f t="shared" si="20"/>
        <v>0.59814574353814565</v>
      </c>
      <c r="N26" s="35">
        <f t="shared" si="20"/>
        <v>0.59902041452974231</v>
      </c>
      <c r="O26" s="35">
        <f t="shared" si="20"/>
        <v>0.57188040077738345</v>
      </c>
      <c r="P26" s="35">
        <f t="shared" si="20"/>
        <v>0.57508705052266085</v>
      </c>
      <c r="Q26" s="35">
        <f t="shared" si="20"/>
        <v>0.58131557728851402</v>
      </c>
      <c r="R26" s="35">
        <f t="shared" si="20"/>
        <v>0.54309113403272302</v>
      </c>
      <c r="S26" s="35">
        <f t="shared" si="20"/>
        <v>0.54227893146244666</v>
      </c>
      <c r="T26" s="35">
        <f t="shared" si="20"/>
        <v>0.53024960212226513</v>
      </c>
      <c r="U26" s="35">
        <f t="shared" si="20"/>
        <v>0.5595218215164558</v>
      </c>
      <c r="W26" s="35">
        <f>SUM(C26:$K26)/SUM(C$33:$K$33)</f>
        <v>0.5653017282747641</v>
      </c>
      <c r="X26" s="35">
        <f>SUM(G26:$H26,$J26)/SUM(G$33:$H$33,$J$33)</f>
        <v>0.54763824275896811</v>
      </c>
      <c r="Y26" s="35">
        <f>SUM($J26,$H26)/SUM(J$33,$H$33)</f>
        <v>0.53515008312527212</v>
      </c>
      <c r="AA26" s="35">
        <f>SUM(C26:$K26)/SUM(C$35:$K$35)</f>
        <v>0.27698026363659151</v>
      </c>
      <c r="AB26" s="35">
        <f>SUM(G26:$H26,$J26)/SUM(G$35:$H$35,$J$35)</f>
        <v>0.26530568241240909</v>
      </c>
      <c r="AC26" s="35">
        <f>SUM($J26,$H26)/SUM(J$35,$H$35)</f>
        <v>0.26153734219775832</v>
      </c>
      <c r="AE26" t="s">
        <v>36</v>
      </c>
    </row>
    <row r="27" spans="2:31" x14ac:dyDescent="0.35">
      <c r="B27" s="3" t="s">
        <v>10</v>
      </c>
      <c r="C27" s="30"/>
      <c r="D27" s="30"/>
      <c r="E27" s="30"/>
      <c r="F27" s="30"/>
      <c r="G27" s="30"/>
      <c r="H27" s="30"/>
      <c r="I27" s="30"/>
      <c r="J27" s="30"/>
      <c r="K27" s="30"/>
      <c r="M27" s="36"/>
      <c r="N27" s="36"/>
      <c r="O27" s="36"/>
      <c r="P27" s="36"/>
      <c r="Q27" s="36"/>
      <c r="R27" s="36"/>
      <c r="S27" s="36"/>
      <c r="T27" s="36"/>
      <c r="U27" s="36"/>
      <c r="W27" s="36"/>
      <c r="X27" s="36"/>
      <c r="Y27" s="36"/>
      <c r="AA27" s="35"/>
      <c r="AB27" s="36"/>
      <c r="AC27" s="67"/>
    </row>
    <row r="28" spans="2:31" x14ac:dyDescent="0.35">
      <c r="B28" s="15" t="s">
        <v>18</v>
      </c>
      <c r="C28" s="16">
        <v>36829</v>
      </c>
      <c r="D28" s="17">
        <v>16151</v>
      </c>
      <c r="E28" s="33">
        <v>23566.17</v>
      </c>
      <c r="F28" s="33">
        <v>32212.880000000001</v>
      </c>
      <c r="G28" s="33">
        <v>30415.719999999998</v>
      </c>
      <c r="H28" s="33">
        <v>29489.85</v>
      </c>
      <c r="I28" s="33">
        <v>31352.87</v>
      </c>
      <c r="J28" s="33">
        <v>21618.49</v>
      </c>
      <c r="K28" s="33">
        <v>34236.79</v>
      </c>
      <c r="M28" s="35">
        <f t="shared" ref="M28:U32" si="21">+C28/C$33</f>
        <v>4.1729551624584737E-3</v>
      </c>
      <c r="N28" s="35">
        <f t="shared" si="21"/>
        <v>2.646230837313903E-3</v>
      </c>
      <c r="O28" s="35">
        <f t="shared" si="21"/>
        <v>3.9213806164692328E-3</v>
      </c>
      <c r="P28" s="35">
        <f t="shared" si="21"/>
        <v>5.3588921035566924E-3</v>
      </c>
      <c r="Q28" s="35">
        <f t="shared" si="21"/>
        <v>5.037209936524613E-3</v>
      </c>
      <c r="R28" s="35">
        <f t="shared" si="21"/>
        <v>4.7457337503334822E-3</v>
      </c>
      <c r="S28" s="35">
        <f t="shared" si="21"/>
        <v>4.6100003586648968E-3</v>
      </c>
      <c r="T28" s="35">
        <f t="shared" si="21"/>
        <v>2.1469250924861516E-3</v>
      </c>
      <c r="U28" s="35">
        <f t="shared" si="21"/>
        <v>4.584285117498069E-3</v>
      </c>
      <c r="W28" s="35">
        <f>SUM(C28:$K28)/SUM(C$33:$K$33)</f>
        <v>4.0269019713743267E-3</v>
      </c>
      <c r="X28" s="35">
        <f>SUM(G28:$H28,$J28)/SUM(G$33:$H$33,$J$33)</f>
        <v>3.6522349044592218E-3</v>
      </c>
      <c r="Y28" s="35">
        <f>SUM($J28,$H28)/SUM(J$33,$H$33)</f>
        <v>3.138661323570816E-3</v>
      </c>
      <c r="AA28" s="35">
        <f>SUM(C28:$K28)/SUM(C$35:$K$35)</f>
        <v>1.973056712693873E-3</v>
      </c>
      <c r="AB28" s="35">
        <f>SUM(G28:$H28,$J28)/SUM(G$35:$H$35,$J$35)</f>
        <v>1.7693407764520224E-3</v>
      </c>
      <c r="AC28" s="35">
        <f>SUM($J28,$H28)/SUM(J$35,$H$35)</f>
        <v>1.5339194863461362E-3</v>
      </c>
      <c r="AE28" t="s">
        <v>40</v>
      </c>
    </row>
    <row r="29" spans="2:31" x14ac:dyDescent="0.35">
      <c r="B29" s="15" t="s">
        <v>19</v>
      </c>
      <c r="C29" s="16">
        <v>633881</v>
      </c>
      <c r="D29" s="17">
        <v>296931</v>
      </c>
      <c r="E29" s="33">
        <v>478968.7300000001</v>
      </c>
      <c r="F29" s="33">
        <v>464311.09050000005</v>
      </c>
      <c r="G29" s="33">
        <v>489483.29</v>
      </c>
      <c r="H29" s="33">
        <v>470609.91</v>
      </c>
      <c r="I29" s="33">
        <v>546925.14</v>
      </c>
      <c r="J29" s="33">
        <v>751956.47999999998</v>
      </c>
      <c r="K29" s="33">
        <v>548636.97</v>
      </c>
      <c r="M29" s="71">
        <f t="shared" si="21"/>
        <v>7.1822666684795658E-2</v>
      </c>
      <c r="N29" s="35">
        <f t="shared" si="21"/>
        <v>4.865011260940217E-2</v>
      </c>
      <c r="O29" s="35">
        <f t="shared" si="21"/>
        <v>7.969978548558744E-2</v>
      </c>
      <c r="P29" s="35">
        <f t="shared" si="21"/>
        <v>7.7242178795383934E-2</v>
      </c>
      <c r="Q29" s="35">
        <f t="shared" si="21"/>
        <v>8.1064334237386418E-2</v>
      </c>
      <c r="R29" s="35">
        <f t="shared" si="21"/>
        <v>7.5734170676636292E-2</v>
      </c>
      <c r="S29" s="35">
        <f t="shared" si="21"/>
        <v>8.0417680791673912E-2</v>
      </c>
      <c r="T29" s="35">
        <f t="shared" si="21"/>
        <v>7.4676549350558744E-2</v>
      </c>
      <c r="U29" s="35">
        <f t="shared" si="21"/>
        <v>7.3462152745050996E-2</v>
      </c>
      <c r="W29" s="35">
        <f>SUM(C29:$K29)/SUM(C$33:$K$33)</f>
        <v>7.3680218096332614E-2</v>
      </c>
      <c r="X29" s="35">
        <f>SUM(G29:$H29,$J29)/SUM(G$33:$H$33,$J$33)</f>
        <v>7.6698922986223217E-2</v>
      </c>
      <c r="Y29" s="35">
        <f>SUM($J29,$H29)/SUM(J$33,$H$33)</f>
        <v>7.5080150202307377E-2</v>
      </c>
      <c r="AA29" s="35">
        <f>SUM(C29:$K29)/SUM(C$35:$K$35)</f>
        <v>3.6101015108173359E-2</v>
      </c>
      <c r="AB29" s="35">
        <f>SUM(G29:$H29,$J29)/SUM(G$35:$H$35,$J$35)</f>
        <v>3.7157120365885067E-2</v>
      </c>
      <c r="AC29" s="35">
        <f>SUM($J29,$H29)/SUM(J$35,$H$35)</f>
        <v>3.6693001748302721E-2</v>
      </c>
      <c r="AE29" t="s">
        <v>40</v>
      </c>
    </row>
    <row r="30" spans="2:31" x14ac:dyDescent="0.35">
      <c r="B30" s="31" t="s">
        <v>28</v>
      </c>
      <c r="C30" s="32"/>
      <c r="D30" s="33"/>
      <c r="E30" s="33"/>
      <c r="F30" s="33"/>
      <c r="G30" s="33"/>
      <c r="H30" s="33"/>
      <c r="I30" s="33"/>
      <c r="J30" s="33"/>
      <c r="K30" s="33"/>
      <c r="M30" s="35">
        <f t="shared" si="21"/>
        <v>0</v>
      </c>
      <c r="N30" s="35">
        <f t="shared" si="21"/>
        <v>0</v>
      </c>
      <c r="O30" s="35">
        <f t="shared" si="21"/>
        <v>0</v>
      </c>
      <c r="P30" s="35">
        <f t="shared" si="21"/>
        <v>0</v>
      </c>
      <c r="Q30" s="35">
        <f t="shared" si="21"/>
        <v>0</v>
      </c>
      <c r="R30" s="35">
        <f t="shared" si="21"/>
        <v>0</v>
      </c>
      <c r="S30" s="35">
        <f t="shared" si="21"/>
        <v>0</v>
      </c>
      <c r="T30" s="35">
        <f t="shared" si="21"/>
        <v>0</v>
      </c>
      <c r="U30" s="35">
        <f t="shared" si="21"/>
        <v>0</v>
      </c>
      <c r="W30" s="35">
        <f>SUM(C30:$K30)/SUM(C$33:$K$33)</f>
        <v>0</v>
      </c>
      <c r="X30" s="35">
        <f>SUM(G30:$H30,$J30)/SUM(G$33:$H$33,$J$33)</f>
        <v>0</v>
      </c>
      <c r="Y30" s="35">
        <f>SUM($J30,$H30)/SUM(J$33,$H$33)</f>
        <v>0</v>
      </c>
      <c r="AA30" s="35">
        <f>SUM(C30:$K30)/SUM(C$35:$K$35)</f>
        <v>0</v>
      </c>
      <c r="AB30" s="35">
        <f>SUM(G30:$H30,$J30)/SUM(G$35:$H$35,$J$35)</f>
        <v>0</v>
      </c>
      <c r="AC30" s="35">
        <f>SUM($J30,$H30)/SUM(J$35,$H$35)</f>
        <v>0</v>
      </c>
      <c r="AE30" t="s">
        <v>40</v>
      </c>
    </row>
    <row r="31" spans="2:31" x14ac:dyDescent="0.35">
      <c r="B31" s="29" t="s">
        <v>27</v>
      </c>
      <c r="C31" s="30"/>
      <c r="D31" s="30"/>
      <c r="E31" s="30"/>
      <c r="F31" s="30"/>
      <c r="G31" s="30"/>
      <c r="H31" s="30"/>
      <c r="I31" s="30"/>
      <c r="J31" s="30"/>
      <c r="K31" s="30"/>
      <c r="M31" s="35">
        <f t="shared" si="21"/>
        <v>0</v>
      </c>
      <c r="N31" s="35">
        <f t="shared" si="21"/>
        <v>0</v>
      </c>
      <c r="O31" s="35">
        <f t="shared" si="21"/>
        <v>0</v>
      </c>
      <c r="P31" s="35">
        <f t="shared" si="21"/>
        <v>0</v>
      </c>
      <c r="Q31" s="35">
        <f t="shared" si="21"/>
        <v>0</v>
      </c>
      <c r="R31" s="35">
        <f t="shared" si="21"/>
        <v>0</v>
      </c>
      <c r="S31" s="35">
        <f t="shared" si="21"/>
        <v>0</v>
      </c>
      <c r="T31" s="35">
        <f t="shared" si="21"/>
        <v>0</v>
      </c>
      <c r="U31" s="35">
        <f t="shared" si="21"/>
        <v>0</v>
      </c>
      <c r="W31" s="35">
        <f>SUM(C31:$K31)/SUM(C$33:$K$33)</f>
        <v>0</v>
      </c>
      <c r="X31" s="35">
        <f>SUM(G31:$H31,$J31)/SUM(G$33:$H$33,$J$33)</f>
        <v>0</v>
      </c>
      <c r="Y31" s="35">
        <f>SUM($J31,$H31)/SUM(J$33,$H$33)</f>
        <v>0</v>
      </c>
      <c r="AA31" s="35">
        <f>SUM(C31:$K31)/SUM(C$35:$K$35)</f>
        <v>0</v>
      </c>
      <c r="AB31" s="35">
        <f>SUM(G31:$H31,$J31)/SUM(G$35:$H$35,$J$35)</f>
        <v>0</v>
      </c>
      <c r="AC31" s="35">
        <f>SUM($J31,$H31)/SUM(J$35,$H$35)</f>
        <v>0</v>
      </c>
      <c r="AE31" t="s">
        <v>34</v>
      </c>
    </row>
    <row r="32" spans="2:31" x14ac:dyDescent="0.35">
      <c r="B32" s="29" t="s">
        <v>29</v>
      </c>
      <c r="C32" s="30"/>
      <c r="D32" s="30"/>
      <c r="E32" s="30"/>
      <c r="F32" s="30"/>
      <c r="G32" s="30"/>
      <c r="H32" s="30"/>
      <c r="I32" s="30"/>
      <c r="J32" s="30"/>
      <c r="K32" s="30"/>
      <c r="M32" s="35">
        <f t="shared" si="21"/>
        <v>0</v>
      </c>
      <c r="N32" s="35">
        <f t="shared" si="21"/>
        <v>0</v>
      </c>
      <c r="O32" s="35">
        <f t="shared" si="21"/>
        <v>0</v>
      </c>
      <c r="P32" s="35">
        <f t="shared" si="21"/>
        <v>0</v>
      </c>
      <c r="Q32" s="35">
        <f t="shared" si="21"/>
        <v>0</v>
      </c>
      <c r="R32" s="35">
        <f t="shared" si="21"/>
        <v>0</v>
      </c>
      <c r="S32" s="35">
        <f t="shared" si="21"/>
        <v>0</v>
      </c>
      <c r="T32" s="35">
        <f t="shared" si="21"/>
        <v>0</v>
      </c>
      <c r="U32" s="35">
        <f t="shared" si="21"/>
        <v>0</v>
      </c>
      <c r="W32" s="35">
        <f>SUM(C32:$K32)/SUM(C$33:$K$33)</f>
        <v>0</v>
      </c>
      <c r="X32" s="35">
        <f>SUM(G32:$H32,$J32)/SUM(G$33:$H$33,$J$33)</f>
        <v>0</v>
      </c>
      <c r="Y32" s="35">
        <f>SUM($J32,$H32)/SUM(J$33,$H$33)</f>
        <v>0</v>
      </c>
      <c r="AA32" s="35">
        <f>SUM(C32:$K32)/SUM(C$35:$K$35)</f>
        <v>0</v>
      </c>
      <c r="AB32" s="35">
        <f>SUM(G32:$H32,$J32)/SUM(G$35:$H$35,$J$35)</f>
        <v>0</v>
      </c>
      <c r="AC32" s="35">
        <f>SUM($J32,$H32)/SUM(J$35,$H$35)</f>
        <v>0</v>
      </c>
      <c r="AE32" t="s">
        <v>39</v>
      </c>
    </row>
    <row r="33" spans="2:31" x14ac:dyDescent="0.35">
      <c r="B33" s="24" t="s">
        <v>23</v>
      </c>
      <c r="C33" s="25">
        <f t="shared" ref="C33:G33" si="22">SUM(C24:C32)</f>
        <v>8825640</v>
      </c>
      <c r="D33" s="25">
        <f t="shared" si="22"/>
        <v>6103398</v>
      </c>
      <c r="E33" s="25">
        <f t="shared" si="22"/>
        <v>6009661.4700000007</v>
      </c>
      <c r="F33" s="25">
        <f t="shared" si="22"/>
        <v>6011108.1502499999</v>
      </c>
      <c r="G33" s="25">
        <f t="shared" si="22"/>
        <v>6038207.7346939221</v>
      </c>
      <c r="H33" s="25">
        <f t="shared" ref="H33:K33" si="23">SUM(H24:H32)</f>
        <v>6213970.5999999996</v>
      </c>
      <c r="I33" s="25">
        <f t="shared" si="23"/>
        <v>6801055.8699999992</v>
      </c>
      <c r="J33" s="25">
        <f t="shared" si="23"/>
        <v>10069512.940000001</v>
      </c>
      <c r="K33" s="25">
        <f t="shared" si="23"/>
        <v>7468294.21</v>
      </c>
      <c r="M33" s="37">
        <f t="shared" ref="M33:Q33" si="24">SUM(M24:M32)</f>
        <v>1</v>
      </c>
      <c r="N33" s="37">
        <f t="shared" si="24"/>
        <v>1</v>
      </c>
      <c r="O33" s="37">
        <f t="shared" si="24"/>
        <v>0.99999999999999978</v>
      </c>
      <c r="P33" s="37">
        <f t="shared" si="24"/>
        <v>1</v>
      </c>
      <c r="Q33" s="37">
        <f t="shared" si="24"/>
        <v>1</v>
      </c>
      <c r="R33" s="37">
        <f t="shared" ref="R33:U33" si="25">SUM(R24:R32)</f>
        <v>1</v>
      </c>
      <c r="S33" s="37">
        <f t="shared" si="25"/>
        <v>1.0000000000000002</v>
      </c>
      <c r="T33" s="37">
        <f t="shared" si="25"/>
        <v>1</v>
      </c>
      <c r="U33" s="37">
        <f t="shared" si="25"/>
        <v>1</v>
      </c>
      <c r="W33" s="37">
        <f>SUM(W24:W32)</f>
        <v>1.0000000000000002</v>
      </c>
      <c r="X33" s="37">
        <f>SUM(X24:X32)</f>
        <v>1.0000000000000002</v>
      </c>
      <c r="Y33" s="37">
        <f>SUM(Y24:Y32)</f>
        <v>1</v>
      </c>
      <c r="AA33" s="37">
        <f t="shared" ref="AA33:AC33" si="26">SUM(AA24:AA32)</f>
        <v>0.4899688958707123</v>
      </c>
      <c r="AB33" s="37">
        <f t="shared" si="26"/>
        <v>0.48445426505609857</v>
      </c>
      <c r="AC33" s="37">
        <f t="shared" si="26"/>
        <v>0.48871774562825882</v>
      </c>
    </row>
    <row r="34" spans="2:31" x14ac:dyDescent="0.35">
      <c r="B34" s="29"/>
      <c r="C34" s="30"/>
      <c r="D34" s="30"/>
      <c r="E34" s="30"/>
      <c r="F34" s="30"/>
      <c r="G34" s="30"/>
      <c r="H34" s="30"/>
      <c r="I34" s="30"/>
      <c r="J34" s="30"/>
      <c r="K34" s="30"/>
      <c r="W34" s="36"/>
      <c r="X34" s="36"/>
      <c r="Y34" s="36"/>
      <c r="AA34" s="36"/>
      <c r="AB34" s="36"/>
      <c r="AC34" s="67"/>
    </row>
    <row r="35" spans="2:31" x14ac:dyDescent="0.35">
      <c r="B35" s="24" t="s">
        <v>23</v>
      </c>
      <c r="C35" s="34">
        <f t="shared" ref="C35:G35" si="27">+C33+C22</f>
        <v>18553229</v>
      </c>
      <c r="D35" s="34">
        <f t="shared" si="27"/>
        <v>11792469</v>
      </c>
      <c r="E35" s="34">
        <f t="shared" si="27"/>
        <v>12635182.165530022</v>
      </c>
      <c r="F35" s="34">
        <f t="shared" si="27"/>
        <v>12676224.3895</v>
      </c>
      <c r="G35" s="34">
        <f t="shared" si="27"/>
        <v>12757162.421467664</v>
      </c>
      <c r="H35" s="34">
        <f t="shared" ref="H35:K35" si="28">+H33+H22</f>
        <v>12720061.890000001</v>
      </c>
      <c r="I35" s="34">
        <f t="shared" si="28"/>
        <v>13294573.0242</v>
      </c>
      <c r="J35" s="34">
        <f t="shared" si="28"/>
        <v>20598727.300000001</v>
      </c>
      <c r="K35" s="34">
        <f t="shared" si="28"/>
        <v>14655804.82</v>
      </c>
      <c r="W35" s="36"/>
      <c r="X35" s="36"/>
      <c r="Y35" s="36"/>
      <c r="AA35" s="36">
        <f>+AA33+AA22</f>
        <v>1</v>
      </c>
      <c r="AB35" s="36">
        <f>+AB33+AB22</f>
        <v>1</v>
      </c>
      <c r="AC35" s="67">
        <f>+AC33+AC22</f>
        <v>1</v>
      </c>
    </row>
    <row r="36" spans="2:31" x14ac:dyDescent="0.35">
      <c r="B36" s="29"/>
      <c r="C36" s="30"/>
      <c r="D36" s="30"/>
      <c r="E36" s="30"/>
      <c r="F36" s="30"/>
      <c r="G36" s="30"/>
      <c r="H36" s="30"/>
      <c r="I36" s="30"/>
      <c r="J36" s="30"/>
      <c r="K36" s="30"/>
    </row>
    <row r="37" spans="2:31" x14ac:dyDescent="0.35">
      <c r="B37" s="26" t="s">
        <v>24</v>
      </c>
      <c r="C37" s="27"/>
    </row>
    <row r="38" spans="2:31" x14ac:dyDescent="0.35">
      <c r="B38" s="28" t="s">
        <v>25</v>
      </c>
      <c r="C38" s="27"/>
    </row>
    <row r="39" spans="2:31" x14ac:dyDescent="0.35">
      <c r="B39" s="28" t="s">
        <v>26</v>
      </c>
    </row>
    <row r="41" spans="2:31" x14ac:dyDescent="0.35">
      <c r="B41" t="s">
        <v>66</v>
      </c>
    </row>
    <row r="42" spans="2:31" x14ac:dyDescent="0.35">
      <c r="B42" t="s">
        <v>33</v>
      </c>
      <c r="AA42" s="35">
        <f t="shared" ref="AA42:AC43" si="29">SUMIF($AE$4:$AE$33,$AE42,AA$4:AA$33)</f>
        <v>0.50493200311423092</v>
      </c>
      <c r="AB42" s="35">
        <f t="shared" si="29"/>
        <v>0.51073607844741276</v>
      </c>
      <c r="AC42" s="35">
        <f t="shared" si="29"/>
        <v>0.50655682815345426</v>
      </c>
      <c r="AE42" t="s">
        <v>33</v>
      </c>
    </row>
    <row r="43" spans="2:31" x14ac:dyDescent="0.35">
      <c r="B43" t="s">
        <v>67</v>
      </c>
      <c r="AA43" s="35">
        <f t="shared" si="29"/>
        <v>5.0991010150568004E-3</v>
      </c>
      <c r="AB43" s="35">
        <f t="shared" si="29"/>
        <v>4.8096564964888212E-3</v>
      </c>
      <c r="AC43" s="35">
        <f t="shared" si="29"/>
        <v>4.7254262182868951E-3</v>
      </c>
      <c r="AE43" t="s">
        <v>38</v>
      </c>
    </row>
    <row r="45" spans="2:31" x14ac:dyDescent="0.35">
      <c r="B45" t="s">
        <v>68</v>
      </c>
    </row>
    <row r="46" spans="2:31" x14ac:dyDescent="0.35">
      <c r="B46" t="s">
        <v>35</v>
      </c>
      <c r="AA46" s="35">
        <f t="shared" ref="AA46:AC51" si="30">SUMIF($AE$4:$AE$33,$AE46,AA$4:AA$33)</f>
        <v>9.5124226654416222E-2</v>
      </c>
      <c r="AB46" s="35">
        <f t="shared" si="30"/>
        <v>0.1047397168017582</v>
      </c>
      <c r="AC46" s="35">
        <f t="shared" si="30"/>
        <v>0.11434760333798313</v>
      </c>
      <c r="AE46" t="s">
        <v>35</v>
      </c>
    </row>
    <row r="47" spans="2:31" x14ac:dyDescent="0.35">
      <c r="B47" t="s">
        <v>37</v>
      </c>
      <c r="AA47" s="35">
        <f t="shared" si="30"/>
        <v>7.979033375883729E-2</v>
      </c>
      <c r="AB47" s="35">
        <f t="shared" si="30"/>
        <v>7.5482404699594136E-2</v>
      </c>
      <c r="AC47" s="35">
        <f t="shared" si="30"/>
        <v>7.4605878857868541E-2</v>
      </c>
      <c r="AE47" t="s">
        <v>37</v>
      </c>
    </row>
    <row r="48" spans="2:31" x14ac:dyDescent="0.35">
      <c r="B48" t="s">
        <v>36</v>
      </c>
      <c r="AA48" s="35">
        <f t="shared" si="30"/>
        <v>0.27698026363659151</v>
      </c>
      <c r="AB48" s="35">
        <f t="shared" si="30"/>
        <v>0.26530568241240909</v>
      </c>
      <c r="AC48" s="35">
        <f t="shared" si="30"/>
        <v>0.26153734219775832</v>
      </c>
      <c r="AE48" t="s">
        <v>36</v>
      </c>
    </row>
    <row r="49" spans="2:31" x14ac:dyDescent="0.35">
      <c r="B49" t="s">
        <v>40</v>
      </c>
      <c r="AA49" s="35">
        <f t="shared" si="30"/>
        <v>3.8074071820867229E-2</v>
      </c>
      <c r="AB49" s="35">
        <f t="shared" si="30"/>
        <v>3.8926461142337089E-2</v>
      </c>
      <c r="AC49" s="35">
        <f t="shared" si="30"/>
        <v>3.822692123464886E-2</v>
      </c>
      <c r="AE49" t="s">
        <v>40</v>
      </c>
    </row>
    <row r="50" spans="2:31" x14ac:dyDescent="0.35">
      <c r="B50" t="s">
        <v>39</v>
      </c>
      <c r="AA50" s="35">
        <f t="shared" si="30"/>
        <v>0</v>
      </c>
      <c r="AB50" s="35">
        <f t="shared" si="30"/>
        <v>0</v>
      </c>
      <c r="AC50" s="35">
        <f t="shared" si="30"/>
        <v>0</v>
      </c>
      <c r="AE50" t="s">
        <v>39</v>
      </c>
    </row>
    <row r="51" spans="2:31" x14ac:dyDescent="0.35">
      <c r="B51" t="s">
        <v>34</v>
      </c>
      <c r="AA51" s="35">
        <f t="shared" si="30"/>
        <v>0</v>
      </c>
      <c r="AB51" s="35">
        <f t="shared" si="30"/>
        <v>0</v>
      </c>
      <c r="AC51" s="35">
        <f t="shared" si="30"/>
        <v>0</v>
      </c>
      <c r="AE51" t="s">
        <v>34</v>
      </c>
    </row>
    <row r="53" spans="2:31" x14ac:dyDescent="0.35">
      <c r="B53" t="s">
        <v>64</v>
      </c>
      <c r="AA53" s="36">
        <f>SUM(AA42:AA52)</f>
        <v>1</v>
      </c>
      <c r="AB53" s="36">
        <f>SUM(AB42:AB52)</f>
        <v>1</v>
      </c>
      <c r="AC53" s="36">
        <f>SUM(AC42:AC52)</f>
        <v>1</v>
      </c>
    </row>
    <row r="54" spans="2:31" x14ac:dyDescent="0.35">
      <c r="B54" t="s">
        <v>52</v>
      </c>
      <c r="C54" s="74">
        <v>0.30599999999999999</v>
      </c>
      <c r="D54" s="74">
        <v>0.30599999999999999</v>
      </c>
      <c r="E54" s="74">
        <v>0.30599999999999999</v>
      </c>
      <c r="F54" s="74">
        <v>0.30599999999999999</v>
      </c>
      <c r="G54" s="74">
        <v>0.30599999999999999</v>
      </c>
      <c r="H54" s="74">
        <v>0.30599999999999999</v>
      </c>
      <c r="I54" s="74">
        <v>0.30599999999999999</v>
      </c>
      <c r="J54" s="74">
        <v>0.30599999999999999</v>
      </c>
      <c r="K54" s="74">
        <v>0.30599999999999999</v>
      </c>
    </row>
    <row r="55" spans="2:31" x14ac:dyDescent="0.35">
      <c r="B55" t="s">
        <v>53</v>
      </c>
      <c r="C55" s="74">
        <v>0.44800000000000001</v>
      </c>
      <c r="D55" s="74">
        <v>0.44800000000000001</v>
      </c>
      <c r="E55" s="74">
        <v>0.44800000000000001</v>
      </c>
      <c r="F55" s="74">
        <v>0.44800000000000001</v>
      </c>
      <c r="G55" s="74">
        <v>0.44800000000000001</v>
      </c>
      <c r="H55" s="74">
        <v>0.44800000000000001</v>
      </c>
      <c r="I55" s="74">
        <v>0.44800000000000001</v>
      </c>
      <c r="J55" s="74">
        <v>0.44800000000000001</v>
      </c>
      <c r="K55" s="74">
        <v>0.44800000000000001</v>
      </c>
    </row>
    <row r="56" spans="2:31" x14ac:dyDescent="0.35">
      <c r="B56" t="s">
        <v>54</v>
      </c>
      <c r="C56" s="74">
        <v>0.246</v>
      </c>
      <c r="D56" s="74">
        <v>0.246</v>
      </c>
      <c r="E56" s="74">
        <v>0.246</v>
      </c>
      <c r="F56" s="74">
        <v>0.246</v>
      </c>
      <c r="G56" s="74">
        <v>0.246</v>
      </c>
      <c r="H56" s="74">
        <v>0.246</v>
      </c>
      <c r="I56" s="74">
        <v>0.246</v>
      </c>
      <c r="J56" s="74">
        <v>0.246</v>
      </c>
      <c r="K56" s="74">
        <v>0.246</v>
      </c>
    </row>
    <row r="58" spans="2:31" x14ac:dyDescent="0.35">
      <c r="B58" t="s">
        <v>55</v>
      </c>
      <c r="H58" s="78" t="s">
        <v>72</v>
      </c>
      <c r="J58" s="78" t="s">
        <v>72</v>
      </c>
      <c r="R58" s="78" t="s">
        <v>72</v>
      </c>
      <c r="T58" s="78" t="s">
        <v>72</v>
      </c>
    </row>
    <row r="59" spans="2:31" x14ac:dyDescent="0.35">
      <c r="B59" t="s">
        <v>56</v>
      </c>
      <c r="C59" s="58">
        <f t="shared" ref="C59:G59" si="31">ROUND(+C$12*C54,0)</f>
        <v>654937</v>
      </c>
      <c r="D59" s="58">
        <f t="shared" si="31"/>
        <v>47533</v>
      </c>
      <c r="E59" s="58">
        <f t="shared" si="31"/>
        <v>438535</v>
      </c>
      <c r="F59" s="58">
        <f t="shared" si="31"/>
        <v>438085</v>
      </c>
      <c r="G59" s="58">
        <f t="shared" si="31"/>
        <v>443155</v>
      </c>
      <c r="H59" s="58">
        <f t="shared" ref="H59:K59" si="32">ROUND(+H$12*H54,0)</f>
        <v>422866</v>
      </c>
      <c r="I59" s="58">
        <f t="shared" si="32"/>
        <v>440779</v>
      </c>
      <c r="J59" s="58">
        <f t="shared" si="32"/>
        <v>709554</v>
      </c>
      <c r="K59" s="58">
        <f t="shared" si="32"/>
        <v>251267</v>
      </c>
      <c r="M59" s="35">
        <f t="shared" ref="M59:T62" si="33">+C59/C$74</f>
        <v>6.7964050511590227E-2</v>
      </c>
      <c r="N59" s="35">
        <f t="shared" si="33"/>
        <v>8.4641727928475938E-3</v>
      </c>
      <c r="O59" s="35">
        <f t="shared" si="33"/>
        <v>6.6850258287229888E-2</v>
      </c>
      <c r="P59" s="35">
        <f t="shared" si="33"/>
        <v>6.6378721145224251E-2</v>
      </c>
      <c r="Q59" s="35">
        <f t="shared" si="33"/>
        <v>6.6591876768205341E-2</v>
      </c>
      <c r="R59" s="35">
        <f t="shared" si="33"/>
        <v>6.562855242227561E-2</v>
      </c>
      <c r="S59" s="35">
        <f t="shared" si="33"/>
        <v>6.8599425931764643E-2</v>
      </c>
      <c r="T59" s="35">
        <f t="shared" si="33"/>
        <v>6.8000528299456131E-2</v>
      </c>
      <c r="U59" s="35">
        <f t="shared" ref="U59:U62" si="34">+K59/K$74</f>
        <v>3.53339191340609E-2</v>
      </c>
    </row>
    <row r="60" spans="2:31" x14ac:dyDescent="0.35">
      <c r="B60" t="s">
        <v>57</v>
      </c>
      <c r="C60" s="58">
        <f t="shared" ref="C60:G60" si="35">+C12-C59-C61</f>
        <v>526519</v>
      </c>
      <c r="D60" s="58">
        <f t="shared" si="35"/>
        <v>38214</v>
      </c>
      <c r="E60" s="58">
        <f t="shared" si="35"/>
        <v>352546.91000000015</v>
      </c>
      <c r="F60" s="58">
        <f t="shared" si="35"/>
        <v>352185.46250000014</v>
      </c>
      <c r="G60" s="58">
        <f t="shared" si="35"/>
        <v>356260.89999999991</v>
      </c>
      <c r="H60" s="58">
        <f t="shared" ref="H60:K60" si="36">+H12-H59-H61</f>
        <v>339950.8600000001</v>
      </c>
      <c r="I60" s="58">
        <f t="shared" si="36"/>
        <v>354351.33000000007</v>
      </c>
      <c r="J60" s="58">
        <f t="shared" si="36"/>
        <v>570426.16000000015</v>
      </c>
      <c r="K60" s="58">
        <f t="shared" si="36"/>
        <v>201998.68999999994</v>
      </c>
      <c r="M60" s="35">
        <f t="shared" si="33"/>
        <v>5.4637871904186168E-2</v>
      </c>
      <c r="N60" s="35">
        <f t="shared" si="33"/>
        <v>6.804744053728524E-3</v>
      </c>
      <c r="O60" s="35">
        <f t="shared" si="33"/>
        <v>5.3742237203107619E-2</v>
      </c>
      <c r="P60" s="35">
        <f t="shared" si="33"/>
        <v>5.3363207155436368E-2</v>
      </c>
      <c r="Q60" s="35">
        <f t="shared" si="33"/>
        <v>5.3534501359862624E-2</v>
      </c>
      <c r="R60" s="35">
        <f t="shared" si="33"/>
        <v>5.2760171866519615E-2</v>
      </c>
      <c r="S60" s="35">
        <f t="shared" si="33"/>
        <v>5.5148493499366569E-2</v>
      </c>
      <c r="T60" s="35">
        <f t="shared" si="33"/>
        <v>5.4667129261240295E-2</v>
      </c>
      <c r="U60" s="35">
        <f t="shared" si="34"/>
        <v>2.8405661617507409E-2</v>
      </c>
    </row>
    <row r="61" spans="2:31" x14ac:dyDescent="0.35">
      <c r="B61" t="s">
        <v>58</v>
      </c>
      <c r="C61" s="58">
        <f t="shared" ref="C61:G61" si="37">ROUND(+C$12*C55,0)</f>
        <v>958862</v>
      </c>
      <c r="D61" s="58">
        <f t="shared" si="37"/>
        <v>69591</v>
      </c>
      <c r="E61" s="58">
        <f t="shared" si="37"/>
        <v>642038</v>
      </c>
      <c r="F61" s="58">
        <f t="shared" si="37"/>
        <v>641379</v>
      </c>
      <c r="G61" s="58">
        <f t="shared" si="37"/>
        <v>648802</v>
      </c>
      <c r="H61" s="58">
        <f t="shared" ref="H61:K61" si="38">ROUND(+H$12*H55,0)</f>
        <v>619097</v>
      </c>
      <c r="I61" s="58">
        <f t="shared" si="38"/>
        <v>645324</v>
      </c>
      <c r="J61" s="58">
        <f t="shared" si="38"/>
        <v>1038825</v>
      </c>
      <c r="K61" s="58">
        <f t="shared" si="38"/>
        <v>367867</v>
      </c>
      <c r="M61" s="35">
        <f t="shared" si="33"/>
        <v>9.9502922268316543E-2</v>
      </c>
      <c r="N61" s="35">
        <f t="shared" si="33"/>
        <v>1.2392027619276226E-2</v>
      </c>
      <c r="O61" s="35">
        <f t="shared" si="33"/>
        <v>9.7872247666016404E-2</v>
      </c>
      <c r="P61" s="35">
        <f t="shared" si="33"/>
        <v>9.7181866052028221E-2</v>
      </c>
      <c r="Q61" s="35">
        <f t="shared" si="33"/>
        <v>9.7493975766865235E-2</v>
      </c>
      <c r="R61" s="35">
        <f t="shared" si="33"/>
        <v>9.6083487248853211E-2</v>
      </c>
      <c r="S61" s="35">
        <f t="shared" si="33"/>
        <v>0.10043322376971246</v>
      </c>
      <c r="T61" s="35">
        <f t="shared" si="33"/>
        <v>9.9556409816141556E-2</v>
      </c>
      <c r="U61" s="35">
        <f t="shared" si="34"/>
        <v>5.1730560838031181E-2</v>
      </c>
    </row>
    <row r="62" spans="2:31" x14ac:dyDescent="0.35">
      <c r="B62" t="s">
        <v>59</v>
      </c>
      <c r="C62" s="72">
        <f t="shared" ref="C62:G62" si="39">+C4</f>
        <v>297539</v>
      </c>
      <c r="D62" s="72">
        <f t="shared" si="39"/>
        <v>231840</v>
      </c>
      <c r="E62" s="72">
        <f t="shared" si="39"/>
        <v>206633.76</v>
      </c>
      <c r="F62" s="72">
        <f t="shared" si="39"/>
        <v>212860.035</v>
      </c>
      <c r="G62" s="72">
        <f t="shared" si="39"/>
        <v>232866.86452703</v>
      </c>
      <c r="H62" s="72">
        <f t="shared" ref="H62:K62" si="40">+H4</f>
        <v>208079.41</v>
      </c>
      <c r="I62" s="72">
        <f t="shared" si="40"/>
        <v>229682.41</v>
      </c>
      <c r="J62" s="72">
        <f t="shared" si="40"/>
        <v>335620.11</v>
      </c>
      <c r="K62" s="72">
        <f t="shared" si="40"/>
        <v>276554.07</v>
      </c>
      <c r="M62" s="35">
        <f t="shared" si="33"/>
        <v>3.0876184465327271E-2</v>
      </c>
      <c r="N62" s="35">
        <f t="shared" si="33"/>
        <v>4.128360970891351E-2</v>
      </c>
      <c r="O62" s="35">
        <f t="shared" si="33"/>
        <v>3.1499242311016161E-2</v>
      </c>
      <c r="P62" s="35">
        <f t="shared" si="33"/>
        <v>3.2252592319361936E-2</v>
      </c>
      <c r="Q62" s="35">
        <f t="shared" si="33"/>
        <v>3.49923650776418E-2</v>
      </c>
      <c r="R62" s="35">
        <f t="shared" si="33"/>
        <v>3.2293801031960903E-2</v>
      </c>
      <c r="S62" s="35">
        <f t="shared" si="33"/>
        <v>3.5745989424687201E-2</v>
      </c>
      <c r="T62" s="35">
        <f t="shared" si="33"/>
        <v>3.2164352238055985E-2</v>
      </c>
      <c r="U62" s="35">
        <f t="shared" si="34"/>
        <v>3.8889862757844916E-2</v>
      </c>
    </row>
    <row r="63" spans="2:31" x14ac:dyDescent="0.35">
      <c r="B63" t="s">
        <v>60</v>
      </c>
    </row>
    <row r="64" spans="2:31" x14ac:dyDescent="0.35">
      <c r="B64" t="s">
        <v>56</v>
      </c>
      <c r="C64" s="72">
        <f t="shared" ref="C64:G65" si="41">+C8</f>
        <v>1377000</v>
      </c>
      <c r="D64" s="72">
        <f t="shared" si="41"/>
        <v>911565</v>
      </c>
      <c r="E64" s="72">
        <f t="shared" si="41"/>
        <v>1043654.3400000001</v>
      </c>
      <c r="F64" s="72">
        <f t="shared" si="41"/>
        <v>1068254.7935000001</v>
      </c>
      <c r="G64" s="72">
        <f t="shared" si="41"/>
        <v>1131526.83</v>
      </c>
      <c r="H64" s="72">
        <f t="shared" ref="H64:K64" si="42">+H8</f>
        <v>1148890.51</v>
      </c>
      <c r="I64" s="72">
        <f t="shared" si="42"/>
        <v>1226591.81</v>
      </c>
      <c r="J64" s="72">
        <f t="shared" si="42"/>
        <v>1803912.78</v>
      </c>
      <c r="K64" s="72">
        <f t="shared" si="42"/>
        <v>1376090.13</v>
      </c>
      <c r="M64" s="35">
        <f t="shared" ref="M64:T67" si="43">+C64/C$74</f>
        <v>0.14289389293086166</v>
      </c>
      <c r="N64" s="35">
        <f t="shared" si="43"/>
        <v>0.16232183266177427</v>
      </c>
      <c r="O64" s="35">
        <f t="shared" si="43"/>
        <v>0.15909462686350792</v>
      </c>
      <c r="P64" s="35">
        <f t="shared" si="43"/>
        <v>0.16186216613165397</v>
      </c>
      <c r="Q64" s="35">
        <f t="shared" si="43"/>
        <v>0.17003191935841419</v>
      </c>
      <c r="R64" s="35">
        <f t="shared" si="43"/>
        <v>0.17830712581051672</v>
      </c>
      <c r="S64" s="35">
        <f t="shared" si="43"/>
        <v>0.19089723879450732</v>
      </c>
      <c r="T64" s="35">
        <f t="shared" si="43"/>
        <v>0.17287905084904118</v>
      </c>
      <c r="U64" s="35">
        <f t="shared" ref="U64:U67" si="44">+K64/K$74</f>
        <v>0.19350992121766625</v>
      </c>
    </row>
    <row r="65" spans="2:21" x14ac:dyDescent="0.35">
      <c r="B65" t="s">
        <v>57</v>
      </c>
      <c r="C65" s="72">
        <f t="shared" si="41"/>
        <v>513798</v>
      </c>
      <c r="D65" s="72">
        <f t="shared" si="41"/>
        <v>368484</v>
      </c>
      <c r="E65" s="72">
        <f t="shared" si="41"/>
        <v>332468.61999999994</v>
      </c>
      <c r="F65" s="72">
        <f t="shared" si="41"/>
        <v>328489.36575</v>
      </c>
      <c r="G65" s="72">
        <f t="shared" si="41"/>
        <v>334609.37</v>
      </c>
      <c r="H65" s="72">
        <f t="shared" ref="H65:K65" si="45">+H9</f>
        <v>338726.6</v>
      </c>
      <c r="I65" s="72">
        <f t="shared" si="45"/>
        <v>368819.76</v>
      </c>
      <c r="J65" s="72">
        <f t="shared" si="45"/>
        <v>529240.81000000006</v>
      </c>
      <c r="K65" s="72">
        <f t="shared" si="45"/>
        <v>403925.52</v>
      </c>
      <c r="M65" s="35">
        <f t="shared" si="43"/>
        <v>5.3317789687792931E-2</v>
      </c>
      <c r="N65" s="35">
        <f t="shared" si="43"/>
        <v>6.5615724810124593E-2</v>
      </c>
      <c r="O65" s="35">
        <f t="shared" si="43"/>
        <v>5.0681503459014399E-2</v>
      </c>
      <c r="P65" s="35">
        <f t="shared" si="43"/>
        <v>4.9772770143444375E-2</v>
      </c>
      <c r="Q65" s="35">
        <f t="shared" si="43"/>
        <v>5.0280976029892087E-2</v>
      </c>
      <c r="R65" s="35">
        <f t="shared" si="43"/>
        <v>5.2570167440558424E-2</v>
      </c>
      <c r="S65" s="35">
        <f t="shared" si="43"/>
        <v>5.7400247762010477E-2</v>
      </c>
      <c r="T65" s="35">
        <f t="shared" si="43"/>
        <v>5.0720106824332027E-2</v>
      </c>
      <c r="U65" s="35">
        <f t="shared" si="44"/>
        <v>5.6801218066294019E-2</v>
      </c>
    </row>
    <row r="66" spans="2:21" x14ac:dyDescent="0.35">
      <c r="B66" t="s">
        <v>61</v>
      </c>
      <c r="C66" s="72">
        <f t="shared" ref="C66:G66" si="46">+C18</f>
        <v>141139</v>
      </c>
      <c r="D66" s="72">
        <f t="shared" si="46"/>
        <v>92649</v>
      </c>
      <c r="E66" s="72">
        <f t="shared" si="46"/>
        <v>96042.52</v>
      </c>
      <c r="F66" s="72">
        <f t="shared" si="46"/>
        <v>101583.06050000001</v>
      </c>
      <c r="G66" s="72">
        <f t="shared" si="46"/>
        <v>105849.32</v>
      </c>
      <c r="H66" s="72">
        <f t="shared" ref="H66:K66" si="47">+H18</f>
        <v>104890.42</v>
      </c>
      <c r="I66" s="72">
        <f t="shared" si="47"/>
        <v>110679.78</v>
      </c>
      <c r="J66" s="72">
        <f t="shared" si="47"/>
        <v>146971.39000000001</v>
      </c>
      <c r="K66" s="72">
        <f t="shared" si="47"/>
        <v>99330.16</v>
      </c>
      <c r="M66" s="35">
        <f t="shared" si="43"/>
        <v>1.4646260823797302E-2</v>
      </c>
      <c r="N66" s="35">
        <f t="shared" si="43"/>
        <v>1.6497951845760559E-2</v>
      </c>
      <c r="O66" s="35">
        <f t="shared" si="43"/>
        <v>1.4640718000972426E-2</v>
      </c>
      <c r="P66" s="35">
        <f t="shared" si="43"/>
        <v>1.5391884328401897E-2</v>
      </c>
      <c r="Q66" s="35">
        <f t="shared" si="43"/>
        <v>1.5905732471569393E-2</v>
      </c>
      <c r="R66" s="35">
        <f t="shared" si="43"/>
        <v>1.627893097946987E-2</v>
      </c>
      <c r="S66" s="35">
        <f t="shared" si="43"/>
        <v>1.7225342791407954E-2</v>
      </c>
      <c r="T66" s="35">
        <f t="shared" si="43"/>
        <v>1.4085090303071231E-2</v>
      </c>
      <c r="U66" s="35">
        <f t="shared" si="44"/>
        <v>1.396810500787342E-2</v>
      </c>
    </row>
    <row r="67" spans="2:21" x14ac:dyDescent="0.35">
      <c r="B67" t="s">
        <v>59</v>
      </c>
      <c r="C67" s="72">
        <f t="shared" ref="C67:G67" si="48">+C7</f>
        <v>284607</v>
      </c>
      <c r="D67" s="72">
        <f t="shared" si="48"/>
        <v>218509</v>
      </c>
      <c r="E67" s="72">
        <f t="shared" si="48"/>
        <v>202388.62000000002</v>
      </c>
      <c r="F67" s="72">
        <f t="shared" si="48"/>
        <v>199318.10725</v>
      </c>
      <c r="G67" s="72">
        <f t="shared" si="48"/>
        <v>198402.39438580599</v>
      </c>
      <c r="H67" s="72">
        <f t="shared" ref="H67:K67" si="49">+H7</f>
        <v>194908.28</v>
      </c>
      <c r="I67" s="72">
        <f t="shared" si="49"/>
        <v>205816.05</v>
      </c>
      <c r="J67" s="72">
        <f t="shared" si="49"/>
        <v>309517.46000000002</v>
      </c>
      <c r="K67" s="72">
        <f t="shared" si="49"/>
        <v>236225.44</v>
      </c>
      <c r="M67" s="35">
        <f t="shared" si="43"/>
        <v>2.9534206380082605E-2</v>
      </c>
      <c r="N67" s="35">
        <f t="shared" si="43"/>
        <v>3.8909766536770973E-2</v>
      </c>
      <c r="O67" s="35">
        <f t="shared" si="43"/>
        <v>3.0852113335072508E-2</v>
      </c>
      <c r="P67" s="35">
        <f t="shared" si="43"/>
        <v>3.0200716893620302E-2</v>
      </c>
      <c r="Q67" s="35">
        <f t="shared" si="43"/>
        <v>2.9813468870838578E-2</v>
      </c>
      <c r="R67" s="35">
        <f t="shared" si="43"/>
        <v>3.024964946700745E-2</v>
      </c>
      <c r="S67" s="35">
        <f t="shared" si="43"/>
        <v>3.2031614204722475E-2</v>
      </c>
      <c r="T67" s="35">
        <f t="shared" si="43"/>
        <v>2.9662789298497055E-2</v>
      </c>
      <c r="U67" s="35">
        <f t="shared" si="44"/>
        <v>3.3218729854568863E-2</v>
      </c>
    </row>
    <row r="68" spans="2:21" x14ac:dyDescent="0.35">
      <c r="B68" t="s">
        <v>62</v>
      </c>
    </row>
    <row r="69" spans="2:21" x14ac:dyDescent="0.35">
      <c r="B69" t="s">
        <v>56</v>
      </c>
      <c r="C69" s="72">
        <f t="shared" ref="C69:G69" si="50">+C6</f>
        <v>1671570</v>
      </c>
      <c r="D69" s="72">
        <f t="shared" si="50"/>
        <v>1197103</v>
      </c>
      <c r="E69" s="72">
        <f t="shared" si="50"/>
        <v>1120867.6000000001</v>
      </c>
      <c r="F69" s="72">
        <f t="shared" si="50"/>
        <v>1047795.152</v>
      </c>
      <c r="G69" s="72">
        <f t="shared" si="50"/>
        <v>1056802.3900000001</v>
      </c>
      <c r="H69" s="72">
        <f t="shared" ref="H69:K69" si="51">+H6</f>
        <v>1089276.22</v>
      </c>
      <c r="I69" s="72">
        <f t="shared" si="51"/>
        <v>459093.25420000002</v>
      </c>
      <c r="J69" s="72">
        <f t="shared" si="51"/>
        <v>1719442.01</v>
      </c>
      <c r="K69" s="72">
        <f t="shared" si="51"/>
        <v>1346564.29</v>
      </c>
      <c r="M69" s="35">
        <f t="shared" ref="M69:T72" si="52">+C69/C$74</f>
        <v>0.17346197865391463</v>
      </c>
      <c r="N69" s="35">
        <f t="shared" si="52"/>
        <v>0.21316741301487876</v>
      </c>
      <c r="O69" s="35">
        <f t="shared" si="52"/>
        <v>0.17086501320484679</v>
      </c>
      <c r="P69" s="35">
        <f t="shared" si="52"/>
        <v>0.15876211742453145</v>
      </c>
      <c r="Q69" s="35">
        <f t="shared" si="52"/>
        <v>0.1588032506080827</v>
      </c>
      <c r="R69" s="35">
        <f t="shared" si="52"/>
        <v>0.16905502335635453</v>
      </c>
      <c r="S69" s="35">
        <f t="shared" si="52"/>
        <v>7.1449714453877572E-2</v>
      </c>
      <c r="T69" s="35">
        <f t="shared" si="52"/>
        <v>0.16478374452159908</v>
      </c>
      <c r="U69" s="35">
        <f t="shared" ref="U69:U72" si="53">+K69/K$74</f>
        <v>0.18935790904366323</v>
      </c>
    </row>
    <row r="70" spans="2:21" x14ac:dyDescent="0.35">
      <c r="B70" t="s">
        <v>57</v>
      </c>
      <c r="C70" s="72">
        <f t="shared" ref="C70:G70" si="54">+C14</f>
        <v>224284</v>
      </c>
      <c r="D70" s="72">
        <f t="shared" si="54"/>
        <v>162019</v>
      </c>
      <c r="E70" s="72">
        <f t="shared" si="54"/>
        <v>148471.29</v>
      </c>
      <c r="F70" s="72">
        <f t="shared" si="54"/>
        <v>146946.73374999998</v>
      </c>
      <c r="G70" s="72">
        <f t="shared" si="54"/>
        <v>139900.12999999998</v>
      </c>
      <c r="H70" s="72">
        <f t="shared" ref="H70:K70" si="55">+H14</f>
        <v>139996.79999999999</v>
      </c>
      <c r="I70" s="72">
        <f t="shared" si="55"/>
        <v>123865.52</v>
      </c>
      <c r="J70" s="72">
        <f t="shared" si="55"/>
        <v>179933.24</v>
      </c>
      <c r="K70" s="72">
        <f t="shared" si="55"/>
        <v>131724.29999999999</v>
      </c>
      <c r="M70" s="35">
        <f t="shared" si="52"/>
        <v>2.3274374642051836E-2</v>
      </c>
      <c r="N70" s="35">
        <f t="shared" si="52"/>
        <v>2.8850626127624474E-2</v>
      </c>
      <c r="O70" s="35">
        <f t="shared" si="52"/>
        <v>2.2632957653866196E-2</v>
      </c>
      <c r="P70" s="35">
        <f t="shared" si="52"/>
        <v>2.2265396584664535E-2</v>
      </c>
      <c r="Q70" s="35">
        <f t="shared" si="52"/>
        <v>2.1022468925806784E-2</v>
      </c>
      <c r="R70" s="35">
        <f t="shared" si="52"/>
        <v>2.1727420335876692E-2</v>
      </c>
      <c r="S70" s="35">
        <f t="shared" si="52"/>
        <v>1.9277469127929218E-2</v>
      </c>
      <c r="T70" s="35">
        <f t="shared" si="52"/>
        <v>1.7244008741593774E-2</v>
      </c>
      <c r="U70" s="35">
        <f t="shared" si="53"/>
        <v>1.8523466130414171E-2</v>
      </c>
    </row>
    <row r="71" spans="2:21" x14ac:dyDescent="0.35">
      <c r="B71" t="s">
        <v>59</v>
      </c>
      <c r="C71" s="72">
        <f t="shared" ref="C71:G71" si="56">+C5</f>
        <v>176394</v>
      </c>
      <c r="D71" s="72">
        <f t="shared" si="56"/>
        <v>130168</v>
      </c>
      <c r="E71" s="72">
        <f t="shared" si="56"/>
        <v>122570.93999999999</v>
      </c>
      <c r="F71" s="72">
        <f t="shared" si="56"/>
        <v>125090.20724999999</v>
      </c>
      <c r="G71" s="72">
        <f t="shared" si="56"/>
        <v>127694.86786090421</v>
      </c>
      <c r="H71" s="72">
        <f t="shared" ref="H71:K71" si="57">+H5</f>
        <v>121222.14</v>
      </c>
      <c r="I71" s="72">
        <f t="shared" si="57"/>
        <v>127755.55</v>
      </c>
      <c r="J71" s="72">
        <f t="shared" si="57"/>
        <v>191225.08</v>
      </c>
      <c r="K71" s="72">
        <f t="shared" si="57"/>
        <v>159934.34</v>
      </c>
      <c r="M71" s="35">
        <f t="shared" si="52"/>
        <v>1.8304738816010468E-2</v>
      </c>
      <c r="N71" s="35">
        <f t="shared" si="52"/>
        <v>2.3178937666450371E-2</v>
      </c>
      <c r="O71" s="35">
        <f t="shared" si="52"/>
        <v>1.8684709310564849E-2</v>
      </c>
      <c r="P71" s="35">
        <f t="shared" si="52"/>
        <v>1.8953691601050159E-2</v>
      </c>
      <c r="Q71" s="35">
        <f t="shared" si="52"/>
        <v>1.9188412416706567E-2</v>
      </c>
      <c r="R71" s="35">
        <f t="shared" si="52"/>
        <v>1.8813604238057523E-2</v>
      </c>
      <c r="S71" s="35">
        <f t="shared" si="52"/>
        <v>1.9882883235355711E-2</v>
      </c>
      <c r="T71" s="35">
        <f t="shared" si="52"/>
        <v>1.8326168923162665E-2</v>
      </c>
      <c r="U71" s="35">
        <f t="shared" si="53"/>
        <v>2.2490446562100877E-2</v>
      </c>
    </row>
    <row r="72" spans="2:21" x14ac:dyDescent="0.35">
      <c r="B72" s="73" t="s">
        <v>63</v>
      </c>
      <c r="C72" s="72">
        <f t="shared" ref="C72:G72" si="58">SUM(C13,C15:C17,C19:C20)</f>
        <v>2809872</v>
      </c>
      <c r="D72" s="72">
        <f t="shared" si="58"/>
        <v>2148113</v>
      </c>
      <c r="E72" s="72">
        <f t="shared" si="58"/>
        <v>1853742.0955300224</v>
      </c>
      <c r="F72" s="72">
        <f t="shared" si="58"/>
        <v>1937793.7417500003</v>
      </c>
      <c r="G72" s="72">
        <f t="shared" si="58"/>
        <v>1878920.6</v>
      </c>
      <c r="H72" s="72">
        <f t="shared" ref="H72:K72" si="59">SUM(H13,H15:H17,H19:H20)</f>
        <v>1715419.3499999999</v>
      </c>
      <c r="I72" s="72">
        <f t="shared" si="59"/>
        <v>2132645.16</v>
      </c>
      <c r="J72" s="72">
        <f t="shared" si="59"/>
        <v>2899868.54</v>
      </c>
      <c r="K72" s="72">
        <f t="shared" si="59"/>
        <v>2259731.35</v>
      </c>
      <c r="M72" s="35">
        <f t="shared" si="52"/>
        <v>0.29158572891606838</v>
      </c>
      <c r="N72" s="35">
        <f t="shared" si="52"/>
        <v>0.38251319316185012</v>
      </c>
      <c r="O72" s="35">
        <f t="shared" si="52"/>
        <v>0.28258437270478476</v>
      </c>
      <c r="P72" s="35">
        <f t="shared" si="52"/>
        <v>0.29361487022058269</v>
      </c>
      <c r="Q72" s="35">
        <f t="shared" si="52"/>
        <v>0.28234105234611467</v>
      </c>
      <c r="R72" s="35">
        <f t="shared" si="52"/>
        <v>0.2662320658025496</v>
      </c>
      <c r="S72" s="35">
        <f t="shared" si="52"/>
        <v>0.33190835700465854</v>
      </c>
      <c r="T72" s="35">
        <f t="shared" si="52"/>
        <v>0.27791062092380919</v>
      </c>
      <c r="U72" s="35">
        <f t="shared" si="53"/>
        <v>0.31777019976997484</v>
      </c>
    </row>
    <row r="74" spans="2:21" x14ac:dyDescent="0.35">
      <c r="C74" s="72">
        <f t="shared" ref="C74:G74" si="60">SUM(C59:C72)</f>
        <v>9636521</v>
      </c>
      <c r="D74" s="72">
        <f t="shared" si="60"/>
        <v>5615788</v>
      </c>
      <c r="E74" s="72">
        <f t="shared" si="60"/>
        <v>6559959.6955300234</v>
      </c>
      <c r="F74" s="72">
        <f t="shared" si="60"/>
        <v>6599780.6592499996</v>
      </c>
      <c r="G74" s="72">
        <f t="shared" si="60"/>
        <v>6654790.6667737402</v>
      </c>
      <c r="H74" s="72">
        <f t="shared" ref="H74:K74" si="61">SUM(H59:H72)</f>
        <v>6443323.5899999989</v>
      </c>
      <c r="I74" s="72">
        <f t="shared" si="61"/>
        <v>6425403.6241999995</v>
      </c>
      <c r="J74" s="72">
        <f t="shared" si="61"/>
        <v>10434536.579999998</v>
      </c>
      <c r="K74" s="72">
        <f t="shared" si="61"/>
        <v>7111212.2899999991</v>
      </c>
      <c r="M74" s="35">
        <f t="shared" ref="M74:U74" si="62">SUM(M59:M72)</f>
        <v>1</v>
      </c>
      <c r="N74" s="35">
        <f t="shared" si="62"/>
        <v>1</v>
      </c>
      <c r="O74" s="35">
        <f t="shared" si="62"/>
        <v>1</v>
      </c>
      <c r="P74" s="35">
        <f t="shared" si="62"/>
        <v>1</v>
      </c>
      <c r="Q74" s="35">
        <f t="shared" si="62"/>
        <v>1</v>
      </c>
      <c r="R74" s="35">
        <f t="shared" ref="R74:T74" si="63">SUM(R59:R72)</f>
        <v>1.0000000000000002</v>
      </c>
      <c r="S74" s="35">
        <f t="shared" si="63"/>
        <v>1.0000000000000002</v>
      </c>
      <c r="T74" s="35">
        <f t="shared" si="63"/>
        <v>1.0000000000000002</v>
      </c>
      <c r="U74" s="35">
        <f t="shared" si="62"/>
        <v>1.0000000000000002</v>
      </c>
    </row>
  </sheetData>
  <mergeCells count="1">
    <mergeCell ref="B2:D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A44"/>
  <sheetViews>
    <sheetView tabSelected="1" workbookViewId="0">
      <pane xSplit="2" ySplit="3" topLeftCell="O4" activePane="bottomRight" state="frozen"/>
      <selection pane="topRight" activeCell="C1" sqref="C1"/>
      <selection pane="bottomLeft" activeCell="A4" sqref="A4"/>
      <selection pane="bottomRight" activeCell="AB5" sqref="AB5"/>
    </sheetView>
  </sheetViews>
  <sheetFormatPr defaultRowHeight="14.5" x14ac:dyDescent="0.35"/>
  <cols>
    <col min="2" max="2" width="65.1796875" bestFit="1" customWidth="1"/>
    <col min="3" max="3" width="16.81640625" bestFit="1" customWidth="1"/>
    <col min="4" max="4" width="15.81640625" bestFit="1" customWidth="1"/>
    <col min="5" max="11" width="15.81640625" customWidth="1"/>
    <col min="13" max="13" width="16.81640625" bestFit="1" customWidth="1"/>
    <col min="14" max="14" width="15.81640625" bestFit="1" customWidth="1"/>
    <col min="15" max="21" width="15.81640625" customWidth="1"/>
  </cols>
  <sheetData>
    <row r="1" spans="2:27" x14ac:dyDescent="0.35">
      <c r="H1" t="s">
        <v>72</v>
      </c>
      <c r="I1" t="s">
        <v>72</v>
      </c>
      <c r="R1" t="s">
        <v>72</v>
      </c>
      <c r="S1" t="s">
        <v>72</v>
      </c>
    </row>
    <row r="2" spans="2:27" x14ac:dyDescent="0.35">
      <c r="B2" s="85" t="s">
        <v>30</v>
      </c>
      <c r="C2" s="86"/>
      <c r="D2" s="87"/>
      <c r="E2" s="51"/>
      <c r="F2" s="51"/>
      <c r="G2" s="51"/>
      <c r="H2" s="51"/>
      <c r="I2" s="51"/>
      <c r="J2" s="51"/>
      <c r="K2" s="51"/>
    </row>
    <row r="3" spans="2:27" x14ac:dyDescent="0.35">
      <c r="B3" s="1"/>
      <c r="C3" s="62" t="s">
        <v>41</v>
      </c>
      <c r="D3" s="63" t="s">
        <v>42</v>
      </c>
      <c r="E3" s="63" t="s">
        <v>43</v>
      </c>
      <c r="F3" s="64" t="s">
        <v>44</v>
      </c>
      <c r="G3" s="59" t="s">
        <v>50</v>
      </c>
      <c r="H3" s="59" t="s">
        <v>65</v>
      </c>
      <c r="I3" s="59" t="s">
        <v>69</v>
      </c>
      <c r="J3" s="59" t="s">
        <v>70</v>
      </c>
      <c r="K3" s="59" t="s">
        <v>71</v>
      </c>
      <c r="M3" s="62" t="str">
        <f t="shared" ref="M3:U3" si="0">+C3</f>
        <v xml:space="preserve">FY2016 </v>
      </c>
      <c r="N3" s="62" t="str">
        <f t="shared" si="0"/>
        <v xml:space="preserve">FY2017 </v>
      </c>
      <c r="O3" s="62" t="str">
        <f t="shared" si="0"/>
        <v>FY2018</v>
      </c>
      <c r="P3" s="62" t="str">
        <f t="shared" si="0"/>
        <v>FY2019</v>
      </c>
      <c r="Q3" s="62" t="str">
        <f t="shared" si="0"/>
        <v>FY2020</v>
      </c>
      <c r="R3" s="62" t="str">
        <f t="shared" si="0"/>
        <v>FY2021</v>
      </c>
      <c r="S3" s="62" t="str">
        <f t="shared" si="0"/>
        <v>FY2022</v>
      </c>
      <c r="T3" s="62" t="str">
        <f t="shared" si="0"/>
        <v>FY2023</v>
      </c>
      <c r="U3" s="62" t="str">
        <f t="shared" si="0"/>
        <v>FY2024</v>
      </c>
      <c r="W3" s="2" t="s">
        <v>45</v>
      </c>
      <c r="X3" s="59" t="s">
        <v>47</v>
      </c>
      <c r="Y3" s="59" t="s">
        <v>46</v>
      </c>
    </row>
    <row r="4" spans="2:27" x14ac:dyDescent="0.35">
      <c r="B4" s="3" t="s">
        <v>1</v>
      </c>
      <c r="C4" s="38">
        <f>(SUM(25276+12011))+82506</f>
        <v>119793</v>
      </c>
      <c r="D4" s="40">
        <v>104480</v>
      </c>
      <c r="E4" s="65">
        <v>188658.27</v>
      </c>
      <c r="F4" s="40">
        <v>207102.48000000004</v>
      </c>
      <c r="G4" s="70">
        <v>161447.2399633789</v>
      </c>
      <c r="H4" s="70">
        <v>123006.12</v>
      </c>
      <c r="I4" s="70">
        <v>174055.09000000003</v>
      </c>
      <c r="J4" s="70">
        <v>243311</v>
      </c>
      <c r="K4" s="82">
        <v>166269.65</v>
      </c>
      <c r="M4" s="35">
        <f t="shared" ref="M4:U7" si="1">+C4/C$16</f>
        <v>0.33974384426457327</v>
      </c>
      <c r="N4" s="35">
        <f t="shared" si="1"/>
        <v>0.31131558246525709</v>
      </c>
      <c r="O4" s="35">
        <f t="shared" si="1"/>
        <v>0.40118008759908996</v>
      </c>
      <c r="P4" s="35">
        <f t="shared" si="1"/>
        <v>0.44819151057713702</v>
      </c>
      <c r="Q4" s="35">
        <f t="shared" si="1"/>
        <v>0.42904403214609876</v>
      </c>
      <c r="R4" s="35">
        <f t="shared" si="1"/>
        <v>0.35046609386451022</v>
      </c>
      <c r="S4" s="35">
        <f t="shared" si="1"/>
        <v>0.36862141844889362</v>
      </c>
      <c r="T4" s="35">
        <f t="shared" si="1"/>
        <v>0.50806294734350421</v>
      </c>
      <c r="U4" s="35">
        <f t="shared" si="1"/>
        <v>0.38693975621324461</v>
      </c>
      <c r="W4" s="35">
        <f>SUM(C4:$K4)/SUM(C$26:$K$26)</f>
        <v>4.6736248890435809E-2</v>
      </c>
      <c r="X4" s="35">
        <f>SUM(G4:$I4)/SUM(G$26:$I$26)</f>
        <v>4.5553625805778514E-2</v>
      </c>
      <c r="Y4" s="35">
        <f>SUM(H4:$I4)/SUM(H$26:$I$26)</f>
        <v>4.2448105537592172E-2</v>
      </c>
      <c r="AA4" t="s">
        <v>33</v>
      </c>
    </row>
    <row r="5" spans="2:27" x14ac:dyDescent="0.35">
      <c r="B5" s="3" t="s">
        <v>2</v>
      </c>
      <c r="C5" s="39">
        <f>(SUM(7556+349))+59361</f>
        <v>67266</v>
      </c>
      <c r="D5" s="41">
        <v>65986</v>
      </c>
      <c r="E5" s="66">
        <v>97494.520000000019</v>
      </c>
      <c r="F5" s="41">
        <v>73682.279899999994</v>
      </c>
      <c r="G5" s="60">
        <v>61293.340043945318</v>
      </c>
      <c r="H5" s="60">
        <v>51232.86</v>
      </c>
      <c r="I5" s="60">
        <v>68808.850000000006</v>
      </c>
      <c r="J5" s="60">
        <v>98091</v>
      </c>
      <c r="K5" s="83">
        <v>76260.11</v>
      </c>
      <c r="M5" s="35">
        <f t="shared" si="1"/>
        <v>0.19077249445544217</v>
      </c>
      <c r="N5" s="35">
        <f t="shared" si="1"/>
        <v>0.19661629043407786</v>
      </c>
      <c r="O5" s="35">
        <f t="shared" si="1"/>
        <v>0.20732120608352464</v>
      </c>
      <c r="P5" s="35">
        <f t="shared" si="1"/>
        <v>0.15945618966585245</v>
      </c>
      <c r="Q5" s="35">
        <f t="shared" si="1"/>
        <v>0.16288628880940492</v>
      </c>
      <c r="R5" s="35">
        <f t="shared" si="1"/>
        <v>0.14597143883334676</v>
      </c>
      <c r="S5" s="35">
        <f t="shared" si="1"/>
        <v>0.1457263668005179</v>
      </c>
      <c r="T5" s="35">
        <f t="shared" si="1"/>
        <v>0.20482593293304321</v>
      </c>
      <c r="U5" s="35">
        <f t="shared" si="1"/>
        <v>0.17747116429363519</v>
      </c>
      <c r="W5" s="35">
        <f>SUM(C5:$K5)/SUM(C$26:$K$26)</f>
        <v>2.073168694708203E-2</v>
      </c>
      <c r="X5" s="35">
        <f>SUM(G5:$I5)/SUM(G$26:$I$26)</f>
        <v>1.8015958082852716E-2</v>
      </c>
      <c r="Y5" s="35">
        <f>SUM(H5:$I5)/SUM(H$26:$I$26)</f>
        <v>1.7153175855551903E-2</v>
      </c>
      <c r="AA5" t="s">
        <v>33</v>
      </c>
    </row>
    <row r="6" spans="2:27" x14ac:dyDescent="0.35">
      <c r="B6" s="3" t="s">
        <v>4</v>
      </c>
      <c r="C6" s="39">
        <f>90676+713+2143</f>
        <v>93532</v>
      </c>
      <c r="D6" s="41">
        <v>81554</v>
      </c>
      <c r="E6" s="66">
        <v>85012.92</v>
      </c>
      <c r="F6" s="41">
        <v>92265.67</v>
      </c>
      <c r="G6" s="60">
        <v>71516.19</v>
      </c>
      <c r="H6" s="60">
        <v>83543.33</v>
      </c>
      <c r="I6" s="60">
        <v>114053.99</v>
      </c>
      <c r="J6" s="79">
        <v>4404</v>
      </c>
      <c r="K6" s="60">
        <v>85744.05</v>
      </c>
      <c r="M6" s="35">
        <f t="shared" si="1"/>
        <v>0.26526525958740549</v>
      </c>
      <c r="N6" s="35">
        <f t="shared" si="1"/>
        <v>0.2430037424614431</v>
      </c>
      <c r="O6" s="35">
        <f t="shared" si="1"/>
        <v>0.1807791977136991</v>
      </c>
      <c r="P6" s="35">
        <f t="shared" si="1"/>
        <v>0.19967259692743239</v>
      </c>
      <c r="Q6" s="35">
        <f t="shared" si="1"/>
        <v>0.19005338541734421</v>
      </c>
      <c r="R6" s="35">
        <f t="shared" si="1"/>
        <v>0.23802965684580374</v>
      </c>
      <c r="S6" s="35">
        <f t="shared" si="1"/>
        <v>0.24154848659442207</v>
      </c>
      <c r="T6" s="35">
        <f t="shared" si="1"/>
        <v>9.1960873947367471E-3</v>
      </c>
      <c r="U6" s="35">
        <f t="shared" si="1"/>
        <v>0.19954201986794501</v>
      </c>
      <c r="W6" s="35">
        <f>SUM(C6:$K6)/SUM(C$26:$K$26)</f>
        <v>2.2349456474081472E-2</v>
      </c>
      <c r="X6" s="35">
        <f>SUM(G6:$I6)/SUM(G$26:$I$26)</f>
        <v>2.6736903397960865E-2</v>
      </c>
      <c r="Y6" s="35">
        <f>SUM(H6:$I6)/SUM(H$26:$I$26)</f>
        <v>2.8235365678694203E-2</v>
      </c>
      <c r="AA6" t="s">
        <v>33</v>
      </c>
    </row>
    <row r="7" spans="2:27" x14ac:dyDescent="0.35">
      <c r="B7" s="8" t="s">
        <v>5</v>
      </c>
      <c r="C7" s="39">
        <v>256</v>
      </c>
      <c r="D7" s="41">
        <v>742</v>
      </c>
      <c r="E7" s="60">
        <v>382.86</v>
      </c>
      <c r="F7" s="60">
        <v>368.15999999999997</v>
      </c>
      <c r="G7" s="60">
        <v>499.00999542236332</v>
      </c>
      <c r="H7" s="60">
        <v>372.4</v>
      </c>
      <c r="I7" s="60">
        <v>377.56</v>
      </c>
      <c r="J7" s="60">
        <v>364.43</v>
      </c>
      <c r="K7" s="60">
        <v>382.39</v>
      </c>
      <c r="M7" s="35">
        <f t="shared" si="1"/>
        <v>7.2603928553196563E-4</v>
      </c>
      <c r="N7" s="35">
        <f t="shared" si="1"/>
        <v>2.2109127315201068E-3</v>
      </c>
      <c r="O7" s="35">
        <f t="shared" si="1"/>
        <v>8.1414829224389466E-4</v>
      </c>
      <c r="P7" s="35">
        <f t="shared" si="1"/>
        <v>7.9673689341662511E-4</v>
      </c>
      <c r="Q7" s="35">
        <f t="shared" si="1"/>
        <v>1.3261128562233751E-3</v>
      </c>
      <c r="R7" s="35">
        <f t="shared" si="1"/>
        <v>1.0610331693670495E-3</v>
      </c>
      <c r="S7" s="35">
        <f t="shared" si="1"/>
        <v>7.9961294294561721E-4</v>
      </c>
      <c r="T7" s="35">
        <f t="shared" si="1"/>
        <v>7.6097414379289576E-4</v>
      </c>
      <c r="U7" s="35">
        <f t="shared" si="1"/>
        <v>8.8989117002641566E-4</v>
      </c>
      <c r="W7" s="35">
        <f>SUM(C7:$K7)/SUM(C$26:$K$26)</f>
        <v>1.1761016370238408E-4</v>
      </c>
      <c r="X7" s="35">
        <f>SUM(G7:$I7)/SUM(G$26:$I$26)</f>
        <v>1.2408737901920775E-4</v>
      </c>
      <c r="Y7" s="35">
        <f>SUM(H7:$I7)/SUM(H$26:$I$26)</f>
        <v>1.0716438281851953E-4</v>
      </c>
      <c r="AA7" t="s">
        <v>33</v>
      </c>
    </row>
    <row r="8" spans="2:27" x14ac:dyDescent="0.35">
      <c r="B8" s="9"/>
      <c r="C8" s="6"/>
      <c r="D8" s="7"/>
      <c r="E8" s="53"/>
      <c r="F8" s="53"/>
      <c r="G8" s="53"/>
      <c r="H8" s="53"/>
      <c r="I8" s="53"/>
      <c r="J8" s="53"/>
      <c r="K8" s="53"/>
      <c r="M8" s="36"/>
      <c r="N8" s="36"/>
      <c r="O8" s="36"/>
      <c r="P8" s="36"/>
      <c r="Q8" s="36"/>
      <c r="R8" s="36"/>
      <c r="S8" s="36"/>
      <c r="T8" s="36"/>
      <c r="U8" s="36"/>
      <c r="Y8" s="35"/>
    </row>
    <row r="9" spans="2:27" x14ac:dyDescent="0.35">
      <c r="B9" s="3" t="s">
        <v>10</v>
      </c>
      <c r="C9" s="6"/>
      <c r="D9" s="7"/>
      <c r="E9" s="53"/>
      <c r="F9" s="53"/>
      <c r="G9" s="53"/>
      <c r="H9" s="53"/>
      <c r="I9" s="53"/>
      <c r="J9" s="53"/>
      <c r="K9" s="53"/>
      <c r="M9" s="36"/>
      <c r="N9" s="36"/>
      <c r="O9" s="36"/>
      <c r="P9" s="36"/>
      <c r="Q9" s="36"/>
      <c r="R9" s="36"/>
      <c r="S9" s="36"/>
      <c r="T9" s="36"/>
      <c r="U9" s="36"/>
      <c r="Y9" s="35"/>
    </row>
    <row r="10" spans="2:27" x14ac:dyDescent="0.35">
      <c r="B10" s="10" t="s">
        <v>13</v>
      </c>
      <c r="C10" s="42">
        <v>5677</v>
      </c>
      <c r="D10" s="43">
        <v>8233</v>
      </c>
      <c r="E10" s="61">
        <v>5844.42</v>
      </c>
      <c r="F10" s="61">
        <v>5435.9999999999982</v>
      </c>
      <c r="G10" s="61">
        <v>6224.2000242614749</v>
      </c>
      <c r="H10" s="61">
        <v>16193.77</v>
      </c>
      <c r="I10" s="61">
        <v>16176.39</v>
      </c>
      <c r="J10" s="61">
        <v>24869.11</v>
      </c>
      <c r="K10" s="61">
        <v>11867.55</v>
      </c>
      <c r="M10" s="35">
        <f t="shared" ref="M10:U15" si="2">+C10/C$16</f>
        <v>1.6100488374863157E-2</v>
      </c>
      <c r="N10" s="35">
        <f t="shared" si="2"/>
        <v>2.4531596386260162E-2</v>
      </c>
      <c r="O10" s="35">
        <f t="shared" si="2"/>
        <v>1.2428105736185715E-2</v>
      </c>
      <c r="P10" s="35">
        <f t="shared" si="2"/>
        <v>1.1764074730043386E-2</v>
      </c>
      <c r="Q10" s="35">
        <f t="shared" si="2"/>
        <v>1.6540734148807551E-2</v>
      </c>
      <c r="R10" s="35">
        <f t="shared" si="2"/>
        <v>4.6138902006178963E-2</v>
      </c>
      <c r="S10" s="35">
        <f t="shared" si="2"/>
        <v>3.4259060319250058E-2</v>
      </c>
      <c r="T10" s="35">
        <f t="shared" si="2"/>
        <v>5.1929725020281925E-2</v>
      </c>
      <c r="U10" s="35">
        <f t="shared" si="2"/>
        <v>2.7617950142124502E-2</v>
      </c>
      <c r="W10" s="35">
        <f>SUM(C10:$K10)/SUM(C$26:$K$26)</f>
        <v>3.1569940881658481E-3</v>
      </c>
      <c r="X10" s="35">
        <f>SUM(G10:$I10)/SUM(G$26:$I$26)</f>
        <v>3.8344179587074677E-3</v>
      </c>
      <c r="Y10" s="35">
        <f>SUM(H10:$I10)/SUM(H$26:$I$26)</f>
        <v>4.6254843166791933E-3</v>
      </c>
      <c r="AA10" t="s">
        <v>33</v>
      </c>
    </row>
    <row r="11" spans="2:27" x14ac:dyDescent="0.35">
      <c r="B11" s="9" t="s">
        <v>14</v>
      </c>
      <c r="C11" s="42">
        <v>4186</v>
      </c>
      <c r="D11" s="43">
        <v>4949</v>
      </c>
      <c r="E11" s="61">
        <v>5622.2400000000016</v>
      </c>
      <c r="F11" s="61">
        <v>5899.89</v>
      </c>
      <c r="G11" s="61">
        <v>3994.8500131988526</v>
      </c>
      <c r="H11" s="61">
        <v>4195.55</v>
      </c>
      <c r="I11" s="61">
        <v>4993.54</v>
      </c>
      <c r="J11" s="61">
        <v>4525</v>
      </c>
      <c r="K11" s="61">
        <v>3942.58</v>
      </c>
      <c r="M11" s="35">
        <f t="shared" si="2"/>
        <v>1.1871876754831281E-2</v>
      </c>
      <c r="N11" s="35">
        <f t="shared" si="2"/>
        <v>1.4746370765893543E-2</v>
      </c>
      <c r="O11" s="35">
        <f t="shared" si="2"/>
        <v>1.1955641995991525E-2</v>
      </c>
      <c r="P11" s="35">
        <f t="shared" si="2"/>
        <v>1.2767981394230261E-2</v>
      </c>
      <c r="Q11" s="35">
        <f t="shared" si="2"/>
        <v>1.0616264222730043E-2</v>
      </c>
      <c r="R11" s="35">
        <f t="shared" si="2"/>
        <v>1.1953860670617414E-2</v>
      </c>
      <c r="S11" s="35">
        <f t="shared" si="2"/>
        <v>1.0575535584057254E-2</v>
      </c>
      <c r="T11" s="35">
        <f t="shared" si="2"/>
        <v>9.4487501047192963E-3</v>
      </c>
      <c r="U11" s="35">
        <f t="shared" si="2"/>
        <v>9.1751016740049315E-3</v>
      </c>
      <c r="W11" s="35">
        <f>SUM(C11:$K11)/SUM(C$26:$K$26)</f>
        <v>1.3287529300983869E-3</v>
      </c>
      <c r="X11" s="35">
        <f>SUM(G11:$I11)/SUM(G$26:$I$26)</f>
        <v>1.3098477684654649E-3</v>
      </c>
      <c r="Y11" s="35">
        <f>SUM(H11:$I11)/SUM(H$26:$I$26)</f>
        <v>1.3130609079335294E-3</v>
      </c>
      <c r="AA11" t="s">
        <v>33</v>
      </c>
    </row>
    <row r="12" spans="2:27" x14ac:dyDescent="0.35">
      <c r="B12" s="10" t="s">
        <v>15</v>
      </c>
      <c r="C12" s="42">
        <v>3063</v>
      </c>
      <c r="D12" s="43">
        <v>3282</v>
      </c>
      <c r="E12" s="61">
        <v>4451.5099999999993</v>
      </c>
      <c r="F12" s="61">
        <v>4912.87</v>
      </c>
      <c r="G12" s="61">
        <v>4199.5100196838375</v>
      </c>
      <c r="H12" s="61">
        <v>5743.91</v>
      </c>
      <c r="I12" s="61">
        <v>5959.2</v>
      </c>
      <c r="J12" s="61">
        <v>7455.78</v>
      </c>
      <c r="K12" s="61">
        <v>5622.56</v>
      </c>
      <c r="M12" s="35">
        <f t="shared" si="2"/>
        <v>8.6869466077516035E-3</v>
      </c>
      <c r="N12" s="35">
        <f t="shared" si="2"/>
        <v>9.7792662868584779E-3</v>
      </c>
      <c r="O12" s="35">
        <f t="shared" si="2"/>
        <v>9.4660953466191786E-3</v>
      </c>
      <c r="P12" s="35">
        <f t="shared" si="2"/>
        <v>1.0631966486200932E-2</v>
      </c>
      <c r="Q12" s="35">
        <f t="shared" si="2"/>
        <v>1.1160145644433395E-2</v>
      </c>
      <c r="R12" s="35">
        <f t="shared" si="2"/>
        <v>1.6365410934100669E-2</v>
      </c>
      <c r="S12" s="35">
        <f t="shared" si="2"/>
        <v>1.2620652213162204E-2</v>
      </c>
      <c r="T12" s="35">
        <f t="shared" si="2"/>
        <v>1.5568575039947853E-2</v>
      </c>
      <c r="U12" s="35">
        <f t="shared" si="2"/>
        <v>1.3084721088270414E-2</v>
      </c>
      <c r="W12" s="35">
        <f>SUM(C12:$K12)/SUM(C$26:$K$26)</f>
        <v>1.40355270682763E-3</v>
      </c>
      <c r="X12" s="35">
        <f>SUM(G12:$I12)/SUM(G$26:$I$26)</f>
        <v>1.5799534376433396E-3</v>
      </c>
      <c r="Y12" s="35">
        <f>SUM(H12:$I12)/SUM(H$26:$I$26)</f>
        <v>1.6722979361662544E-3</v>
      </c>
      <c r="AA12" t="s">
        <v>33</v>
      </c>
    </row>
    <row r="13" spans="2:27" x14ac:dyDescent="0.35">
      <c r="B13" s="9" t="s">
        <v>20</v>
      </c>
      <c r="C13" s="42">
        <v>3946</v>
      </c>
      <c r="D13" s="43">
        <v>3590</v>
      </c>
      <c r="E13" s="61">
        <v>3990.3399999999997</v>
      </c>
      <c r="F13" s="61">
        <v>4564.53</v>
      </c>
      <c r="G13" s="61">
        <v>4077.6500451660158</v>
      </c>
      <c r="H13" s="61">
        <v>4914.72</v>
      </c>
      <c r="I13" s="61">
        <v>5967.78</v>
      </c>
      <c r="J13" s="61">
        <v>5908</v>
      </c>
      <c r="K13" s="61">
        <v>4558.67</v>
      </c>
      <c r="M13" s="35">
        <f t="shared" si="2"/>
        <v>1.1191214924645063E-2</v>
      </c>
      <c r="N13" s="35">
        <f t="shared" si="2"/>
        <v>1.0697003647112107E-2</v>
      </c>
      <c r="O13" s="35">
        <f t="shared" si="2"/>
        <v>8.4854215548046345E-3</v>
      </c>
      <c r="P13" s="35">
        <f t="shared" si="2"/>
        <v>9.8781221537021617E-3</v>
      </c>
      <c r="Q13" s="35">
        <f t="shared" si="2"/>
        <v>1.0836304277828388E-2</v>
      </c>
      <c r="R13" s="35">
        <f t="shared" si="2"/>
        <v>1.4002902626615537E-2</v>
      </c>
      <c r="S13" s="35">
        <f t="shared" si="2"/>
        <v>1.2638823309280631E-2</v>
      </c>
      <c r="T13" s="35">
        <f t="shared" si="2"/>
        <v>1.2336622236172731E-2</v>
      </c>
      <c r="U13" s="35">
        <f t="shared" si="2"/>
        <v>1.0608855304961742E-2</v>
      </c>
      <c r="W13" s="35">
        <f>SUM(C13:$K13)/SUM(C$26:$K$26)</f>
        <v>1.3039119017321712E-3</v>
      </c>
      <c r="X13" s="35">
        <f>SUM(G13:$I13)/SUM(G$26:$I$26)</f>
        <v>1.4863173780335429E-3</v>
      </c>
      <c r="Y13" s="35">
        <f>SUM(H13:$I13)/SUM(H$26:$I$26)</f>
        <v>1.5550381300636551E-3</v>
      </c>
      <c r="AA13" t="s">
        <v>33</v>
      </c>
    </row>
    <row r="14" spans="2:27" x14ac:dyDescent="0.35">
      <c r="B14" s="18" t="s">
        <v>32</v>
      </c>
      <c r="C14" s="44"/>
      <c r="D14" s="45"/>
      <c r="E14" s="61"/>
      <c r="F14" s="61"/>
      <c r="G14" s="61"/>
      <c r="H14" s="61"/>
      <c r="I14" s="61"/>
      <c r="J14" s="61"/>
      <c r="K14" s="61"/>
      <c r="M14" s="35">
        <f t="shared" si="2"/>
        <v>0</v>
      </c>
      <c r="N14" s="35">
        <f t="shared" si="2"/>
        <v>0</v>
      </c>
      <c r="O14" s="35">
        <f t="shared" si="2"/>
        <v>0</v>
      </c>
      <c r="P14" s="35">
        <f t="shared" si="2"/>
        <v>0</v>
      </c>
      <c r="Q14" s="35">
        <f t="shared" si="2"/>
        <v>0</v>
      </c>
      <c r="R14" s="35">
        <f t="shared" si="2"/>
        <v>0</v>
      </c>
      <c r="S14" s="35">
        <f t="shared" si="2"/>
        <v>0</v>
      </c>
      <c r="T14" s="35">
        <f t="shared" si="2"/>
        <v>0</v>
      </c>
      <c r="U14" s="35">
        <f t="shared" si="2"/>
        <v>0</v>
      </c>
      <c r="W14" s="35">
        <f>SUM(C14:$K14)/SUM(C$26:$K$26)</f>
        <v>0</v>
      </c>
      <c r="X14" s="35">
        <f>SUM(G14:$I14)/SUM(G$26:$I$26)</f>
        <v>0</v>
      </c>
      <c r="Y14" s="35">
        <f>SUM(H14:$I14)/SUM(H$26:$I$26)</f>
        <v>0</v>
      </c>
      <c r="AA14" t="s">
        <v>33</v>
      </c>
    </row>
    <row r="15" spans="2:27" x14ac:dyDescent="0.35">
      <c r="B15" s="21" t="s">
        <v>22</v>
      </c>
      <c r="C15" s="46">
        <v>54879</v>
      </c>
      <c r="D15" s="47">
        <v>62792</v>
      </c>
      <c r="E15" s="61">
        <v>78801.23</v>
      </c>
      <c r="F15" s="61">
        <v>67852.91</v>
      </c>
      <c r="G15" s="61">
        <v>63043.28</v>
      </c>
      <c r="H15" s="61">
        <v>61776</v>
      </c>
      <c r="I15" s="61">
        <v>81786.05</v>
      </c>
      <c r="J15" s="61">
        <v>89971</v>
      </c>
      <c r="K15" s="61">
        <v>75056.67</v>
      </c>
      <c r="M15" s="35">
        <f t="shared" si="2"/>
        <v>0.15564183574495602</v>
      </c>
      <c r="N15" s="35">
        <f t="shared" si="2"/>
        <v>0.18709923482157756</v>
      </c>
      <c r="O15" s="35">
        <f t="shared" si="2"/>
        <v>0.1675700956778414</v>
      </c>
      <c r="P15" s="35">
        <f t="shared" si="2"/>
        <v>0.14684082117198463</v>
      </c>
      <c r="Q15" s="35">
        <f t="shared" si="2"/>
        <v>0.16753673247712925</v>
      </c>
      <c r="R15" s="35">
        <f t="shared" si="2"/>
        <v>0.17601070104945984</v>
      </c>
      <c r="S15" s="35">
        <f t="shared" si="2"/>
        <v>0.1732100437874706</v>
      </c>
      <c r="T15" s="35">
        <f t="shared" si="2"/>
        <v>0.18787038578380108</v>
      </c>
      <c r="U15" s="35">
        <f t="shared" si="2"/>
        <v>0.17467054024578721</v>
      </c>
      <c r="W15" s="35">
        <f>SUM(C15:$K15)/SUM(C$26:$K$26)</f>
        <v>1.9973013596068401E-2</v>
      </c>
      <c r="X15" s="35">
        <f>SUM(G15:$I15)/SUM(G$26:$I$26)</f>
        <v>2.0526605110660651E-2</v>
      </c>
      <c r="Y15" s="35">
        <f>SUM(H15:$I15)/SUM(H$26:$I$26)</f>
        <v>2.0514078730080858E-2</v>
      </c>
      <c r="AA15" t="s">
        <v>38</v>
      </c>
    </row>
    <row r="16" spans="2:27" x14ac:dyDescent="0.35">
      <c r="B16" s="24" t="s">
        <v>23</v>
      </c>
      <c r="C16" s="25">
        <f t="shared" ref="C16:G16" si="3">SUM(C4:C15)</f>
        <v>352598</v>
      </c>
      <c r="D16" s="25">
        <f t="shared" si="3"/>
        <v>335608</v>
      </c>
      <c r="E16" s="25">
        <f t="shared" si="3"/>
        <v>470258.31</v>
      </c>
      <c r="F16" s="25">
        <f t="shared" si="3"/>
        <v>462084.78990000009</v>
      </c>
      <c r="G16" s="25">
        <f t="shared" si="3"/>
        <v>376295.27010505681</v>
      </c>
      <c r="H16" s="25">
        <f t="shared" ref="H16:K16" si="4">SUM(H4:H15)</f>
        <v>350978.65999999992</v>
      </c>
      <c r="I16" s="25">
        <f t="shared" si="4"/>
        <v>472178.45000000007</v>
      </c>
      <c r="J16" s="25">
        <f t="shared" si="4"/>
        <v>478899.32</v>
      </c>
      <c r="K16" s="25">
        <f t="shared" si="4"/>
        <v>429704.23</v>
      </c>
      <c r="M16" s="37">
        <f t="shared" ref="M16:Q16" si="5">SUM(M4:M15)</f>
        <v>1</v>
      </c>
      <c r="N16" s="37">
        <f t="shared" si="5"/>
        <v>0.99999999999999989</v>
      </c>
      <c r="O16" s="37">
        <f t="shared" si="5"/>
        <v>1</v>
      </c>
      <c r="P16" s="37">
        <f t="shared" si="5"/>
        <v>0.99999999999999989</v>
      </c>
      <c r="Q16" s="37">
        <f t="shared" si="5"/>
        <v>0.99999999999999978</v>
      </c>
      <c r="R16" s="37">
        <f t="shared" ref="R16:U16" si="6">SUM(R4:R15)</f>
        <v>1.0000000000000002</v>
      </c>
      <c r="S16" s="37">
        <f t="shared" si="6"/>
        <v>1</v>
      </c>
      <c r="T16" s="37">
        <f t="shared" si="6"/>
        <v>1</v>
      </c>
      <c r="U16" s="37">
        <f t="shared" si="6"/>
        <v>1</v>
      </c>
      <c r="W16" s="37">
        <f>SUM(W4:W15)</f>
        <v>0.11710122769819413</v>
      </c>
      <c r="X16" s="37">
        <f>SUM(X4:X15)</f>
        <v>0.11916771631912176</v>
      </c>
      <c r="Y16" s="37">
        <f>SUM(Y4:Y15)</f>
        <v>0.11762377147558029</v>
      </c>
    </row>
    <row r="17" spans="2:27" x14ac:dyDescent="0.35">
      <c r="B17" s="29"/>
      <c r="C17" s="30"/>
      <c r="D17" s="30"/>
      <c r="E17" s="30"/>
      <c r="F17" s="30"/>
      <c r="G17" s="30"/>
      <c r="H17" s="30"/>
      <c r="I17" s="30"/>
      <c r="J17" s="30"/>
      <c r="K17" s="30"/>
      <c r="M17" s="36"/>
      <c r="N17" s="36"/>
      <c r="O17" s="36"/>
      <c r="P17" s="36"/>
      <c r="Q17" s="36"/>
      <c r="R17" s="36"/>
      <c r="S17" s="36"/>
      <c r="T17" s="36"/>
      <c r="U17" s="36"/>
      <c r="Y17" s="35"/>
    </row>
    <row r="18" spans="2:27" x14ac:dyDescent="0.35">
      <c r="B18" s="3" t="s">
        <v>7</v>
      </c>
      <c r="C18" s="39">
        <f>(SUM(326+226+15329+1148+862+5369+2417+16078+118367+6651+5629+9578+866+10544))+442651</f>
        <v>636041</v>
      </c>
      <c r="D18" s="41">
        <v>642409</v>
      </c>
      <c r="E18" s="66">
        <v>547196.71</v>
      </c>
      <c r="F18" s="41">
        <v>695888.71380328108</v>
      </c>
      <c r="G18" s="60">
        <v>868670.2003442382</v>
      </c>
      <c r="H18" s="60">
        <v>885044.58</v>
      </c>
      <c r="I18" s="60">
        <v>1137295.9099999999</v>
      </c>
      <c r="J18" s="60">
        <v>1676247</v>
      </c>
      <c r="K18" s="83">
        <v>1396459.02</v>
      </c>
      <c r="M18" s="35">
        <f t="shared" ref="M18:U23" si="7">+C18/C$24</f>
        <v>0.23429875881234394</v>
      </c>
      <c r="N18" s="35">
        <f t="shared" si="7"/>
        <v>0.28582341930606925</v>
      </c>
      <c r="O18" s="35">
        <f t="shared" si="7"/>
        <v>0.2043573842394821</v>
      </c>
      <c r="P18" s="35">
        <f t="shared" si="7"/>
        <v>0.25167142483403693</v>
      </c>
      <c r="Q18" s="35">
        <f t="shared" si="7"/>
        <v>0.32283810860963541</v>
      </c>
      <c r="R18" s="35">
        <f t="shared" si="7"/>
        <v>0.35207040665202449</v>
      </c>
      <c r="S18" s="35">
        <f t="shared" si="7"/>
        <v>0.31063175430693923</v>
      </c>
      <c r="T18" s="35">
        <f t="shared" si="7"/>
        <v>0.31194674830854496</v>
      </c>
      <c r="U18" s="35">
        <f t="shared" si="7"/>
        <v>0.40266718887006653</v>
      </c>
      <c r="W18" s="35">
        <f>SUM(C18:$K18)/SUM(C$26:$K$26)</f>
        <v>0.26648932623363669</v>
      </c>
      <c r="X18" s="35">
        <f>SUM(G18:$I18)/SUM(G$26:$I$26)</f>
        <v>0.28722702754761748</v>
      </c>
      <c r="Y18" s="35">
        <f>SUM(H18:$I18)/SUM(H$26:$I$26)</f>
        <v>0.28897923950577675</v>
      </c>
      <c r="AA18" t="s">
        <v>35</v>
      </c>
    </row>
    <row r="19" spans="2:27" x14ac:dyDescent="0.35">
      <c r="B19" s="3" t="s">
        <v>8</v>
      </c>
      <c r="C19" s="39">
        <v>70728</v>
      </c>
      <c r="D19" s="41">
        <v>92008</v>
      </c>
      <c r="E19" s="66">
        <v>126182.46999999999</v>
      </c>
      <c r="F19" s="41">
        <v>122806.2</v>
      </c>
      <c r="G19" s="60">
        <v>125656.52039382936</v>
      </c>
      <c r="H19" s="60">
        <v>96600.69</v>
      </c>
      <c r="I19" s="60">
        <v>122396.74</v>
      </c>
      <c r="J19" s="60">
        <v>121940</v>
      </c>
      <c r="K19" s="60">
        <v>101381.09</v>
      </c>
      <c r="M19" s="35">
        <f t="shared" si="7"/>
        <v>2.6054110683555717E-2</v>
      </c>
      <c r="N19" s="35">
        <f t="shared" si="7"/>
        <v>4.0936601391812412E-2</v>
      </c>
      <c r="O19" s="35">
        <f t="shared" si="7"/>
        <v>4.7124405236422057E-2</v>
      </c>
      <c r="P19" s="35">
        <f t="shared" si="7"/>
        <v>4.4413439562106E-2</v>
      </c>
      <c r="Q19" s="35">
        <f t="shared" si="7"/>
        <v>4.6699787056510164E-2</v>
      </c>
      <c r="R19" s="35">
        <f t="shared" si="7"/>
        <v>3.8427718760976039E-2</v>
      </c>
      <c r="S19" s="35">
        <f t="shared" si="7"/>
        <v>3.3430450011598417E-2</v>
      </c>
      <c r="T19" s="35">
        <f t="shared" si="7"/>
        <v>2.2692828973739535E-2</v>
      </c>
      <c r="U19" s="35">
        <f t="shared" si="7"/>
        <v>2.9233108834717692E-2</v>
      </c>
      <c r="W19" s="35">
        <f>SUM(C19:$K19)/SUM(C$26:$K$26)</f>
        <v>3.0768622028739544E-2</v>
      </c>
      <c r="X19" s="35">
        <f>SUM(G19:$I19)/SUM(G$26:$I$26)</f>
        <v>3.4241979815154623E-2</v>
      </c>
      <c r="Y19" s="35">
        <f>SUM(H19:$I19)/SUM(H$26:$I$26)</f>
        <v>3.1293301542471508E-2</v>
      </c>
      <c r="AA19" t="s">
        <v>37</v>
      </c>
    </row>
    <row r="20" spans="2:27" x14ac:dyDescent="0.35">
      <c r="B20" s="3" t="s">
        <v>9</v>
      </c>
      <c r="C20" s="6"/>
      <c r="D20" s="7"/>
      <c r="E20" s="53"/>
      <c r="F20" s="53"/>
      <c r="G20" s="53"/>
      <c r="H20" s="53"/>
      <c r="I20" s="53">
        <v>0</v>
      </c>
      <c r="J20" s="53">
        <v>0</v>
      </c>
      <c r="K20" s="53">
        <v>0</v>
      </c>
      <c r="M20" s="35">
        <f t="shared" si="7"/>
        <v>0</v>
      </c>
      <c r="N20" s="35">
        <f t="shared" si="7"/>
        <v>0</v>
      </c>
      <c r="O20" s="35">
        <f t="shared" si="7"/>
        <v>0</v>
      </c>
      <c r="P20" s="35">
        <f t="shared" si="7"/>
        <v>0</v>
      </c>
      <c r="Q20" s="35">
        <f t="shared" si="7"/>
        <v>0</v>
      </c>
      <c r="R20" s="35">
        <f t="shared" si="7"/>
        <v>0</v>
      </c>
      <c r="S20" s="35">
        <f t="shared" si="7"/>
        <v>0</v>
      </c>
      <c r="T20" s="35">
        <f t="shared" si="7"/>
        <v>0</v>
      </c>
      <c r="U20" s="35">
        <f t="shared" si="7"/>
        <v>0</v>
      </c>
      <c r="W20" s="35">
        <f>SUM(C20:$K20)/SUM(C$26:$K$26)</f>
        <v>0</v>
      </c>
      <c r="X20" s="35">
        <f>SUM(G20:$I20)/SUM(G$26:$I$26)</f>
        <v>0</v>
      </c>
      <c r="Y20" s="35">
        <f>SUM(H20:$I20)/SUM(H$26:$I$26)</f>
        <v>0</v>
      </c>
      <c r="AA20" t="s">
        <v>36</v>
      </c>
    </row>
    <row r="21" spans="2:27" x14ac:dyDescent="0.35">
      <c r="B21" s="3" t="s">
        <v>31</v>
      </c>
      <c r="C21" s="39">
        <v>1921545</v>
      </c>
      <c r="D21" s="41">
        <v>1432077</v>
      </c>
      <c r="E21" s="60">
        <v>1905093.2599999998</v>
      </c>
      <c r="F21" s="60">
        <v>1840553.9400000002</v>
      </c>
      <c r="G21" s="60">
        <v>1600648.310293579</v>
      </c>
      <c r="H21" s="60">
        <v>1445965.56</v>
      </c>
      <c r="I21" s="60">
        <v>2281909.4599999995</v>
      </c>
      <c r="J21" s="60">
        <v>3369513</v>
      </c>
      <c r="K21" s="83">
        <v>1855400.2</v>
      </c>
      <c r="M21" s="35">
        <f t="shared" si="7"/>
        <v>0.70784054565989529</v>
      </c>
      <c r="N21" s="35">
        <f t="shared" si="7"/>
        <v>0.63716595634491069</v>
      </c>
      <c r="O21" s="35">
        <f t="shared" si="7"/>
        <v>0.71148065810897798</v>
      </c>
      <c r="P21" s="35">
        <f t="shared" si="7"/>
        <v>0.66564498514721637</v>
      </c>
      <c r="Q21" s="35">
        <f t="shared" si="7"/>
        <v>0.59487510086061324</v>
      </c>
      <c r="R21" s="35">
        <f t="shared" si="7"/>
        <v>0.57520456507854367</v>
      </c>
      <c r="S21" s="35">
        <f t="shared" si="7"/>
        <v>0.62326218928317467</v>
      </c>
      <c r="T21" s="35">
        <f t="shared" si="7"/>
        <v>0.62706070390185353</v>
      </c>
      <c r="U21" s="35">
        <f t="shared" si="7"/>
        <v>0.5350022965679001</v>
      </c>
      <c r="W21" s="35">
        <f>SUM(C21:$K21)/SUM(C$26:$K$26)</f>
        <v>0.55440399199630996</v>
      </c>
      <c r="X21" s="35">
        <f>SUM(G21:$I21)/SUM(G$26:$I$26)</f>
        <v>0.52939822135217274</v>
      </c>
      <c r="Y21" s="35">
        <f>SUM(H21:$I21)/SUM(H$26:$I$26)</f>
        <v>0.53268897773598067</v>
      </c>
      <c r="AA21" t="s">
        <v>31</v>
      </c>
    </row>
    <row r="22" spans="2:27" x14ac:dyDescent="0.35">
      <c r="B22" s="29" t="s">
        <v>27</v>
      </c>
      <c r="C22" s="44">
        <v>35548</v>
      </c>
      <c r="D22" s="45">
        <v>44782</v>
      </c>
      <c r="E22" s="61">
        <v>51820.91</v>
      </c>
      <c r="F22" s="61">
        <v>57860.95</v>
      </c>
      <c r="G22" s="61">
        <v>55309.33966796875</v>
      </c>
      <c r="H22" s="61">
        <v>51836.19</v>
      </c>
      <c r="I22" s="61">
        <v>72300.179999999993</v>
      </c>
      <c r="J22" s="61">
        <v>70073</v>
      </c>
      <c r="K22" s="61">
        <v>58319.8</v>
      </c>
      <c r="M22" s="35">
        <f t="shared" si="7"/>
        <v>1.3094835518875674E-2</v>
      </c>
      <c r="N22" s="35">
        <f t="shared" si="7"/>
        <v>1.9924603116339271E-2</v>
      </c>
      <c r="O22" s="35">
        <f t="shared" si="7"/>
        <v>1.935316024928151E-2</v>
      </c>
      <c r="P22" s="35">
        <f t="shared" si="7"/>
        <v>2.0925684581324371E-2</v>
      </c>
      <c r="Q22" s="35">
        <f t="shared" si="7"/>
        <v>2.0555514163809137E-2</v>
      </c>
      <c r="R22" s="35">
        <f t="shared" si="7"/>
        <v>2.0620417214002495E-2</v>
      </c>
      <c r="S22" s="35">
        <f t="shared" si="7"/>
        <v>1.9747483089170244E-2</v>
      </c>
      <c r="T22" s="35">
        <f t="shared" si="7"/>
        <v>1.3040467481358458E-2</v>
      </c>
      <c r="U22" s="35">
        <f t="shared" si="7"/>
        <v>1.6816440429067877E-2</v>
      </c>
      <c r="W22" s="35">
        <f>SUM(C22:$K22)/SUM(C$26:$K$26)</f>
        <v>1.5635576583996579E-2</v>
      </c>
      <c r="X22" s="35">
        <f>SUM(G22:$I22)/SUM(G$26:$I$26)</f>
        <v>1.7828248773430262E-2</v>
      </c>
      <c r="Y22" s="35">
        <f>SUM(H22:$I22)/SUM(H$26:$I$26)</f>
        <v>1.7738276009895703E-2</v>
      </c>
      <c r="AA22" t="s">
        <v>39</v>
      </c>
    </row>
    <row r="23" spans="2:27" x14ac:dyDescent="0.35">
      <c r="B23" s="29" t="s">
        <v>29</v>
      </c>
      <c r="C23" s="44">
        <v>50796</v>
      </c>
      <c r="D23" s="45">
        <v>36297</v>
      </c>
      <c r="E23" s="61">
        <v>47352.54</v>
      </c>
      <c r="F23" s="61">
        <v>47958.635182910155</v>
      </c>
      <c r="G23" s="61">
        <v>40445.679991531375</v>
      </c>
      <c r="H23" s="61">
        <v>34381.360000000008</v>
      </c>
      <c r="I23" s="61">
        <v>47332.9</v>
      </c>
      <c r="J23" s="80">
        <v>135730.68</v>
      </c>
      <c r="K23" s="84">
        <v>56462.76</v>
      </c>
      <c r="M23" s="35">
        <f t="shared" si="7"/>
        <v>1.8711749325329378E-2</v>
      </c>
      <c r="N23" s="35">
        <f t="shared" si="7"/>
        <v>1.6149419840868349E-2</v>
      </c>
      <c r="O23" s="35">
        <f t="shared" si="7"/>
        <v>1.768439216583639E-2</v>
      </c>
      <c r="P23" s="35">
        <f t="shared" si="7"/>
        <v>1.7344465875316316E-2</v>
      </c>
      <c r="Q23" s="35">
        <f t="shared" si="7"/>
        <v>1.5031489309431991E-2</v>
      </c>
      <c r="R23" s="35">
        <f t="shared" si="7"/>
        <v>1.3676892294453295E-2</v>
      </c>
      <c r="S23" s="35">
        <f t="shared" si="7"/>
        <v>1.2928123309117436E-2</v>
      </c>
      <c r="T23" s="35">
        <f t="shared" si="7"/>
        <v>2.5259251334503598E-2</v>
      </c>
      <c r="U23" s="35">
        <f t="shared" si="7"/>
        <v>1.6280965298247876E-2</v>
      </c>
      <c r="W23" s="35">
        <f>SUM(C23:$K23)/SUM(C$26:$K$26)</f>
        <v>1.5601255459123173E-2</v>
      </c>
      <c r="X23" s="35">
        <f>SUM(G23:$I23)/SUM(G$26:$I$26)</f>
        <v>1.2136806192503196E-2</v>
      </c>
      <c r="Y23" s="35">
        <f>SUM(H23:$I23)/SUM(H$26:$I$26)</f>
        <v>1.1676433730295E-2</v>
      </c>
      <c r="AA23" t="s">
        <v>34</v>
      </c>
    </row>
    <row r="24" spans="2:27" x14ac:dyDescent="0.35">
      <c r="B24" s="24" t="s">
        <v>23</v>
      </c>
      <c r="C24" s="25">
        <f t="shared" ref="C24:G24" si="8">SUM(C18:C23)</f>
        <v>2714658</v>
      </c>
      <c r="D24" s="25">
        <f t="shared" si="8"/>
        <v>2247573</v>
      </c>
      <c r="E24" s="25">
        <f t="shared" si="8"/>
        <v>2677645.8899999997</v>
      </c>
      <c r="F24" s="25">
        <f t="shared" si="8"/>
        <v>2765068.4389861915</v>
      </c>
      <c r="G24" s="25">
        <f t="shared" si="8"/>
        <v>2690730.0506911469</v>
      </c>
      <c r="H24" s="25">
        <f t="shared" ref="H24:K24" si="9">SUM(H18:H23)</f>
        <v>2513828.38</v>
      </c>
      <c r="I24" s="25">
        <f t="shared" si="9"/>
        <v>3661235.1899999995</v>
      </c>
      <c r="J24" s="25">
        <f t="shared" si="9"/>
        <v>5373503.6799999997</v>
      </c>
      <c r="K24" s="25">
        <f t="shared" si="9"/>
        <v>3468022.8699999996</v>
      </c>
      <c r="M24" s="37">
        <f t="shared" ref="M24:Q24" si="10">SUM(M18:M23)</f>
        <v>1</v>
      </c>
      <c r="N24" s="37">
        <f t="shared" si="10"/>
        <v>1</v>
      </c>
      <c r="O24" s="37">
        <f t="shared" si="10"/>
        <v>1</v>
      </c>
      <c r="P24" s="37">
        <f t="shared" si="10"/>
        <v>1</v>
      </c>
      <c r="Q24" s="37">
        <f t="shared" si="10"/>
        <v>1</v>
      </c>
      <c r="R24" s="37">
        <f t="shared" ref="R24:U24" si="11">SUM(R18:R23)</f>
        <v>1</v>
      </c>
      <c r="S24" s="37">
        <f t="shared" si="11"/>
        <v>1</v>
      </c>
      <c r="T24" s="37">
        <f t="shared" si="11"/>
        <v>1</v>
      </c>
      <c r="U24" s="37">
        <f t="shared" si="11"/>
        <v>1</v>
      </c>
      <c r="W24" s="37">
        <f>SUM(W18:W23)</f>
        <v>0.88289877230180602</v>
      </c>
      <c r="X24" s="37">
        <f t="shared" ref="X24:Y24" si="12">SUM(X18:X23)</f>
        <v>0.88083228368087829</v>
      </c>
      <c r="Y24" s="37">
        <f t="shared" si="12"/>
        <v>0.88237622852441977</v>
      </c>
    </row>
    <row r="25" spans="2:27" x14ac:dyDescent="0.35">
      <c r="B25" s="29"/>
      <c r="C25" s="30"/>
      <c r="D25" s="30"/>
      <c r="E25" s="30"/>
      <c r="F25" s="30"/>
      <c r="G25" s="30"/>
      <c r="H25" s="30"/>
      <c r="I25" s="30"/>
      <c r="J25" s="30"/>
      <c r="K25" s="30"/>
      <c r="Y25" s="35"/>
    </row>
    <row r="26" spans="2:27" x14ac:dyDescent="0.35">
      <c r="B26" s="24" t="s">
        <v>23</v>
      </c>
      <c r="C26" s="30">
        <f t="shared" ref="C26:G26" si="13">+C24+C16</f>
        <v>3067256</v>
      </c>
      <c r="D26" s="30">
        <f t="shared" si="13"/>
        <v>2583181</v>
      </c>
      <c r="E26" s="30">
        <f t="shared" si="13"/>
        <v>3147904.1999999997</v>
      </c>
      <c r="F26" s="30">
        <f t="shared" si="13"/>
        <v>3227153.2288861917</v>
      </c>
      <c r="G26" s="30">
        <f t="shared" si="13"/>
        <v>3067025.3207962038</v>
      </c>
      <c r="H26" s="30">
        <f t="shared" ref="H26:K26" si="14">+H24+H16</f>
        <v>2864807.04</v>
      </c>
      <c r="I26" s="30">
        <f t="shared" si="14"/>
        <v>4133413.6399999997</v>
      </c>
      <c r="J26" s="30">
        <f t="shared" si="14"/>
        <v>5852403</v>
      </c>
      <c r="K26" s="30">
        <f t="shared" si="14"/>
        <v>3897727.0999999996</v>
      </c>
      <c r="W26" s="36">
        <f>+W24+W16</f>
        <v>1.0000000000000002</v>
      </c>
      <c r="X26" s="36">
        <f>+X24+X16</f>
        <v>1</v>
      </c>
      <c r="Y26" s="35">
        <f>+Y24+Y16</f>
        <v>1</v>
      </c>
    </row>
    <row r="27" spans="2:27" x14ac:dyDescent="0.35">
      <c r="B27" s="29"/>
      <c r="C27" s="30"/>
      <c r="D27" s="30"/>
      <c r="E27" s="30"/>
      <c r="F27" s="30"/>
      <c r="G27" s="30"/>
      <c r="H27" s="30"/>
      <c r="I27" s="30"/>
      <c r="J27" s="30"/>
      <c r="K27" s="30"/>
    </row>
    <row r="28" spans="2:27" x14ac:dyDescent="0.35">
      <c r="B28" s="26" t="s">
        <v>24</v>
      </c>
      <c r="C28" s="27"/>
      <c r="K28" s="81" t="s">
        <v>73</v>
      </c>
    </row>
    <row r="29" spans="2:27" x14ac:dyDescent="0.35">
      <c r="B29" s="28" t="s">
        <v>25</v>
      </c>
      <c r="C29" s="27"/>
    </row>
    <row r="30" spans="2:27" x14ac:dyDescent="0.35">
      <c r="B30" s="28" t="s">
        <v>26</v>
      </c>
    </row>
    <row r="32" spans="2:27" x14ac:dyDescent="0.35">
      <c r="B32" t="s">
        <v>66</v>
      </c>
    </row>
    <row r="33" spans="2:27" x14ac:dyDescent="0.35">
      <c r="B33" t="s">
        <v>33</v>
      </c>
      <c r="W33" s="35">
        <f t="shared" ref="W33:Y34" si="15">SUMIF($AA$4:$AA$23,$AA33,W$4:W$23)</f>
        <v>9.7128214102125729E-2</v>
      </c>
      <c r="X33" s="35">
        <f t="shared" si="15"/>
        <v>9.8641111208461113E-2</v>
      </c>
      <c r="Y33" s="35">
        <f t="shared" si="15"/>
        <v>9.7109692745499424E-2</v>
      </c>
      <c r="AA33" t="s">
        <v>33</v>
      </c>
    </row>
    <row r="34" spans="2:27" x14ac:dyDescent="0.35">
      <c r="B34" t="s">
        <v>67</v>
      </c>
      <c r="W34" s="35">
        <f t="shared" si="15"/>
        <v>1.9973013596068401E-2</v>
      </c>
      <c r="X34" s="35">
        <f t="shared" si="15"/>
        <v>2.0526605110660651E-2</v>
      </c>
      <c r="Y34" s="35">
        <f t="shared" si="15"/>
        <v>2.0514078730080858E-2</v>
      </c>
      <c r="AA34" t="s">
        <v>38</v>
      </c>
    </row>
    <row r="36" spans="2:27" x14ac:dyDescent="0.35">
      <c r="B36" t="s">
        <v>68</v>
      </c>
    </row>
    <row r="37" spans="2:27" x14ac:dyDescent="0.35">
      <c r="B37" t="s">
        <v>35</v>
      </c>
      <c r="W37" s="35">
        <f t="shared" ref="W37:Y42" si="16">SUMIF($AA$4:$AA$23,$AA37,W$4:W$23)</f>
        <v>0.26648932623363669</v>
      </c>
      <c r="X37" s="35">
        <f t="shared" si="16"/>
        <v>0.28722702754761748</v>
      </c>
      <c r="Y37" s="35">
        <f t="shared" si="16"/>
        <v>0.28897923950577675</v>
      </c>
      <c r="AA37" t="s">
        <v>35</v>
      </c>
    </row>
    <row r="38" spans="2:27" x14ac:dyDescent="0.35">
      <c r="B38" t="s">
        <v>37</v>
      </c>
      <c r="W38" s="35">
        <f t="shared" si="16"/>
        <v>3.0768622028739544E-2</v>
      </c>
      <c r="X38" s="35">
        <f t="shared" si="16"/>
        <v>3.4241979815154623E-2</v>
      </c>
      <c r="Y38" s="35">
        <f t="shared" si="16"/>
        <v>3.1293301542471508E-2</v>
      </c>
      <c r="AA38" t="s">
        <v>37</v>
      </c>
    </row>
    <row r="39" spans="2:27" x14ac:dyDescent="0.35">
      <c r="B39" t="s">
        <v>36</v>
      </c>
      <c r="W39" s="35">
        <f t="shared" si="16"/>
        <v>0</v>
      </c>
      <c r="X39" s="35">
        <f t="shared" si="16"/>
        <v>0</v>
      </c>
      <c r="Y39" s="35">
        <f t="shared" si="16"/>
        <v>0</v>
      </c>
      <c r="AA39" t="s">
        <v>36</v>
      </c>
    </row>
    <row r="40" spans="2:27" x14ac:dyDescent="0.35">
      <c r="B40" t="s">
        <v>31</v>
      </c>
      <c r="W40" s="35">
        <f t="shared" si="16"/>
        <v>0.55440399199630996</v>
      </c>
      <c r="X40" s="35">
        <f t="shared" si="16"/>
        <v>0.52939822135217274</v>
      </c>
      <c r="Y40" s="35">
        <f t="shared" si="16"/>
        <v>0.53268897773598067</v>
      </c>
      <c r="AA40" t="s">
        <v>31</v>
      </c>
    </row>
    <row r="41" spans="2:27" x14ac:dyDescent="0.35">
      <c r="B41" t="s">
        <v>39</v>
      </c>
      <c r="W41" s="35">
        <f t="shared" si="16"/>
        <v>1.5635576583996579E-2</v>
      </c>
      <c r="X41" s="35">
        <f t="shared" si="16"/>
        <v>1.7828248773430262E-2</v>
      </c>
      <c r="Y41" s="35">
        <f t="shared" si="16"/>
        <v>1.7738276009895703E-2</v>
      </c>
      <c r="AA41" t="s">
        <v>39</v>
      </c>
    </row>
    <row r="42" spans="2:27" x14ac:dyDescent="0.35">
      <c r="B42" t="s">
        <v>34</v>
      </c>
      <c r="W42" s="35">
        <f t="shared" si="16"/>
        <v>1.5601255459123173E-2</v>
      </c>
      <c r="X42" s="35">
        <f t="shared" si="16"/>
        <v>1.2136806192503196E-2</v>
      </c>
      <c r="Y42" s="35">
        <f t="shared" si="16"/>
        <v>1.1676433730295E-2</v>
      </c>
      <c r="AA42" t="s">
        <v>34</v>
      </c>
    </row>
    <row r="44" spans="2:27" x14ac:dyDescent="0.35">
      <c r="W44" s="36">
        <f>SUM(W33:W43)</f>
        <v>1.0000000000000002</v>
      </c>
      <c r="X44" s="36">
        <f>SUM(X33:X43)</f>
        <v>1</v>
      </c>
      <c r="Y44" s="36">
        <f>SUM(Y33:Y43)</f>
        <v>1</v>
      </c>
    </row>
  </sheetData>
  <mergeCells count="1">
    <mergeCell ref="B2:D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a816c8-2012-4a06-9eee-7fac2e12fc01">
      <Terms xmlns="http://schemas.microsoft.com/office/infopath/2007/PartnerControls"/>
    </lcf76f155ced4ddcb4097134ff3c332f>
    <TaxCatchAll xmlns="1ecad1bf-37b2-4fe5-8d43-af4e731dea5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005CA3EC97C240B6A6DE541C216FC3" ma:contentTypeVersion="15" ma:contentTypeDescription="Create a new document." ma:contentTypeScope="" ma:versionID="2517a6f1ca3335858433434df49ed9af">
  <xsd:schema xmlns:xsd="http://www.w3.org/2001/XMLSchema" xmlns:xs="http://www.w3.org/2001/XMLSchema" xmlns:p="http://schemas.microsoft.com/office/2006/metadata/properties" xmlns:ns2="c1eecfb3-5e1e-4c14-a199-821554a453d0" xmlns:ns3="74a816c8-2012-4a06-9eee-7fac2e12fc01" xmlns:ns4="1ecad1bf-37b2-4fe5-8d43-af4e731dea56" targetNamespace="http://schemas.microsoft.com/office/2006/metadata/properties" ma:root="true" ma:fieldsID="2c671242afc96f9d4cdcc99b3c73aeb4" ns2:_="" ns3:_="" ns4:_="">
    <xsd:import namespace="c1eecfb3-5e1e-4c14-a199-821554a453d0"/>
    <xsd:import namespace="74a816c8-2012-4a06-9eee-7fac2e12fc01"/>
    <xsd:import namespace="1ecad1bf-37b2-4fe5-8d43-af4e731dea5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ecfb3-5e1e-4c14-a199-821554a453d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a816c8-2012-4a06-9eee-7fac2e12fc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dd5ee6cf-0e63-41ed-9d74-2beef34e85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ad1bf-37b2-4fe5-8d43-af4e731dea56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84a3c7f-f0c9-4c06-880c-e92bf7e68a2c}" ma:internalName="TaxCatchAll" ma:showField="CatchAllData" ma:web="c1eecfb3-5e1e-4c14-a199-821554a453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3C8006-51FD-44FE-8776-8FA67F8937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1C823E-E849-4E4B-B68A-10696865AEE7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d59613a8-d12d-4524-84d0-4c9d658e1732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74a816c8-2012-4a06-9eee-7fac2e12fc01"/>
    <ds:schemaRef ds:uri="1ecad1bf-37b2-4fe5-8d43-af4e731dea56"/>
  </ds:schemaRefs>
</ds:datastoreItem>
</file>

<file path=customXml/itemProps3.xml><?xml version="1.0" encoding="utf-8"?>
<ds:datastoreItem xmlns:ds="http://schemas.openxmlformats.org/officeDocument/2006/customXml" ds:itemID="{18A9135E-490D-4E14-98EA-D1FBBDB95B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eecfb3-5e1e-4c14-a199-821554a453d0"/>
    <ds:schemaRef ds:uri="74a816c8-2012-4a06-9eee-7fac2e12fc01"/>
    <ds:schemaRef ds:uri="1ecad1bf-37b2-4fe5-8d43-af4e731dea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POWER</vt:lpstr>
      <vt:lpstr>GAS</vt:lpstr>
      <vt:lpstr>Sheet3</vt:lpstr>
    </vt:vector>
  </TitlesOfParts>
  <Company>Black &amp; Veatch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B&amp;V DAJ</dc:creator>
  <cp:lastModifiedBy>Jagt, Dave A.</cp:lastModifiedBy>
  <dcterms:created xsi:type="dcterms:W3CDTF">2017-11-01T12:59:42Z</dcterms:created>
  <dcterms:modified xsi:type="dcterms:W3CDTF">2025-04-21T18:20:12Z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0x01010058005CA3EC97C240B6A6DE541C216FC3</vt:lpwstr>
  </property>
  <property fmtid="{D5CDD505-2E9C-101B-9397-08002B2CF9AE}" pid="3" name="{A44787D4-0540-4523-9961-78E4036D8C6D}">
    <vt:lpwstr>{F5383F38-1420-4385-9AF2-BA1DF9B1C969}</vt:lpwstr>
  </property>
  <property fmtid="{D5CDD505-2E9C-101B-9397-08002B2CF9AE}" pid="4" name="Order">
    <vt:r8>545200</vt:r8>
  </property>
  <property fmtid="{D5CDD505-2E9C-101B-9397-08002B2CF9AE}" pid="5" name="MediaServiceImageTags">
    <vt:lpwstr/>
  </property>
</Properties>
</file>