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hreadedComments/threadedComment1.xml" ContentType="application/vnd.ms-excel.threadedcomments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lackandveatch.sharepoint.com/sites/411071/Shared Documents/FY 2026 to FY 2027 Rate Proceeding/General Rate Proceeding Discovery/PA-SET-XIV/Response Attachments/"/>
    </mc:Choice>
  </mc:AlternateContent>
  <xr:revisionPtr revIDLastSave="14" documentId="8_{953FD4DE-9FF1-40AC-BFEF-DA16ACFFEC35}" xr6:coauthVersionLast="47" xr6:coauthVersionMax="47" xr10:uidLastSave="{0D85F2F5-E771-4C3A-BED2-E69589185EC9}"/>
  <bookViews>
    <workbookView xWindow="28680" yWindow="-120" windowWidth="29040" windowHeight="15840" tabRatio="840" xr2:uid="{00000000-000D-0000-FFFF-FFFF00000000}"/>
  </bookViews>
  <sheets>
    <sheet name="OM Adj 1" sheetId="5" r:id="rId1"/>
    <sheet name="OM Adj 2" sheetId="8" r:id="rId2"/>
    <sheet name="OM Adj 3" sheetId="12" r:id="rId3"/>
    <sheet name="OM Adj 4" sheetId="10" r:id="rId4"/>
    <sheet name="OM Adj 5" sheetId="2" r:id="rId5"/>
    <sheet name="OM Adj 6" sheetId="16" r:id="rId6"/>
    <sheet name="OM Adj 7" sheetId="15" r:id="rId7"/>
    <sheet name="OM Adj 8" sheetId="18" r:id="rId8"/>
    <sheet name="OM Adj 9" sheetId="17" r:id="rId9"/>
    <sheet name="OM Adj 10" sheetId="13" r:id="rId10"/>
    <sheet name="OM Adj 11" sheetId="19" r:id="rId11"/>
    <sheet name="Pension &amp; Fringes Ratio" sheetId="3" r:id="rId12"/>
    <sheet name="TOTAL" sheetId="11" r:id="rId13"/>
    <sheet name="Assumptions" sheetId="20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2" l="1"/>
  <c r="E42" i="12"/>
  <c r="E41" i="12"/>
  <c r="E40" i="12"/>
  <c r="D44" i="12"/>
  <c r="D42" i="12"/>
  <c r="D41" i="12"/>
  <c r="D40" i="12"/>
  <c r="C44" i="12"/>
  <c r="C41" i="12"/>
  <c r="G11" i="12" l="1"/>
  <c r="G15" i="18" l="1"/>
  <c r="G13" i="18"/>
  <c r="G12" i="18"/>
  <c r="G10" i="18"/>
  <c r="AJ112" i="8" l="1"/>
  <c r="BE110" i="8"/>
  <c r="BD110" i="8"/>
  <c r="BC110" i="8"/>
  <c r="BB110" i="8"/>
  <c r="BA110" i="8"/>
  <c r="AZ110" i="8"/>
  <c r="AY110" i="8"/>
  <c r="AX110" i="8"/>
  <c r="AW110" i="8"/>
  <c r="AV110" i="8"/>
  <c r="AU110" i="8"/>
  <c r="AT110" i="8"/>
  <c r="AS110" i="8"/>
  <c r="AR110" i="8"/>
  <c r="AQ110" i="8"/>
  <c r="AP110" i="8"/>
  <c r="AO110" i="8"/>
  <c r="AN110" i="8"/>
  <c r="AM110" i="8"/>
  <c r="AL110" i="8"/>
  <c r="AK110" i="8"/>
  <c r="AJ110" i="8"/>
  <c r="AI110" i="8"/>
  <c r="AH110" i="8"/>
  <c r="AG110" i="8"/>
  <c r="AK108" i="8"/>
  <c r="AJ108" i="8"/>
  <c r="AI108" i="8"/>
  <c r="AI112" i="8" s="1"/>
  <c r="AH108" i="8"/>
  <c r="AH112" i="8" s="1"/>
  <c r="AG108" i="8"/>
  <c r="AG112" i="8" s="1"/>
  <c r="G112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G108" i="8"/>
  <c r="F108" i="8"/>
  <c r="F112" i="8" s="1"/>
  <c r="E108" i="8"/>
  <c r="E112" i="8" s="1"/>
  <c r="D108" i="8"/>
  <c r="D112" i="8" s="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AG103" i="18"/>
  <c r="AG105" i="17"/>
  <c r="C105" i="17"/>
  <c r="AG103" i="16"/>
  <c r="C103" i="16"/>
  <c r="AK22" i="2"/>
  <c r="AJ22" i="2"/>
  <c r="AJ112" i="2" s="1"/>
  <c r="AI22" i="2"/>
  <c r="AH22" i="2"/>
  <c r="AG22" i="2"/>
  <c r="AG112" i="2"/>
  <c r="AK110" i="2"/>
  <c r="AK112" i="2" s="1"/>
  <c r="AJ110" i="2"/>
  <c r="AI110" i="2"/>
  <c r="AI112" i="2" s="1"/>
  <c r="AH110" i="2"/>
  <c r="AH112" i="2" s="1"/>
  <c r="AG110" i="2"/>
  <c r="G110" i="2"/>
  <c r="G112" i="2" s="1"/>
  <c r="F110" i="2"/>
  <c r="F112" i="2" s="1"/>
  <c r="E110" i="2"/>
  <c r="E112" i="2" s="1"/>
  <c r="D110" i="2"/>
  <c r="D112" i="2" s="1"/>
  <c r="C112" i="2"/>
  <c r="C110" i="2"/>
  <c r="AK108" i="10"/>
  <c r="AK112" i="10" s="1"/>
  <c r="AJ108" i="10"/>
  <c r="AJ112" i="10" s="1"/>
  <c r="AI108" i="10"/>
  <c r="AI112" i="10" s="1"/>
  <c r="AH108" i="10"/>
  <c r="AH112" i="10" s="1"/>
  <c r="AG108" i="10"/>
  <c r="AG112" i="10" s="1"/>
  <c r="G108" i="10"/>
  <c r="G112" i="10" s="1"/>
  <c r="F108" i="10"/>
  <c r="F112" i="10" s="1"/>
  <c r="E108" i="10"/>
  <c r="E112" i="10" s="1"/>
  <c r="D108" i="10"/>
  <c r="D112" i="10" s="1"/>
  <c r="C112" i="10"/>
  <c r="C108" i="10"/>
  <c r="AJ112" i="12"/>
  <c r="AI112" i="12"/>
  <c r="AH112" i="12"/>
  <c r="AG112" i="12"/>
  <c r="F112" i="12"/>
  <c r="E112" i="12"/>
  <c r="D112" i="12"/>
  <c r="C112" i="12"/>
  <c r="AK110" i="12"/>
  <c r="AJ110" i="12"/>
  <c r="AI110" i="12"/>
  <c r="AH110" i="12"/>
  <c r="AG110" i="12"/>
  <c r="AJ108" i="12"/>
  <c r="AI108" i="12"/>
  <c r="AH108" i="12"/>
  <c r="AG108" i="12"/>
  <c r="G110" i="12"/>
  <c r="F110" i="12"/>
  <c r="E110" i="12"/>
  <c r="D110" i="12"/>
  <c r="F108" i="12"/>
  <c r="E108" i="12"/>
  <c r="D108" i="12"/>
  <c r="C110" i="12"/>
  <c r="C108" i="12"/>
  <c r="C112" i="8"/>
  <c r="C110" i="8"/>
  <c r="C108" i="8"/>
  <c r="BE112" i="5"/>
  <c r="BD112" i="5"/>
  <c r="BC112" i="5"/>
  <c r="BB112" i="5"/>
  <c r="BA112" i="5"/>
  <c r="AZ112" i="5"/>
  <c r="AY112" i="5"/>
  <c r="AX112" i="5"/>
  <c r="AW112" i="5"/>
  <c r="AV112" i="5"/>
  <c r="AU112" i="5"/>
  <c r="AT112" i="5"/>
  <c r="AS112" i="5"/>
  <c r="AR112" i="5"/>
  <c r="AQ112" i="5"/>
  <c r="AP112" i="5"/>
  <c r="AO112" i="5"/>
  <c r="AN112" i="5"/>
  <c r="AM112" i="5"/>
  <c r="AL112" i="5"/>
  <c r="AJ112" i="5"/>
  <c r="AI112" i="5"/>
  <c r="AH112" i="5"/>
  <c r="AG112" i="5"/>
  <c r="AA112" i="5"/>
  <c r="Z112" i="5"/>
  <c r="Y112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I112" i="5"/>
  <c r="H112" i="5"/>
  <c r="F112" i="5"/>
  <c r="E112" i="5"/>
  <c r="D112" i="5"/>
  <c r="C112" i="5"/>
  <c r="BE108" i="5"/>
  <c r="BD108" i="5"/>
  <c r="BC108" i="5"/>
  <c r="BB108" i="5"/>
  <c r="BA108" i="5"/>
  <c r="AZ108" i="5"/>
  <c r="AY108" i="5"/>
  <c r="AX108" i="5"/>
  <c r="AW108" i="5"/>
  <c r="AV108" i="5"/>
  <c r="AU108" i="5"/>
  <c r="AT108" i="5"/>
  <c r="AS108" i="5"/>
  <c r="AR108" i="5"/>
  <c r="AQ108" i="5"/>
  <c r="AP108" i="5"/>
  <c r="AO108" i="5"/>
  <c r="AN108" i="5"/>
  <c r="AM108" i="5"/>
  <c r="AL108" i="5"/>
  <c r="AJ108" i="5"/>
  <c r="AI108" i="5"/>
  <c r="AH108" i="5"/>
  <c r="AG108" i="5"/>
  <c r="AA108" i="5"/>
  <c r="Z108" i="5"/>
  <c r="Y108" i="5"/>
  <c r="X108" i="5"/>
  <c r="W108" i="5"/>
  <c r="V108" i="5"/>
  <c r="U108" i="5"/>
  <c r="T108" i="5"/>
  <c r="S108" i="5"/>
  <c r="R108" i="5"/>
  <c r="Q108" i="5"/>
  <c r="P108" i="5"/>
  <c r="O108" i="5"/>
  <c r="N108" i="5"/>
  <c r="M108" i="5"/>
  <c r="L108" i="5"/>
  <c r="K108" i="5"/>
  <c r="J108" i="5"/>
  <c r="I108" i="5"/>
  <c r="H108" i="5"/>
  <c r="G108" i="5"/>
  <c r="F108" i="5"/>
  <c r="E108" i="5"/>
  <c r="D108" i="5"/>
  <c r="C108" i="5"/>
  <c r="AE101" i="13"/>
  <c r="AE99" i="13"/>
  <c r="AE97" i="13"/>
  <c r="AE112" i="19"/>
  <c r="AE110" i="19"/>
  <c r="AE108" i="19"/>
  <c r="A108" i="19"/>
  <c r="A110" i="19" s="1"/>
  <c r="AE107" i="18"/>
  <c r="AE105" i="18"/>
  <c r="AE103" i="18"/>
  <c r="AE107" i="17"/>
  <c r="AE105" i="17"/>
  <c r="AE103" i="17"/>
  <c r="AE105" i="16"/>
  <c r="AE103" i="16"/>
  <c r="AE101" i="16"/>
  <c r="AE112" i="2"/>
  <c r="AE110" i="2"/>
  <c r="AE108" i="2"/>
  <c r="A108" i="2"/>
  <c r="A110" i="2" s="1"/>
  <c r="AE112" i="10"/>
  <c r="AE110" i="10"/>
  <c r="A110" i="10"/>
  <c r="AE108" i="10"/>
  <c r="A108" i="10"/>
  <c r="AE112" i="12"/>
  <c r="AE110" i="12"/>
  <c r="AE108" i="12"/>
  <c r="A108" i="12"/>
  <c r="A110" i="12" s="1"/>
  <c r="AE112" i="8"/>
  <c r="AE110" i="8"/>
  <c r="A110" i="8"/>
  <c r="AE108" i="8"/>
  <c r="A108" i="8"/>
  <c r="AE112" i="5"/>
  <c r="AE110" i="5"/>
  <c r="AE108" i="5"/>
  <c r="A108" i="5"/>
  <c r="A110" i="5" s="1"/>
  <c r="AF14" i="10"/>
  <c r="AH14" i="10" s="1"/>
  <c r="AF15" i="10"/>
  <c r="AH15" i="10" s="1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A26" i="15"/>
  <c r="G6" i="8"/>
  <c r="AK112" i="8" l="1"/>
  <c r="AJ15" i="10"/>
  <c r="AK14" i="10"/>
  <c r="AI15" i="10"/>
  <c r="AJ14" i="10"/>
  <c r="AK15" i="10"/>
  <c r="AI14" i="10"/>
  <c r="AA66" i="15" l="1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H13" i="12" l="1"/>
  <c r="I13" i="12" s="1"/>
  <c r="J13" i="12" s="1"/>
  <c r="K13" i="12" s="1"/>
  <c r="L13" i="12" s="1"/>
  <c r="M13" i="12" s="1"/>
  <c r="N13" i="12" s="1"/>
  <c r="O13" i="12" s="1"/>
  <c r="P13" i="12" s="1"/>
  <c r="Q13" i="12" s="1"/>
  <c r="R13" i="12" s="1"/>
  <c r="S13" i="12" s="1"/>
  <c r="T13" i="12" s="1"/>
  <c r="U13" i="12" s="1"/>
  <c r="V13" i="12" s="1"/>
  <c r="W13" i="12" s="1"/>
  <c r="X13" i="12" s="1"/>
  <c r="Y13" i="12" s="1"/>
  <c r="Z13" i="12" s="1"/>
  <c r="AA13" i="12" s="1"/>
  <c r="G12" i="12" l="1"/>
  <c r="AE112" i="15"/>
  <c r="AE110" i="15"/>
  <c r="AE108" i="15"/>
  <c r="D110" i="15"/>
  <c r="E110" i="15"/>
  <c r="D108" i="15"/>
  <c r="D112" i="15" s="1"/>
  <c r="E108" i="15"/>
  <c r="C110" i="15"/>
  <c r="C108" i="15"/>
  <c r="C112" i="15" s="1"/>
  <c r="F29" i="15"/>
  <c r="AE104" i="15"/>
  <c r="AE103" i="15"/>
  <c r="AE102" i="15"/>
  <c r="AE101" i="15"/>
  <c r="AE100" i="15"/>
  <c r="AE99" i="15"/>
  <c r="AE98" i="15"/>
  <c r="AE97" i="15"/>
  <c r="AE96" i="15"/>
  <c r="AE95" i="15"/>
  <c r="AE94" i="15"/>
  <c r="AE93" i="15"/>
  <c r="AE92" i="15"/>
  <c r="AE91" i="15"/>
  <c r="AE90" i="15"/>
  <c r="AE89" i="15"/>
  <c r="E112" i="15" l="1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G40" i="15" l="1"/>
  <c r="AH40" i="15"/>
  <c r="AI40" i="15"/>
  <c r="AG33" i="15"/>
  <c r="AH33" i="15"/>
  <c r="AI33" i="15"/>
  <c r="AG39" i="15"/>
  <c r="AH39" i="15"/>
  <c r="AI39" i="15"/>
  <c r="AI38" i="15"/>
  <c r="AH38" i="15"/>
  <c r="AG38" i="15"/>
  <c r="AG37" i="15"/>
  <c r="AH37" i="15"/>
  <c r="AI37" i="15"/>
  <c r="AG36" i="15"/>
  <c r="AH36" i="15"/>
  <c r="AI36" i="15"/>
  <c r="AI44" i="15"/>
  <c r="AH44" i="15"/>
  <c r="AG44" i="15"/>
  <c r="AI35" i="15"/>
  <c r="AH35" i="15"/>
  <c r="AG35" i="15"/>
  <c r="AG34" i="15"/>
  <c r="AH34" i="15"/>
  <c r="AI34" i="15"/>
  <c r="AI32" i="15"/>
  <c r="AH32" i="15"/>
  <c r="AG32" i="15"/>
  <c r="AG43" i="15"/>
  <c r="AH43" i="15"/>
  <c r="AI43" i="15"/>
  <c r="AG31" i="15"/>
  <c r="AH31" i="15"/>
  <c r="AI31" i="15"/>
  <c r="AG42" i="15"/>
  <c r="AH42" i="15"/>
  <c r="AI42" i="15"/>
  <c r="AG30" i="15"/>
  <c r="AH30" i="15"/>
  <c r="AI30" i="15"/>
  <c r="AI41" i="15"/>
  <c r="AH41" i="15"/>
  <c r="AG41" i="15"/>
  <c r="I10" i="2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F29" i="15" l="1"/>
  <c r="F70" i="15"/>
  <c r="AJ70" i="15" s="1"/>
  <c r="F71" i="15"/>
  <c r="AJ71" i="15" s="1"/>
  <c r="F72" i="15"/>
  <c r="AJ72" i="15" s="1"/>
  <c r="F73" i="15"/>
  <c r="F74" i="15"/>
  <c r="AJ74" i="15" s="1"/>
  <c r="F75" i="15"/>
  <c r="AJ75" i="15" s="1"/>
  <c r="F76" i="15"/>
  <c r="AJ76" i="15" s="1"/>
  <c r="F77" i="15"/>
  <c r="AJ77" i="15" s="1"/>
  <c r="F78" i="15"/>
  <c r="AJ78" i="15" s="1"/>
  <c r="F79" i="15"/>
  <c r="AJ79" i="15" s="1"/>
  <c r="F80" i="15"/>
  <c r="AJ80" i="15" s="1"/>
  <c r="F81" i="15"/>
  <c r="AJ81" i="15" s="1"/>
  <c r="F82" i="15"/>
  <c r="AJ82" i="15" s="1"/>
  <c r="F83" i="15"/>
  <c r="AJ83" i="15" s="1"/>
  <c r="F84" i="15"/>
  <c r="AJ84" i="15" s="1"/>
  <c r="G7" i="15"/>
  <c r="BE79" i="15"/>
  <c r="BD79" i="15"/>
  <c r="BC79" i="15"/>
  <c r="BB79" i="15"/>
  <c r="BA79" i="15"/>
  <c r="AZ79" i="15"/>
  <c r="AY79" i="15"/>
  <c r="AX79" i="15"/>
  <c r="AW79" i="15"/>
  <c r="AV79" i="15"/>
  <c r="AU79" i="15"/>
  <c r="AT79" i="15"/>
  <c r="AS79" i="15"/>
  <c r="AR79" i="15"/>
  <c r="AQ79" i="15"/>
  <c r="AP79" i="15"/>
  <c r="AO79" i="15"/>
  <c r="AN79" i="15"/>
  <c r="AM79" i="15"/>
  <c r="AL79" i="15"/>
  <c r="AK79" i="15"/>
  <c r="AI79" i="15"/>
  <c r="AI99" i="15" s="1"/>
  <c r="AH79" i="15"/>
  <c r="AH99" i="15" s="1"/>
  <c r="AG79" i="15"/>
  <c r="AG99" i="15" s="1"/>
  <c r="BE80" i="15"/>
  <c r="BD80" i="15"/>
  <c r="BC80" i="15"/>
  <c r="BB80" i="15"/>
  <c r="BA80" i="15"/>
  <c r="AZ80" i="15"/>
  <c r="AY80" i="15"/>
  <c r="AX80" i="15"/>
  <c r="AW80" i="15"/>
  <c r="AV80" i="15"/>
  <c r="AU80" i="15"/>
  <c r="AT80" i="15"/>
  <c r="AS80" i="15"/>
  <c r="AR80" i="15"/>
  <c r="AQ80" i="15"/>
  <c r="AP80" i="15"/>
  <c r="AO80" i="15"/>
  <c r="AN80" i="15"/>
  <c r="AM80" i="15"/>
  <c r="AL80" i="15"/>
  <c r="AK80" i="15"/>
  <c r="AI80" i="15"/>
  <c r="AI100" i="15" s="1"/>
  <c r="AH80" i="15"/>
  <c r="AH100" i="15" s="1"/>
  <c r="AG80" i="15"/>
  <c r="AG100" i="15" s="1"/>
  <c r="BE81" i="15"/>
  <c r="BD81" i="15"/>
  <c r="BC81" i="15"/>
  <c r="BB81" i="15"/>
  <c r="BA81" i="15"/>
  <c r="AZ81" i="15"/>
  <c r="AY81" i="15"/>
  <c r="AX81" i="15"/>
  <c r="AW81" i="15"/>
  <c r="AV81" i="15"/>
  <c r="AU81" i="15"/>
  <c r="AT81" i="15"/>
  <c r="AS81" i="15"/>
  <c r="AR81" i="15"/>
  <c r="AQ81" i="15"/>
  <c r="AP81" i="15"/>
  <c r="AO81" i="15"/>
  <c r="AN81" i="15"/>
  <c r="AM81" i="15"/>
  <c r="AL81" i="15"/>
  <c r="AK81" i="15"/>
  <c r="AI81" i="15"/>
  <c r="AI101" i="15" s="1"/>
  <c r="AH81" i="15"/>
  <c r="AH101" i="15" s="1"/>
  <c r="AG81" i="15"/>
  <c r="AG101" i="15" s="1"/>
  <c r="BE82" i="15"/>
  <c r="BD82" i="15"/>
  <c r="BC82" i="15"/>
  <c r="BB82" i="15"/>
  <c r="BA82" i="15"/>
  <c r="AZ82" i="15"/>
  <c r="AY82" i="15"/>
  <c r="AX82" i="15"/>
  <c r="AW82" i="15"/>
  <c r="AV82" i="15"/>
  <c r="AU82" i="15"/>
  <c r="AT82" i="15"/>
  <c r="AS82" i="15"/>
  <c r="AR82" i="15"/>
  <c r="AQ82" i="15"/>
  <c r="AP82" i="15"/>
  <c r="AO82" i="15"/>
  <c r="AN82" i="15"/>
  <c r="AM82" i="15"/>
  <c r="AL82" i="15"/>
  <c r="AK82" i="15"/>
  <c r="AI82" i="15"/>
  <c r="AI102" i="15" s="1"/>
  <c r="AH82" i="15"/>
  <c r="AH102" i="15" s="1"/>
  <c r="AG82" i="15"/>
  <c r="AG102" i="15" s="1"/>
  <c r="BE83" i="15"/>
  <c r="BD83" i="15"/>
  <c r="BC83" i="15"/>
  <c r="BB83" i="15"/>
  <c r="BA83" i="15"/>
  <c r="AZ83" i="15"/>
  <c r="AY83" i="15"/>
  <c r="AX83" i="15"/>
  <c r="AW83" i="15"/>
  <c r="AV83" i="15"/>
  <c r="AU83" i="15"/>
  <c r="AT83" i="15"/>
  <c r="AS83" i="15"/>
  <c r="AR83" i="15"/>
  <c r="AQ83" i="15"/>
  <c r="AP83" i="15"/>
  <c r="AO83" i="15"/>
  <c r="AN83" i="15"/>
  <c r="AM83" i="15"/>
  <c r="AL83" i="15"/>
  <c r="AK83" i="15"/>
  <c r="AI83" i="15"/>
  <c r="AI103" i="15" s="1"/>
  <c r="AH83" i="15"/>
  <c r="AH103" i="15" s="1"/>
  <c r="AG83" i="15"/>
  <c r="AG103" i="15" s="1"/>
  <c r="BE84" i="15"/>
  <c r="BD84" i="15"/>
  <c r="BC84" i="15"/>
  <c r="BB84" i="15"/>
  <c r="BA84" i="15"/>
  <c r="AZ84" i="15"/>
  <c r="AY84" i="15"/>
  <c r="AX84" i="15"/>
  <c r="AW84" i="15"/>
  <c r="AV84" i="15"/>
  <c r="AU84" i="15"/>
  <c r="AT84" i="15"/>
  <c r="AS84" i="15"/>
  <c r="AR84" i="15"/>
  <c r="AQ84" i="15"/>
  <c r="AP84" i="15"/>
  <c r="AO84" i="15"/>
  <c r="AN84" i="15"/>
  <c r="AM84" i="15"/>
  <c r="AL84" i="15"/>
  <c r="AK84" i="15"/>
  <c r="AI84" i="15"/>
  <c r="AI104" i="15" s="1"/>
  <c r="AH84" i="15"/>
  <c r="AH104" i="15" s="1"/>
  <c r="AG84" i="15"/>
  <c r="AG104" i="15" s="1"/>
  <c r="BE78" i="15"/>
  <c r="BD78" i="15"/>
  <c r="BC78" i="15"/>
  <c r="BB78" i="15"/>
  <c r="BA78" i="15"/>
  <c r="AZ78" i="15"/>
  <c r="AY78" i="15"/>
  <c r="AX78" i="15"/>
  <c r="AW78" i="15"/>
  <c r="AV78" i="15"/>
  <c r="AU78" i="15"/>
  <c r="AT78" i="15"/>
  <c r="AS78" i="15"/>
  <c r="AR78" i="15"/>
  <c r="AQ78" i="15"/>
  <c r="AP78" i="15"/>
  <c r="AO78" i="15"/>
  <c r="AN78" i="15"/>
  <c r="AM78" i="15"/>
  <c r="AL78" i="15"/>
  <c r="AK78" i="15"/>
  <c r="AI78" i="15"/>
  <c r="AI98" i="15" s="1"/>
  <c r="AH78" i="15"/>
  <c r="AH98" i="15" s="1"/>
  <c r="AG78" i="15"/>
  <c r="AG98" i="15" s="1"/>
  <c r="BE77" i="15"/>
  <c r="BD77" i="15"/>
  <c r="BC77" i="15"/>
  <c r="BB77" i="15"/>
  <c r="BA77" i="15"/>
  <c r="AZ77" i="15"/>
  <c r="AY77" i="15"/>
  <c r="AX77" i="15"/>
  <c r="AW77" i="15"/>
  <c r="AV77" i="15"/>
  <c r="AU77" i="15"/>
  <c r="AT77" i="15"/>
  <c r="AS77" i="15"/>
  <c r="AR77" i="15"/>
  <c r="AQ77" i="15"/>
  <c r="AP77" i="15"/>
  <c r="AO77" i="15"/>
  <c r="AN77" i="15"/>
  <c r="AM77" i="15"/>
  <c r="AL77" i="15"/>
  <c r="AK77" i="15"/>
  <c r="AI77" i="15"/>
  <c r="AI97" i="15" s="1"/>
  <c r="AH77" i="15"/>
  <c r="AH97" i="15" s="1"/>
  <c r="AG77" i="15"/>
  <c r="AG97" i="15" s="1"/>
  <c r="BE76" i="15"/>
  <c r="BD76" i="15"/>
  <c r="BC76" i="15"/>
  <c r="BB76" i="15"/>
  <c r="BA76" i="15"/>
  <c r="AZ76" i="15"/>
  <c r="AY76" i="15"/>
  <c r="AX76" i="15"/>
  <c r="AW76" i="15"/>
  <c r="AV76" i="15"/>
  <c r="AU76" i="15"/>
  <c r="AT76" i="15"/>
  <c r="AS76" i="15"/>
  <c r="AR76" i="15"/>
  <c r="AQ76" i="15"/>
  <c r="AP76" i="15"/>
  <c r="AO76" i="15"/>
  <c r="AN76" i="15"/>
  <c r="AM76" i="15"/>
  <c r="AL76" i="15"/>
  <c r="AK76" i="15"/>
  <c r="AI76" i="15"/>
  <c r="AI96" i="15" s="1"/>
  <c r="AH76" i="15"/>
  <c r="AH96" i="15" s="1"/>
  <c r="AG76" i="15"/>
  <c r="AG96" i="15" s="1"/>
  <c r="BE75" i="15"/>
  <c r="BD75" i="15"/>
  <c r="BC75" i="15"/>
  <c r="BB75" i="15"/>
  <c r="BA75" i="15"/>
  <c r="AZ75" i="15"/>
  <c r="AY75" i="15"/>
  <c r="AX75" i="15"/>
  <c r="AW75" i="15"/>
  <c r="AV75" i="15"/>
  <c r="AU75" i="15"/>
  <c r="AT75" i="15"/>
  <c r="AS75" i="15"/>
  <c r="AR75" i="15"/>
  <c r="AQ75" i="15"/>
  <c r="AP75" i="15"/>
  <c r="AO75" i="15"/>
  <c r="AN75" i="15"/>
  <c r="AM75" i="15"/>
  <c r="AL75" i="15"/>
  <c r="AK75" i="15"/>
  <c r="AI75" i="15"/>
  <c r="AI95" i="15" s="1"/>
  <c r="AH75" i="15"/>
  <c r="AH95" i="15" s="1"/>
  <c r="AH110" i="15" s="1"/>
  <c r="AG75" i="15"/>
  <c r="AG95" i="15" s="1"/>
  <c r="BE74" i="15"/>
  <c r="BD74" i="15"/>
  <c r="BC74" i="15"/>
  <c r="BB74" i="15"/>
  <c r="BA74" i="15"/>
  <c r="AZ74" i="15"/>
  <c r="AY74" i="15"/>
  <c r="AX74" i="15"/>
  <c r="AW74" i="15"/>
  <c r="AV74" i="15"/>
  <c r="AU74" i="15"/>
  <c r="AT74" i="15"/>
  <c r="AS74" i="15"/>
  <c r="AR74" i="15"/>
  <c r="AQ74" i="15"/>
  <c r="AP74" i="15"/>
  <c r="AO74" i="15"/>
  <c r="AN74" i="15"/>
  <c r="AM74" i="15"/>
  <c r="AL74" i="15"/>
  <c r="AK74" i="15"/>
  <c r="AI74" i="15"/>
  <c r="AI94" i="15" s="1"/>
  <c r="AH74" i="15"/>
  <c r="AH94" i="15" s="1"/>
  <c r="AG74" i="15"/>
  <c r="AG94" i="15" s="1"/>
  <c r="BE73" i="15"/>
  <c r="BD73" i="15"/>
  <c r="BC73" i="15"/>
  <c r="BB73" i="15"/>
  <c r="BA73" i="15"/>
  <c r="AZ73" i="15"/>
  <c r="AY73" i="15"/>
  <c r="AX73" i="15"/>
  <c r="AW73" i="15"/>
  <c r="AV73" i="15"/>
  <c r="AU73" i="15"/>
  <c r="AT73" i="15"/>
  <c r="AS73" i="15"/>
  <c r="AR73" i="15"/>
  <c r="AQ73" i="15"/>
  <c r="AP73" i="15"/>
  <c r="AO73" i="15"/>
  <c r="AN73" i="15"/>
  <c r="AM73" i="15"/>
  <c r="AL73" i="15"/>
  <c r="AK73" i="15"/>
  <c r="AJ73" i="15"/>
  <c r="AI73" i="15"/>
  <c r="AI93" i="15" s="1"/>
  <c r="AH73" i="15"/>
  <c r="AH93" i="15" s="1"/>
  <c r="AG73" i="15"/>
  <c r="AG93" i="15" s="1"/>
  <c r="BE72" i="15"/>
  <c r="BD72" i="15"/>
  <c r="BC72" i="15"/>
  <c r="BB72" i="15"/>
  <c r="BA72" i="15"/>
  <c r="AZ72" i="15"/>
  <c r="AY72" i="15"/>
  <c r="AX72" i="15"/>
  <c r="AW72" i="15"/>
  <c r="AV72" i="15"/>
  <c r="AU72" i="15"/>
  <c r="AT72" i="15"/>
  <c r="AS72" i="15"/>
  <c r="AR72" i="15"/>
  <c r="AQ72" i="15"/>
  <c r="AP72" i="15"/>
  <c r="AO72" i="15"/>
  <c r="AN72" i="15"/>
  <c r="AM72" i="15"/>
  <c r="AL72" i="15"/>
  <c r="AK72" i="15"/>
  <c r="AI72" i="15"/>
  <c r="AI92" i="15" s="1"/>
  <c r="AH72" i="15"/>
  <c r="AH92" i="15" s="1"/>
  <c r="AG72" i="15"/>
  <c r="AG92" i="15" s="1"/>
  <c r="BE71" i="15"/>
  <c r="BD71" i="15"/>
  <c r="BC71" i="15"/>
  <c r="BB71" i="15"/>
  <c r="BA71" i="15"/>
  <c r="AZ71" i="15"/>
  <c r="AY71" i="15"/>
  <c r="AX71" i="15"/>
  <c r="AW71" i="15"/>
  <c r="AV71" i="15"/>
  <c r="AU71" i="15"/>
  <c r="AT71" i="15"/>
  <c r="AS71" i="15"/>
  <c r="AR71" i="15"/>
  <c r="AQ71" i="15"/>
  <c r="AP71" i="15"/>
  <c r="AO71" i="15"/>
  <c r="AN71" i="15"/>
  <c r="AM71" i="15"/>
  <c r="AL71" i="15"/>
  <c r="AK71" i="15"/>
  <c r="AI71" i="15"/>
  <c r="AI91" i="15" s="1"/>
  <c r="AH71" i="15"/>
  <c r="AH91" i="15" s="1"/>
  <c r="AG71" i="15"/>
  <c r="AG91" i="15" s="1"/>
  <c r="BE70" i="15"/>
  <c r="BD70" i="15"/>
  <c r="BC70" i="15"/>
  <c r="BB70" i="15"/>
  <c r="BA70" i="15"/>
  <c r="AZ70" i="15"/>
  <c r="AY70" i="15"/>
  <c r="AX70" i="15"/>
  <c r="AW70" i="15"/>
  <c r="AV70" i="15"/>
  <c r="AU70" i="15"/>
  <c r="AT70" i="15"/>
  <c r="AS70" i="15"/>
  <c r="AR70" i="15"/>
  <c r="AQ70" i="15"/>
  <c r="AP70" i="15"/>
  <c r="AO70" i="15"/>
  <c r="AN70" i="15"/>
  <c r="AM70" i="15"/>
  <c r="AL70" i="15"/>
  <c r="AK70" i="15"/>
  <c r="AI70" i="15"/>
  <c r="AI90" i="15" s="1"/>
  <c r="AH70" i="15"/>
  <c r="AH90" i="15" s="1"/>
  <c r="AG70" i="15"/>
  <c r="AG90" i="15" s="1"/>
  <c r="BE69" i="15"/>
  <c r="AH3" i="15"/>
  <c r="AI3" i="15" s="1"/>
  <c r="AJ3" i="15" s="1"/>
  <c r="AK3" i="15" s="1"/>
  <c r="AL3" i="15" s="1"/>
  <c r="AM3" i="15" s="1"/>
  <c r="AN3" i="15" s="1"/>
  <c r="AO3" i="15" s="1"/>
  <c r="AP3" i="15" s="1"/>
  <c r="AQ3" i="15" s="1"/>
  <c r="AR3" i="15" s="1"/>
  <c r="AS3" i="15" s="1"/>
  <c r="AT3" i="15" s="1"/>
  <c r="AU3" i="15" s="1"/>
  <c r="AV3" i="15" s="1"/>
  <c r="AW3" i="15" s="1"/>
  <c r="AX3" i="15" s="1"/>
  <c r="AY3" i="15" s="1"/>
  <c r="AZ3" i="15" s="1"/>
  <c r="BA3" i="15" s="1"/>
  <c r="BB3" i="15" s="1"/>
  <c r="BC3" i="15" s="1"/>
  <c r="BD3" i="15" s="1"/>
  <c r="BE3" i="15" s="1"/>
  <c r="F69" i="15"/>
  <c r="F89" i="15" s="1"/>
  <c r="F43" i="15"/>
  <c r="AJ43" i="15" s="1"/>
  <c r="F44" i="15"/>
  <c r="AJ44" i="15" s="1"/>
  <c r="F32" i="15"/>
  <c r="AJ32" i="15" s="1"/>
  <c r="F33" i="15"/>
  <c r="AJ33" i="15" s="1"/>
  <c r="F34" i="15"/>
  <c r="AJ34" i="15" s="1"/>
  <c r="F35" i="15"/>
  <c r="AJ35" i="15" s="1"/>
  <c r="F36" i="15"/>
  <c r="AJ36" i="15" s="1"/>
  <c r="F37" i="15"/>
  <c r="AJ37" i="15" s="1"/>
  <c r="F38" i="15"/>
  <c r="AJ38" i="15" s="1"/>
  <c r="F39" i="15"/>
  <c r="AJ39" i="15" s="1"/>
  <c r="F40" i="15"/>
  <c r="AJ40" i="15" s="1"/>
  <c r="F41" i="15"/>
  <c r="AJ41" i="15" s="1"/>
  <c r="F42" i="15"/>
  <c r="AJ42" i="15" s="1"/>
  <c r="F31" i="15"/>
  <c r="AJ31" i="15" s="1"/>
  <c r="F30" i="15"/>
  <c r="AJ30" i="15" s="1"/>
  <c r="W10" i="10"/>
  <c r="X10" i="10" s="1"/>
  <c r="Y10" i="10" s="1"/>
  <c r="Z10" i="10" s="1"/>
  <c r="AA10" i="10" s="1"/>
  <c r="V10" i="10"/>
  <c r="U10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H12" i="12"/>
  <c r="I12" i="12" s="1"/>
  <c r="J12" i="12" s="1"/>
  <c r="K12" i="12" s="1"/>
  <c r="L12" i="12" s="1"/>
  <c r="M12" i="12" s="1"/>
  <c r="N12" i="12" s="1"/>
  <c r="O12" i="12" s="1"/>
  <c r="P12" i="12" s="1"/>
  <c r="Q12" i="12" s="1"/>
  <c r="R12" i="12" s="1"/>
  <c r="S12" i="12" s="1"/>
  <c r="T12" i="12" s="1"/>
  <c r="U12" i="12" s="1"/>
  <c r="V12" i="12" s="1"/>
  <c r="W12" i="12" s="1"/>
  <c r="X12" i="12" s="1"/>
  <c r="Y12" i="12" s="1"/>
  <c r="Z12" i="12" s="1"/>
  <c r="AA12" i="12" s="1"/>
  <c r="H11" i="12"/>
  <c r="I11" i="12" s="1"/>
  <c r="J11" i="12" s="1"/>
  <c r="K11" i="12" s="1"/>
  <c r="L11" i="12" s="1"/>
  <c r="M11" i="12" s="1"/>
  <c r="N11" i="12" s="1"/>
  <c r="O11" i="12" s="1"/>
  <c r="P11" i="12" s="1"/>
  <c r="Q11" i="12" s="1"/>
  <c r="R11" i="12" s="1"/>
  <c r="S11" i="12" s="1"/>
  <c r="T11" i="12" s="1"/>
  <c r="U11" i="12" s="1"/>
  <c r="V11" i="12" s="1"/>
  <c r="W11" i="12" s="1"/>
  <c r="X11" i="12" s="1"/>
  <c r="Y11" i="12" s="1"/>
  <c r="Z11" i="12" s="1"/>
  <c r="AA11" i="12" s="1"/>
  <c r="AG110" i="15" l="1"/>
  <c r="AH29" i="15"/>
  <c r="AI29" i="15"/>
  <c r="AG29" i="15"/>
  <c r="AJ29" i="15"/>
  <c r="AI110" i="15"/>
  <c r="F101" i="15"/>
  <c r="AJ104" i="15"/>
  <c r="F100" i="15"/>
  <c r="AJ96" i="15"/>
  <c r="AJ103" i="15"/>
  <c r="AJ94" i="15"/>
  <c r="AJ97" i="15"/>
  <c r="F97" i="15"/>
  <c r="AJ98" i="15"/>
  <c r="F98" i="15"/>
  <c r="F99" i="15"/>
  <c r="AJ102" i="15"/>
  <c r="AJ90" i="15"/>
  <c r="AJ100" i="15"/>
  <c r="AJ91" i="15"/>
  <c r="AJ99" i="15"/>
  <c r="F96" i="15"/>
  <c r="AJ92" i="15"/>
  <c r="F95" i="15"/>
  <c r="AJ93" i="15"/>
  <c r="F94" i="15"/>
  <c r="AJ101" i="15"/>
  <c r="F90" i="15"/>
  <c r="F93" i="15"/>
  <c r="AJ95" i="15"/>
  <c r="F104" i="15"/>
  <c r="F92" i="15"/>
  <c r="F103" i="15"/>
  <c r="F91" i="15"/>
  <c r="F102" i="15"/>
  <c r="F85" i="15"/>
  <c r="AH69" i="15"/>
  <c r="AT69" i="15"/>
  <c r="AI69" i="15"/>
  <c r="AU69" i="15"/>
  <c r="AV69" i="15"/>
  <c r="AK69" i="15"/>
  <c r="AW69" i="15"/>
  <c r="AL69" i="15"/>
  <c r="AX69" i="15"/>
  <c r="AJ69" i="15"/>
  <c r="AJ89" i="15" s="1"/>
  <c r="AM69" i="15"/>
  <c r="AY69" i="15"/>
  <c r="AN69" i="15"/>
  <c r="AZ69" i="15"/>
  <c r="AO69" i="15"/>
  <c r="BA69" i="15"/>
  <c r="AP69" i="15"/>
  <c r="BB69" i="15"/>
  <c r="AQ69" i="15"/>
  <c r="BC69" i="15"/>
  <c r="AR69" i="15"/>
  <c r="BD69" i="15"/>
  <c r="AG69" i="15"/>
  <c r="AS69" i="15"/>
  <c r="F45" i="15"/>
  <c r="F108" i="15" l="1"/>
  <c r="F110" i="15"/>
  <c r="AJ110" i="15"/>
  <c r="AJ108" i="15"/>
  <c r="AH89" i="15"/>
  <c r="AG89" i="15"/>
  <c r="AJ106" i="15"/>
  <c r="AI89" i="1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AF54" i="16"/>
  <c r="AF53" i="16"/>
  <c r="AF52" i="16"/>
  <c r="AF42" i="16"/>
  <c r="AF18" i="16"/>
  <c r="AA6" i="16"/>
  <c r="Z6" i="16"/>
  <c r="Y6" i="16"/>
  <c r="X6" i="16"/>
  <c r="W6" i="16"/>
  <c r="V6" i="16"/>
  <c r="U6" i="16"/>
  <c r="T6" i="16"/>
  <c r="S6" i="16"/>
  <c r="R6" i="16"/>
  <c r="Q6" i="16"/>
  <c r="P6" i="16"/>
  <c r="O6" i="16"/>
  <c r="N6" i="16"/>
  <c r="M6" i="16"/>
  <c r="L6" i="16"/>
  <c r="K6" i="16"/>
  <c r="J6" i="16"/>
  <c r="I6" i="16"/>
  <c r="H6" i="16"/>
  <c r="G6" i="16"/>
  <c r="AA7" i="15"/>
  <c r="Z7" i="15"/>
  <c r="Y7" i="15"/>
  <c r="X7" i="15"/>
  <c r="W7" i="15"/>
  <c r="V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H7" i="15"/>
  <c r="AF30" i="13"/>
  <c r="AF29" i="13"/>
  <c r="AF28" i="13"/>
  <c r="AF27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H8" i="13"/>
  <c r="G8" i="13"/>
  <c r="AA7" i="13"/>
  <c r="Z7" i="13"/>
  <c r="Y7" i="13"/>
  <c r="X7" i="13"/>
  <c r="W7" i="13"/>
  <c r="V7" i="13"/>
  <c r="U7" i="13"/>
  <c r="T7" i="13"/>
  <c r="S7" i="13"/>
  <c r="R7" i="13"/>
  <c r="Q7" i="13"/>
  <c r="P7" i="13"/>
  <c r="O7" i="13"/>
  <c r="N7" i="13"/>
  <c r="M7" i="13"/>
  <c r="L7" i="13"/>
  <c r="K7" i="13"/>
  <c r="J7" i="13"/>
  <c r="I7" i="13"/>
  <c r="H7" i="13"/>
  <c r="G7" i="13"/>
  <c r="AA6" i="13"/>
  <c r="Z6" i="13"/>
  <c r="Y6" i="13"/>
  <c r="X6" i="13"/>
  <c r="W6" i="13"/>
  <c r="V6" i="13"/>
  <c r="U6" i="13"/>
  <c r="T6" i="13"/>
  <c r="S6" i="13"/>
  <c r="R6" i="13"/>
  <c r="Q6" i="13"/>
  <c r="P6" i="13"/>
  <c r="O6" i="13"/>
  <c r="N6" i="13"/>
  <c r="M6" i="13"/>
  <c r="L6" i="13"/>
  <c r="K6" i="13"/>
  <c r="J6" i="13"/>
  <c r="I6" i="13"/>
  <c r="H6" i="13"/>
  <c r="G6" i="13"/>
  <c r="AF28" i="19"/>
  <c r="AF23" i="19"/>
  <c r="AF22" i="19"/>
  <c r="AF21" i="19"/>
  <c r="AF39" i="18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AA7" i="19"/>
  <c r="Z7" i="19"/>
  <c r="Y7" i="19"/>
  <c r="X7" i="19"/>
  <c r="W7" i="19"/>
  <c r="V7" i="19"/>
  <c r="U7" i="19"/>
  <c r="T7" i="19"/>
  <c r="S7" i="19"/>
  <c r="R7" i="19"/>
  <c r="Q7" i="19"/>
  <c r="P7" i="19"/>
  <c r="O7" i="19"/>
  <c r="N7" i="19"/>
  <c r="M7" i="19"/>
  <c r="L7" i="19"/>
  <c r="K7" i="19"/>
  <c r="J7" i="19"/>
  <c r="I7" i="19"/>
  <c r="H7" i="19"/>
  <c r="G7" i="19"/>
  <c r="AA6" i="19"/>
  <c r="Z6" i="19"/>
  <c r="Y6" i="19"/>
  <c r="X6" i="19"/>
  <c r="W6" i="19"/>
  <c r="V6" i="19"/>
  <c r="U6" i="19"/>
  <c r="T6" i="19"/>
  <c r="S6" i="19"/>
  <c r="R6" i="19"/>
  <c r="Q6" i="19"/>
  <c r="P6" i="19"/>
  <c r="O6" i="19"/>
  <c r="N6" i="19"/>
  <c r="M6" i="19"/>
  <c r="L6" i="19"/>
  <c r="K6" i="19"/>
  <c r="J6" i="19"/>
  <c r="I6" i="19"/>
  <c r="H6" i="19"/>
  <c r="G6" i="19"/>
  <c r="AF41" i="18"/>
  <c r="AF40" i="18"/>
  <c r="AF23" i="18"/>
  <c r="AF22" i="18"/>
  <c r="AF21" i="18"/>
  <c r="AF20" i="18"/>
  <c r="AF19" i="18"/>
  <c r="AF18" i="18"/>
  <c r="AA6" i="18"/>
  <c r="Z6" i="18"/>
  <c r="Y6" i="18"/>
  <c r="X6" i="18"/>
  <c r="W6" i="18"/>
  <c r="V6" i="18"/>
  <c r="U6" i="18"/>
  <c r="T6" i="18"/>
  <c r="S6" i="18"/>
  <c r="R6" i="18"/>
  <c r="Q6" i="18"/>
  <c r="P6" i="18"/>
  <c r="O6" i="18"/>
  <c r="N6" i="18"/>
  <c r="M6" i="18"/>
  <c r="L6" i="18"/>
  <c r="K6" i="18"/>
  <c r="J6" i="18"/>
  <c r="I6" i="18"/>
  <c r="H6" i="18"/>
  <c r="AF30" i="17"/>
  <c r="AF29" i="17"/>
  <c r="AF28" i="17"/>
  <c r="AF13" i="17"/>
  <c r="AA6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AF13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AF16" i="10"/>
  <c r="AA6" i="10"/>
  <c r="Z6" i="10"/>
  <c r="Y6" i="10"/>
  <c r="X6" i="10"/>
  <c r="W6" i="10"/>
  <c r="V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H6" i="10"/>
  <c r="AA5" i="12"/>
  <c r="Z5" i="12"/>
  <c r="Y5" i="12"/>
  <c r="X5" i="12"/>
  <c r="W5" i="12"/>
  <c r="V5" i="12"/>
  <c r="U5" i="12"/>
  <c r="T5" i="12"/>
  <c r="S5" i="12"/>
  <c r="R5" i="12"/>
  <c r="Q5" i="12"/>
  <c r="P5" i="12"/>
  <c r="O5" i="12"/>
  <c r="N5" i="12"/>
  <c r="M5" i="12"/>
  <c r="L5" i="12"/>
  <c r="K5" i="12"/>
  <c r="J5" i="12"/>
  <c r="I5" i="12"/>
  <c r="H5" i="12"/>
  <c r="AF21" i="12"/>
  <c r="AF20" i="12"/>
  <c r="AF19" i="12"/>
  <c r="AF18" i="12"/>
  <c r="AF17" i="12"/>
  <c r="AF16" i="12"/>
  <c r="AF18" i="8"/>
  <c r="AF16" i="8"/>
  <c r="E193" i="20"/>
  <c r="E192" i="20"/>
  <c r="E191" i="20"/>
  <c r="E190" i="20"/>
  <c r="E189" i="20"/>
  <c r="E188" i="20"/>
  <c r="A190" i="20"/>
  <c r="A191" i="20" s="1"/>
  <c r="A192" i="20" s="1"/>
  <c r="A193" i="20" s="1"/>
  <c r="A189" i="20"/>
  <c r="A188" i="20"/>
  <c r="E183" i="20"/>
  <c r="E182" i="20"/>
  <c r="E181" i="20"/>
  <c r="E180" i="20"/>
  <c r="E179" i="20"/>
  <c r="E178" i="20"/>
  <c r="A180" i="20"/>
  <c r="A181" i="20" s="1"/>
  <c r="A182" i="20" s="1"/>
  <c r="A183" i="20" s="1"/>
  <c r="A179" i="20"/>
  <c r="A178" i="20"/>
  <c r="E173" i="20"/>
  <c r="E172" i="20"/>
  <c r="E171" i="20"/>
  <c r="E170" i="20"/>
  <c r="E169" i="20"/>
  <c r="E168" i="20"/>
  <c r="A170" i="20"/>
  <c r="A171" i="20" s="1"/>
  <c r="A172" i="20" s="1"/>
  <c r="A173" i="20" s="1"/>
  <c r="A169" i="20"/>
  <c r="A168" i="20"/>
  <c r="E163" i="20"/>
  <c r="E162" i="20"/>
  <c r="E161" i="20"/>
  <c r="E160" i="20"/>
  <c r="E159" i="20"/>
  <c r="E158" i="20"/>
  <c r="E157" i="20"/>
  <c r="E156" i="20"/>
  <c r="E155" i="20"/>
  <c r="A157" i="20"/>
  <c r="A158" i="20" s="1"/>
  <c r="A159" i="20" s="1"/>
  <c r="A160" i="20" s="1"/>
  <c r="A161" i="20" s="1"/>
  <c r="A162" i="20" s="1"/>
  <c r="A163" i="20" s="1"/>
  <c r="A156" i="20"/>
  <c r="A155" i="20"/>
  <c r="A144" i="20"/>
  <c r="E144" i="20" s="1"/>
  <c r="A143" i="20"/>
  <c r="E143" i="20" s="1"/>
  <c r="E142" i="20"/>
  <c r="A142" i="20"/>
  <c r="E137" i="20"/>
  <c r="E136" i="20"/>
  <c r="E135" i="20"/>
  <c r="E134" i="20"/>
  <c r="E133" i="20"/>
  <c r="E132" i="20"/>
  <c r="A134" i="20"/>
  <c r="A135" i="20" s="1"/>
  <c r="A136" i="20" s="1"/>
  <c r="A137" i="20" s="1"/>
  <c r="A133" i="20"/>
  <c r="A132" i="20"/>
  <c r="E127" i="20"/>
  <c r="E126" i="20"/>
  <c r="E125" i="20"/>
  <c r="E124" i="20"/>
  <c r="E123" i="20"/>
  <c r="E122" i="20"/>
  <c r="A124" i="20"/>
  <c r="A125" i="20" s="1"/>
  <c r="A126" i="20" s="1"/>
  <c r="A127" i="20" s="1"/>
  <c r="A123" i="20"/>
  <c r="A122" i="20"/>
  <c r="E117" i="20"/>
  <c r="E116" i="20"/>
  <c r="E115" i="20"/>
  <c r="E114" i="20"/>
  <c r="E113" i="20"/>
  <c r="E112" i="20"/>
  <c r="A114" i="20"/>
  <c r="A115" i="20" s="1"/>
  <c r="A116" i="20" s="1"/>
  <c r="A117" i="20" s="1"/>
  <c r="A113" i="20"/>
  <c r="A112" i="20"/>
  <c r="E107" i="20"/>
  <c r="E106" i="20"/>
  <c r="E105" i="20"/>
  <c r="E104" i="20"/>
  <c r="E103" i="20"/>
  <c r="E102" i="20"/>
  <c r="A104" i="20"/>
  <c r="A105" i="20" s="1"/>
  <c r="A106" i="20" s="1"/>
  <c r="A107" i="20" s="1"/>
  <c r="A103" i="20"/>
  <c r="A102" i="20"/>
  <c r="E97" i="20"/>
  <c r="E96" i="20"/>
  <c r="E95" i="20"/>
  <c r="E94" i="20"/>
  <c r="E93" i="20"/>
  <c r="E92" i="20"/>
  <c r="A94" i="20"/>
  <c r="A95" i="20" s="1"/>
  <c r="A96" i="20" s="1"/>
  <c r="A97" i="20" s="1"/>
  <c r="A93" i="20"/>
  <c r="A92" i="20"/>
  <c r="E86" i="20"/>
  <c r="E85" i="20"/>
  <c r="E84" i="20"/>
  <c r="E83" i="20"/>
  <c r="E82" i="20"/>
  <c r="E81" i="20"/>
  <c r="A83" i="20"/>
  <c r="A84" i="20" s="1"/>
  <c r="A85" i="20" s="1"/>
  <c r="A86" i="20" s="1"/>
  <c r="A82" i="20"/>
  <c r="A81" i="20"/>
  <c r="E76" i="20"/>
  <c r="E75" i="20"/>
  <c r="E74" i="20"/>
  <c r="E73" i="20"/>
  <c r="E72" i="20"/>
  <c r="E71" i="20"/>
  <c r="A73" i="20"/>
  <c r="A74" i="20" s="1"/>
  <c r="A75" i="20" s="1"/>
  <c r="A76" i="20" s="1"/>
  <c r="A72" i="20"/>
  <c r="A71" i="20"/>
  <c r="A66" i="20"/>
  <c r="E66" i="20"/>
  <c r="E65" i="20"/>
  <c r="E64" i="20"/>
  <c r="A59" i="20"/>
  <c r="E59" i="20"/>
  <c r="E58" i="20"/>
  <c r="A60" i="20"/>
  <c r="A61" i="20" s="1"/>
  <c r="A62" i="20" s="1"/>
  <c r="A63" i="20" s="1"/>
  <c r="A64" i="20" s="1"/>
  <c r="A65" i="20" s="1"/>
  <c r="A58" i="20"/>
  <c r="E53" i="20"/>
  <c r="E52" i="20"/>
  <c r="E51" i="20"/>
  <c r="E50" i="20"/>
  <c r="E49" i="20"/>
  <c r="E48" i="20"/>
  <c r="A49" i="20"/>
  <c r="A50" i="20" s="1"/>
  <c r="A51" i="20" s="1"/>
  <c r="A52" i="20" s="1"/>
  <c r="A53" i="20" s="1"/>
  <c r="A54" i="20" s="1"/>
  <c r="A48" i="20"/>
  <c r="E32" i="20"/>
  <c r="E31" i="20"/>
  <c r="E30" i="20"/>
  <c r="E29" i="20"/>
  <c r="E28" i="20"/>
  <c r="E27" i="20"/>
  <c r="E43" i="20"/>
  <c r="E42" i="20"/>
  <c r="E41" i="20"/>
  <c r="E40" i="20"/>
  <c r="E39" i="20"/>
  <c r="E38" i="20"/>
  <c r="E37" i="20"/>
  <c r="A43" i="20"/>
  <c r="A38" i="20"/>
  <c r="A39" i="20" s="1"/>
  <c r="A40" i="20" s="1"/>
  <c r="A41" i="20" s="1"/>
  <c r="A42" i="20" s="1"/>
  <c r="A37" i="20"/>
  <c r="AJ112" i="15" l="1"/>
  <c r="AH106" i="15"/>
  <c r="AH108" i="15"/>
  <c r="AI106" i="15"/>
  <c r="AI108" i="15"/>
  <c r="AG106" i="15"/>
  <c r="AG108" i="15"/>
  <c r="G34" i="15"/>
  <c r="AK34" i="15" s="1"/>
  <c r="G44" i="15"/>
  <c r="AK44" i="15" s="1"/>
  <c r="G31" i="15"/>
  <c r="AK31" i="15" s="1"/>
  <c r="G42" i="15"/>
  <c r="AK42" i="15" s="1"/>
  <c r="G43" i="15"/>
  <c r="AK43" i="15" s="1"/>
  <c r="G32" i="15"/>
  <c r="AK32" i="15" s="1"/>
  <c r="G39" i="15"/>
  <c r="AK39" i="15" s="1"/>
  <c r="G38" i="15"/>
  <c r="AK38" i="15" s="1"/>
  <c r="G37" i="15"/>
  <c r="AK37" i="15" s="1"/>
  <c r="G35" i="15"/>
  <c r="AK35" i="15" s="1"/>
  <c r="G40" i="15"/>
  <c r="AK40" i="15" s="1"/>
  <c r="G41" i="15"/>
  <c r="AK41" i="15" s="1"/>
  <c r="G33" i="15"/>
  <c r="AK33" i="15" s="1"/>
  <c r="G36" i="15"/>
  <c r="AK36" i="15" s="1"/>
  <c r="G29" i="15"/>
  <c r="AK29" i="15" s="1"/>
  <c r="G30" i="15"/>
  <c r="AK30" i="15" s="1"/>
  <c r="A145" i="20"/>
  <c r="E60" i="20"/>
  <c r="E61" i="20"/>
  <c r="E62" i="20"/>
  <c r="E63" i="20"/>
  <c r="AG112" i="15" l="1"/>
  <c r="AH112" i="15"/>
  <c r="AI112" i="15"/>
  <c r="H38" i="15"/>
  <c r="AL38" i="15" s="1"/>
  <c r="AK98" i="15"/>
  <c r="G98" i="15"/>
  <c r="H39" i="15"/>
  <c r="AL39" i="15" s="1"/>
  <c r="AK99" i="15"/>
  <c r="G99" i="15"/>
  <c r="H32" i="15"/>
  <c r="AL32" i="15" s="1"/>
  <c r="AK92" i="15"/>
  <c r="G92" i="15"/>
  <c r="H43" i="15"/>
  <c r="AL43" i="15" s="1"/>
  <c r="AK103" i="15"/>
  <c r="G103" i="15"/>
  <c r="H40" i="15"/>
  <c r="AL40" i="15" s="1"/>
  <c r="AK100" i="15"/>
  <c r="G100" i="15"/>
  <c r="H42" i="15"/>
  <c r="AL42" i="15" s="1"/>
  <c r="AK102" i="15"/>
  <c r="G102" i="15"/>
  <c r="H41" i="15"/>
  <c r="AL41" i="15" s="1"/>
  <c r="AK101" i="15"/>
  <c r="G101" i="15"/>
  <c r="H30" i="15"/>
  <c r="AL30" i="15" s="1"/>
  <c r="AK90" i="15"/>
  <c r="G90" i="15"/>
  <c r="H31" i="15"/>
  <c r="AL31" i="15" s="1"/>
  <c r="AK91" i="15"/>
  <c r="G91" i="15"/>
  <c r="H37" i="15"/>
  <c r="AL37" i="15" s="1"/>
  <c r="AK97" i="15"/>
  <c r="G97" i="15"/>
  <c r="H44" i="15"/>
  <c r="AL44" i="15" s="1"/>
  <c r="AK104" i="15"/>
  <c r="G104" i="15"/>
  <c r="H35" i="15"/>
  <c r="AL35" i="15" s="1"/>
  <c r="AK95" i="15"/>
  <c r="G95" i="15"/>
  <c r="H36" i="15"/>
  <c r="AL36" i="15" s="1"/>
  <c r="AK96" i="15"/>
  <c r="G96" i="15"/>
  <c r="H33" i="15"/>
  <c r="AL33" i="15" s="1"/>
  <c r="AK93" i="15"/>
  <c r="G93" i="15"/>
  <c r="H34" i="15"/>
  <c r="AL34" i="15" s="1"/>
  <c r="AK94" i="15"/>
  <c r="G94" i="15"/>
  <c r="G89" i="15"/>
  <c r="AK89" i="15"/>
  <c r="H29" i="15"/>
  <c r="AL29" i="15" s="1"/>
  <c r="G45" i="15"/>
  <c r="E145" i="20"/>
  <c r="A146" i="20"/>
  <c r="G110" i="15" l="1"/>
  <c r="G108" i="15"/>
  <c r="AK110" i="15"/>
  <c r="AK108" i="15"/>
  <c r="AK106" i="15"/>
  <c r="AK112" i="15" s="1"/>
  <c r="I43" i="15"/>
  <c r="AM43" i="15" s="1"/>
  <c r="AL103" i="15"/>
  <c r="H103" i="15"/>
  <c r="I44" i="15"/>
  <c r="AM44" i="15" s="1"/>
  <c r="AL104" i="15"/>
  <c r="H104" i="15"/>
  <c r="I41" i="15"/>
  <c r="AM41" i="15" s="1"/>
  <c r="AL101" i="15"/>
  <c r="H101" i="15"/>
  <c r="I32" i="15"/>
  <c r="AM32" i="15" s="1"/>
  <c r="AL92" i="15"/>
  <c r="H92" i="15"/>
  <c r="I30" i="15"/>
  <c r="AM30" i="15" s="1"/>
  <c r="AL90" i="15"/>
  <c r="H90" i="15"/>
  <c r="I34" i="15"/>
  <c r="AM34" i="15" s="1"/>
  <c r="AL94" i="15"/>
  <c r="H94" i="15"/>
  <c r="I37" i="15"/>
  <c r="AM37" i="15" s="1"/>
  <c r="AL97" i="15"/>
  <c r="H97" i="15"/>
  <c r="I39" i="15"/>
  <c r="AM39" i="15" s="1"/>
  <c r="AL99" i="15"/>
  <c r="H99" i="15"/>
  <c r="I33" i="15"/>
  <c r="AM33" i="15" s="1"/>
  <c r="AL93" i="15"/>
  <c r="H93" i="15"/>
  <c r="I42" i="15"/>
  <c r="AM42" i="15" s="1"/>
  <c r="AL102" i="15"/>
  <c r="H102" i="15"/>
  <c r="I35" i="15"/>
  <c r="AM35" i="15" s="1"/>
  <c r="AL95" i="15"/>
  <c r="H95" i="15"/>
  <c r="I36" i="15"/>
  <c r="AM36" i="15" s="1"/>
  <c r="AL96" i="15"/>
  <c r="H96" i="15"/>
  <c r="I31" i="15"/>
  <c r="AM31" i="15" s="1"/>
  <c r="AL91" i="15"/>
  <c r="H91" i="15"/>
  <c r="I40" i="15"/>
  <c r="AM40" i="15" s="1"/>
  <c r="AL100" i="15"/>
  <c r="H100" i="15"/>
  <c r="I38" i="15"/>
  <c r="AM38" i="15" s="1"/>
  <c r="AL98" i="15"/>
  <c r="H98" i="15"/>
  <c r="H89" i="15"/>
  <c r="AL89" i="15"/>
  <c r="I29" i="15"/>
  <c r="AM29" i="15" s="1"/>
  <c r="H45" i="15"/>
  <c r="E146" i="20"/>
  <c r="A147" i="20"/>
  <c r="H108" i="15" l="1"/>
  <c r="H110" i="15"/>
  <c r="AL108" i="15"/>
  <c r="AL110" i="15"/>
  <c r="AL106" i="15"/>
  <c r="J37" i="15"/>
  <c r="AN37" i="15" s="1"/>
  <c r="AM97" i="15"/>
  <c r="I97" i="15"/>
  <c r="J41" i="15"/>
  <c r="AN41" i="15" s="1"/>
  <c r="AM101" i="15"/>
  <c r="I101" i="15"/>
  <c r="J39" i="15"/>
  <c r="AN39" i="15" s="1"/>
  <c r="AM99" i="15"/>
  <c r="I99" i="15"/>
  <c r="J35" i="15"/>
  <c r="AN35" i="15" s="1"/>
  <c r="AM95" i="15"/>
  <c r="I95" i="15"/>
  <c r="J34" i="15"/>
  <c r="AN34" i="15" s="1"/>
  <c r="AM94" i="15"/>
  <c r="I94" i="15"/>
  <c r="J44" i="15"/>
  <c r="AN44" i="15" s="1"/>
  <c r="AM104" i="15"/>
  <c r="I104" i="15"/>
  <c r="J32" i="15"/>
  <c r="AN32" i="15" s="1"/>
  <c r="AM92" i="15"/>
  <c r="I92" i="15"/>
  <c r="J38" i="15"/>
  <c r="AN38" i="15" s="1"/>
  <c r="AM98" i="15"/>
  <c r="I98" i="15"/>
  <c r="J36" i="15"/>
  <c r="AN36" i="15" s="1"/>
  <c r="AM96" i="15"/>
  <c r="I96" i="15"/>
  <c r="J42" i="15"/>
  <c r="AN42" i="15" s="1"/>
  <c r="AM102" i="15"/>
  <c r="I102" i="15"/>
  <c r="J40" i="15"/>
  <c r="AN40" i="15" s="1"/>
  <c r="AM100" i="15"/>
  <c r="I100" i="15"/>
  <c r="J31" i="15"/>
  <c r="AN31" i="15" s="1"/>
  <c r="AM91" i="15"/>
  <c r="I91" i="15"/>
  <c r="J33" i="15"/>
  <c r="AN33" i="15" s="1"/>
  <c r="AM93" i="15"/>
  <c r="I93" i="15"/>
  <c r="J30" i="15"/>
  <c r="AN30" i="15" s="1"/>
  <c r="AM90" i="15"/>
  <c r="I90" i="15"/>
  <c r="J43" i="15"/>
  <c r="AN43" i="15" s="1"/>
  <c r="AM103" i="15"/>
  <c r="I103" i="15"/>
  <c r="I89" i="15"/>
  <c r="AM89" i="15"/>
  <c r="J29" i="15"/>
  <c r="AN29" i="15" s="1"/>
  <c r="I45" i="15"/>
  <c r="A148" i="20"/>
  <c r="E147" i="20"/>
  <c r="I110" i="15" l="1"/>
  <c r="AL112" i="15"/>
  <c r="I108" i="15"/>
  <c r="AM110" i="15"/>
  <c r="AM108" i="15"/>
  <c r="AM106" i="15"/>
  <c r="K31" i="15"/>
  <c r="AO31" i="15" s="1"/>
  <c r="AN91" i="15"/>
  <c r="J91" i="15"/>
  <c r="K32" i="15"/>
  <c r="AO32" i="15" s="1"/>
  <c r="AN92" i="15"/>
  <c r="J92" i="15"/>
  <c r="K39" i="15"/>
  <c r="AO39" i="15" s="1"/>
  <c r="AN99" i="15"/>
  <c r="J99" i="15"/>
  <c r="K35" i="15"/>
  <c r="AO35" i="15" s="1"/>
  <c r="AN95" i="15"/>
  <c r="J95" i="15"/>
  <c r="K40" i="15"/>
  <c r="AO40" i="15" s="1"/>
  <c r="AN100" i="15"/>
  <c r="J100" i="15"/>
  <c r="K44" i="15"/>
  <c r="AO44" i="15" s="1"/>
  <c r="AN104" i="15"/>
  <c r="J104" i="15"/>
  <c r="K41" i="15"/>
  <c r="AO41" i="15" s="1"/>
  <c r="AN101" i="15"/>
  <c r="J101" i="15"/>
  <c r="K38" i="15"/>
  <c r="AO38" i="15" s="1"/>
  <c r="AN98" i="15"/>
  <c r="J98" i="15"/>
  <c r="K43" i="15"/>
  <c r="AO43" i="15" s="1"/>
  <c r="AN103" i="15"/>
  <c r="J103" i="15"/>
  <c r="K30" i="15"/>
  <c r="AO30" i="15" s="1"/>
  <c r="AN90" i="15"/>
  <c r="J90" i="15"/>
  <c r="K42" i="15"/>
  <c r="AO42" i="15" s="1"/>
  <c r="AN102" i="15"/>
  <c r="J102" i="15"/>
  <c r="K33" i="15"/>
  <c r="AO33" i="15" s="1"/>
  <c r="AN93" i="15"/>
  <c r="J93" i="15"/>
  <c r="K36" i="15"/>
  <c r="AO36" i="15" s="1"/>
  <c r="AN96" i="15"/>
  <c r="J96" i="15"/>
  <c r="K34" i="15"/>
  <c r="AO34" i="15" s="1"/>
  <c r="AN94" i="15"/>
  <c r="J94" i="15"/>
  <c r="K37" i="15"/>
  <c r="AO37" i="15" s="1"/>
  <c r="AN97" i="15"/>
  <c r="J97" i="15"/>
  <c r="J89" i="15"/>
  <c r="AN89" i="15"/>
  <c r="K29" i="15"/>
  <c r="AO29" i="15" s="1"/>
  <c r="J45" i="15"/>
  <c r="A149" i="20"/>
  <c r="E148" i="20"/>
  <c r="AM112" i="15" l="1"/>
  <c r="J108" i="15"/>
  <c r="J110" i="15"/>
  <c r="AN108" i="15"/>
  <c r="AN110" i="15"/>
  <c r="AN106" i="15"/>
  <c r="L33" i="15"/>
  <c r="AP33" i="15" s="1"/>
  <c r="AO93" i="15"/>
  <c r="K93" i="15"/>
  <c r="L41" i="15"/>
  <c r="AP41" i="15" s="1"/>
  <c r="AO101" i="15"/>
  <c r="K101" i="15"/>
  <c r="L39" i="15"/>
  <c r="AP39" i="15" s="1"/>
  <c r="AO99" i="15"/>
  <c r="K99" i="15"/>
  <c r="L35" i="15"/>
  <c r="AP35" i="15" s="1"/>
  <c r="AO95" i="15"/>
  <c r="K95" i="15"/>
  <c r="L37" i="15"/>
  <c r="AP37" i="15" s="1"/>
  <c r="AO97" i="15"/>
  <c r="K97" i="15"/>
  <c r="L44" i="15"/>
  <c r="AP44" i="15" s="1"/>
  <c r="AO104" i="15"/>
  <c r="K104" i="15"/>
  <c r="L32" i="15"/>
  <c r="AP32" i="15" s="1"/>
  <c r="AO92" i="15"/>
  <c r="K92" i="15"/>
  <c r="L38" i="15"/>
  <c r="AP38" i="15" s="1"/>
  <c r="AO98" i="15"/>
  <c r="K98" i="15"/>
  <c r="L42" i="15"/>
  <c r="AP42" i="15" s="1"/>
  <c r="AO102" i="15"/>
  <c r="K102" i="15"/>
  <c r="L30" i="15"/>
  <c r="AP30" i="15" s="1"/>
  <c r="AO90" i="15"/>
  <c r="K90" i="15"/>
  <c r="L34" i="15"/>
  <c r="AP34" i="15" s="1"/>
  <c r="AO94" i="15"/>
  <c r="K94" i="15"/>
  <c r="L36" i="15"/>
  <c r="AP36" i="15" s="1"/>
  <c r="AO96" i="15"/>
  <c r="K96" i="15"/>
  <c r="L43" i="15"/>
  <c r="AP43" i="15" s="1"/>
  <c r="AO103" i="15"/>
  <c r="K103" i="15"/>
  <c r="L40" i="15"/>
  <c r="AP40" i="15" s="1"/>
  <c r="AO100" i="15"/>
  <c r="K100" i="15"/>
  <c r="L31" i="15"/>
  <c r="AP31" i="15" s="1"/>
  <c r="AO91" i="15"/>
  <c r="K91" i="15"/>
  <c r="K89" i="15"/>
  <c r="AO89" i="15"/>
  <c r="L29" i="15"/>
  <c r="AP29" i="15" s="1"/>
  <c r="K45" i="15"/>
  <c r="A150" i="20"/>
  <c r="E150" i="20" s="1"/>
  <c r="E149" i="20"/>
  <c r="AF10" i="5" s="1"/>
  <c r="AN112" i="15" l="1"/>
  <c r="K110" i="15"/>
  <c r="K108" i="15"/>
  <c r="AO108" i="15"/>
  <c r="AO110" i="15"/>
  <c r="AO106" i="15"/>
  <c r="M35" i="15"/>
  <c r="AQ35" i="15" s="1"/>
  <c r="AP95" i="15"/>
  <c r="L95" i="15"/>
  <c r="M38" i="15"/>
  <c r="AQ38" i="15" s="1"/>
  <c r="AP98" i="15"/>
  <c r="L98" i="15"/>
  <c r="M39" i="15"/>
  <c r="AQ39" i="15" s="1"/>
  <c r="AP99" i="15"/>
  <c r="L99" i="15"/>
  <c r="M32" i="15"/>
  <c r="AQ32" i="15" s="1"/>
  <c r="AP92" i="15"/>
  <c r="L92" i="15"/>
  <c r="M31" i="15"/>
  <c r="AQ31" i="15" s="1"/>
  <c r="AP91" i="15"/>
  <c r="L91" i="15"/>
  <c r="M44" i="15"/>
  <c r="AQ44" i="15" s="1"/>
  <c r="AP104" i="15"/>
  <c r="L104" i="15"/>
  <c r="M41" i="15"/>
  <c r="AQ41" i="15" s="1"/>
  <c r="AP101" i="15"/>
  <c r="L101" i="15"/>
  <c r="M36" i="15"/>
  <c r="AQ36" i="15" s="1"/>
  <c r="AP96" i="15"/>
  <c r="L96" i="15"/>
  <c r="M30" i="15"/>
  <c r="AQ30" i="15" s="1"/>
  <c r="AP90" i="15"/>
  <c r="L90" i="15"/>
  <c r="M34" i="15"/>
  <c r="AQ34" i="15" s="1"/>
  <c r="AP94" i="15"/>
  <c r="L94" i="15"/>
  <c r="M40" i="15"/>
  <c r="AQ40" i="15" s="1"/>
  <c r="AP100" i="15"/>
  <c r="L100" i="15"/>
  <c r="M43" i="15"/>
  <c r="AQ43" i="15" s="1"/>
  <c r="AP103" i="15"/>
  <c r="L103" i="15"/>
  <c r="M42" i="15"/>
  <c r="AQ42" i="15" s="1"/>
  <c r="AP102" i="15"/>
  <c r="L102" i="15"/>
  <c r="M37" i="15"/>
  <c r="AQ37" i="15" s="1"/>
  <c r="AP97" i="15"/>
  <c r="L97" i="15"/>
  <c r="M33" i="15"/>
  <c r="AQ33" i="15" s="1"/>
  <c r="AP93" i="15"/>
  <c r="L93" i="15"/>
  <c r="L89" i="15"/>
  <c r="AP89" i="15"/>
  <c r="M29" i="15"/>
  <c r="AQ29" i="15" s="1"/>
  <c r="L45" i="15"/>
  <c r="A29" i="20"/>
  <c r="A30" i="20"/>
  <c r="A31" i="20" s="1"/>
  <c r="A32" i="20" s="1"/>
  <c r="A28" i="20"/>
  <c r="A27" i="20"/>
  <c r="AO112" i="15" l="1"/>
  <c r="L110" i="15"/>
  <c r="L108" i="15"/>
  <c r="AP110" i="15"/>
  <c r="AP108" i="15"/>
  <c r="AP106" i="15"/>
  <c r="AP112" i="15" s="1"/>
  <c r="N43" i="15"/>
  <c r="AR43" i="15" s="1"/>
  <c r="AQ103" i="15"/>
  <c r="M103" i="15"/>
  <c r="N41" i="15"/>
  <c r="AR41" i="15" s="1"/>
  <c r="AQ101" i="15"/>
  <c r="M101" i="15"/>
  <c r="N39" i="15"/>
  <c r="AR39" i="15" s="1"/>
  <c r="AQ99" i="15"/>
  <c r="M99" i="15"/>
  <c r="N32" i="15"/>
  <c r="AR32" i="15" s="1"/>
  <c r="AQ92" i="15"/>
  <c r="M92" i="15"/>
  <c r="N36" i="15"/>
  <c r="AR36" i="15" s="1"/>
  <c r="AQ96" i="15"/>
  <c r="M96" i="15"/>
  <c r="N40" i="15"/>
  <c r="AR40" i="15" s="1"/>
  <c r="AQ100" i="15"/>
  <c r="M100" i="15"/>
  <c r="N44" i="15"/>
  <c r="AR44" i="15" s="1"/>
  <c r="AQ104" i="15"/>
  <c r="M104" i="15"/>
  <c r="N38" i="15"/>
  <c r="AR38" i="15" s="1"/>
  <c r="AQ98" i="15"/>
  <c r="M98" i="15"/>
  <c r="N33" i="15"/>
  <c r="AR33" i="15" s="1"/>
  <c r="AQ93" i="15"/>
  <c r="M93" i="15"/>
  <c r="N37" i="15"/>
  <c r="AR37" i="15" s="1"/>
  <c r="AQ97" i="15"/>
  <c r="M97" i="15"/>
  <c r="N34" i="15"/>
  <c r="AR34" i="15" s="1"/>
  <c r="AQ94" i="15"/>
  <c r="M94" i="15"/>
  <c r="N42" i="15"/>
  <c r="AR42" i="15" s="1"/>
  <c r="AQ102" i="15"/>
  <c r="M102" i="15"/>
  <c r="N30" i="15"/>
  <c r="AR30" i="15" s="1"/>
  <c r="AQ90" i="15"/>
  <c r="M90" i="15"/>
  <c r="N31" i="15"/>
  <c r="AR31" i="15" s="1"/>
  <c r="AQ91" i="15"/>
  <c r="M91" i="15"/>
  <c r="N35" i="15"/>
  <c r="AR35" i="15" s="1"/>
  <c r="AQ95" i="15"/>
  <c r="M95" i="15"/>
  <c r="M89" i="15"/>
  <c r="AQ89" i="15"/>
  <c r="N29" i="15"/>
  <c r="AR29" i="15" s="1"/>
  <c r="M45" i="15"/>
  <c r="F16" i="18"/>
  <c r="E16" i="18"/>
  <c r="M110" i="15" l="1"/>
  <c r="M108" i="15"/>
  <c r="AQ110" i="15"/>
  <c r="AQ108" i="15"/>
  <c r="AQ106" i="15"/>
  <c r="O38" i="15"/>
  <c r="AS38" i="15" s="1"/>
  <c r="AR98" i="15"/>
  <c r="N98" i="15"/>
  <c r="O44" i="15"/>
  <c r="AS44" i="15" s="1"/>
  <c r="AR104" i="15"/>
  <c r="N104" i="15"/>
  <c r="O39" i="15"/>
  <c r="AS39" i="15" s="1"/>
  <c r="AR99" i="15"/>
  <c r="N99" i="15"/>
  <c r="O42" i="15"/>
  <c r="AS42" i="15" s="1"/>
  <c r="AR102" i="15"/>
  <c r="N102" i="15"/>
  <c r="O31" i="15"/>
  <c r="AS31" i="15" s="1"/>
  <c r="AR91" i="15"/>
  <c r="N91" i="15"/>
  <c r="O40" i="15"/>
  <c r="AS40" i="15" s="1"/>
  <c r="AR100" i="15"/>
  <c r="N100" i="15"/>
  <c r="O41" i="15"/>
  <c r="AS41" i="15" s="1"/>
  <c r="AR101" i="15"/>
  <c r="N101" i="15"/>
  <c r="O34" i="15"/>
  <c r="AS34" i="15" s="1"/>
  <c r="AR94" i="15"/>
  <c r="N94" i="15"/>
  <c r="O32" i="15"/>
  <c r="AS32" i="15" s="1"/>
  <c r="AR92" i="15"/>
  <c r="N92" i="15"/>
  <c r="O35" i="15"/>
  <c r="AS35" i="15" s="1"/>
  <c r="AR95" i="15"/>
  <c r="N95" i="15"/>
  <c r="O37" i="15"/>
  <c r="AS37" i="15" s="1"/>
  <c r="AR97" i="15"/>
  <c r="N97" i="15"/>
  <c r="O30" i="15"/>
  <c r="AS30" i="15" s="1"/>
  <c r="AR90" i="15"/>
  <c r="N90" i="15"/>
  <c r="O33" i="15"/>
  <c r="AS33" i="15" s="1"/>
  <c r="AR93" i="15"/>
  <c r="N93" i="15"/>
  <c r="O36" i="15"/>
  <c r="AS36" i="15" s="1"/>
  <c r="AR96" i="15"/>
  <c r="N96" i="15"/>
  <c r="O43" i="15"/>
  <c r="AS43" i="15" s="1"/>
  <c r="AR103" i="15"/>
  <c r="N103" i="15"/>
  <c r="N89" i="15"/>
  <c r="AR89" i="15"/>
  <c r="O29" i="15"/>
  <c r="AS29" i="15" s="1"/>
  <c r="N45" i="15"/>
  <c r="E18" i="8"/>
  <c r="N110" i="15" l="1"/>
  <c r="AQ112" i="15"/>
  <c r="N108" i="15"/>
  <c r="AR110" i="15"/>
  <c r="AR108" i="15"/>
  <c r="AR106" i="15"/>
  <c r="P41" i="15"/>
  <c r="AT41" i="15" s="1"/>
  <c r="AS101" i="15"/>
  <c r="O101" i="15"/>
  <c r="P39" i="15"/>
  <c r="AT39" i="15" s="1"/>
  <c r="AS99" i="15"/>
  <c r="O99" i="15"/>
  <c r="P42" i="15"/>
  <c r="AT42" i="15" s="1"/>
  <c r="AS102" i="15"/>
  <c r="O102" i="15"/>
  <c r="P36" i="15"/>
  <c r="AT36" i="15" s="1"/>
  <c r="AS96" i="15"/>
  <c r="O96" i="15"/>
  <c r="P40" i="15"/>
  <c r="AT40" i="15" s="1"/>
  <c r="AS100" i="15"/>
  <c r="O100" i="15"/>
  <c r="P44" i="15"/>
  <c r="AT44" i="15" s="1"/>
  <c r="AS104" i="15"/>
  <c r="O104" i="15"/>
  <c r="P37" i="15"/>
  <c r="AT37" i="15" s="1"/>
  <c r="AS97" i="15"/>
  <c r="O97" i="15"/>
  <c r="P30" i="15"/>
  <c r="AT30" i="15" s="1"/>
  <c r="AS90" i="15"/>
  <c r="O90" i="15"/>
  <c r="P43" i="15"/>
  <c r="AT43" i="15" s="1"/>
  <c r="AS103" i="15"/>
  <c r="O103" i="15"/>
  <c r="P34" i="15"/>
  <c r="AT34" i="15" s="1"/>
  <c r="AS94" i="15"/>
  <c r="O94" i="15"/>
  <c r="P35" i="15"/>
  <c r="AT35" i="15" s="1"/>
  <c r="AS95" i="15"/>
  <c r="O95" i="15"/>
  <c r="P33" i="15"/>
  <c r="AT33" i="15" s="1"/>
  <c r="AS93" i="15"/>
  <c r="O93" i="15"/>
  <c r="P32" i="15"/>
  <c r="AT32" i="15" s="1"/>
  <c r="AS92" i="15"/>
  <c r="O92" i="15"/>
  <c r="P31" i="15"/>
  <c r="AT31" i="15" s="1"/>
  <c r="AS91" i="15"/>
  <c r="O91" i="15"/>
  <c r="P38" i="15"/>
  <c r="AT38" i="15" s="1"/>
  <c r="AS98" i="15"/>
  <c r="O98" i="15"/>
  <c r="O89" i="15"/>
  <c r="AS89" i="15"/>
  <c r="P29" i="15"/>
  <c r="AT29" i="15" s="1"/>
  <c r="O45" i="15"/>
  <c r="E16" i="8"/>
  <c r="AS110" i="15" l="1"/>
  <c r="O108" i="15"/>
  <c r="O110" i="15"/>
  <c r="AR112" i="15"/>
  <c r="AS108" i="15"/>
  <c r="AS106" i="15"/>
  <c r="Q35" i="15"/>
  <c r="AU35" i="15" s="1"/>
  <c r="AT95" i="15"/>
  <c r="P95" i="15"/>
  <c r="Q42" i="15"/>
  <c r="AU42" i="15" s="1"/>
  <c r="AT102" i="15"/>
  <c r="P102" i="15"/>
  <c r="Q30" i="15"/>
  <c r="AU30" i="15" s="1"/>
  <c r="AT90" i="15"/>
  <c r="P90" i="15"/>
  <c r="Q44" i="15"/>
  <c r="AU44" i="15" s="1"/>
  <c r="AT104" i="15"/>
  <c r="P104" i="15"/>
  <c r="Q39" i="15"/>
  <c r="AU39" i="15" s="1"/>
  <c r="AT99" i="15"/>
  <c r="P99" i="15"/>
  <c r="Q33" i="15"/>
  <c r="AU33" i="15" s="1"/>
  <c r="AT93" i="15"/>
  <c r="P93" i="15"/>
  <c r="Q38" i="15"/>
  <c r="AU38" i="15" s="1"/>
  <c r="AT98" i="15"/>
  <c r="P98" i="15"/>
  <c r="Q36" i="15"/>
  <c r="AU36" i="15" s="1"/>
  <c r="AT96" i="15"/>
  <c r="P96" i="15"/>
  <c r="Q37" i="15"/>
  <c r="AU37" i="15" s="1"/>
  <c r="AT97" i="15"/>
  <c r="P97" i="15"/>
  <c r="Q31" i="15"/>
  <c r="AU31" i="15" s="1"/>
  <c r="AT91" i="15"/>
  <c r="P91" i="15"/>
  <c r="Q34" i="15"/>
  <c r="AU34" i="15" s="1"/>
  <c r="AT94" i="15"/>
  <c r="P94" i="15"/>
  <c r="Q32" i="15"/>
  <c r="AU32" i="15" s="1"/>
  <c r="AT92" i="15"/>
  <c r="P92" i="15"/>
  <c r="Q43" i="15"/>
  <c r="AU43" i="15" s="1"/>
  <c r="AT103" i="15"/>
  <c r="P103" i="15"/>
  <c r="Q40" i="15"/>
  <c r="AU40" i="15" s="1"/>
  <c r="AT100" i="15"/>
  <c r="P100" i="15"/>
  <c r="Q41" i="15"/>
  <c r="AU41" i="15" s="1"/>
  <c r="AT101" i="15"/>
  <c r="P101" i="15"/>
  <c r="P89" i="15"/>
  <c r="AT89" i="15"/>
  <c r="Q29" i="15"/>
  <c r="AU29" i="15" s="1"/>
  <c r="P45" i="15"/>
  <c r="P110" i="15" l="1"/>
  <c r="P108" i="15"/>
  <c r="AT110" i="15"/>
  <c r="AS112" i="15"/>
  <c r="AT108" i="15"/>
  <c r="AT106" i="15"/>
  <c r="R34" i="15"/>
  <c r="AV34" i="15" s="1"/>
  <c r="AU94" i="15"/>
  <c r="Q94" i="15"/>
  <c r="R38" i="15"/>
  <c r="AV38" i="15" s="1"/>
  <c r="AU98" i="15"/>
  <c r="Q98" i="15"/>
  <c r="R30" i="15"/>
  <c r="AV30" i="15" s="1"/>
  <c r="AU90" i="15"/>
  <c r="Q90" i="15"/>
  <c r="R36" i="15"/>
  <c r="AV36" i="15" s="1"/>
  <c r="AU96" i="15"/>
  <c r="Q96" i="15"/>
  <c r="R44" i="15"/>
  <c r="AV44" i="15" s="1"/>
  <c r="AU104" i="15"/>
  <c r="Q104" i="15"/>
  <c r="R33" i="15"/>
  <c r="AV33" i="15" s="1"/>
  <c r="AU93" i="15"/>
  <c r="Q93" i="15"/>
  <c r="R42" i="15"/>
  <c r="AV42" i="15" s="1"/>
  <c r="AU102" i="15"/>
  <c r="Q102" i="15"/>
  <c r="R32" i="15"/>
  <c r="AV32" i="15" s="1"/>
  <c r="AU92" i="15"/>
  <c r="Q92" i="15"/>
  <c r="R41" i="15"/>
  <c r="AV41" i="15" s="1"/>
  <c r="AU101" i="15"/>
  <c r="Q101" i="15"/>
  <c r="R31" i="15"/>
  <c r="AV31" i="15" s="1"/>
  <c r="AU91" i="15"/>
  <c r="Q91" i="15"/>
  <c r="R40" i="15"/>
  <c r="AV40" i="15" s="1"/>
  <c r="AU100" i="15"/>
  <c r="Q100" i="15"/>
  <c r="R43" i="15"/>
  <c r="AV43" i="15" s="1"/>
  <c r="AU103" i="15"/>
  <c r="Q103" i="15"/>
  <c r="R37" i="15"/>
  <c r="AV37" i="15" s="1"/>
  <c r="AU97" i="15"/>
  <c r="Q97" i="15"/>
  <c r="R39" i="15"/>
  <c r="AV39" i="15" s="1"/>
  <c r="AU99" i="15"/>
  <c r="Q99" i="15"/>
  <c r="R35" i="15"/>
  <c r="AV35" i="15" s="1"/>
  <c r="AU95" i="15"/>
  <c r="Q95" i="15"/>
  <c r="Q89" i="15"/>
  <c r="AU89" i="15"/>
  <c r="R29" i="15"/>
  <c r="AV29" i="15" s="1"/>
  <c r="Q45" i="15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S40" i="16"/>
  <c r="T40" i="16"/>
  <c r="U40" i="16"/>
  <c r="V40" i="16"/>
  <c r="W40" i="16"/>
  <c r="X40" i="16"/>
  <c r="Y40" i="16"/>
  <c r="Z40" i="16"/>
  <c r="AA40" i="16"/>
  <c r="C40" i="16"/>
  <c r="E8" i="16"/>
  <c r="F8" i="16" s="1"/>
  <c r="G8" i="16" s="1"/>
  <c r="H8" i="16" s="1"/>
  <c r="I8" i="16" s="1"/>
  <c r="D7" i="17"/>
  <c r="E7" i="17" s="1"/>
  <c r="F7" i="17" s="1"/>
  <c r="G7" i="17" s="1"/>
  <c r="H7" i="17" s="1"/>
  <c r="I7" i="17" s="1"/>
  <c r="J7" i="17" s="1"/>
  <c r="K7" i="17" s="1"/>
  <c r="L7" i="17" s="1"/>
  <c r="M7" i="17" s="1"/>
  <c r="N7" i="17" s="1"/>
  <c r="O7" i="17" s="1"/>
  <c r="P7" i="17" s="1"/>
  <c r="Q7" i="17" s="1"/>
  <c r="R7" i="17" s="1"/>
  <c r="S7" i="17" s="1"/>
  <c r="T7" i="17" s="1"/>
  <c r="U7" i="17" s="1"/>
  <c r="V7" i="17" s="1"/>
  <c r="W7" i="17" s="1"/>
  <c r="X7" i="17" s="1"/>
  <c r="Y7" i="17" s="1"/>
  <c r="Z7" i="17" s="1"/>
  <c r="AA7" i="17" s="1"/>
  <c r="C7" i="17"/>
  <c r="D7" i="16"/>
  <c r="E7" i="16" s="1"/>
  <c r="F7" i="16" s="1"/>
  <c r="G7" i="16" s="1"/>
  <c r="H7" i="16" s="1"/>
  <c r="I7" i="16" s="1"/>
  <c r="J7" i="16" s="1"/>
  <c r="K7" i="16" s="1"/>
  <c r="L7" i="16" s="1"/>
  <c r="M7" i="16" s="1"/>
  <c r="N7" i="16" s="1"/>
  <c r="O7" i="16" s="1"/>
  <c r="P7" i="16" s="1"/>
  <c r="Q7" i="16" s="1"/>
  <c r="R7" i="16" s="1"/>
  <c r="S7" i="16" s="1"/>
  <c r="T7" i="16" s="1"/>
  <c r="U7" i="16" s="1"/>
  <c r="V7" i="16" s="1"/>
  <c r="W7" i="16" s="1"/>
  <c r="X7" i="16" s="1"/>
  <c r="Y7" i="16" s="1"/>
  <c r="Z7" i="16" s="1"/>
  <c r="AA7" i="16" s="1"/>
  <c r="C7" i="16"/>
  <c r="AT112" i="15" l="1"/>
  <c r="J8" i="16"/>
  <c r="K8" i="16" s="1"/>
  <c r="L8" i="16" s="1"/>
  <c r="M8" i="16" s="1"/>
  <c r="N8" i="16" s="1"/>
  <c r="O8" i="16" s="1"/>
  <c r="P8" i="16" s="1"/>
  <c r="Q8" i="16" s="1"/>
  <c r="R8" i="16" s="1"/>
  <c r="S8" i="16" s="1"/>
  <c r="T8" i="16" s="1"/>
  <c r="U8" i="16" s="1"/>
  <c r="V8" i="16" s="1"/>
  <c r="W8" i="16" s="1"/>
  <c r="X8" i="16" s="1"/>
  <c r="Y8" i="16" s="1"/>
  <c r="Z8" i="16" s="1"/>
  <c r="AA8" i="16" s="1"/>
  <c r="I42" i="16"/>
  <c r="Q108" i="15"/>
  <c r="Q110" i="15"/>
  <c r="AU110" i="15"/>
  <c r="AU108" i="15"/>
  <c r="AU106" i="15"/>
  <c r="AU112" i="15" s="1"/>
  <c r="S43" i="15"/>
  <c r="AW43" i="15" s="1"/>
  <c r="AV103" i="15"/>
  <c r="R103" i="15"/>
  <c r="S42" i="15"/>
  <c r="AW42" i="15" s="1"/>
  <c r="AV102" i="15"/>
  <c r="R102" i="15"/>
  <c r="S30" i="15"/>
  <c r="AW30" i="15" s="1"/>
  <c r="AV90" i="15"/>
  <c r="R90" i="15"/>
  <c r="S32" i="15"/>
  <c r="AW32" i="15" s="1"/>
  <c r="AV92" i="15"/>
  <c r="R92" i="15"/>
  <c r="S36" i="15"/>
  <c r="AW36" i="15" s="1"/>
  <c r="AV96" i="15"/>
  <c r="R96" i="15"/>
  <c r="S31" i="15"/>
  <c r="AW31" i="15" s="1"/>
  <c r="AV91" i="15"/>
  <c r="R91" i="15"/>
  <c r="S33" i="15"/>
  <c r="AW33" i="15" s="1"/>
  <c r="AV93" i="15"/>
  <c r="R93" i="15"/>
  <c r="S38" i="15"/>
  <c r="AW38" i="15" s="1"/>
  <c r="AV98" i="15"/>
  <c r="R98" i="15"/>
  <c r="S40" i="15"/>
  <c r="AW40" i="15" s="1"/>
  <c r="AV100" i="15"/>
  <c r="R100" i="15"/>
  <c r="S35" i="15"/>
  <c r="AW35" i="15" s="1"/>
  <c r="AV95" i="15"/>
  <c r="R95" i="15"/>
  <c r="S39" i="15"/>
  <c r="AW39" i="15" s="1"/>
  <c r="AV99" i="15"/>
  <c r="R99" i="15"/>
  <c r="S37" i="15"/>
  <c r="AW37" i="15" s="1"/>
  <c r="AV97" i="15"/>
  <c r="R97" i="15"/>
  <c r="S41" i="15"/>
  <c r="AW41" i="15" s="1"/>
  <c r="AV101" i="15"/>
  <c r="R101" i="15"/>
  <c r="S44" i="15"/>
  <c r="AW44" i="15" s="1"/>
  <c r="AV104" i="15"/>
  <c r="R104" i="15"/>
  <c r="S34" i="15"/>
  <c r="AW34" i="15" s="1"/>
  <c r="AV94" i="15"/>
  <c r="R94" i="15"/>
  <c r="R89" i="15"/>
  <c r="AV89" i="15"/>
  <c r="S29" i="15"/>
  <c r="AW29" i="15" s="1"/>
  <c r="R45" i="15"/>
  <c r="G42" i="16"/>
  <c r="E28" i="3"/>
  <c r="R110" i="15" l="1"/>
  <c r="R108" i="15"/>
  <c r="AV110" i="15"/>
  <c r="AV108" i="15"/>
  <c r="AV106" i="15"/>
  <c r="T37" i="15"/>
  <c r="AX37" i="15" s="1"/>
  <c r="AW97" i="15"/>
  <c r="S97" i="15"/>
  <c r="T33" i="15"/>
  <c r="AX33" i="15" s="1"/>
  <c r="AW93" i="15"/>
  <c r="S93" i="15"/>
  <c r="T30" i="15"/>
  <c r="AX30" i="15" s="1"/>
  <c r="AW90" i="15"/>
  <c r="S90" i="15"/>
  <c r="T38" i="15"/>
  <c r="AX38" i="15" s="1"/>
  <c r="AW98" i="15"/>
  <c r="S98" i="15"/>
  <c r="T32" i="15"/>
  <c r="AX32" i="15" s="1"/>
  <c r="AW92" i="15"/>
  <c r="S92" i="15"/>
  <c r="T34" i="15"/>
  <c r="AX34" i="15" s="1"/>
  <c r="AW94" i="15"/>
  <c r="S94" i="15"/>
  <c r="T31" i="15"/>
  <c r="AX31" i="15" s="1"/>
  <c r="AW91" i="15"/>
  <c r="S91" i="15"/>
  <c r="T42" i="15"/>
  <c r="AX42" i="15" s="1"/>
  <c r="AW102" i="15"/>
  <c r="S102" i="15"/>
  <c r="T39" i="15"/>
  <c r="AX39" i="15" s="1"/>
  <c r="AW99" i="15"/>
  <c r="S99" i="15"/>
  <c r="T35" i="15"/>
  <c r="AX35" i="15" s="1"/>
  <c r="AW95" i="15"/>
  <c r="S95" i="15"/>
  <c r="T44" i="15"/>
  <c r="AX44" i="15" s="1"/>
  <c r="AW104" i="15"/>
  <c r="S104" i="15"/>
  <c r="T41" i="15"/>
  <c r="AX41" i="15" s="1"/>
  <c r="AW101" i="15"/>
  <c r="S101" i="15"/>
  <c r="T40" i="15"/>
  <c r="AX40" i="15" s="1"/>
  <c r="AW100" i="15"/>
  <c r="S100" i="15"/>
  <c r="T36" i="15"/>
  <c r="AX36" i="15" s="1"/>
  <c r="AW96" i="15"/>
  <c r="S96" i="15"/>
  <c r="T43" i="15"/>
  <c r="AX43" i="15" s="1"/>
  <c r="AW103" i="15"/>
  <c r="S103" i="15"/>
  <c r="S89" i="15"/>
  <c r="AW89" i="15"/>
  <c r="T29" i="15"/>
  <c r="AX29" i="15" s="1"/>
  <c r="S45" i="15"/>
  <c r="E9" i="3"/>
  <c r="F9" i="3"/>
  <c r="AI28" i="19"/>
  <c r="AG30" i="19"/>
  <c r="AG26" i="18"/>
  <c r="AH22" i="19"/>
  <c r="AH21" i="19"/>
  <c r="AH23" i="19"/>
  <c r="A17" i="19"/>
  <c r="A20" i="19" s="1"/>
  <c r="A21" i="19" s="1"/>
  <c r="E20" i="19"/>
  <c r="E23" i="19" s="1"/>
  <c r="E21" i="19"/>
  <c r="AI22" i="19" s="1"/>
  <c r="F21" i="19"/>
  <c r="AJ22" i="19" s="1"/>
  <c r="E22" i="19"/>
  <c r="AI23" i="19" s="1"/>
  <c r="D23" i="19"/>
  <c r="D22" i="19"/>
  <c r="D21" i="19"/>
  <c r="D20" i="19"/>
  <c r="C23" i="19"/>
  <c r="F15" i="19"/>
  <c r="G15" i="19" s="1"/>
  <c r="H15" i="19" s="1"/>
  <c r="I15" i="19" s="1"/>
  <c r="J15" i="19" s="1"/>
  <c r="K15" i="19" s="1"/>
  <c r="L15" i="19" s="1"/>
  <c r="M15" i="19" s="1"/>
  <c r="N15" i="19" s="1"/>
  <c r="O15" i="19" s="1"/>
  <c r="P15" i="19" s="1"/>
  <c r="Q15" i="19" s="1"/>
  <c r="R15" i="19" s="1"/>
  <c r="S15" i="19" s="1"/>
  <c r="T15" i="19" s="1"/>
  <c r="U15" i="19" s="1"/>
  <c r="V15" i="19" s="1"/>
  <c r="W15" i="19" s="1"/>
  <c r="X15" i="19" s="1"/>
  <c r="Y15" i="19" s="1"/>
  <c r="Z15" i="19" s="1"/>
  <c r="AA15" i="19" s="1"/>
  <c r="F16" i="19"/>
  <c r="G16" i="19" s="1"/>
  <c r="H16" i="19" s="1"/>
  <c r="I16" i="19" s="1"/>
  <c r="J16" i="19" s="1"/>
  <c r="K16" i="19" s="1"/>
  <c r="L16" i="19" s="1"/>
  <c r="M16" i="19" s="1"/>
  <c r="N16" i="19" s="1"/>
  <c r="O16" i="19" s="1"/>
  <c r="P16" i="19" s="1"/>
  <c r="Q16" i="19" s="1"/>
  <c r="R16" i="19" s="1"/>
  <c r="S16" i="19" s="1"/>
  <c r="T16" i="19" s="1"/>
  <c r="U16" i="19" s="1"/>
  <c r="V16" i="19" s="1"/>
  <c r="W16" i="19" s="1"/>
  <c r="X16" i="19" s="1"/>
  <c r="Y16" i="19" s="1"/>
  <c r="Z16" i="19" s="1"/>
  <c r="AA16" i="19" s="1"/>
  <c r="F14" i="19"/>
  <c r="G14" i="19" s="1"/>
  <c r="H14" i="19" s="1"/>
  <c r="I14" i="19" s="1"/>
  <c r="J14" i="19" s="1"/>
  <c r="K14" i="19" s="1"/>
  <c r="L14" i="19" s="1"/>
  <c r="M14" i="19" s="1"/>
  <c r="N14" i="19" s="1"/>
  <c r="O14" i="19" s="1"/>
  <c r="P14" i="19" s="1"/>
  <c r="Q14" i="19" s="1"/>
  <c r="R14" i="19" s="1"/>
  <c r="S14" i="19" s="1"/>
  <c r="T14" i="19" s="1"/>
  <c r="U14" i="19" s="1"/>
  <c r="V14" i="19" s="1"/>
  <c r="W14" i="19" s="1"/>
  <c r="X14" i="19" s="1"/>
  <c r="Y14" i="19" s="1"/>
  <c r="Z14" i="19" s="1"/>
  <c r="AA14" i="19" s="1"/>
  <c r="S110" i="15" l="1"/>
  <c r="S108" i="15"/>
  <c r="AW110" i="15"/>
  <c r="AV112" i="15"/>
  <c r="AW108" i="15"/>
  <c r="AW106" i="15"/>
  <c r="AW112" i="15" s="1"/>
  <c r="U42" i="15"/>
  <c r="AY42" i="15" s="1"/>
  <c r="AX102" i="15"/>
  <c r="T102" i="15"/>
  <c r="U31" i="15"/>
  <c r="AY31" i="15" s="1"/>
  <c r="AX91" i="15"/>
  <c r="T91" i="15"/>
  <c r="U30" i="15"/>
  <c r="AY30" i="15" s="1"/>
  <c r="AX90" i="15"/>
  <c r="T90" i="15"/>
  <c r="U38" i="15"/>
  <c r="AY38" i="15" s="1"/>
  <c r="AX98" i="15"/>
  <c r="T98" i="15"/>
  <c r="U35" i="15"/>
  <c r="AY35" i="15" s="1"/>
  <c r="AX95" i="15"/>
  <c r="T95" i="15"/>
  <c r="U34" i="15"/>
  <c r="AY34" i="15" s="1"/>
  <c r="AX94" i="15"/>
  <c r="T94" i="15"/>
  <c r="U33" i="15"/>
  <c r="AY33" i="15" s="1"/>
  <c r="AX93" i="15"/>
  <c r="T93" i="15"/>
  <c r="U41" i="15"/>
  <c r="AY41" i="15" s="1"/>
  <c r="AX101" i="15"/>
  <c r="T101" i="15"/>
  <c r="U44" i="15"/>
  <c r="AY44" i="15" s="1"/>
  <c r="AX104" i="15"/>
  <c r="T104" i="15"/>
  <c r="U43" i="15"/>
  <c r="AY43" i="15" s="1"/>
  <c r="AX103" i="15"/>
  <c r="T103" i="15"/>
  <c r="U36" i="15"/>
  <c r="AY36" i="15" s="1"/>
  <c r="AX96" i="15"/>
  <c r="T96" i="15"/>
  <c r="U40" i="15"/>
  <c r="AY40" i="15" s="1"/>
  <c r="AX100" i="15"/>
  <c r="T100" i="15"/>
  <c r="U39" i="15"/>
  <c r="AY39" i="15" s="1"/>
  <c r="AX99" i="15"/>
  <c r="T99" i="15"/>
  <c r="U32" i="15"/>
  <c r="AY32" i="15" s="1"/>
  <c r="AX92" i="15"/>
  <c r="T92" i="15"/>
  <c r="U37" i="15"/>
  <c r="AY37" i="15" s="1"/>
  <c r="AX97" i="15"/>
  <c r="T97" i="15"/>
  <c r="T89" i="15"/>
  <c r="AX89" i="15"/>
  <c r="U29" i="15"/>
  <c r="AY29" i="15" s="1"/>
  <c r="T45" i="15"/>
  <c r="AI21" i="19"/>
  <c r="AI30" i="19" s="1"/>
  <c r="F20" i="19"/>
  <c r="AJ21" i="19" s="1"/>
  <c r="A23" i="19"/>
  <c r="T110" i="15" l="1"/>
  <c r="T108" i="15"/>
  <c r="AX110" i="15"/>
  <c r="AX108" i="15"/>
  <c r="AX106" i="15"/>
  <c r="V40" i="15"/>
  <c r="AZ40" i="15" s="1"/>
  <c r="AY100" i="15"/>
  <c r="U100" i="15"/>
  <c r="V30" i="15"/>
  <c r="AZ30" i="15" s="1"/>
  <c r="AY90" i="15"/>
  <c r="U90" i="15"/>
  <c r="V33" i="15"/>
  <c r="AZ33" i="15" s="1"/>
  <c r="AY93" i="15"/>
  <c r="U93" i="15"/>
  <c r="V34" i="15"/>
  <c r="AZ34" i="15" s="1"/>
  <c r="AY94" i="15"/>
  <c r="U94" i="15"/>
  <c r="V31" i="15"/>
  <c r="AZ31" i="15" s="1"/>
  <c r="AY91" i="15"/>
  <c r="U91" i="15"/>
  <c r="V41" i="15"/>
  <c r="AZ41" i="15" s="1"/>
  <c r="AY101" i="15"/>
  <c r="U101" i="15"/>
  <c r="V32" i="15"/>
  <c r="AZ32" i="15" s="1"/>
  <c r="AY92" i="15"/>
  <c r="U92" i="15"/>
  <c r="V38" i="15"/>
  <c r="AZ38" i="15" s="1"/>
  <c r="AY98" i="15"/>
  <c r="U98" i="15"/>
  <c r="V37" i="15"/>
  <c r="AZ37" i="15" s="1"/>
  <c r="AY97" i="15"/>
  <c r="U97" i="15"/>
  <c r="V43" i="15"/>
  <c r="AZ43" i="15" s="1"/>
  <c r="AY103" i="15"/>
  <c r="U103" i="15"/>
  <c r="V36" i="15"/>
  <c r="AZ36" i="15" s="1"/>
  <c r="AY96" i="15"/>
  <c r="U96" i="15"/>
  <c r="V39" i="15"/>
  <c r="AZ39" i="15" s="1"/>
  <c r="AY99" i="15"/>
  <c r="U99" i="15"/>
  <c r="V44" i="15"/>
  <c r="AZ44" i="15" s="1"/>
  <c r="AY104" i="15"/>
  <c r="U104" i="15"/>
  <c r="V35" i="15"/>
  <c r="AZ35" i="15" s="1"/>
  <c r="AY95" i="15"/>
  <c r="U95" i="15"/>
  <c r="V42" i="15"/>
  <c r="AZ42" i="15" s="1"/>
  <c r="AY102" i="15"/>
  <c r="U102" i="15"/>
  <c r="U89" i="15"/>
  <c r="AY89" i="15"/>
  <c r="V29" i="15"/>
  <c r="AZ29" i="15" s="1"/>
  <c r="U45" i="15"/>
  <c r="AA11" i="19"/>
  <c r="AA22" i="19" s="1"/>
  <c r="Z11" i="19"/>
  <c r="Z22" i="19" s="1"/>
  <c r="Y11" i="19"/>
  <c r="Y22" i="19" s="1"/>
  <c r="X11" i="19"/>
  <c r="X22" i="19" s="1"/>
  <c r="W11" i="19"/>
  <c r="W22" i="19" s="1"/>
  <c r="V11" i="19"/>
  <c r="V22" i="19" s="1"/>
  <c r="U11" i="19"/>
  <c r="U22" i="19" s="1"/>
  <c r="T11" i="19"/>
  <c r="T22" i="19" s="1"/>
  <c r="S11" i="19"/>
  <c r="S22" i="19" s="1"/>
  <c r="R11" i="19"/>
  <c r="R22" i="19" s="1"/>
  <c r="Q11" i="19"/>
  <c r="Q22" i="19" s="1"/>
  <c r="P11" i="19"/>
  <c r="P22" i="19" s="1"/>
  <c r="O11" i="19"/>
  <c r="O22" i="19" s="1"/>
  <c r="N11" i="19"/>
  <c r="N22" i="19" s="1"/>
  <c r="M11" i="19"/>
  <c r="M22" i="19" s="1"/>
  <c r="L11" i="19"/>
  <c r="L22" i="19" s="1"/>
  <c r="K11" i="19"/>
  <c r="K22" i="19" s="1"/>
  <c r="J11" i="19"/>
  <c r="J22" i="19" s="1"/>
  <c r="I11" i="19"/>
  <c r="I22" i="19" s="1"/>
  <c r="H11" i="19"/>
  <c r="H22" i="19" s="1"/>
  <c r="G11" i="19"/>
  <c r="G22" i="19" s="1"/>
  <c r="F11" i="19"/>
  <c r="F22" i="19" s="1"/>
  <c r="E11" i="19"/>
  <c r="D11" i="19"/>
  <c r="AA10" i="19"/>
  <c r="AA21" i="19" s="1"/>
  <c r="BE22" i="19" s="1"/>
  <c r="Z10" i="19"/>
  <c r="Z21" i="19" s="1"/>
  <c r="BD22" i="19" s="1"/>
  <c r="Y10" i="19"/>
  <c r="Y21" i="19" s="1"/>
  <c r="BC22" i="19" s="1"/>
  <c r="X10" i="19"/>
  <c r="X21" i="19" s="1"/>
  <c r="BB22" i="19" s="1"/>
  <c r="W10" i="19"/>
  <c r="W21" i="19" s="1"/>
  <c r="BA22" i="19" s="1"/>
  <c r="V10" i="19"/>
  <c r="V21" i="19" s="1"/>
  <c r="AZ22" i="19" s="1"/>
  <c r="U10" i="19"/>
  <c r="U21" i="19" s="1"/>
  <c r="AY22" i="19" s="1"/>
  <c r="T10" i="19"/>
  <c r="T21" i="19" s="1"/>
  <c r="AX22" i="19" s="1"/>
  <c r="S10" i="19"/>
  <c r="S21" i="19" s="1"/>
  <c r="AW22" i="19" s="1"/>
  <c r="R10" i="19"/>
  <c r="R21" i="19" s="1"/>
  <c r="AV22" i="19" s="1"/>
  <c r="Q10" i="19"/>
  <c r="Q21" i="19" s="1"/>
  <c r="AU22" i="19" s="1"/>
  <c r="P10" i="19"/>
  <c r="P21" i="19" s="1"/>
  <c r="AT22" i="19" s="1"/>
  <c r="O10" i="19"/>
  <c r="O21" i="19" s="1"/>
  <c r="AS22" i="19" s="1"/>
  <c r="N10" i="19"/>
  <c r="N21" i="19" s="1"/>
  <c r="AR22" i="19" s="1"/>
  <c r="M10" i="19"/>
  <c r="M21" i="19" s="1"/>
  <c r="AQ22" i="19" s="1"/>
  <c r="L10" i="19"/>
  <c r="L21" i="19" s="1"/>
  <c r="AP22" i="19" s="1"/>
  <c r="K10" i="19"/>
  <c r="K21" i="19" s="1"/>
  <c r="AO22" i="19" s="1"/>
  <c r="J10" i="19"/>
  <c r="J21" i="19" s="1"/>
  <c r="AN22" i="19" s="1"/>
  <c r="I10" i="19"/>
  <c r="I21" i="19" s="1"/>
  <c r="AM22" i="19" s="1"/>
  <c r="H10" i="19"/>
  <c r="H21" i="19" s="1"/>
  <c r="AL22" i="19" s="1"/>
  <c r="G10" i="19"/>
  <c r="G21" i="19" s="1"/>
  <c r="AK22" i="19" s="1"/>
  <c r="F10" i="19"/>
  <c r="E10" i="19"/>
  <c r="D10" i="19"/>
  <c r="D9" i="19"/>
  <c r="A7" i="19"/>
  <c r="A8" i="19" s="1"/>
  <c r="U110" i="15" l="1"/>
  <c r="AX112" i="15"/>
  <c r="U108" i="15"/>
  <c r="AY108" i="15"/>
  <c r="AY110" i="15"/>
  <c r="AY106" i="15"/>
  <c r="AY112" i="15" s="1"/>
  <c r="W32" i="15"/>
  <c r="BA32" i="15" s="1"/>
  <c r="AZ92" i="15"/>
  <c r="V92" i="15"/>
  <c r="W33" i="15"/>
  <c r="BA33" i="15" s="1"/>
  <c r="AZ93" i="15"/>
  <c r="V93" i="15"/>
  <c r="W39" i="15"/>
  <c r="BA39" i="15" s="1"/>
  <c r="AZ99" i="15"/>
  <c r="V99" i="15"/>
  <c r="W34" i="15"/>
  <c r="BA34" i="15" s="1"/>
  <c r="AZ94" i="15"/>
  <c r="V94" i="15"/>
  <c r="W43" i="15"/>
  <c r="BA43" i="15" s="1"/>
  <c r="AZ103" i="15"/>
  <c r="V103" i="15"/>
  <c r="W41" i="15"/>
  <c r="BA41" i="15" s="1"/>
  <c r="AZ101" i="15"/>
  <c r="V101" i="15"/>
  <c r="W30" i="15"/>
  <c r="BA30" i="15" s="1"/>
  <c r="AZ90" i="15"/>
  <c r="V90" i="15"/>
  <c r="W38" i="15"/>
  <c r="BA38" i="15" s="1"/>
  <c r="AZ98" i="15"/>
  <c r="V98" i="15"/>
  <c r="W42" i="15"/>
  <c r="BA42" i="15" s="1"/>
  <c r="AZ102" i="15"/>
  <c r="V102" i="15"/>
  <c r="W35" i="15"/>
  <c r="BA35" i="15" s="1"/>
  <c r="AZ95" i="15"/>
  <c r="V95" i="15"/>
  <c r="W36" i="15"/>
  <c r="BA36" i="15" s="1"/>
  <c r="AZ96" i="15"/>
  <c r="V96" i="15"/>
  <c r="W44" i="15"/>
  <c r="BA44" i="15" s="1"/>
  <c r="AZ104" i="15"/>
  <c r="V104" i="15"/>
  <c r="W37" i="15"/>
  <c r="BA37" i="15" s="1"/>
  <c r="AZ97" i="15"/>
  <c r="V97" i="15"/>
  <c r="W31" i="15"/>
  <c r="BA31" i="15" s="1"/>
  <c r="AZ91" i="15"/>
  <c r="V91" i="15"/>
  <c r="W40" i="15"/>
  <c r="BA40" i="15" s="1"/>
  <c r="AZ100" i="15"/>
  <c r="V100" i="15"/>
  <c r="V89" i="15"/>
  <c r="AZ89" i="15"/>
  <c r="W29" i="15"/>
  <c r="BA29" i="15" s="1"/>
  <c r="V45" i="15"/>
  <c r="AP23" i="19"/>
  <c r="AX23" i="19"/>
  <c r="AQ23" i="19"/>
  <c r="AY23" i="19"/>
  <c r="AJ23" i="19"/>
  <c r="F23" i="19"/>
  <c r="AR23" i="19"/>
  <c r="AZ23" i="19"/>
  <c r="AK23" i="19"/>
  <c r="AS23" i="19"/>
  <c r="BA23" i="19"/>
  <c r="AL23" i="19"/>
  <c r="AT23" i="19"/>
  <c r="BB23" i="19"/>
  <c r="AM23" i="19"/>
  <c r="AU23" i="19"/>
  <c r="BC23" i="19"/>
  <c r="AN23" i="19"/>
  <c r="AV23" i="19"/>
  <c r="BD23" i="19"/>
  <c r="AO23" i="19"/>
  <c r="AW23" i="19"/>
  <c r="BE23" i="19"/>
  <c r="A9" i="19"/>
  <c r="A10" i="19" s="1"/>
  <c r="A11" i="19" s="1"/>
  <c r="V110" i="15" l="1"/>
  <c r="V108" i="15"/>
  <c r="AZ108" i="15"/>
  <c r="AZ110" i="15"/>
  <c r="AZ106" i="15"/>
  <c r="X30" i="15"/>
  <c r="BB30" i="15" s="1"/>
  <c r="BA90" i="15"/>
  <c r="W90" i="15"/>
  <c r="X39" i="15"/>
  <c r="BB39" i="15" s="1"/>
  <c r="BA99" i="15"/>
  <c r="W99" i="15"/>
  <c r="X38" i="15"/>
  <c r="BB38" i="15" s="1"/>
  <c r="BA98" i="15"/>
  <c r="W98" i="15"/>
  <c r="X40" i="15"/>
  <c r="BB40" i="15" s="1"/>
  <c r="BA100" i="15"/>
  <c r="W100" i="15"/>
  <c r="X35" i="15"/>
  <c r="BB35" i="15" s="1"/>
  <c r="BA95" i="15"/>
  <c r="W95" i="15"/>
  <c r="X41" i="15"/>
  <c r="BB41" i="15" s="1"/>
  <c r="BA101" i="15"/>
  <c r="W101" i="15"/>
  <c r="X33" i="15"/>
  <c r="BB33" i="15" s="1"/>
  <c r="BA93" i="15"/>
  <c r="W93" i="15"/>
  <c r="X36" i="15"/>
  <c r="BB36" i="15" s="1"/>
  <c r="BA96" i="15"/>
  <c r="W96" i="15"/>
  <c r="X34" i="15"/>
  <c r="BB34" i="15" s="1"/>
  <c r="BA94" i="15"/>
  <c r="W94" i="15"/>
  <c r="X44" i="15"/>
  <c r="BB44" i="15" s="1"/>
  <c r="BA104" i="15"/>
  <c r="W104" i="15"/>
  <c r="X31" i="15"/>
  <c r="BB31" i="15" s="1"/>
  <c r="BA91" i="15"/>
  <c r="W91" i="15"/>
  <c r="X37" i="15"/>
  <c r="BB37" i="15" s="1"/>
  <c r="BA97" i="15"/>
  <c r="W97" i="15"/>
  <c r="X42" i="15"/>
  <c r="BB42" i="15" s="1"/>
  <c r="BA102" i="15"/>
  <c r="W102" i="15"/>
  <c r="X43" i="15"/>
  <c r="BB43" i="15" s="1"/>
  <c r="BA103" i="15"/>
  <c r="W103" i="15"/>
  <c r="X32" i="15"/>
  <c r="BB32" i="15" s="1"/>
  <c r="BA92" i="15"/>
  <c r="W92" i="15"/>
  <c r="W89" i="15"/>
  <c r="BA89" i="15"/>
  <c r="X29" i="15"/>
  <c r="BB29" i="15" s="1"/>
  <c r="W45" i="15"/>
  <c r="F6" i="12"/>
  <c r="AH19" i="12"/>
  <c r="AH20" i="12"/>
  <c r="AH21" i="12"/>
  <c r="AG19" i="12"/>
  <c r="AG20" i="12"/>
  <c r="AG21" i="12"/>
  <c r="AZ112" i="15" l="1"/>
  <c r="W110" i="15"/>
  <c r="W108" i="15"/>
  <c r="BA110" i="15"/>
  <c r="BA108" i="15"/>
  <c r="BA106" i="15"/>
  <c r="Y34" i="15"/>
  <c r="BC34" i="15" s="1"/>
  <c r="BB94" i="15"/>
  <c r="X94" i="15"/>
  <c r="Y38" i="15"/>
  <c r="BC38" i="15" s="1"/>
  <c r="BB98" i="15"/>
  <c r="X98" i="15"/>
  <c r="Y30" i="15"/>
  <c r="BC30" i="15" s="1"/>
  <c r="BB90" i="15"/>
  <c r="X90" i="15"/>
  <c r="Y36" i="15"/>
  <c r="BC36" i="15" s="1"/>
  <c r="BB96" i="15"/>
  <c r="X96" i="15"/>
  <c r="Y35" i="15"/>
  <c r="BC35" i="15" s="1"/>
  <c r="BB95" i="15"/>
  <c r="X95" i="15"/>
  <c r="Y40" i="15"/>
  <c r="BC40" i="15" s="1"/>
  <c r="BB100" i="15"/>
  <c r="X100" i="15"/>
  <c r="Y31" i="15"/>
  <c r="BC31" i="15" s="1"/>
  <c r="BB91" i="15"/>
  <c r="X91" i="15"/>
  <c r="Y44" i="15"/>
  <c r="BC44" i="15" s="1"/>
  <c r="BB104" i="15"/>
  <c r="X104" i="15"/>
  <c r="Y41" i="15"/>
  <c r="BC41" i="15" s="1"/>
  <c r="BB101" i="15"/>
  <c r="X101" i="15"/>
  <c r="Y39" i="15"/>
  <c r="BC39" i="15" s="1"/>
  <c r="BB99" i="15"/>
  <c r="X99" i="15"/>
  <c r="Y37" i="15"/>
  <c r="BC37" i="15" s="1"/>
  <c r="BB97" i="15"/>
  <c r="X97" i="15"/>
  <c r="Y32" i="15"/>
  <c r="BC32" i="15" s="1"/>
  <c r="BB92" i="15"/>
  <c r="X92" i="15"/>
  <c r="Y43" i="15"/>
  <c r="BC43" i="15" s="1"/>
  <c r="BB103" i="15"/>
  <c r="X103" i="15"/>
  <c r="Y42" i="15"/>
  <c r="BC42" i="15" s="1"/>
  <c r="BB102" i="15"/>
  <c r="X102" i="15"/>
  <c r="Y33" i="15"/>
  <c r="BC33" i="15" s="1"/>
  <c r="BB93" i="15"/>
  <c r="X93" i="15"/>
  <c r="X89" i="15"/>
  <c r="BB89" i="15"/>
  <c r="Y29" i="15"/>
  <c r="BC29" i="15" s="1"/>
  <c r="X45" i="15"/>
  <c r="AG19" i="10"/>
  <c r="AH16" i="10"/>
  <c r="H10" i="2"/>
  <c r="D14" i="10"/>
  <c r="D15" i="10"/>
  <c r="D16" i="10"/>
  <c r="D17" i="10" s="1"/>
  <c r="C17" i="10"/>
  <c r="C16" i="12"/>
  <c r="C16" i="10"/>
  <c r="C15" i="10"/>
  <c r="C14" i="10"/>
  <c r="B16" i="10"/>
  <c r="B15" i="10"/>
  <c r="B14" i="10"/>
  <c r="A17" i="10"/>
  <c r="A14" i="10"/>
  <c r="A15" i="10" s="1"/>
  <c r="A16" i="10" s="1"/>
  <c r="D12" i="10"/>
  <c r="E12" i="10"/>
  <c r="C12" i="10"/>
  <c r="B21" i="12"/>
  <c r="B20" i="12"/>
  <c r="B19" i="12"/>
  <c r="B18" i="12"/>
  <c r="B17" i="12"/>
  <c r="B16" i="12"/>
  <c r="D16" i="12"/>
  <c r="D17" i="12"/>
  <c r="D18" i="12"/>
  <c r="D19" i="12"/>
  <c r="D20" i="12"/>
  <c r="D21" i="12"/>
  <c r="D22" i="12"/>
  <c r="C22" i="12"/>
  <c r="C21" i="12"/>
  <c r="C20" i="12"/>
  <c r="C19" i="12"/>
  <c r="C18" i="12"/>
  <c r="C17" i="12"/>
  <c r="BA112" i="15" l="1"/>
  <c r="X110" i="15"/>
  <c r="X108" i="15"/>
  <c r="BB110" i="15"/>
  <c r="BB108" i="15"/>
  <c r="BB106" i="15"/>
  <c r="Z44" i="15"/>
  <c r="BD44" i="15" s="1"/>
  <c r="BC104" i="15"/>
  <c r="Y104" i="15"/>
  <c r="Z37" i="15"/>
  <c r="BD37" i="15" s="1"/>
  <c r="BC97" i="15"/>
  <c r="Y97" i="15"/>
  <c r="Z30" i="15"/>
  <c r="BD30" i="15" s="1"/>
  <c r="BC90" i="15"/>
  <c r="Y90" i="15"/>
  <c r="Z31" i="15"/>
  <c r="BD31" i="15" s="1"/>
  <c r="BC91" i="15"/>
  <c r="Y91" i="15"/>
  <c r="Z40" i="15"/>
  <c r="BD40" i="15" s="1"/>
  <c r="BC100" i="15"/>
  <c r="Y100" i="15"/>
  <c r="Z38" i="15"/>
  <c r="BD38" i="15" s="1"/>
  <c r="BC98" i="15"/>
  <c r="Y98" i="15"/>
  <c r="Z36" i="15"/>
  <c r="BD36" i="15" s="1"/>
  <c r="BC96" i="15"/>
  <c r="Y96" i="15"/>
  <c r="Z39" i="15"/>
  <c r="BD39" i="15" s="1"/>
  <c r="BC99" i="15"/>
  <c r="Y99" i="15"/>
  <c r="Z32" i="15"/>
  <c r="BD32" i="15" s="1"/>
  <c r="BC92" i="15"/>
  <c r="Y92" i="15"/>
  <c r="Z42" i="15"/>
  <c r="BD42" i="15" s="1"/>
  <c r="BC102" i="15"/>
  <c r="Y102" i="15"/>
  <c r="Z33" i="15"/>
  <c r="BD33" i="15" s="1"/>
  <c r="BC93" i="15"/>
  <c r="Y93" i="15"/>
  <c r="Z43" i="15"/>
  <c r="BD43" i="15" s="1"/>
  <c r="BC103" i="15"/>
  <c r="Y103" i="15"/>
  <c r="Z41" i="15"/>
  <c r="BD41" i="15" s="1"/>
  <c r="BC101" i="15"/>
  <c r="Y101" i="15"/>
  <c r="Z35" i="15"/>
  <c r="BD35" i="15" s="1"/>
  <c r="BC95" i="15"/>
  <c r="Y95" i="15"/>
  <c r="Z34" i="15"/>
  <c r="BD34" i="15" s="1"/>
  <c r="BC94" i="15"/>
  <c r="Y94" i="15"/>
  <c r="Y89" i="15"/>
  <c r="BC89" i="15"/>
  <c r="Z29" i="15"/>
  <c r="BD29" i="15" s="1"/>
  <c r="Y45" i="15"/>
  <c r="AH19" i="10"/>
  <c r="C19" i="10"/>
  <c r="C21" i="10" s="1"/>
  <c r="D16" i="8"/>
  <c r="Y110" i="15" l="1"/>
  <c r="BB112" i="15"/>
  <c r="Y108" i="15"/>
  <c r="BC110" i="15"/>
  <c r="BC108" i="15"/>
  <c r="BC106" i="15"/>
  <c r="AA39" i="15"/>
  <c r="BE39" i="15" s="1"/>
  <c r="BD99" i="15"/>
  <c r="Z99" i="15"/>
  <c r="AA33" i="15"/>
  <c r="BE33" i="15" s="1"/>
  <c r="BD93" i="15"/>
  <c r="Z93" i="15"/>
  <c r="AA30" i="15"/>
  <c r="BE30" i="15" s="1"/>
  <c r="BD90" i="15"/>
  <c r="Z90" i="15"/>
  <c r="AA43" i="15"/>
  <c r="BE43" i="15" s="1"/>
  <c r="BD103" i="15"/>
  <c r="Z103" i="15"/>
  <c r="AA36" i="15"/>
  <c r="BE36" i="15" s="1"/>
  <c r="BD96" i="15"/>
  <c r="Z96" i="15"/>
  <c r="AA31" i="15"/>
  <c r="BE31" i="15" s="1"/>
  <c r="BD91" i="15"/>
  <c r="Z91" i="15"/>
  <c r="AA42" i="15"/>
  <c r="BE42" i="15" s="1"/>
  <c r="BD102" i="15"/>
  <c r="Z102" i="15"/>
  <c r="AA38" i="15"/>
  <c r="BE38" i="15" s="1"/>
  <c r="BD98" i="15"/>
  <c r="Z98" i="15"/>
  <c r="AA37" i="15"/>
  <c r="BE37" i="15" s="1"/>
  <c r="BD97" i="15"/>
  <c r="Z97" i="15"/>
  <c r="AA34" i="15"/>
  <c r="BE34" i="15" s="1"/>
  <c r="BD94" i="15"/>
  <c r="Z94" i="15"/>
  <c r="AA35" i="15"/>
  <c r="BE35" i="15" s="1"/>
  <c r="BD95" i="15"/>
  <c r="Z95" i="15"/>
  <c r="AA41" i="15"/>
  <c r="BE41" i="15" s="1"/>
  <c r="BD101" i="15"/>
  <c r="Z101" i="15"/>
  <c r="AA32" i="15"/>
  <c r="BE32" i="15" s="1"/>
  <c r="BD92" i="15"/>
  <c r="Z92" i="15"/>
  <c r="AA40" i="15"/>
  <c r="BE40" i="15" s="1"/>
  <c r="BD100" i="15"/>
  <c r="Z100" i="15"/>
  <c r="AA44" i="15"/>
  <c r="BE44" i="15" s="1"/>
  <c r="BD104" i="15"/>
  <c r="Z104" i="15"/>
  <c r="Z89" i="15"/>
  <c r="BD89" i="15"/>
  <c r="AA29" i="15"/>
  <c r="Z45" i="15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T16" i="16"/>
  <c r="U16" i="16"/>
  <c r="V16" i="16"/>
  <c r="W16" i="16"/>
  <c r="X16" i="16"/>
  <c r="Y16" i="16"/>
  <c r="Z16" i="16"/>
  <c r="AA16" i="16"/>
  <c r="C16" i="16"/>
  <c r="BC112" i="15" l="1"/>
  <c r="BD110" i="15"/>
  <c r="Z108" i="15"/>
  <c r="BE29" i="15"/>
  <c r="BE89" i="15" s="1"/>
  <c r="Z110" i="15"/>
  <c r="BD108" i="15"/>
  <c r="BD106" i="15"/>
  <c r="BD112" i="15" s="1"/>
  <c r="BE102" i="15"/>
  <c r="AA102" i="15"/>
  <c r="BE101" i="15"/>
  <c r="AA101" i="15"/>
  <c r="BE95" i="15"/>
  <c r="AA95" i="15"/>
  <c r="BE90" i="15"/>
  <c r="AA90" i="15"/>
  <c r="BE98" i="15"/>
  <c r="AA98" i="15"/>
  <c r="BE93" i="15"/>
  <c r="AA93" i="15"/>
  <c r="BE94" i="15"/>
  <c r="AA94" i="15"/>
  <c r="BE103" i="15"/>
  <c r="AA103" i="15"/>
  <c r="BE104" i="15"/>
  <c r="AA104" i="15"/>
  <c r="BE100" i="15"/>
  <c r="AA100" i="15"/>
  <c r="BE91" i="15"/>
  <c r="AA91" i="15"/>
  <c r="BE92" i="15"/>
  <c r="AA92" i="15"/>
  <c r="BE97" i="15"/>
  <c r="AA97" i="15"/>
  <c r="BE96" i="15"/>
  <c r="AA96" i="15"/>
  <c r="BE99" i="15"/>
  <c r="AA99" i="15"/>
  <c r="AA45" i="15"/>
  <c r="AA89" i="15"/>
  <c r="AA81" i="19"/>
  <c r="Z81" i="19"/>
  <c r="Y81" i="19"/>
  <c r="X81" i="19"/>
  <c r="W81" i="19"/>
  <c r="V81" i="19"/>
  <c r="U81" i="19"/>
  <c r="T81" i="19"/>
  <c r="S81" i="19"/>
  <c r="R81" i="19"/>
  <c r="Q81" i="19"/>
  <c r="P81" i="19"/>
  <c r="O81" i="19"/>
  <c r="N81" i="19"/>
  <c r="M81" i="19"/>
  <c r="L81" i="19"/>
  <c r="K81" i="19"/>
  <c r="J81" i="19"/>
  <c r="I81" i="19"/>
  <c r="H81" i="19"/>
  <c r="G81" i="19"/>
  <c r="F81" i="19"/>
  <c r="E81" i="19"/>
  <c r="D81" i="19"/>
  <c r="C81" i="19"/>
  <c r="C82" i="19" s="1"/>
  <c r="AA110" i="15" l="1"/>
  <c r="AA108" i="15"/>
  <c r="BE108" i="15"/>
  <c r="BE110" i="15"/>
  <c r="BE106" i="15"/>
  <c r="D82" i="19"/>
  <c r="E82" i="19" s="1"/>
  <c r="BE112" i="15" l="1"/>
  <c r="F82" i="19"/>
  <c r="G82" i="19" l="1"/>
  <c r="H82" i="19" l="1"/>
  <c r="I82" i="19" l="1"/>
  <c r="J82" i="19" l="1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C72" i="2" s="1"/>
  <c r="D72" i="2" s="1"/>
  <c r="AA77" i="10"/>
  <c r="Z77" i="10"/>
  <c r="Y77" i="10"/>
  <c r="X77" i="10"/>
  <c r="W77" i="10"/>
  <c r="V77" i="10"/>
  <c r="U77" i="10"/>
  <c r="T77" i="10"/>
  <c r="S77" i="10"/>
  <c r="R77" i="10"/>
  <c r="Q77" i="10"/>
  <c r="P77" i="10"/>
  <c r="O77" i="10"/>
  <c r="N77" i="10"/>
  <c r="M77" i="10"/>
  <c r="L77" i="10"/>
  <c r="K77" i="10"/>
  <c r="J77" i="10"/>
  <c r="I77" i="10"/>
  <c r="H77" i="10"/>
  <c r="G77" i="10"/>
  <c r="F77" i="10"/>
  <c r="E77" i="10"/>
  <c r="D77" i="10"/>
  <c r="C77" i="10"/>
  <c r="C78" i="10" s="1"/>
  <c r="D78" i="10" s="1"/>
  <c r="AA77" i="12"/>
  <c r="Z77" i="12"/>
  <c r="Y77" i="12"/>
  <c r="X77" i="12"/>
  <c r="W77" i="12"/>
  <c r="V77" i="12"/>
  <c r="U77" i="12"/>
  <c r="T77" i="12"/>
  <c r="S77" i="12"/>
  <c r="R77" i="12"/>
  <c r="Q77" i="12"/>
  <c r="P77" i="12"/>
  <c r="O77" i="12"/>
  <c r="N77" i="12"/>
  <c r="M77" i="12"/>
  <c r="L77" i="12"/>
  <c r="K77" i="12"/>
  <c r="J77" i="12"/>
  <c r="I77" i="12"/>
  <c r="H77" i="12"/>
  <c r="G77" i="12"/>
  <c r="F77" i="12"/>
  <c r="E77" i="12"/>
  <c r="D77" i="12"/>
  <c r="C77" i="12"/>
  <c r="C78" i="12" s="1"/>
  <c r="D78" i="12" s="1"/>
  <c r="E75" i="8"/>
  <c r="F72" i="8"/>
  <c r="G72" i="8" s="1"/>
  <c r="H72" i="8" s="1"/>
  <c r="I72" i="8" s="1"/>
  <c r="J72" i="8" s="1"/>
  <c r="K72" i="8" s="1"/>
  <c r="L72" i="8" s="1"/>
  <c r="M72" i="8" s="1"/>
  <c r="N72" i="8" s="1"/>
  <c r="O72" i="8" s="1"/>
  <c r="P72" i="8" s="1"/>
  <c r="Q72" i="8" s="1"/>
  <c r="R72" i="8" s="1"/>
  <c r="S72" i="8" s="1"/>
  <c r="T72" i="8" s="1"/>
  <c r="U72" i="8" s="1"/>
  <c r="V72" i="8" s="1"/>
  <c r="W72" i="8" s="1"/>
  <c r="X72" i="8" s="1"/>
  <c r="Y72" i="8" s="1"/>
  <c r="Z72" i="8" s="1"/>
  <c r="AA72" i="8" s="1"/>
  <c r="D71" i="8"/>
  <c r="E71" i="8" s="1"/>
  <c r="F71" i="8" s="1"/>
  <c r="G71" i="8" s="1"/>
  <c r="H71" i="8" s="1"/>
  <c r="I71" i="8" s="1"/>
  <c r="J71" i="8" s="1"/>
  <c r="K71" i="8" s="1"/>
  <c r="L71" i="8" s="1"/>
  <c r="M71" i="8" s="1"/>
  <c r="N71" i="8" s="1"/>
  <c r="O71" i="8" s="1"/>
  <c r="P71" i="8" s="1"/>
  <c r="Q71" i="8" s="1"/>
  <c r="R71" i="8" s="1"/>
  <c r="S71" i="8" s="1"/>
  <c r="T71" i="8" s="1"/>
  <c r="U71" i="8" s="1"/>
  <c r="V71" i="8" s="1"/>
  <c r="W71" i="8" s="1"/>
  <c r="X71" i="8" s="1"/>
  <c r="Y71" i="8" s="1"/>
  <c r="Z71" i="8" s="1"/>
  <c r="AA71" i="8" s="1"/>
  <c r="C53" i="8"/>
  <c r="K82" i="19" l="1"/>
  <c r="D74" i="2"/>
  <c r="E72" i="2"/>
  <c r="E78" i="10"/>
  <c r="E78" i="12"/>
  <c r="D42" i="16"/>
  <c r="AH42" i="16" s="1"/>
  <c r="E42" i="16"/>
  <c r="AI42" i="16" s="1"/>
  <c r="C42" i="16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AA12" i="13"/>
  <c r="Z12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M12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AA10" i="13"/>
  <c r="AA30" i="13" s="1"/>
  <c r="BE30" i="13" s="1"/>
  <c r="Z10" i="13"/>
  <c r="Z29" i="13" s="1"/>
  <c r="BD29" i="13" s="1"/>
  <c r="Y10" i="13"/>
  <c r="Y28" i="13" s="1"/>
  <c r="BC28" i="13" s="1"/>
  <c r="X10" i="13"/>
  <c r="X28" i="13" s="1"/>
  <c r="BB28" i="13" s="1"/>
  <c r="W10" i="13"/>
  <c r="W27" i="13" s="1"/>
  <c r="BA27" i="13" s="1"/>
  <c r="V10" i="13"/>
  <c r="V27" i="13" s="1"/>
  <c r="U10" i="13"/>
  <c r="U29" i="13" s="1"/>
  <c r="AY29" i="13" s="1"/>
  <c r="T10" i="13"/>
  <c r="T30" i="13" s="1"/>
  <c r="AX30" i="13" s="1"/>
  <c r="S10" i="13"/>
  <c r="S30" i="13" s="1"/>
  <c r="AW30" i="13" s="1"/>
  <c r="R10" i="13"/>
  <c r="R29" i="13" s="1"/>
  <c r="AV29" i="13" s="1"/>
  <c r="Q10" i="13"/>
  <c r="Q28" i="13" s="1"/>
  <c r="AU28" i="13" s="1"/>
  <c r="P10" i="13"/>
  <c r="P28" i="13" s="1"/>
  <c r="AT28" i="13" s="1"/>
  <c r="O10" i="13"/>
  <c r="O27" i="13" s="1"/>
  <c r="AS27" i="13" s="1"/>
  <c r="N10" i="13"/>
  <c r="N27" i="13" s="1"/>
  <c r="M10" i="13"/>
  <c r="M29" i="13" s="1"/>
  <c r="AQ29" i="13" s="1"/>
  <c r="N17" i="19"/>
  <c r="M17" i="19"/>
  <c r="AA9" i="19"/>
  <c r="AA20" i="19" s="1"/>
  <c r="Z9" i="19"/>
  <c r="Z20" i="19" s="1"/>
  <c r="Y9" i="19"/>
  <c r="Y20" i="19" s="1"/>
  <c r="X9" i="19"/>
  <c r="X20" i="19" s="1"/>
  <c r="W9" i="19"/>
  <c r="W20" i="19" s="1"/>
  <c r="V9" i="19"/>
  <c r="V20" i="19" s="1"/>
  <c r="U9" i="19"/>
  <c r="U20" i="19" s="1"/>
  <c r="T9" i="19"/>
  <c r="T20" i="19" s="1"/>
  <c r="S9" i="19"/>
  <c r="S20" i="19" s="1"/>
  <c r="R9" i="19"/>
  <c r="R20" i="19" s="1"/>
  <c r="Q9" i="19"/>
  <c r="Q20" i="19" s="1"/>
  <c r="P9" i="19"/>
  <c r="P20" i="19" s="1"/>
  <c r="O9" i="19"/>
  <c r="O20" i="19" s="1"/>
  <c r="N9" i="19"/>
  <c r="N20" i="19" s="1"/>
  <c r="M9" i="19"/>
  <c r="M20" i="19" s="1"/>
  <c r="M26" i="19"/>
  <c r="N26" i="19"/>
  <c r="O26" i="19"/>
  <c r="P26" i="19"/>
  <c r="Q26" i="19"/>
  <c r="R26" i="19"/>
  <c r="S26" i="19"/>
  <c r="T26" i="19"/>
  <c r="U26" i="19"/>
  <c r="V26" i="19"/>
  <c r="W26" i="19"/>
  <c r="X26" i="19"/>
  <c r="Y26" i="19"/>
  <c r="Z26" i="19"/>
  <c r="AA26" i="19"/>
  <c r="AA7" i="18"/>
  <c r="AA29" i="18" s="1"/>
  <c r="Z7" i="18"/>
  <c r="Z29" i="18" s="1"/>
  <c r="Y7" i="18"/>
  <c r="Y29" i="18" s="1"/>
  <c r="X7" i="18"/>
  <c r="X29" i="18" s="1"/>
  <c r="W7" i="18"/>
  <c r="W29" i="18" s="1"/>
  <c r="V7" i="18"/>
  <c r="V29" i="18" s="1"/>
  <c r="U7" i="18"/>
  <c r="U29" i="18" s="1"/>
  <c r="T7" i="18"/>
  <c r="T29" i="18" s="1"/>
  <c r="S7" i="18"/>
  <c r="S29" i="18" s="1"/>
  <c r="R7" i="18"/>
  <c r="R29" i="18" s="1"/>
  <c r="Q7" i="18"/>
  <c r="Q29" i="18" s="1"/>
  <c r="P7" i="18"/>
  <c r="P29" i="18" s="1"/>
  <c r="O7" i="18"/>
  <c r="O29" i="18" s="1"/>
  <c r="N7" i="18"/>
  <c r="N29" i="18" s="1"/>
  <c r="M7" i="18"/>
  <c r="M29" i="18" s="1"/>
  <c r="M11" i="17"/>
  <c r="N11" i="17"/>
  <c r="O11" i="17"/>
  <c r="P11" i="17"/>
  <c r="Q11" i="17"/>
  <c r="R11" i="17"/>
  <c r="S11" i="17"/>
  <c r="T11" i="17"/>
  <c r="U11" i="17"/>
  <c r="V11" i="17"/>
  <c r="V13" i="17" s="1"/>
  <c r="W11" i="17"/>
  <c r="X11" i="17"/>
  <c r="Y11" i="17"/>
  <c r="Z11" i="17"/>
  <c r="AA11" i="17"/>
  <c r="AA18" i="17"/>
  <c r="Z18" i="17"/>
  <c r="Y18" i="17"/>
  <c r="X18" i="17"/>
  <c r="W18" i="17"/>
  <c r="U18" i="17"/>
  <c r="T18" i="17"/>
  <c r="S18" i="17"/>
  <c r="R18" i="17"/>
  <c r="Q18" i="17"/>
  <c r="P18" i="17"/>
  <c r="O13" i="17"/>
  <c r="N18" i="17"/>
  <c r="M18" i="17"/>
  <c r="AA7" i="8"/>
  <c r="Z7" i="8"/>
  <c r="Y7" i="8"/>
  <c r="X7" i="8"/>
  <c r="W7" i="8"/>
  <c r="V7" i="8"/>
  <c r="V75" i="8" s="1"/>
  <c r="U7" i="8"/>
  <c r="U75" i="8" s="1"/>
  <c r="S7" i="8"/>
  <c r="S75" i="8" s="1"/>
  <c r="T7" i="8"/>
  <c r="T75" i="8" s="1"/>
  <c r="R7" i="8"/>
  <c r="R75" i="8" s="1"/>
  <c r="Q7" i="8"/>
  <c r="Q75" i="8" s="1"/>
  <c r="P7" i="8"/>
  <c r="P75" i="8" s="1"/>
  <c r="O7" i="8"/>
  <c r="O75" i="8" s="1"/>
  <c r="N7" i="8"/>
  <c r="N75" i="8" s="1"/>
  <c r="M7" i="8"/>
  <c r="M75" i="8" s="1"/>
  <c r="AA7" i="2"/>
  <c r="AA18" i="2" s="1"/>
  <c r="Z7" i="2"/>
  <c r="Z18" i="2" s="1"/>
  <c r="Y7" i="2"/>
  <c r="Y18" i="2" s="1"/>
  <c r="X7" i="2"/>
  <c r="X18" i="2" s="1"/>
  <c r="W7" i="2"/>
  <c r="W18" i="2" s="1"/>
  <c r="V7" i="2"/>
  <c r="V18" i="2" s="1"/>
  <c r="U7" i="2"/>
  <c r="U18" i="2" s="1"/>
  <c r="T7" i="2"/>
  <c r="T18" i="2" s="1"/>
  <c r="S7" i="2"/>
  <c r="S18" i="2" s="1"/>
  <c r="R7" i="2"/>
  <c r="R18" i="2" s="1"/>
  <c r="Q7" i="2"/>
  <c r="Q18" i="2" s="1"/>
  <c r="P7" i="2"/>
  <c r="P18" i="2" s="1"/>
  <c r="O7" i="2"/>
  <c r="O18" i="2" s="1"/>
  <c r="N7" i="2"/>
  <c r="N18" i="2" s="1"/>
  <c r="M7" i="2"/>
  <c r="M18" i="2" s="1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AA6" i="12"/>
  <c r="Z6" i="12"/>
  <c r="Y6" i="12"/>
  <c r="X6" i="12"/>
  <c r="W6" i="12"/>
  <c r="V6" i="12"/>
  <c r="U6" i="12"/>
  <c r="T6" i="12"/>
  <c r="S6" i="12"/>
  <c r="R6" i="12"/>
  <c r="Q6" i="12"/>
  <c r="P6" i="12"/>
  <c r="O6" i="12"/>
  <c r="N6" i="12"/>
  <c r="M6" i="12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T18" i="16"/>
  <c r="AX18" i="16" s="1"/>
  <c r="BD10" i="5"/>
  <c r="BD12" i="5" s="1"/>
  <c r="BE10" i="5"/>
  <c r="BE12" i="5" s="1"/>
  <c r="AV10" i="5"/>
  <c r="AV12" i="5" s="1"/>
  <c r="AW10" i="5"/>
  <c r="AW12" i="5" s="1"/>
  <c r="AX10" i="5"/>
  <c r="AX12" i="5" s="1"/>
  <c r="AY10" i="5"/>
  <c r="AY12" i="5" s="1"/>
  <c r="AZ10" i="5"/>
  <c r="AZ12" i="5" s="1"/>
  <c r="BA10" i="5"/>
  <c r="BA12" i="5" s="1"/>
  <c r="BB10" i="5"/>
  <c r="BB12" i="5" s="1"/>
  <c r="BC10" i="5"/>
  <c r="BC12" i="5" s="1"/>
  <c r="AQ10" i="5"/>
  <c r="AQ12" i="5" s="1"/>
  <c r="AR10" i="5"/>
  <c r="AR12" i="5" s="1"/>
  <c r="AS10" i="5"/>
  <c r="AS12" i="5" s="1"/>
  <c r="AT10" i="5"/>
  <c r="AT12" i="5" s="1"/>
  <c r="AU10" i="5"/>
  <c r="AU12" i="5" s="1"/>
  <c r="M12" i="5"/>
  <c r="N12" i="5"/>
  <c r="R12" i="5"/>
  <c r="S12" i="5"/>
  <c r="U12" i="5"/>
  <c r="V12" i="5"/>
  <c r="Z12" i="5"/>
  <c r="AA12" i="5"/>
  <c r="O12" i="5"/>
  <c r="P12" i="5"/>
  <c r="Q12" i="5"/>
  <c r="T12" i="5"/>
  <c r="W12" i="5"/>
  <c r="X12" i="5"/>
  <c r="Y12" i="5"/>
  <c r="O28" i="3"/>
  <c r="O30" i="3" s="1"/>
  <c r="P28" i="3"/>
  <c r="P30" i="3" s="1"/>
  <c r="Q28" i="3"/>
  <c r="Q30" i="3" s="1"/>
  <c r="R28" i="3"/>
  <c r="R30" i="3" s="1"/>
  <c r="S28" i="3"/>
  <c r="S30" i="3" s="1"/>
  <c r="T28" i="3"/>
  <c r="T30" i="3" s="1"/>
  <c r="U28" i="3"/>
  <c r="U30" i="3" s="1"/>
  <c r="V28" i="3"/>
  <c r="V30" i="3" s="1"/>
  <c r="W28" i="3"/>
  <c r="W30" i="3" s="1"/>
  <c r="X28" i="3"/>
  <c r="X30" i="3" s="1"/>
  <c r="Y28" i="3"/>
  <c r="Y30" i="3" s="1"/>
  <c r="Z28" i="3"/>
  <c r="Z30" i="3" s="1"/>
  <c r="AA28" i="3"/>
  <c r="AA30" i="3" s="1"/>
  <c r="AB28" i="3"/>
  <c r="AB30" i="3" s="1"/>
  <c r="AC28" i="3"/>
  <c r="AC30" i="3" s="1"/>
  <c r="O9" i="3"/>
  <c r="P9" i="3"/>
  <c r="P19" i="3" s="1"/>
  <c r="Q9" i="3"/>
  <c r="Q17" i="3" s="1"/>
  <c r="R9" i="3"/>
  <c r="R19" i="3" s="1"/>
  <c r="S9" i="3"/>
  <c r="S17" i="3" s="1"/>
  <c r="T9" i="3"/>
  <c r="T17" i="3" s="1"/>
  <c r="U9" i="3"/>
  <c r="U19" i="3" s="1"/>
  <c r="V9" i="3"/>
  <c r="V17" i="3" s="1"/>
  <c r="W9" i="3"/>
  <c r="W19" i="3" s="1"/>
  <c r="X9" i="3"/>
  <c r="X19" i="3" s="1"/>
  <c r="Y9" i="3"/>
  <c r="Z9" i="3"/>
  <c r="Z20" i="3" s="1"/>
  <c r="AA9" i="3"/>
  <c r="AA20" i="3" s="1"/>
  <c r="AB9" i="3"/>
  <c r="AB17" i="3" s="1"/>
  <c r="AC9" i="3"/>
  <c r="AC17" i="3" s="1"/>
  <c r="O12" i="3"/>
  <c r="M34" i="19" s="1"/>
  <c r="P12" i="3"/>
  <c r="Q12" i="3"/>
  <c r="R12" i="3"/>
  <c r="S12" i="3"/>
  <c r="T12" i="3"/>
  <c r="U12" i="3"/>
  <c r="S34" i="19" s="1"/>
  <c r="V12" i="3"/>
  <c r="W12" i="3"/>
  <c r="U34" i="19" s="1"/>
  <c r="X12" i="3"/>
  <c r="Y12" i="3"/>
  <c r="Z12" i="3"/>
  <c r="AA12" i="3"/>
  <c r="AB12" i="3"/>
  <c r="AC12" i="3"/>
  <c r="AA48" i="16" s="1"/>
  <c r="O13" i="3"/>
  <c r="P13" i="3"/>
  <c r="N35" i="19" s="1"/>
  <c r="Q13" i="3"/>
  <c r="R13" i="3"/>
  <c r="P36" i="18" s="1"/>
  <c r="S13" i="3"/>
  <c r="T13" i="3"/>
  <c r="U13" i="3"/>
  <c r="V13" i="3"/>
  <c r="W13" i="3"/>
  <c r="X13" i="3"/>
  <c r="V49" i="16" s="1"/>
  <c r="Y13" i="3"/>
  <c r="Z13" i="3"/>
  <c r="X35" i="19" s="1"/>
  <c r="AA13" i="3"/>
  <c r="AB13" i="3"/>
  <c r="AC13" i="3"/>
  <c r="O14" i="3"/>
  <c r="P14" i="3"/>
  <c r="N37" i="18" s="1"/>
  <c r="Q14" i="3"/>
  <c r="O36" i="19" s="1"/>
  <c r="R14" i="3"/>
  <c r="S14" i="3"/>
  <c r="T14" i="3"/>
  <c r="U14" i="3"/>
  <c r="V14" i="3"/>
  <c r="W14" i="3"/>
  <c r="X14" i="3"/>
  <c r="Y14" i="3"/>
  <c r="Z14" i="3"/>
  <c r="AA14" i="3"/>
  <c r="AB14" i="3"/>
  <c r="AC14" i="3"/>
  <c r="O17" i="3"/>
  <c r="Y17" i="3"/>
  <c r="AA17" i="3"/>
  <c r="O18" i="3"/>
  <c r="Q18" i="3"/>
  <c r="Y18" i="3"/>
  <c r="O19" i="3"/>
  <c r="Y19" i="3"/>
  <c r="AA19" i="3"/>
  <c r="O20" i="3"/>
  <c r="Q20" i="3"/>
  <c r="Y20" i="3"/>
  <c r="W18" i="3" l="1"/>
  <c r="W20" i="3"/>
  <c r="W17" i="3"/>
  <c r="Q19" i="3"/>
  <c r="S18" i="3"/>
  <c r="W75" i="8"/>
  <c r="W18" i="8"/>
  <c r="X75" i="8"/>
  <c r="X18" i="8"/>
  <c r="Y75" i="8"/>
  <c r="Y18" i="8"/>
  <c r="AA75" i="8"/>
  <c r="AA18" i="8"/>
  <c r="Z75" i="8"/>
  <c r="Z18" i="8"/>
  <c r="S19" i="3"/>
  <c r="Y28" i="19"/>
  <c r="BC28" i="19" s="1"/>
  <c r="AW21" i="19"/>
  <c r="S23" i="19"/>
  <c r="AX21" i="19"/>
  <c r="T23" i="19"/>
  <c r="AY21" i="19"/>
  <c r="U23" i="19"/>
  <c r="AZ21" i="19"/>
  <c r="V23" i="19"/>
  <c r="BA21" i="19"/>
  <c r="W23" i="19"/>
  <c r="BB21" i="19"/>
  <c r="X23" i="19"/>
  <c r="AQ21" i="19"/>
  <c r="M23" i="19"/>
  <c r="BC21" i="19"/>
  <c r="Y23" i="19"/>
  <c r="AR21" i="19"/>
  <c r="N23" i="19"/>
  <c r="BD21" i="19"/>
  <c r="Z23" i="19"/>
  <c r="AS21" i="19"/>
  <c r="O23" i="19"/>
  <c r="BE21" i="19"/>
  <c r="AA23" i="19"/>
  <c r="AT21" i="19"/>
  <c r="P23" i="19"/>
  <c r="AU21" i="19"/>
  <c r="Q23" i="19"/>
  <c r="AV21" i="19"/>
  <c r="R23" i="19"/>
  <c r="V35" i="19"/>
  <c r="N49" i="16"/>
  <c r="U48" i="16"/>
  <c r="U36" i="18"/>
  <c r="Z17" i="3"/>
  <c r="M48" i="16"/>
  <c r="M36" i="18"/>
  <c r="T35" i="18"/>
  <c r="Z18" i="3"/>
  <c r="Z19" i="3"/>
  <c r="U26" i="17"/>
  <c r="R17" i="3"/>
  <c r="W50" i="16"/>
  <c r="M26" i="17"/>
  <c r="R18" i="3"/>
  <c r="O50" i="16"/>
  <c r="T25" i="17"/>
  <c r="W36" i="19"/>
  <c r="R20" i="3"/>
  <c r="S24" i="17"/>
  <c r="V37" i="18"/>
  <c r="X28" i="19"/>
  <c r="BB28" i="19" s="1"/>
  <c r="S28" i="19"/>
  <c r="AW28" i="19" s="1"/>
  <c r="AA28" i="19"/>
  <c r="BE28" i="19" s="1"/>
  <c r="U28" i="19"/>
  <c r="AY28" i="19" s="1"/>
  <c r="Z28" i="19"/>
  <c r="BD28" i="19" s="1"/>
  <c r="O28" i="19"/>
  <c r="AS28" i="19" s="1"/>
  <c r="N28" i="19"/>
  <c r="AR28" i="19" s="1"/>
  <c r="V28" i="19"/>
  <c r="AZ28" i="19" s="1"/>
  <c r="W28" i="19"/>
  <c r="BA28" i="19" s="1"/>
  <c r="P28" i="19"/>
  <c r="AT28" i="19" s="1"/>
  <c r="M15" i="10"/>
  <c r="AQ15" i="10" s="1"/>
  <c r="M16" i="10"/>
  <c r="AQ16" i="10" s="1"/>
  <c r="N15" i="10"/>
  <c r="AR15" i="10" s="1"/>
  <c r="N16" i="10"/>
  <c r="AR16" i="10" s="1"/>
  <c r="O16" i="10"/>
  <c r="AS16" i="10" s="1"/>
  <c r="O15" i="10"/>
  <c r="AS15" i="10" s="1"/>
  <c r="R16" i="10"/>
  <c r="AV16" i="10" s="1"/>
  <c r="P15" i="10"/>
  <c r="AT15" i="10" s="1"/>
  <c r="P16" i="10"/>
  <c r="AT16" i="10" s="1"/>
  <c r="Q16" i="10"/>
  <c r="AU16" i="10" s="1"/>
  <c r="Q15" i="10"/>
  <c r="AU15" i="10" s="1"/>
  <c r="R15" i="10"/>
  <c r="AV15" i="10" s="1"/>
  <c r="R16" i="12"/>
  <c r="R17" i="12"/>
  <c r="R18" i="12"/>
  <c r="R19" i="12"/>
  <c r="AV19" i="12" s="1"/>
  <c r="R20" i="12"/>
  <c r="AV20" i="12" s="1"/>
  <c r="R21" i="12"/>
  <c r="Z16" i="12"/>
  <c r="Z17" i="12"/>
  <c r="Z18" i="12"/>
  <c r="Z19" i="12"/>
  <c r="BD19" i="12" s="1"/>
  <c r="Z20" i="12"/>
  <c r="BD20" i="12" s="1"/>
  <c r="Z21" i="12"/>
  <c r="S16" i="12"/>
  <c r="S17" i="12"/>
  <c r="S18" i="12"/>
  <c r="S19" i="12"/>
  <c r="AW19" i="12" s="1"/>
  <c r="S20" i="12"/>
  <c r="AW20" i="12" s="1"/>
  <c r="S21" i="12"/>
  <c r="AA16" i="12"/>
  <c r="AA17" i="12"/>
  <c r="AA18" i="12"/>
  <c r="AA19" i="12"/>
  <c r="BE19" i="12" s="1"/>
  <c r="AA20" i="12"/>
  <c r="BE20" i="12" s="1"/>
  <c r="AA21" i="12"/>
  <c r="T16" i="12"/>
  <c r="T17" i="12"/>
  <c r="T18" i="12"/>
  <c r="T19" i="12"/>
  <c r="AX19" i="12" s="1"/>
  <c r="T20" i="12"/>
  <c r="AX20" i="12" s="1"/>
  <c r="T21" i="12"/>
  <c r="M16" i="12"/>
  <c r="M17" i="12"/>
  <c r="M18" i="12"/>
  <c r="M19" i="12"/>
  <c r="AQ19" i="12" s="1"/>
  <c r="M20" i="12"/>
  <c r="AQ20" i="12" s="1"/>
  <c r="M21" i="12"/>
  <c r="U16" i="12"/>
  <c r="U17" i="12"/>
  <c r="U18" i="12"/>
  <c r="U19" i="12"/>
  <c r="AY19" i="12" s="1"/>
  <c r="U20" i="12"/>
  <c r="AY20" i="12" s="1"/>
  <c r="U21" i="12"/>
  <c r="N16" i="12"/>
  <c r="N17" i="12"/>
  <c r="N18" i="12"/>
  <c r="N19" i="12"/>
  <c r="AR19" i="12" s="1"/>
  <c r="N20" i="12"/>
  <c r="AR20" i="12" s="1"/>
  <c r="N21" i="12"/>
  <c r="V16" i="12"/>
  <c r="V17" i="12"/>
  <c r="V18" i="12"/>
  <c r="V19" i="12"/>
  <c r="AZ19" i="12" s="1"/>
  <c r="V20" i="12"/>
  <c r="AZ20" i="12" s="1"/>
  <c r="V21" i="12"/>
  <c r="O16" i="12"/>
  <c r="O17" i="12"/>
  <c r="O18" i="12"/>
  <c r="O19" i="12"/>
  <c r="AS19" i="12" s="1"/>
  <c r="O20" i="12"/>
  <c r="AS20" i="12" s="1"/>
  <c r="O21" i="12"/>
  <c r="W16" i="12"/>
  <c r="W17" i="12"/>
  <c r="W18" i="12"/>
  <c r="W19" i="12"/>
  <c r="BA19" i="12" s="1"/>
  <c r="W20" i="12"/>
  <c r="BA20" i="12" s="1"/>
  <c r="W21" i="12"/>
  <c r="P16" i="12"/>
  <c r="P17" i="12"/>
  <c r="P18" i="12"/>
  <c r="P19" i="12"/>
  <c r="AT19" i="12" s="1"/>
  <c r="P20" i="12"/>
  <c r="AT20" i="12" s="1"/>
  <c r="P21" i="12"/>
  <c r="X16" i="12"/>
  <c r="X17" i="12"/>
  <c r="X18" i="12"/>
  <c r="X19" i="12"/>
  <c r="BB19" i="12" s="1"/>
  <c r="X20" i="12"/>
  <c r="BB20" i="12" s="1"/>
  <c r="X21" i="12"/>
  <c r="Q16" i="12"/>
  <c r="Q17" i="12"/>
  <c r="Q18" i="12"/>
  <c r="Q19" i="12"/>
  <c r="AU19" i="12" s="1"/>
  <c r="Q20" i="12"/>
  <c r="AU20" i="12" s="1"/>
  <c r="Q21" i="12"/>
  <c r="Y16" i="12"/>
  <c r="Y17" i="12"/>
  <c r="Y18" i="12"/>
  <c r="Y19" i="12"/>
  <c r="BC19" i="12" s="1"/>
  <c r="Y20" i="12"/>
  <c r="BC20" i="12" s="1"/>
  <c r="Y21" i="12"/>
  <c r="S16" i="10"/>
  <c r="AW16" i="10" s="1"/>
  <c r="S15" i="10"/>
  <c r="AW15" i="10" s="1"/>
  <c r="Q30" i="13"/>
  <c r="AU30" i="13" s="1"/>
  <c r="M30" i="13"/>
  <c r="AQ30" i="13" s="1"/>
  <c r="R27" i="13"/>
  <c r="AV27" i="13" s="1"/>
  <c r="Y29" i="13"/>
  <c r="BC29" i="13" s="1"/>
  <c r="M27" i="13"/>
  <c r="AQ27" i="13" s="1"/>
  <c r="X29" i="13"/>
  <c r="BB29" i="13" s="1"/>
  <c r="Z30" i="13"/>
  <c r="BD30" i="13" s="1"/>
  <c r="T29" i="13"/>
  <c r="AX29" i="13" s="1"/>
  <c r="Y30" i="13"/>
  <c r="BC30" i="13" s="1"/>
  <c r="Q29" i="13"/>
  <c r="AU29" i="13" s="1"/>
  <c r="U30" i="13"/>
  <c r="AY30" i="13" s="1"/>
  <c r="P29" i="13"/>
  <c r="AT29" i="13" s="1"/>
  <c r="U27" i="13"/>
  <c r="AY27" i="13" s="1"/>
  <c r="R30" i="13"/>
  <c r="AV30" i="13" s="1"/>
  <c r="Z27" i="13"/>
  <c r="BD27" i="13" s="1"/>
  <c r="AA24" i="17"/>
  <c r="AC19" i="3"/>
  <c r="AA49" i="16"/>
  <c r="AA37" i="18"/>
  <c r="AA36" i="19"/>
  <c r="AA26" i="17"/>
  <c r="AA35" i="19"/>
  <c r="AA36" i="18"/>
  <c r="AC15" i="3"/>
  <c r="AA50" i="16"/>
  <c r="AA25" i="17"/>
  <c r="AA34" i="19"/>
  <c r="AA35" i="18"/>
  <c r="AA15" i="3"/>
  <c r="V50" i="16"/>
  <c r="N50" i="16"/>
  <c r="U49" i="16"/>
  <c r="M49" i="16"/>
  <c r="T48" i="16"/>
  <c r="T26" i="17"/>
  <c r="S25" i="17"/>
  <c r="Z24" i="17"/>
  <c r="R24" i="17"/>
  <c r="U37" i="18"/>
  <c r="M37" i="18"/>
  <c r="T36" i="18"/>
  <c r="S35" i="18"/>
  <c r="V36" i="19"/>
  <c r="N36" i="19"/>
  <c r="U35" i="19"/>
  <c r="M35" i="19"/>
  <c r="T34" i="19"/>
  <c r="P20" i="3"/>
  <c r="Q15" i="3"/>
  <c r="X15" i="3"/>
  <c r="P15" i="3"/>
  <c r="W15" i="3"/>
  <c r="O15" i="3"/>
  <c r="U50" i="16"/>
  <c r="M50" i="16"/>
  <c r="T49" i="16"/>
  <c r="S48" i="16"/>
  <c r="S26" i="17"/>
  <c r="Z25" i="17"/>
  <c r="R25" i="17"/>
  <c r="Y24" i="17"/>
  <c r="Q24" i="17"/>
  <c r="T37" i="18"/>
  <c r="S36" i="18"/>
  <c r="Z35" i="18"/>
  <c r="R35" i="18"/>
  <c r="U36" i="19"/>
  <c r="M36" i="19"/>
  <c r="T35" i="19"/>
  <c r="AB15" i="3"/>
  <c r="T50" i="16"/>
  <c r="S49" i="16"/>
  <c r="Z48" i="16"/>
  <c r="R48" i="16"/>
  <c r="Z26" i="17"/>
  <c r="R26" i="17"/>
  <c r="Y25" i="17"/>
  <c r="Q25" i="17"/>
  <c r="X24" i="17"/>
  <c r="P24" i="17"/>
  <c r="S37" i="18"/>
  <c r="Z36" i="18"/>
  <c r="R36" i="18"/>
  <c r="Y35" i="18"/>
  <c r="Q35" i="18"/>
  <c r="T36" i="19"/>
  <c r="S35" i="19"/>
  <c r="Z34" i="19"/>
  <c r="R34" i="19"/>
  <c r="T15" i="3"/>
  <c r="U15" i="3"/>
  <c r="S50" i="16"/>
  <c r="Z49" i="16"/>
  <c r="R49" i="16"/>
  <c r="Y48" i="16"/>
  <c r="Q48" i="16"/>
  <c r="Y26" i="17"/>
  <c r="Q26" i="17"/>
  <c r="X25" i="17"/>
  <c r="P25" i="17"/>
  <c r="W24" i="17"/>
  <c r="O24" i="17"/>
  <c r="Z37" i="18"/>
  <c r="R37" i="18"/>
  <c r="Y36" i="18"/>
  <c r="Q36" i="18"/>
  <c r="X35" i="18"/>
  <c r="P35" i="18"/>
  <c r="S36" i="19"/>
  <c r="Z35" i="19"/>
  <c r="R35" i="19"/>
  <c r="Y34" i="19"/>
  <c r="Q34" i="19"/>
  <c r="S15" i="3"/>
  <c r="Z50" i="16"/>
  <c r="R50" i="16"/>
  <c r="Y49" i="16"/>
  <c r="Q49" i="16"/>
  <c r="X48" i="16"/>
  <c r="P48" i="16"/>
  <c r="X26" i="17"/>
  <c r="P26" i="17"/>
  <c r="W25" i="17"/>
  <c r="O25" i="17"/>
  <c r="V24" i="17"/>
  <c r="N24" i="17"/>
  <c r="Y37" i="18"/>
  <c r="Q37" i="18"/>
  <c r="X36" i="18"/>
  <c r="W35" i="18"/>
  <c r="O35" i="18"/>
  <c r="Z36" i="19"/>
  <c r="R36" i="19"/>
  <c r="Y35" i="19"/>
  <c r="Q35" i="19"/>
  <c r="X34" i="19"/>
  <c r="P34" i="19"/>
  <c r="R15" i="3"/>
  <c r="Y50" i="16"/>
  <c r="Q50" i="16"/>
  <c r="X49" i="16"/>
  <c r="P49" i="16"/>
  <c r="W48" i="16"/>
  <c r="O48" i="16"/>
  <c r="W26" i="17"/>
  <c r="O26" i="17"/>
  <c r="V25" i="17"/>
  <c r="N25" i="17"/>
  <c r="U24" i="17"/>
  <c r="M24" i="17"/>
  <c r="X37" i="18"/>
  <c r="P37" i="18"/>
  <c r="W36" i="18"/>
  <c r="O36" i="18"/>
  <c r="V35" i="18"/>
  <c r="N35" i="18"/>
  <c r="Y36" i="19"/>
  <c r="Q36" i="19"/>
  <c r="P35" i="19"/>
  <c r="W34" i="19"/>
  <c r="O34" i="19"/>
  <c r="Z15" i="3"/>
  <c r="X50" i="16"/>
  <c r="P50" i="16"/>
  <c r="W49" i="16"/>
  <c r="O49" i="16"/>
  <c r="V48" i="16"/>
  <c r="V51" i="16" s="1"/>
  <c r="N48" i="16"/>
  <c r="V26" i="17"/>
  <c r="N26" i="17"/>
  <c r="U25" i="17"/>
  <c r="M25" i="17"/>
  <c r="T24" i="17"/>
  <c r="W37" i="18"/>
  <c r="O37" i="18"/>
  <c r="V36" i="18"/>
  <c r="N36" i="18"/>
  <c r="U35" i="18"/>
  <c r="M35" i="18"/>
  <c r="X36" i="19"/>
  <c r="P36" i="19"/>
  <c r="W35" i="19"/>
  <c r="O35" i="19"/>
  <c r="V34" i="19"/>
  <c r="N34" i="19"/>
  <c r="AR27" i="13"/>
  <c r="AZ27" i="13"/>
  <c r="O28" i="13"/>
  <c r="AS28" i="13" s="1"/>
  <c r="X30" i="13"/>
  <c r="BB30" i="13" s="1"/>
  <c r="W29" i="13"/>
  <c r="BA29" i="13" s="1"/>
  <c r="N28" i="13"/>
  <c r="AR28" i="13" s="1"/>
  <c r="W30" i="13"/>
  <c r="BA30" i="13" s="1"/>
  <c r="O30" i="13"/>
  <c r="AS30" i="13" s="1"/>
  <c r="V29" i="13"/>
  <c r="AZ29" i="13" s="1"/>
  <c r="N29" i="13"/>
  <c r="AR29" i="13" s="1"/>
  <c r="U28" i="13"/>
  <c r="AY28" i="13" s="1"/>
  <c r="M28" i="13"/>
  <c r="AQ28" i="13" s="1"/>
  <c r="T27" i="13"/>
  <c r="W28" i="13"/>
  <c r="BA28" i="13" s="1"/>
  <c r="P30" i="13"/>
  <c r="AT30" i="13" s="1"/>
  <c r="O29" i="13"/>
  <c r="AS29" i="13" s="1"/>
  <c r="V28" i="13"/>
  <c r="AZ28" i="13" s="1"/>
  <c r="V30" i="13"/>
  <c r="AZ30" i="13" s="1"/>
  <c r="N30" i="13"/>
  <c r="AR30" i="13" s="1"/>
  <c r="T28" i="13"/>
  <c r="AX28" i="13" s="1"/>
  <c r="AA27" i="13"/>
  <c r="S27" i="13"/>
  <c r="S28" i="13"/>
  <c r="AW28" i="13" s="1"/>
  <c r="AA29" i="13"/>
  <c r="BE29" i="13" s="1"/>
  <c r="S29" i="13"/>
  <c r="AW29" i="13" s="1"/>
  <c r="Z28" i="13"/>
  <c r="R28" i="13"/>
  <c r="Y27" i="13"/>
  <c r="Q27" i="13"/>
  <c r="AA28" i="13"/>
  <c r="BE28" i="13" s="1"/>
  <c r="X27" i="13"/>
  <c r="BB27" i="13" s="1"/>
  <c r="P27" i="13"/>
  <c r="AT27" i="13" s="1"/>
  <c r="M28" i="19"/>
  <c r="AQ28" i="19" s="1"/>
  <c r="Z13" i="17"/>
  <c r="BD13" i="17" s="1"/>
  <c r="BD20" i="17" s="1"/>
  <c r="BD103" i="17" s="1"/>
  <c r="R13" i="17"/>
  <c r="AV13" i="17" s="1"/>
  <c r="AV20" i="17" s="1"/>
  <c r="AV103" i="17" s="1"/>
  <c r="Y13" i="17"/>
  <c r="Y41" i="17" s="1"/>
  <c r="V18" i="17"/>
  <c r="V20" i="17" s="1"/>
  <c r="V103" i="17" s="1"/>
  <c r="O41" i="17"/>
  <c r="AS13" i="17"/>
  <c r="AS20" i="17" s="1"/>
  <c r="AS103" i="17" s="1"/>
  <c r="P13" i="17"/>
  <c r="AT13" i="17" s="1"/>
  <c r="AT20" i="17" s="1"/>
  <c r="AT103" i="17" s="1"/>
  <c r="W13" i="17"/>
  <c r="W20" i="17" s="1"/>
  <c r="O18" i="17"/>
  <c r="O20" i="17" s="1"/>
  <c r="O103" i="17" s="1"/>
  <c r="N13" i="17"/>
  <c r="N41" i="17" s="1"/>
  <c r="X13" i="17"/>
  <c r="X20" i="17" s="1"/>
  <c r="X103" i="17" s="1"/>
  <c r="Q13" i="17"/>
  <c r="Q20" i="17" s="1"/>
  <c r="Q103" i="17" s="1"/>
  <c r="U13" i="17"/>
  <c r="U41" i="17" s="1"/>
  <c r="M13" i="17"/>
  <c r="AQ13" i="17" s="1"/>
  <c r="AQ20" i="17" s="1"/>
  <c r="AQ103" i="17" s="1"/>
  <c r="T13" i="17"/>
  <c r="T41" i="17" s="1"/>
  <c r="AA13" i="17"/>
  <c r="AA20" i="17" s="1"/>
  <c r="AA103" i="17" s="1"/>
  <c r="S13" i="17"/>
  <c r="S41" i="17" s="1"/>
  <c r="T42" i="16"/>
  <c r="AX42" i="16" s="1"/>
  <c r="AX44" i="16" s="1"/>
  <c r="AX101" i="16" s="1"/>
  <c r="L42" i="16"/>
  <c r="AP42" i="16" s="1"/>
  <c r="AA42" i="16"/>
  <c r="BE42" i="16" s="1"/>
  <c r="S42" i="16"/>
  <c r="AW42" i="16" s="1"/>
  <c r="K42" i="16"/>
  <c r="AO42" i="16" s="1"/>
  <c r="V42" i="16"/>
  <c r="AZ42" i="16" s="1"/>
  <c r="N42" i="16"/>
  <c r="AR42" i="16" s="1"/>
  <c r="F42" i="16"/>
  <c r="AJ42" i="16" s="1"/>
  <c r="U42" i="16"/>
  <c r="AY42" i="16" s="1"/>
  <c r="M42" i="16"/>
  <c r="AQ42" i="16" s="1"/>
  <c r="Z42" i="16"/>
  <c r="BD42" i="16" s="1"/>
  <c r="R42" i="16"/>
  <c r="AV42" i="16" s="1"/>
  <c r="J42" i="16"/>
  <c r="AN42" i="16" s="1"/>
  <c r="Y42" i="16"/>
  <c r="BC42" i="16" s="1"/>
  <c r="Q42" i="16"/>
  <c r="AU42" i="16" s="1"/>
  <c r="AM42" i="16"/>
  <c r="X42" i="16"/>
  <c r="BB42" i="16" s="1"/>
  <c r="P42" i="16"/>
  <c r="AT42" i="16" s="1"/>
  <c r="H42" i="16"/>
  <c r="AL42" i="16" s="1"/>
  <c r="R18" i="16"/>
  <c r="W42" i="16"/>
  <c r="BA42" i="16" s="1"/>
  <c r="O42" i="16"/>
  <c r="AS42" i="16" s="1"/>
  <c r="AK42" i="16"/>
  <c r="W18" i="16"/>
  <c r="L82" i="19"/>
  <c r="R41" i="17"/>
  <c r="F72" i="2"/>
  <c r="E74" i="2"/>
  <c r="F78" i="10"/>
  <c r="F78" i="12"/>
  <c r="S18" i="16"/>
  <c r="N18" i="16"/>
  <c r="V18" i="16"/>
  <c r="Z18" i="16"/>
  <c r="T28" i="19"/>
  <c r="AX28" i="19" s="1"/>
  <c r="R28" i="19"/>
  <c r="AV28" i="19" s="1"/>
  <c r="Q28" i="19"/>
  <c r="AU28" i="19" s="1"/>
  <c r="N20" i="17"/>
  <c r="AR13" i="17"/>
  <c r="AR20" i="17" s="1"/>
  <c r="AR103" i="17" s="1"/>
  <c r="AZ13" i="17"/>
  <c r="AZ20" i="17" s="1"/>
  <c r="AZ103" i="17" s="1"/>
  <c r="V41" i="17"/>
  <c r="Y18" i="16"/>
  <c r="Q18" i="16"/>
  <c r="O18" i="16"/>
  <c r="U18" i="16"/>
  <c r="M18" i="16"/>
  <c r="AA18" i="16"/>
  <c r="X18" i="16"/>
  <c r="P18" i="16"/>
  <c r="U18" i="3"/>
  <c r="T20" i="3"/>
  <c r="AC20" i="3"/>
  <c r="S20" i="3"/>
  <c r="AC18" i="3"/>
  <c r="U17" i="3"/>
  <c r="U20" i="3"/>
  <c r="AB20" i="3"/>
  <c r="AB18" i="3"/>
  <c r="AA18" i="3"/>
  <c r="Y15" i="3"/>
  <c r="V19" i="3"/>
  <c r="T18" i="3"/>
  <c r="V15" i="3"/>
  <c r="X20" i="3"/>
  <c r="V20" i="3"/>
  <c r="T19" i="3"/>
  <c r="AB19" i="3"/>
  <c r="V18" i="3"/>
  <c r="X17" i="3"/>
  <c r="P17" i="3"/>
  <c r="X18" i="3"/>
  <c r="P18" i="3"/>
  <c r="BA28" i="17" l="1"/>
  <c r="W103" i="17"/>
  <c r="Q108" i="12"/>
  <c r="P108" i="12"/>
  <c r="O108" i="12"/>
  <c r="N108" i="12"/>
  <c r="M108" i="12"/>
  <c r="AA108" i="12"/>
  <c r="Z108" i="12"/>
  <c r="BC21" i="12"/>
  <c r="BC110" i="12" s="1"/>
  <c r="Y110" i="12"/>
  <c r="BB21" i="12"/>
  <c r="BB110" i="12" s="1"/>
  <c r="X110" i="12"/>
  <c r="BA21" i="12"/>
  <c r="BA110" i="12" s="1"/>
  <c r="W110" i="12"/>
  <c r="AZ21" i="12"/>
  <c r="AZ110" i="12" s="1"/>
  <c r="V110" i="12"/>
  <c r="AY21" i="12"/>
  <c r="AY110" i="12" s="1"/>
  <c r="U110" i="12"/>
  <c r="AX21" i="12"/>
  <c r="AX110" i="12" s="1"/>
  <c r="T110" i="12"/>
  <c r="AW21" i="12"/>
  <c r="AW110" i="12" s="1"/>
  <c r="S110" i="12"/>
  <c r="AV21" i="12"/>
  <c r="AV110" i="12" s="1"/>
  <c r="R110" i="12"/>
  <c r="AR28" i="17"/>
  <c r="N103" i="17"/>
  <c r="Y108" i="12"/>
  <c r="X108" i="12"/>
  <c r="W108" i="12"/>
  <c r="V108" i="12"/>
  <c r="U108" i="12"/>
  <c r="T108" i="12"/>
  <c r="S108" i="12"/>
  <c r="R108" i="12"/>
  <c r="AU21" i="12"/>
  <c r="AU110" i="12" s="1"/>
  <c r="Q110" i="12"/>
  <c r="AT21" i="12"/>
  <c r="AT110" i="12" s="1"/>
  <c r="P110" i="12"/>
  <c r="AS21" i="12"/>
  <c r="AS110" i="12" s="1"/>
  <c r="O110" i="12"/>
  <c r="AR21" i="12"/>
  <c r="AR110" i="12" s="1"/>
  <c r="N110" i="12"/>
  <c r="AQ21" i="12"/>
  <c r="AQ110" i="12" s="1"/>
  <c r="M110" i="12"/>
  <c r="BE21" i="12"/>
  <c r="BE110" i="12" s="1"/>
  <c r="AA110" i="12"/>
  <c r="BD21" i="12"/>
  <c r="BD110" i="12" s="1"/>
  <c r="Z110" i="12"/>
  <c r="N27" i="17"/>
  <c r="O27" i="17"/>
  <c r="AA51" i="16"/>
  <c r="X51" i="16"/>
  <c r="V27" i="17"/>
  <c r="P51" i="16"/>
  <c r="Q51" i="16"/>
  <c r="V37" i="19"/>
  <c r="P27" i="17"/>
  <c r="P38" i="18"/>
  <c r="N37" i="19"/>
  <c r="R27" i="17"/>
  <c r="M38" i="18"/>
  <c r="AS29" i="17"/>
  <c r="AA37" i="19"/>
  <c r="R51" i="16"/>
  <c r="O51" i="16"/>
  <c r="T51" i="16"/>
  <c r="U44" i="16"/>
  <c r="U54" i="16" s="1"/>
  <c r="AY54" i="16" s="1"/>
  <c r="R20" i="17"/>
  <c r="M32" i="13"/>
  <c r="M34" i="13" s="1"/>
  <c r="BB30" i="19"/>
  <c r="AQ32" i="13"/>
  <c r="AZ32" i="13"/>
  <c r="BA32" i="13"/>
  <c r="AS32" i="13"/>
  <c r="X32" i="13"/>
  <c r="X34" i="13" s="1"/>
  <c r="AY32" i="13"/>
  <c r="BA30" i="19"/>
  <c r="BE30" i="19"/>
  <c r="AS30" i="19"/>
  <c r="BD30" i="19"/>
  <c r="AZ30" i="19"/>
  <c r="AV30" i="19"/>
  <c r="AR30" i="19"/>
  <c r="AY30" i="19"/>
  <c r="AU30" i="19"/>
  <c r="BC30" i="19"/>
  <c r="AX30" i="19"/>
  <c r="AT30" i="19"/>
  <c r="AQ30" i="19"/>
  <c r="AW30" i="19"/>
  <c r="Q22" i="12"/>
  <c r="O22" i="12"/>
  <c r="X41" i="17"/>
  <c r="BC13" i="17"/>
  <c r="BC20" i="17" s="1"/>
  <c r="BC103" i="17" s="1"/>
  <c r="Y20" i="17"/>
  <c r="N51" i="16"/>
  <c r="W51" i="16"/>
  <c r="Y51" i="16"/>
  <c r="S51" i="16"/>
  <c r="T44" i="16"/>
  <c r="Z51" i="16"/>
  <c r="U51" i="16"/>
  <c r="AW13" i="17"/>
  <c r="AW20" i="17" s="1"/>
  <c r="AW103" i="17" s="1"/>
  <c r="U20" i="17"/>
  <c r="T27" i="17"/>
  <c r="U38" i="18"/>
  <c r="W27" i="17"/>
  <c r="X27" i="17"/>
  <c r="Y38" i="18"/>
  <c r="T38" i="18"/>
  <c r="M51" i="16"/>
  <c r="AA38" i="18"/>
  <c r="O38" i="18"/>
  <c r="Z38" i="18"/>
  <c r="AA27" i="17"/>
  <c r="M27" i="17"/>
  <c r="S27" i="17"/>
  <c r="N38" i="18"/>
  <c r="Q27" i="17"/>
  <c r="V38" i="18"/>
  <c r="Y27" i="17"/>
  <c r="S38" i="18"/>
  <c r="M37" i="19"/>
  <c r="P37" i="19"/>
  <c r="S37" i="19"/>
  <c r="W37" i="19"/>
  <c r="T37" i="19"/>
  <c r="O37" i="19"/>
  <c r="U37" i="19"/>
  <c r="N30" i="19"/>
  <c r="N40" i="19" s="1"/>
  <c r="AR40" i="19" s="1"/>
  <c r="M30" i="19"/>
  <c r="M40" i="19" s="1"/>
  <c r="AQ40" i="19" s="1"/>
  <c r="M22" i="12"/>
  <c r="Z22" i="12"/>
  <c r="S20" i="17"/>
  <c r="S103" i="17" s="1"/>
  <c r="Y22" i="12"/>
  <c r="W22" i="12"/>
  <c r="N22" i="12"/>
  <c r="U22" i="12"/>
  <c r="S22" i="12"/>
  <c r="P22" i="12"/>
  <c r="AA22" i="12"/>
  <c r="X22" i="12"/>
  <c r="V22" i="12"/>
  <c r="T22" i="12"/>
  <c r="R22" i="12"/>
  <c r="T16" i="10"/>
  <c r="AX16" i="10" s="1"/>
  <c r="T15" i="10"/>
  <c r="AX15" i="10" s="1"/>
  <c r="W32" i="13"/>
  <c r="W34" i="13" s="1"/>
  <c r="AR32" i="13"/>
  <c r="U32" i="13"/>
  <c r="U34" i="13" s="1"/>
  <c r="R44" i="16"/>
  <c r="R101" i="16" s="1"/>
  <c r="W38" i="18"/>
  <c r="R38" i="18"/>
  <c r="Z27" i="17"/>
  <c r="X38" i="18"/>
  <c r="Q37" i="19"/>
  <c r="Y37" i="19"/>
  <c r="R37" i="19"/>
  <c r="X37" i="19"/>
  <c r="U27" i="17"/>
  <c r="Z37" i="19"/>
  <c r="Q38" i="18"/>
  <c r="AX27" i="13"/>
  <c r="AX32" i="13" s="1"/>
  <c r="T32" i="13"/>
  <c r="T34" i="13" s="1"/>
  <c r="P32" i="13"/>
  <c r="P34" i="13" s="1"/>
  <c r="AA32" i="13"/>
  <c r="AA34" i="13" s="1"/>
  <c r="BE27" i="13"/>
  <c r="BE32" i="13" s="1"/>
  <c r="BC27" i="13"/>
  <c r="BC32" i="13" s="1"/>
  <c r="Y32" i="13"/>
  <c r="Y34" i="13" s="1"/>
  <c r="AW27" i="13"/>
  <c r="AW32" i="13" s="1"/>
  <c r="S32" i="13"/>
  <c r="S34" i="13" s="1"/>
  <c r="O32" i="13"/>
  <c r="O34" i="13" s="1"/>
  <c r="R32" i="13"/>
  <c r="R34" i="13" s="1"/>
  <c r="AV28" i="13"/>
  <c r="AV32" i="13" s="1"/>
  <c r="V32" i="13"/>
  <c r="V34" i="13" s="1"/>
  <c r="AT32" i="13"/>
  <c r="Z32" i="13"/>
  <c r="Z34" i="13" s="1"/>
  <c r="BD28" i="13"/>
  <c r="BD32" i="13" s="1"/>
  <c r="Q32" i="13"/>
  <c r="Q34" i="13" s="1"/>
  <c r="AU27" i="13"/>
  <c r="AU32" i="13" s="1"/>
  <c r="BB32" i="13"/>
  <c r="N32" i="13"/>
  <c r="N34" i="13" s="1"/>
  <c r="BE29" i="17"/>
  <c r="BE28" i="17"/>
  <c r="BE30" i="17"/>
  <c r="AZ30" i="17"/>
  <c r="AZ29" i="17"/>
  <c r="AZ28" i="17"/>
  <c r="AA41" i="17"/>
  <c r="Z41" i="17"/>
  <c r="BE13" i="17"/>
  <c r="BE20" i="17" s="1"/>
  <c r="BE103" i="17" s="1"/>
  <c r="Z20" i="17"/>
  <c r="W41" i="17"/>
  <c r="M20" i="17"/>
  <c r="M41" i="17"/>
  <c r="AY13" i="17"/>
  <c r="AY20" i="17" s="1"/>
  <c r="AY103" i="17" s="1"/>
  <c r="BA13" i="17"/>
  <c r="BA20" i="17" s="1"/>
  <c r="BA103" i="17" s="1"/>
  <c r="AU30" i="17"/>
  <c r="AU29" i="17"/>
  <c r="AU28" i="17"/>
  <c r="BB29" i="17"/>
  <c r="BB28" i="17"/>
  <c r="BB30" i="17"/>
  <c r="T20" i="17"/>
  <c r="AV28" i="17"/>
  <c r="BB13" i="17"/>
  <c r="BB20" i="17" s="1"/>
  <c r="BB103" i="17" s="1"/>
  <c r="AV29" i="17"/>
  <c r="AX13" i="17"/>
  <c r="AX20" i="17" s="1"/>
  <c r="AX103" i="17" s="1"/>
  <c r="P41" i="17"/>
  <c r="Q41" i="17"/>
  <c r="AU13" i="17"/>
  <c r="AU20" i="17" s="1"/>
  <c r="AU103" i="17" s="1"/>
  <c r="BA29" i="17"/>
  <c r="P20" i="17"/>
  <c r="BA30" i="17"/>
  <c r="W44" i="16"/>
  <c r="W101" i="16" s="1"/>
  <c r="BA18" i="16"/>
  <c r="BA44" i="16" s="1"/>
  <c r="BA101" i="16" s="1"/>
  <c r="AV18" i="16"/>
  <c r="AV44" i="16" s="1"/>
  <c r="AV101" i="16" s="1"/>
  <c r="V44" i="16"/>
  <c r="M82" i="19"/>
  <c r="G72" i="2"/>
  <c r="G78" i="10"/>
  <c r="G78" i="12"/>
  <c r="AZ18" i="16"/>
  <c r="AZ44" i="16" s="1"/>
  <c r="AZ101" i="16" s="1"/>
  <c r="N44" i="16"/>
  <c r="N101" i="16" s="1"/>
  <c r="AR18" i="16"/>
  <c r="AR44" i="16" s="1"/>
  <c r="AR101" i="16" s="1"/>
  <c r="Z44" i="16"/>
  <c r="Z101" i="16" s="1"/>
  <c r="BE18" i="16"/>
  <c r="BE44" i="16" s="1"/>
  <c r="BE101" i="16" s="1"/>
  <c r="AW18" i="16"/>
  <c r="AW44" i="16" s="1"/>
  <c r="AW101" i="16" s="1"/>
  <c r="BD18" i="16"/>
  <c r="BD44" i="16" s="1"/>
  <c r="BD101" i="16" s="1"/>
  <c r="AQ18" i="16"/>
  <c r="AQ44" i="16" s="1"/>
  <c r="AQ101" i="16" s="1"/>
  <c r="AU18" i="16"/>
  <c r="AU44" i="16" s="1"/>
  <c r="AU101" i="16" s="1"/>
  <c r="AY18" i="16"/>
  <c r="AY44" i="16" s="1"/>
  <c r="AY101" i="16" s="1"/>
  <c r="BC18" i="16"/>
  <c r="BC44" i="16" s="1"/>
  <c r="BC101" i="16" s="1"/>
  <c r="AT18" i="16"/>
  <c r="AT44" i="16" s="1"/>
  <c r="AT101" i="16" s="1"/>
  <c r="BB18" i="16"/>
  <c r="BB44" i="16" s="1"/>
  <c r="BB101" i="16" s="1"/>
  <c r="AS18" i="16"/>
  <c r="AS44" i="16" s="1"/>
  <c r="AS101" i="16" s="1"/>
  <c r="O17" i="19"/>
  <c r="AS30" i="17"/>
  <c r="AR30" i="17"/>
  <c r="Y44" i="16"/>
  <c r="Y101" i="16" s="1"/>
  <c r="Q44" i="16"/>
  <c r="Q101" i="16" s="1"/>
  <c r="O44" i="16"/>
  <c r="O101" i="16" s="1"/>
  <c r="M44" i="16"/>
  <c r="M101" i="16" s="1"/>
  <c r="X44" i="16"/>
  <c r="X101" i="16" s="1"/>
  <c r="S44" i="16"/>
  <c r="S101" i="16" s="1"/>
  <c r="AA44" i="16"/>
  <c r="AA101" i="16" s="1"/>
  <c r="P44" i="16"/>
  <c r="U53" i="16" l="1"/>
  <c r="AY53" i="16" s="1"/>
  <c r="AQ30" i="17"/>
  <c r="M103" i="17"/>
  <c r="T65" i="16"/>
  <c r="T101" i="16"/>
  <c r="BC29" i="17"/>
  <c r="BC32" i="17" s="1"/>
  <c r="Y103" i="17"/>
  <c r="P65" i="16"/>
  <c r="P101" i="16"/>
  <c r="V54" i="16"/>
  <c r="AZ54" i="16" s="1"/>
  <c r="V101" i="16"/>
  <c r="AX30" i="17"/>
  <c r="T103" i="17"/>
  <c r="BD29" i="17"/>
  <c r="Z103" i="17"/>
  <c r="AY30" i="17"/>
  <c r="U103" i="17"/>
  <c r="AV30" i="17"/>
  <c r="R103" i="17"/>
  <c r="U65" i="16"/>
  <c r="U101" i="16"/>
  <c r="AT29" i="17"/>
  <c r="P103" i="17"/>
  <c r="U52" i="16"/>
  <c r="AY52" i="16" s="1"/>
  <c r="AY56" i="16" s="1"/>
  <c r="BC28" i="17"/>
  <c r="BC30" i="17"/>
  <c r="T52" i="16"/>
  <c r="AX52" i="16" s="1"/>
  <c r="T53" i="16"/>
  <c r="AX53" i="16" s="1"/>
  <c r="T54" i="16"/>
  <c r="AX54" i="16" s="1"/>
  <c r="AA53" i="16"/>
  <c r="BE53" i="16" s="1"/>
  <c r="AA65" i="16"/>
  <c r="W54" i="16"/>
  <c r="BA54" i="16" s="1"/>
  <c r="W65" i="16"/>
  <c r="M52" i="16"/>
  <c r="AQ52" i="16" s="1"/>
  <c r="M65" i="16"/>
  <c r="R53" i="16"/>
  <c r="AV53" i="16" s="1"/>
  <c r="R65" i="16"/>
  <c r="Y53" i="16"/>
  <c r="BC53" i="16" s="1"/>
  <c r="Y65" i="16"/>
  <c r="S54" i="16"/>
  <c r="AW54" i="16" s="1"/>
  <c r="S65" i="16"/>
  <c r="N54" i="16"/>
  <c r="AR54" i="16" s="1"/>
  <c r="N65" i="16"/>
  <c r="O53" i="16"/>
  <c r="AS53" i="16" s="1"/>
  <c r="O65" i="16"/>
  <c r="Z53" i="16"/>
  <c r="BD53" i="16" s="1"/>
  <c r="Z65" i="16"/>
  <c r="X52" i="16"/>
  <c r="BB52" i="16" s="1"/>
  <c r="X65" i="16"/>
  <c r="Q53" i="16"/>
  <c r="AU53" i="16" s="1"/>
  <c r="Q65" i="16"/>
  <c r="V53" i="16"/>
  <c r="AZ53" i="16" s="1"/>
  <c r="V65" i="16"/>
  <c r="AQ29" i="17"/>
  <c r="AY29" i="17"/>
  <c r="AY28" i="17"/>
  <c r="R52" i="16"/>
  <c r="AV52" i="16" s="1"/>
  <c r="R54" i="16"/>
  <c r="AV54" i="16" s="1"/>
  <c r="BE32" i="17"/>
  <c r="N39" i="19"/>
  <c r="AR39" i="19" s="1"/>
  <c r="N38" i="19"/>
  <c r="AR38" i="19" s="1"/>
  <c r="M39" i="19"/>
  <c r="AQ39" i="19" s="1"/>
  <c r="M38" i="19"/>
  <c r="AQ38" i="19" s="1"/>
  <c r="BD30" i="17"/>
  <c r="AZ32" i="17"/>
  <c r="AW29" i="17"/>
  <c r="AW30" i="17"/>
  <c r="U16" i="10"/>
  <c r="AY16" i="10" s="1"/>
  <c r="U15" i="10"/>
  <c r="AY15" i="10" s="1"/>
  <c r="AX28" i="17"/>
  <c r="V32" i="17"/>
  <c r="AX29" i="17"/>
  <c r="AQ28" i="17"/>
  <c r="V52" i="16"/>
  <c r="AZ52" i="16" s="1"/>
  <c r="AA32" i="17"/>
  <c r="BB32" i="17"/>
  <c r="Y32" i="17"/>
  <c r="R32" i="17"/>
  <c r="BA32" i="17"/>
  <c r="AV32" i="17"/>
  <c r="AU32" i="17"/>
  <c r="X32" i="17"/>
  <c r="AT30" i="17"/>
  <c r="AT28" i="17"/>
  <c r="Q32" i="17"/>
  <c r="W32" i="17"/>
  <c r="W53" i="16"/>
  <c r="BA53" i="16" s="1"/>
  <c r="W52" i="16"/>
  <c r="BA52" i="16" s="1"/>
  <c r="N82" i="19"/>
  <c r="M84" i="19"/>
  <c r="H72" i="2"/>
  <c r="H78" i="10"/>
  <c r="H78" i="12"/>
  <c r="N53" i="16"/>
  <c r="AR53" i="16" s="1"/>
  <c r="N52" i="16"/>
  <c r="Z54" i="16"/>
  <c r="BD54" i="16" s="1"/>
  <c r="Z52" i="16"/>
  <c r="BD52" i="16" s="1"/>
  <c r="Y52" i="16"/>
  <c r="BC52" i="16" s="1"/>
  <c r="Y54" i="16"/>
  <c r="P17" i="19"/>
  <c r="O30" i="19"/>
  <c r="AR29" i="17"/>
  <c r="AR32" i="17" s="1"/>
  <c r="N32" i="17"/>
  <c r="AS28" i="17"/>
  <c r="AS32" i="17" s="1"/>
  <c r="O32" i="17"/>
  <c r="AA52" i="16"/>
  <c r="BE52" i="16" s="1"/>
  <c r="Q54" i="16"/>
  <c r="AU54" i="16" s="1"/>
  <c r="Q52" i="16"/>
  <c r="AU52" i="16" s="1"/>
  <c r="O54" i="16"/>
  <c r="AS54" i="16" s="1"/>
  <c r="O52" i="16"/>
  <c r="AS52" i="16" s="1"/>
  <c r="M53" i="16"/>
  <c r="AQ53" i="16" s="1"/>
  <c r="M54" i="16"/>
  <c r="AQ54" i="16" s="1"/>
  <c r="X53" i="16"/>
  <c r="BB53" i="16" s="1"/>
  <c r="X54" i="16"/>
  <c r="BB54" i="16" s="1"/>
  <c r="AA54" i="16"/>
  <c r="S52" i="16"/>
  <c r="AW52" i="16" s="1"/>
  <c r="S53" i="16"/>
  <c r="AW53" i="16" s="1"/>
  <c r="P52" i="16"/>
  <c r="AT52" i="16" s="1"/>
  <c r="P54" i="16"/>
  <c r="AT54" i="16" s="1"/>
  <c r="P53" i="16"/>
  <c r="AT53" i="16" s="1"/>
  <c r="AG27" i="13"/>
  <c r="AG28" i="13"/>
  <c r="AG29" i="13"/>
  <c r="AG30" i="13"/>
  <c r="AH3" i="13"/>
  <c r="AI3" i="13" s="1"/>
  <c r="AJ3" i="13" s="1"/>
  <c r="AK3" i="13" s="1"/>
  <c r="AL3" i="13" s="1"/>
  <c r="AM3" i="13" s="1"/>
  <c r="AN3" i="13" s="1"/>
  <c r="AO3" i="13" s="1"/>
  <c r="AP3" i="13" s="1"/>
  <c r="AQ3" i="13" s="1"/>
  <c r="AR3" i="13" s="1"/>
  <c r="AS3" i="13" s="1"/>
  <c r="AT3" i="13" s="1"/>
  <c r="AU3" i="13" s="1"/>
  <c r="AV3" i="13" s="1"/>
  <c r="AW3" i="13" s="1"/>
  <c r="AX3" i="13" s="1"/>
  <c r="AY3" i="13" s="1"/>
  <c r="AZ3" i="13" s="1"/>
  <c r="BA3" i="13" s="1"/>
  <c r="BB3" i="13" s="1"/>
  <c r="BC3" i="13" s="1"/>
  <c r="BD3" i="13" s="1"/>
  <c r="BE3" i="13" s="1"/>
  <c r="D30" i="13"/>
  <c r="AH30" i="13" s="1"/>
  <c r="D29" i="13"/>
  <c r="AH29" i="13" s="1"/>
  <c r="D28" i="13"/>
  <c r="AH28" i="13" s="1"/>
  <c r="D27" i="13"/>
  <c r="AH27" i="13" s="1"/>
  <c r="D23" i="13"/>
  <c r="L13" i="13"/>
  <c r="K13" i="13"/>
  <c r="J13" i="13"/>
  <c r="I13" i="13"/>
  <c r="H13" i="13"/>
  <c r="G13" i="13"/>
  <c r="F13" i="13"/>
  <c r="E13" i="13"/>
  <c r="L12" i="13"/>
  <c r="K12" i="13"/>
  <c r="J12" i="13"/>
  <c r="I12" i="13"/>
  <c r="H12" i="13"/>
  <c r="G12" i="13"/>
  <c r="F12" i="13"/>
  <c r="E12" i="13"/>
  <c r="L11" i="13"/>
  <c r="K11" i="13"/>
  <c r="J11" i="13"/>
  <c r="I11" i="13"/>
  <c r="H11" i="13"/>
  <c r="G11" i="13"/>
  <c r="F11" i="13"/>
  <c r="E11" i="13"/>
  <c r="L10" i="13"/>
  <c r="K10" i="13"/>
  <c r="J10" i="13"/>
  <c r="I10" i="13"/>
  <c r="H10" i="13"/>
  <c r="G10" i="13"/>
  <c r="F10" i="13"/>
  <c r="E10" i="13"/>
  <c r="BC34" i="17" l="1"/>
  <c r="BC107" i="17" s="1"/>
  <c r="BC105" i="17"/>
  <c r="Q34" i="17"/>
  <c r="Q105" i="17"/>
  <c r="BB34" i="17"/>
  <c r="BB105" i="17"/>
  <c r="V34" i="17"/>
  <c r="V105" i="17"/>
  <c r="W34" i="17"/>
  <c r="W105" i="17"/>
  <c r="X34" i="17"/>
  <c r="X105" i="17"/>
  <c r="BE34" i="17"/>
  <c r="BE107" i="17" s="1"/>
  <c r="BE105" i="17"/>
  <c r="AU34" i="17"/>
  <c r="AU107" i="17" s="1"/>
  <c r="AU105" i="17"/>
  <c r="AS34" i="17"/>
  <c r="AS107" i="17" s="1"/>
  <c r="AS105" i="17"/>
  <c r="AV34" i="17"/>
  <c r="AV107" i="17" s="1"/>
  <c r="AV105" i="17"/>
  <c r="AZ34" i="17"/>
  <c r="AZ107" i="17" s="1"/>
  <c r="AZ105" i="17"/>
  <c r="BA34" i="17"/>
  <c r="BA105" i="17"/>
  <c r="N34" i="17"/>
  <c r="N107" i="17" s="1"/>
  <c r="N105" i="17"/>
  <c r="AR34" i="17"/>
  <c r="AR107" i="17" s="1"/>
  <c r="AR105" i="17"/>
  <c r="R34" i="17"/>
  <c r="R107" i="17" s="1"/>
  <c r="R105" i="17"/>
  <c r="AA34" i="17"/>
  <c r="AA107" i="17" s="1"/>
  <c r="AA105" i="17"/>
  <c r="O34" i="17"/>
  <c r="O107" i="17" s="1"/>
  <c r="O105" i="17"/>
  <c r="Y34" i="17"/>
  <c r="Y107" i="17" s="1"/>
  <c r="Y105" i="17"/>
  <c r="U56" i="16"/>
  <c r="AY58" i="16"/>
  <c r="AY103" i="16"/>
  <c r="U58" i="16"/>
  <c r="U103" i="16"/>
  <c r="AY32" i="17"/>
  <c r="AX56" i="16"/>
  <c r="U32" i="17"/>
  <c r="AG32" i="13"/>
  <c r="AQ32" i="17"/>
  <c r="T56" i="16"/>
  <c r="AV56" i="16"/>
  <c r="AZ56" i="16"/>
  <c r="R56" i="16"/>
  <c r="Z32" i="17"/>
  <c r="AX32" i="17"/>
  <c r="AR42" i="19"/>
  <c r="AR44" i="19" s="1"/>
  <c r="N42" i="19"/>
  <c r="N44" i="19" s="1"/>
  <c r="AQ42" i="19"/>
  <c r="AQ44" i="19" s="1"/>
  <c r="M42" i="19"/>
  <c r="M44" i="19" s="1"/>
  <c r="T32" i="17"/>
  <c r="BD28" i="17"/>
  <c r="BD32" i="17" s="1"/>
  <c r="M32" i="17"/>
  <c r="AW28" i="17"/>
  <c r="AW32" i="17" s="1"/>
  <c r="S32" i="17"/>
  <c r="V16" i="10"/>
  <c r="AZ16" i="10" s="1"/>
  <c r="V15" i="10"/>
  <c r="AZ15" i="10" s="1"/>
  <c r="F30" i="13"/>
  <c r="AJ30" i="13" s="1"/>
  <c r="F29" i="13"/>
  <c r="AJ29" i="13" s="1"/>
  <c r="F28" i="13"/>
  <c r="AJ28" i="13" s="1"/>
  <c r="F27" i="13"/>
  <c r="AJ27" i="13" s="1"/>
  <c r="V56" i="16"/>
  <c r="BA56" i="16"/>
  <c r="AT32" i="17"/>
  <c r="J29" i="13"/>
  <c r="AN29" i="13" s="1"/>
  <c r="J28" i="13"/>
  <c r="AN28" i="13" s="1"/>
  <c r="I30" i="13"/>
  <c r="AM30" i="13" s="1"/>
  <c r="I29" i="13"/>
  <c r="AM29" i="13" s="1"/>
  <c r="I28" i="13"/>
  <c r="AM28" i="13" s="1"/>
  <c r="I27" i="13"/>
  <c r="AM27" i="13" s="1"/>
  <c r="H30" i="13"/>
  <c r="AL30" i="13" s="1"/>
  <c r="H29" i="13"/>
  <c r="AL29" i="13" s="1"/>
  <c r="H28" i="13"/>
  <c r="AL28" i="13" s="1"/>
  <c r="H27" i="13"/>
  <c r="AL27" i="13" s="1"/>
  <c r="J30" i="13"/>
  <c r="AN30" i="13" s="1"/>
  <c r="J27" i="13"/>
  <c r="AN27" i="13" s="1"/>
  <c r="G30" i="13"/>
  <c r="AK30" i="13" s="1"/>
  <c r="G29" i="13"/>
  <c r="AK29" i="13" s="1"/>
  <c r="G28" i="13"/>
  <c r="AK28" i="13" s="1"/>
  <c r="G27" i="13"/>
  <c r="AK27" i="13" s="1"/>
  <c r="E30" i="13"/>
  <c r="AI30" i="13" s="1"/>
  <c r="E29" i="13"/>
  <c r="AI29" i="13" s="1"/>
  <c r="E28" i="13"/>
  <c r="AI28" i="13" s="1"/>
  <c r="E27" i="13"/>
  <c r="AI27" i="13" s="1"/>
  <c r="L30" i="13"/>
  <c r="AP30" i="13" s="1"/>
  <c r="L29" i="13"/>
  <c r="AP29" i="13" s="1"/>
  <c r="L28" i="13"/>
  <c r="AP28" i="13" s="1"/>
  <c r="L27" i="13"/>
  <c r="AP27" i="13" s="1"/>
  <c r="K30" i="13"/>
  <c r="AO30" i="13" s="1"/>
  <c r="K29" i="13"/>
  <c r="AO29" i="13" s="1"/>
  <c r="K28" i="13"/>
  <c r="AO28" i="13" s="1"/>
  <c r="K27" i="13"/>
  <c r="AO27" i="13" s="1"/>
  <c r="P32" i="17"/>
  <c r="W56" i="16"/>
  <c r="N56" i="16"/>
  <c r="O82" i="19"/>
  <c r="N84" i="19"/>
  <c r="I72" i="2"/>
  <c r="I78" i="10"/>
  <c r="I78" i="12"/>
  <c r="AR52" i="16"/>
  <c r="AR56" i="16" s="1"/>
  <c r="BD56" i="16"/>
  <c r="Z56" i="16"/>
  <c r="AT56" i="16"/>
  <c r="AQ56" i="16"/>
  <c r="AW56" i="16"/>
  <c r="AU56" i="16"/>
  <c r="BB56" i="16"/>
  <c r="AA56" i="16"/>
  <c r="BE54" i="16"/>
  <c r="BE56" i="16" s="1"/>
  <c r="Y56" i="16"/>
  <c r="BC54" i="16"/>
  <c r="BC56" i="16" s="1"/>
  <c r="AS56" i="16"/>
  <c r="M56" i="16"/>
  <c r="O56" i="16"/>
  <c r="Q56" i="16"/>
  <c r="AH32" i="13"/>
  <c r="O38" i="19"/>
  <c r="O39" i="19"/>
  <c r="AS39" i="19" s="1"/>
  <c r="O40" i="19"/>
  <c r="AS40" i="19" s="1"/>
  <c r="Q17" i="19"/>
  <c r="P30" i="19"/>
  <c r="X56" i="16"/>
  <c r="S56" i="16"/>
  <c r="P56" i="16"/>
  <c r="D32" i="13"/>
  <c r="D34" i="13" s="1"/>
  <c r="BA107" i="17" l="1"/>
  <c r="X107" i="17"/>
  <c r="AT34" i="17"/>
  <c r="AT105" i="17"/>
  <c r="U34" i="17"/>
  <c r="U105" i="17"/>
  <c r="W107" i="17"/>
  <c r="AQ34" i="17"/>
  <c r="AQ105" i="17"/>
  <c r="AY34" i="17"/>
  <c r="AY105" i="17"/>
  <c r="T34" i="17"/>
  <c r="T107" i="17" s="1"/>
  <c r="T105" i="17"/>
  <c r="V107" i="17"/>
  <c r="AX34" i="17"/>
  <c r="AX105" i="17"/>
  <c r="BD34" i="17"/>
  <c r="BD105" i="17"/>
  <c r="Z34" i="17"/>
  <c r="Z107" i="17" s="1"/>
  <c r="Z105" i="17"/>
  <c r="BB107" i="17"/>
  <c r="Q107" i="17"/>
  <c r="S34" i="17"/>
  <c r="S105" i="17"/>
  <c r="AW34" i="17"/>
  <c r="AW105" i="17"/>
  <c r="P34" i="17"/>
  <c r="P107" i="17" s="1"/>
  <c r="P105" i="17"/>
  <c r="M34" i="17"/>
  <c r="M105" i="17"/>
  <c r="U105" i="16"/>
  <c r="AY105" i="16"/>
  <c r="X58" i="16"/>
  <c r="X103" i="16"/>
  <c r="AV58" i="16"/>
  <c r="AV103" i="16"/>
  <c r="T58" i="16"/>
  <c r="T103" i="16"/>
  <c r="AR58" i="16"/>
  <c r="AR103" i="16"/>
  <c r="AA58" i="16"/>
  <c r="AA103" i="16"/>
  <c r="BC58" i="16"/>
  <c r="BC103" i="16"/>
  <c r="BC105" i="16" s="1"/>
  <c r="Y58" i="16"/>
  <c r="Y103" i="16"/>
  <c r="BB58" i="16"/>
  <c r="BB103" i="16"/>
  <c r="BA58" i="16"/>
  <c r="BA103" i="16"/>
  <c r="P58" i="16"/>
  <c r="P103" i="16"/>
  <c r="AS58" i="16"/>
  <c r="AS103" i="16"/>
  <c r="R58" i="16"/>
  <c r="R103" i="16"/>
  <c r="W58" i="16"/>
  <c r="W103" i="16"/>
  <c r="V58" i="16"/>
  <c r="V103" i="16"/>
  <c r="AX58" i="16"/>
  <c r="AX103" i="16"/>
  <c r="S58" i="16"/>
  <c r="S103" i="16"/>
  <c r="AQ58" i="16"/>
  <c r="AQ103" i="16"/>
  <c r="N58" i="16"/>
  <c r="N103" i="16"/>
  <c r="AZ58" i="16"/>
  <c r="AZ103" i="16"/>
  <c r="BE58" i="16"/>
  <c r="BE103" i="16"/>
  <c r="AU58" i="16"/>
  <c r="AU103" i="16"/>
  <c r="AT58" i="16"/>
  <c r="AT103" i="16"/>
  <c r="AW58" i="16"/>
  <c r="AW103" i="16"/>
  <c r="Q58" i="16"/>
  <c r="Q103" i="16"/>
  <c r="Z58" i="16"/>
  <c r="Z103" i="16"/>
  <c r="O58" i="16"/>
  <c r="O103" i="16"/>
  <c r="M58" i="16"/>
  <c r="M103" i="16"/>
  <c r="BD58" i="16"/>
  <c r="BD103" i="16"/>
  <c r="AI32" i="13"/>
  <c r="AJ32" i="13"/>
  <c r="AP32" i="13"/>
  <c r="AM32" i="13"/>
  <c r="AK32" i="13"/>
  <c r="AN32" i="13"/>
  <c r="W16" i="10"/>
  <c r="BA16" i="10" s="1"/>
  <c r="W15" i="10"/>
  <c r="BA15" i="10" s="1"/>
  <c r="AO32" i="13"/>
  <c r="AL32" i="13"/>
  <c r="E32" i="13"/>
  <c r="E34" i="13" s="1"/>
  <c r="O84" i="19"/>
  <c r="P82" i="19"/>
  <c r="J72" i="2"/>
  <c r="J78" i="10"/>
  <c r="J78" i="12"/>
  <c r="AS38" i="19"/>
  <c r="AS42" i="19" s="1"/>
  <c r="AS44" i="19" s="1"/>
  <c r="O42" i="19"/>
  <c r="O44" i="19" s="1"/>
  <c r="P38" i="19"/>
  <c r="P39" i="19"/>
  <c r="AT39" i="19" s="1"/>
  <c r="P40" i="19"/>
  <c r="AT40" i="19" s="1"/>
  <c r="R17" i="19"/>
  <c r="Q30" i="19"/>
  <c r="AY107" i="17" l="1"/>
  <c r="AQ107" i="17"/>
  <c r="BD107" i="17"/>
  <c r="U107" i="17"/>
  <c r="M107" i="17"/>
  <c r="AX107" i="17"/>
  <c r="AT107" i="17"/>
  <c r="S107" i="17"/>
  <c r="AW107" i="17"/>
  <c r="Z105" i="16"/>
  <c r="AZ105" i="16"/>
  <c r="W105" i="16"/>
  <c r="Y105" i="16"/>
  <c r="AQ105" i="16"/>
  <c r="BD105" i="16"/>
  <c r="AT105" i="16"/>
  <c r="S105" i="16"/>
  <c r="P105" i="16"/>
  <c r="AR105" i="16"/>
  <c r="M105" i="16"/>
  <c r="BA105" i="16"/>
  <c r="T105" i="16"/>
  <c r="O105" i="16"/>
  <c r="BE105" i="16"/>
  <c r="V105" i="16"/>
  <c r="BB105" i="16"/>
  <c r="X105" i="16"/>
  <c r="Q105" i="16"/>
  <c r="R105" i="16"/>
  <c r="AW105" i="16"/>
  <c r="AS105" i="16"/>
  <c r="AA105" i="16"/>
  <c r="AU105" i="16"/>
  <c r="AX105" i="16"/>
  <c r="N105" i="16"/>
  <c r="AV105" i="16"/>
  <c r="X16" i="10"/>
  <c r="BB16" i="10" s="1"/>
  <c r="X15" i="10"/>
  <c r="BB15" i="10" s="1"/>
  <c r="Q82" i="19"/>
  <c r="P84" i="19"/>
  <c r="K72" i="2"/>
  <c r="K78" i="10"/>
  <c r="K78" i="12"/>
  <c r="Q38" i="19"/>
  <c r="Q40" i="19"/>
  <c r="AU40" i="19" s="1"/>
  <c r="Q39" i="19"/>
  <c r="AU39" i="19" s="1"/>
  <c r="AT38" i="19"/>
  <c r="AT42" i="19" s="1"/>
  <c r="AT44" i="19" s="1"/>
  <c r="P42" i="19"/>
  <c r="P44" i="19" s="1"/>
  <c r="S17" i="19"/>
  <c r="R30" i="19"/>
  <c r="L74" i="8"/>
  <c r="G7" i="8"/>
  <c r="G75" i="8" s="1"/>
  <c r="F75" i="8"/>
  <c r="E74" i="8"/>
  <c r="Y15" i="10" l="1"/>
  <c r="BC15" i="10" s="1"/>
  <c r="Y16" i="10"/>
  <c r="BC16" i="10" s="1"/>
  <c r="R82" i="19"/>
  <c r="Q84" i="19"/>
  <c r="L72" i="2"/>
  <c r="L78" i="10"/>
  <c r="L78" i="12"/>
  <c r="R38" i="19"/>
  <c r="R40" i="19"/>
  <c r="AV40" i="19" s="1"/>
  <c r="R39" i="19"/>
  <c r="AV39" i="19" s="1"/>
  <c r="Q42" i="19"/>
  <c r="Q44" i="19" s="1"/>
  <c r="AU38" i="19"/>
  <c r="AU42" i="19" s="1"/>
  <c r="AU44" i="19" s="1"/>
  <c r="T17" i="19"/>
  <c r="S30" i="19"/>
  <c r="AA15" i="10" l="1"/>
  <c r="BE15" i="10" s="1"/>
  <c r="Z15" i="10"/>
  <c r="BD15" i="10" s="1"/>
  <c r="AA16" i="10"/>
  <c r="BE16" i="10" s="1"/>
  <c r="Z16" i="10"/>
  <c r="BD16" i="10" s="1"/>
  <c r="R84" i="19"/>
  <c r="S82" i="19"/>
  <c r="M72" i="2"/>
  <c r="M78" i="10"/>
  <c r="M80" i="10" s="1"/>
  <c r="M78" i="12"/>
  <c r="M80" i="12" s="1"/>
  <c r="AV38" i="19"/>
  <c r="AV42" i="19" s="1"/>
  <c r="AV44" i="19" s="1"/>
  <c r="R42" i="19"/>
  <c r="R44" i="19" s="1"/>
  <c r="T30" i="19"/>
  <c r="U17" i="19"/>
  <c r="S38" i="19"/>
  <c r="S40" i="19"/>
  <c r="AW40" i="19" s="1"/>
  <c r="S39" i="19"/>
  <c r="AW39" i="19" s="1"/>
  <c r="AG17" i="12"/>
  <c r="AG16" i="12"/>
  <c r="D14" i="12"/>
  <c r="E14" i="12"/>
  <c r="C14" i="12"/>
  <c r="AM10" i="5"/>
  <c r="AM12" i="5" s="1"/>
  <c r="AN10" i="5"/>
  <c r="AN12" i="5" s="1"/>
  <c r="AO10" i="5"/>
  <c r="AO12" i="5" s="1"/>
  <c r="AP10" i="5"/>
  <c r="AP12" i="5" s="1"/>
  <c r="S84" i="19" l="1"/>
  <c r="T82" i="19"/>
  <c r="N72" i="2"/>
  <c r="M74" i="2"/>
  <c r="N78" i="10"/>
  <c r="N80" i="10" s="1"/>
  <c r="N78" i="12"/>
  <c r="N80" i="12" s="1"/>
  <c r="AW38" i="19"/>
  <c r="AW42" i="19" s="1"/>
  <c r="AW44" i="19" s="1"/>
  <c r="S42" i="19"/>
  <c r="S44" i="19" s="1"/>
  <c r="U30" i="19"/>
  <c r="V17" i="19"/>
  <c r="T38" i="19"/>
  <c r="T40" i="19"/>
  <c r="AX40" i="19" s="1"/>
  <c r="T39" i="19"/>
  <c r="AX39" i="19" s="1"/>
  <c r="AG18" i="12"/>
  <c r="AG24" i="12" s="1"/>
  <c r="U82" i="19" l="1"/>
  <c r="T84" i="19"/>
  <c r="O72" i="2"/>
  <c r="N74" i="2"/>
  <c r="O78" i="10"/>
  <c r="O80" i="10" s="1"/>
  <c r="O78" i="12"/>
  <c r="O80" i="12" s="1"/>
  <c r="W17" i="19"/>
  <c r="U40" i="19"/>
  <c r="AY40" i="19" s="1"/>
  <c r="U38" i="19"/>
  <c r="U39" i="19"/>
  <c r="AY39" i="19" s="1"/>
  <c r="V30" i="19"/>
  <c r="AX38" i="19"/>
  <c r="AX42" i="19" s="1"/>
  <c r="AX44" i="19" s="1"/>
  <c r="T42" i="19"/>
  <c r="T44" i="19" s="1"/>
  <c r="V82" i="19" l="1"/>
  <c r="U84" i="19"/>
  <c r="P72" i="2"/>
  <c r="O74" i="2"/>
  <c r="P78" i="10"/>
  <c r="P80" i="10" s="1"/>
  <c r="P78" i="12"/>
  <c r="P80" i="12" s="1"/>
  <c r="W30" i="19"/>
  <c r="X17" i="19"/>
  <c r="V40" i="19"/>
  <c r="AZ40" i="19" s="1"/>
  <c r="V38" i="19"/>
  <c r="V39" i="19"/>
  <c r="AZ39" i="19" s="1"/>
  <c r="AY38" i="19"/>
  <c r="AY42" i="19" s="1"/>
  <c r="AY44" i="19" s="1"/>
  <c r="U42" i="19"/>
  <c r="U44" i="19" s="1"/>
  <c r="AQ18" i="12"/>
  <c r="W82" i="19" l="1"/>
  <c r="V84" i="19"/>
  <c r="Q72" i="2"/>
  <c r="P74" i="2"/>
  <c r="Q78" i="10"/>
  <c r="Q80" i="10" s="1"/>
  <c r="Q78" i="12"/>
  <c r="Q80" i="12" s="1"/>
  <c r="Y17" i="19"/>
  <c r="X30" i="19"/>
  <c r="AZ38" i="19"/>
  <c r="AZ42" i="19" s="1"/>
  <c r="AZ44" i="19" s="1"/>
  <c r="V42" i="19"/>
  <c r="V44" i="19" s="1"/>
  <c r="W38" i="19"/>
  <c r="W40" i="19"/>
  <c r="BA40" i="19" s="1"/>
  <c r="W39" i="19"/>
  <c r="BA39" i="19" s="1"/>
  <c r="AR18" i="12"/>
  <c r="X82" i="19" l="1"/>
  <c r="W84" i="19"/>
  <c r="R72" i="2"/>
  <c r="Q74" i="2"/>
  <c r="R78" i="10"/>
  <c r="R80" i="10" s="1"/>
  <c r="R78" i="12"/>
  <c r="R80" i="12" s="1"/>
  <c r="X38" i="19"/>
  <c r="X40" i="19"/>
  <c r="BB40" i="19" s="1"/>
  <c r="X39" i="19"/>
  <c r="BB39" i="19" s="1"/>
  <c r="BA38" i="19"/>
  <c r="BA42" i="19" s="1"/>
  <c r="BA44" i="19" s="1"/>
  <c r="W42" i="19"/>
  <c r="W44" i="19" s="1"/>
  <c r="Z17" i="19"/>
  <c r="AA17" i="19"/>
  <c r="Y30" i="19"/>
  <c r="AS18" i="12"/>
  <c r="AG43" i="18"/>
  <c r="AG105" i="18" s="1"/>
  <c r="AG7" i="11" s="1"/>
  <c r="AH3" i="18"/>
  <c r="AI3" i="18" s="1"/>
  <c r="AJ3" i="18" s="1"/>
  <c r="AK3" i="18" s="1"/>
  <c r="AL3" i="18" s="1"/>
  <c r="AM3" i="18" s="1"/>
  <c r="AN3" i="18" s="1"/>
  <c r="AO3" i="18" s="1"/>
  <c r="AP3" i="18" s="1"/>
  <c r="AQ3" i="18" s="1"/>
  <c r="AR3" i="18" s="1"/>
  <c r="AS3" i="18" s="1"/>
  <c r="AT3" i="18" s="1"/>
  <c r="AU3" i="18" s="1"/>
  <c r="AV3" i="18" s="1"/>
  <c r="AW3" i="18" s="1"/>
  <c r="AX3" i="18" s="1"/>
  <c r="AY3" i="18" s="1"/>
  <c r="AZ3" i="18" s="1"/>
  <c r="BA3" i="18" s="1"/>
  <c r="BB3" i="18" s="1"/>
  <c r="BC3" i="18" s="1"/>
  <c r="BD3" i="18" s="1"/>
  <c r="BE3" i="18" s="1"/>
  <c r="Y82" i="19" l="1"/>
  <c r="X84" i="19"/>
  <c r="S72" i="2"/>
  <c r="R74" i="2"/>
  <c r="S78" i="10"/>
  <c r="S80" i="10" s="1"/>
  <c r="S78" i="12"/>
  <c r="S80" i="12" s="1"/>
  <c r="AA30" i="19"/>
  <c r="Z30" i="19"/>
  <c r="Y38" i="19"/>
  <c r="Y40" i="19"/>
  <c r="BC40" i="19" s="1"/>
  <c r="Y39" i="19"/>
  <c r="BC39" i="19" s="1"/>
  <c r="BB38" i="19"/>
  <c r="BB42" i="19" s="1"/>
  <c r="BB44" i="19" s="1"/>
  <c r="X42" i="19"/>
  <c r="X44" i="19" s="1"/>
  <c r="AT18" i="12"/>
  <c r="AQ17" i="12"/>
  <c r="AR17" i="12"/>
  <c r="Z82" i="19" l="1"/>
  <c r="Y84" i="19"/>
  <c r="S74" i="2"/>
  <c r="T72" i="2"/>
  <c r="T78" i="10"/>
  <c r="T80" i="10" s="1"/>
  <c r="T78" i="12"/>
  <c r="T80" i="12" s="1"/>
  <c r="Y42" i="19"/>
  <c r="Y44" i="19" s="1"/>
  <c r="BC38" i="19"/>
  <c r="BC42" i="19" s="1"/>
  <c r="BC44" i="19" s="1"/>
  <c r="AA39" i="19"/>
  <c r="BE39" i="19" s="1"/>
  <c r="AA38" i="19"/>
  <c r="AA40" i="19"/>
  <c r="BE40" i="19" s="1"/>
  <c r="Z38" i="19"/>
  <c r="Z40" i="19"/>
  <c r="BD40" i="19" s="1"/>
  <c r="Z39" i="19"/>
  <c r="BD39" i="19" s="1"/>
  <c r="M11" i="2"/>
  <c r="M13" i="2" s="1"/>
  <c r="AS17" i="12"/>
  <c r="AU18" i="12"/>
  <c r="C18" i="18"/>
  <c r="C105" i="18" s="1"/>
  <c r="C7" i="11" s="1"/>
  <c r="D18" i="18"/>
  <c r="C19" i="18"/>
  <c r="D19" i="18"/>
  <c r="AH19" i="18" s="1"/>
  <c r="C20" i="18"/>
  <c r="D20" i="18"/>
  <c r="C21" i="18"/>
  <c r="D21" i="18"/>
  <c r="AH21" i="18" s="1"/>
  <c r="C22" i="18"/>
  <c r="D22" i="18"/>
  <c r="AH22" i="18" s="1"/>
  <c r="C23" i="18"/>
  <c r="D23" i="18"/>
  <c r="AH23" i="18" s="1"/>
  <c r="L7" i="8"/>
  <c r="L75" i="8" s="1"/>
  <c r="K7" i="8"/>
  <c r="K75" i="8" s="1"/>
  <c r="J7" i="8"/>
  <c r="J75" i="8" s="1"/>
  <c r="I7" i="8"/>
  <c r="I75" i="8" s="1"/>
  <c r="H7" i="8"/>
  <c r="H75" i="8" s="1"/>
  <c r="AH18" i="18" l="1"/>
  <c r="AH20" i="18"/>
  <c r="AH103" i="18" s="1"/>
  <c r="D103" i="18"/>
  <c r="C103" i="18"/>
  <c r="C107" i="18" s="1"/>
  <c r="Z84" i="19"/>
  <c r="AA82" i="19"/>
  <c r="AA84" i="19" s="1"/>
  <c r="U72" i="2"/>
  <c r="T74" i="2"/>
  <c r="U78" i="10"/>
  <c r="U80" i="10" s="1"/>
  <c r="U78" i="12"/>
  <c r="U80" i="12" s="1"/>
  <c r="BD38" i="19"/>
  <c r="BD42" i="19" s="1"/>
  <c r="BD44" i="19" s="1"/>
  <c r="Z42" i="19"/>
  <c r="Z44" i="19" s="1"/>
  <c r="BE38" i="19"/>
  <c r="BE42" i="19" s="1"/>
  <c r="BE44" i="19" s="1"/>
  <c r="AA42" i="19"/>
  <c r="AA44" i="19" s="1"/>
  <c r="C24" i="18"/>
  <c r="N11" i="2"/>
  <c r="N13" i="2" s="1"/>
  <c r="M20" i="2"/>
  <c r="AQ13" i="2"/>
  <c r="AQ20" i="2" s="1"/>
  <c r="AV18" i="12"/>
  <c r="AT17" i="12"/>
  <c r="AH26" i="18"/>
  <c r="D24" i="18"/>
  <c r="E7" i="18"/>
  <c r="M22" i="2" l="1"/>
  <c r="M110" i="2"/>
  <c r="AQ22" i="2"/>
  <c r="AQ110" i="2"/>
  <c r="F12" i="10"/>
  <c r="V72" i="2"/>
  <c r="U74" i="2"/>
  <c r="V78" i="10"/>
  <c r="V80" i="10" s="1"/>
  <c r="V78" i="12"/>
  <c r="V80" i="12" s="1"/>
  <c r="N20" i="2"/>
  <c r="AR13" i="2"/>
  <c r="AR20" i="2" s="1"/>
  <c r="O11" i="2"/>
  <c r="O13" i="2" s="1"/>
  <c r="AU17" i="12"/>
  <c r="AW18" i="12"/>
  <c r="F14" i="12"/>
  <c r="E20" i="18"/>
  <c r="A6" i="3"/>
  <c r="A5" i="3"/>
  <c r="F14" i="3"/>
  <c r="G14" i="3"/>
  <c r="H14" i="3"/>
  <c r="I14" i="3"/>
  <c r="J14" i="3"/>
  <c r="K14" i="3"/>
  <c r="L14" i="3"/>
  <c r="M14" i="3"/>
  <c r="N14" i="3"/>
  <c r="E14" i="3"/>
  <c r="F13" i="3"/>
  <c r="G13" i="3"/>
  <c r="H13" i="3"/>
  <c r="I13" i="3"/>
  <c r="J13" i="3"/>
  <c r="K13" i="3"/>
  <c r="L13" i="3"/>
  <c r="M13" i="3"/>
  <c r="N13" i="3"/>
  <c r="E13" i="3"/>
  <c r="F12" i="3"/>
  <c r="G12" i="3"/>
  <c r="H12" i="3"/>
  <c r="I12" i="3"/>
  <c r="J12" i="3"/>
  <c r="K12" i="3"/>
  <c r="L12" i="3"/>
  <c r="M12" i="3"/>
  <c r="N12" i="3"/>
  <c r="E12" i="3"/>
  <c r="E30" i="3"/>
  <c r="F17" i="3"/>
  <c r="G9" i="3"/>
  <c r="G18" i="3" s="1"/>
  <c r="H9" i="3"/>
  <c r="H18" i="3" s="1"/>
  <c r="I9" i="3"/>
  <c r="I18" i="3" s="1"/>
  <c r="J9" i="3"/>
  <c r="J20" i="3" s="1"/>
  <c r="K9" i="3"/>
  <c r="K19" i="3" s="1"/>
  <c r="L9" i="3"/>
  <c r="L19" i="3" s="1"/>
  <c r="M9" i="3"/>
  <c r="M17" i="3" s="1"/>
  <c r="N9" i="3"/>
  <c r="N17" i="3" s="1"/>
  <c r="E17" i="3"/>
  <c r="AI20" i="18" l="1"/>
  <c r="AQ112" i="2"/>
  <c r="M112" i="2"/>
  <c r="AR22" i="2"/>
  <c r="AR110" i="2"/>
  <c r="N22" i="2"/>
  <c r="N110" i="2"/>
  <c r="E15" i="3"/>
  <c r="G12" i="10"/>
  <c r="E18" i="3"/>
  <c r="N18" i="3"/>
  <c r="E19" i="3"/>
  <c r="E20" i="3"/>
  <c r="F20" i="3"/>
  <c r="W72" i="2"/>
  <c r="V74" i="2"/>
  <c r="W78" i="10"/>
  <c r="W80" i="10" s="1"/>
  <c r="W78" i="12"/>
  <c r="W80" i="12" s="1"/>
  <c r="P11" i="2"/>
  <c r="P13" i="2" s="1"/>
  <c r="O20" i="2"/>
  <c r="AS13" i="2"/>
  <c r="AS20" i="2" s="1"/>
  <c r="AX18" i="12"/>
  <c r="AV17" i="12"/>
  <c r="I17" i="3"/>
  <c r="N20" i="3"/>
  <c r="I20" i="3"/>
  <c r="L18" i="3"/>
  <c r="J19" i="3"/>
  <c r="K18" i="3"/>
  <c r="H19" i="3"/>
  <c r="F18" i="3"/>
  <c r="L17" i="3"/>
  <c r="J17" i="3"/>
  <c r="K17" i="3"/>
  <c r="M18" i="3"/>
  <c r="H20" i="3"/>
  <c r="I19" i="3"/>
  <c r="H17" i="3"/>
  <c r="J18" i="3"/>
  <c r="M20" i="3"/>
  <c r="N19" i="3"/>
  <c r="F19" i="3"/>
  <c r="G20" i="3"/>
  <c r="G17" i="3"/>
  <c r="L20" i="3"/>
  <c r="M19" i="3"/>
  <c r="K20" i="3"/>
  <c r="G19" i="3"/>
  <c r="G14" i="12"/>
  <c r="E19" i="18"/>
  <c r="AI19" i="18" s="1"/>
  <c r="E22" i="18"/>
  <c r="AI22" i="18" s="1"/>
  <c r="E18" i="18"/>
  <c r="E23" i="18"/>
  <c r="AI23" i="18" s="1"/>
  <c r="E21" i="18"/>
  <c r="AI21" i="18" s="1"/>
  <c r="F15" i="3"/>
  <c r="G15" i="3"/>
  <c r="H15" i="3"/>
  <c r="I15" i="3"/>
  <c r="J15" i="3"/>
  <c r="K15" i="3"/>
  <c r="L15" i="3"/>
  <c r="M15" i="3"/>
  <c r="N15" i="3"/>
  <c r="E103" i="18" l="1"/>
  <c r="AI103" i="18"/>
  <c r="N112" i="2"/>
  <c r="AR112" i="2"/>
  <c r="AS22" i="2"/>
  <c r="AS110" i="2"/>
  <c r="O22" i="2"/>
  <c r="O110" i="2"/>
  <c r="H12" i="10"/>
  <c r="X72" i="2"/>
  <c r="W74" i="2"/>
  <c r="X78" i="10"/>
  <c r="X80" i="10" s="1"/>
  <c r="X78" i="12"/>
  <c r="X80" i="12" s="1"/>
  <c r="P20" i="2"/>
  <c r="AT13" i="2"/>
  <c r="AT20" i="2" s="1"/>
  <c r="Q11" i="2"/>
  <c r="Q13" i="2" s="1"/>
  <c r="AY18" i="12"/>
  <c r="AW17" i="12"/>
  <c r="H14" i="12"/>
  <c r="AI18" i="18"/>
  <c r="E24" i="18"/>
  <c r="L9" i="19"/>
  <c r="L20" i="19" s="1"/>
  <c r="K9" i="19"/>
  <c r="J9" i="19"/>
  <c r="I9" i="19"/>
  <c r="I20" i="19" s="1"/>
  <c r="H9" i="19"/>
  <c r="G9" i="19"/>
  <c r="G20" i="19" s="1"/>
  <c r="F9" i="19"/>
  <c r="E9" i="19"/>
  <c r="E84" i="19" s="1"/>
  <c r="D84" i="19"/>
  <c r="L7" i="18"/>
  <c r="K7" i="18"/>
  <c r="J7" i="18"/>
  <c r="I7" i="18"/>
  <c r="H7" i="18"/>
  <c r="G7" i="18"/>
  <c r="F7" i="18"/>
  <c r="E29" i="18"/>
  <c r="L7" i="10"/>
  <c r="K7" i="10"/>
  <c r="J7" i="10"/>
  <c r="I7" i="10"/>
  <c r="H7" i="10"/>
  <c r="G7" i="10"/>
  <c r="F7" i="10"/>
  <c r="E7" i="10"/>
  <c r="D7" i="10"/>
  <c r="D80" i="10" s="1"/>
  <c r="L6" i="12"/>
  <c r="K6" i="12"/>
  <c r="J6" i="12"/>
  <c r="I6" i="12"/>
  <c r="H6" i="12"/>
  <c r="G6" i="12"/>
  <c r="E6" i="12"/>
  <c r="D6" i="12"/>
  <c r="D80" i="12" s="1"/>
  <c r="K74" i="8"/>
  <c r="J74" i="8"/>
  <c r="I74" i="8"/>
  <c r="H74" i="8"/>
  <c r="G74" i="8"/>
  <c r="F74" i="8"/>
  <c r="L7" i="2"/>
  <c r="K7" i="2"/>
  <c r="J7" i="2"/>
  <c r="I7" i="2"/>
  <c r="H7" i="2"/>
  <c r="N28" i="3"/>
  <c r="N30" i="3" s="1"/>
  <c r="L35" i="19"/>
  <c r="L37" i="18"/>
  <c r="M28" i="3"/>
  <c r="M30" i="3" s="1"/>
  <c r="K35" i="18"/>
  <c r="K36" i="19"/>
  <c r="L28" i="3"/>
  <c r="L30" i="3" s="1"/>
  <c r="J35" i="19"/>
  <c r="J37" i="18"/>
  <c r="K28" i="3"/>
  <c r="K30" i="3" s="1"/>
  <c r="I36" i="19"/>
  <c r="H34" i="19"/>
  <c r="H35" i="19"/>
  <c r="H37" i="18"/>
  <c r="L26" i="19"/>
  <c r="K26" i="19"/>
  <c r="J26" i="19"/>
  <c r="I26" i="19"/>
  <c r="H26" i="19"/>
  <c r="G26" i="19"/>
  <c r="F26" i="19"/>
  <c r="E26" i="19"/>
  <c r="D26" i="19"/>
  <c r="L17" i="19"/>
  <c r="K17" i="19"/>
  <c r="J17" i="19"/>
  <c r="I17" i="19"/>
  <c r="E18" i="16"/>
  <c r="C18" i="16"/>
  <c r="L11" i="17"/>
  <c r="K11" i="17"/>
  <c r="J11" i="17"/>
  <c r="I11" i="17"/>
  <c r="I13" i="17" s="1"/>
  <c r="AM13" i="17" s="1"/>
  <c r="AM20" i="17" s="1"/>
  <c r="AM103" i="17" s="1"/>
  <c r="H11" i="17"/>
  <c r="G11" i="17"/>
  <c r="F11" i="17"/>
  <c r="E11" i="17"/>
  <c r="D11" i="17"/>
  <c r="C11" i="17"/>
  <c r="I18" i="17"/>
  <c r="L11" i="2"/>
  <c r="K11" i="2"/>
  <c r="J11" i="2"/>
  <c r="I11" i="2"/>
  <c r="L12" i="5"/>
  <c r="K12" i="5"/>
  <c r="J12" i="5"/>
  <c r="I12" i="5"/>
  <c r="AH16" i="8"/>
  <c r="F10" i="5"/>
  <c r="E10" i="5"/>
  <c r="D10" i="5"/>
  <c r="AH3" i="19"/>
  <c r="AI3" i="19" s="1"/>
  <c r="AJ3" i="19" s="1"/>
  <c r="AK3" i="19" s="1"/>
  <c r="AL3" i="19" s="1"/>
  <c r="AM3" i="19" s="1"/>
  <c r="AN3" i="19" s="1"/>
  <c r="AO3" i="19" s="1"/>
  <c r="AP3" i="19" s="1"/>
  <c r="AQ3" i="19" s="1"/>
  <c r="AR3" i="19" s="1"/>
  <c r="AS3" i="19" s="1"/>
  <c r="AT3" i="19" s="1"/>
  <c r="AU3" i="19" s="1"/>
  <c r="AV3" i="19" s="1"/>
  <c r="AW3" i="19" s="1"/>
  <c r="AX3" i="19" s="1"/>
  <c r="AY3" i="19" s="1"/>
  <c r="AZ3" i="19" s="1"/>
  <c r="BA3" i="19" s="1"/>
  <c r="BB3" i="19" s="1"/>
  <c r="BC3" i="19" s="1"/>
  <c r="BD3" i="19" s="1"/>
  <c r="BE3" i="19" s="1"/>
  <c r="AG20" i="17"/>
  <c r="AG103" i="17" s="1"/>
  <c r="AG107" i="17" s="1"/>
  <c r="AH3" i="17"/>
  <c r="AI3" i="17" s="1"/>
  <c r="AJ3" i="17" s="1"/>
  <c r="AK3" i="17" s="1"/>
  <c r="AL3" i="17" s="1"/>
  <c r="AM3" i="17" s="1"/>
  <c r="AN3" i="17" s="1"/>
  <c r="AO3" i="17" s="1"/>
  <c r="AP3" i="17" s="1"/>
  <c r="AQ3" i="17" s="1"/>
  <c r="AR3" i="17" s="1"/>
  <c r="AS3" i="17" s="1"/>
  <c r="AT3" i="17" s="1"/>
  <c r="AU3" i="17" s="1"/>
  <c r="AV3" i="17" s="1"/>
  <c r="AW3" i="17" s="1"/>
  <c r="AX3" i="17" s="1"/>
  <c r="AY3" i="17" s="1"/>
  <c r="AZ3" i="17" s="1"/>
  <c r="BA3" i="17" s="1"/>
  <c r="BB3" i="17" s="1"/>
  <c r="BC3" i="17" s="1"/>
  <c r="BD3" i="17" s="1"/>
  <c r="BE3" i="17" s="1"/>
  <c r="AG44" i="16"/>
  <c r="AG101" i="16" s="1"/>
  <c r="AG20" i="2"/>
  <c r="AH3" i="16"/>
  <c r="AI3" i="16" s="1"/>
  <c r="AJ3" i="16" s="1"/>
  <c r="AK3" i="16" s="1"/>
  <c r="AL3" i="16" s="1"/>
  <c r="AM3" i="16" s="1"/>
  <c r="AN3" i="16" s="1"/>
  <c r="AO3" i="16" s="1"/>
  <c r="AP3" i="16" s="1"/>
  <c r="AQ3" i="16" s="1"/>
  <c r="AR3" i="16" s="1"/>
  <c r="AS3" i="16" s="1"/>
  <c r="AT3" i="16" s="1"/>
  <c r="AU3" i="16" s="1"/>
  <c r="AV3" i="16" s="1"/>
  <c r="AW3" i="16" s="1"/>
  <c r="AX3" i="16" s="1"/>
  <c r="AY3" i="16" s="1"/>
  <c r="AZ3" i="16" s="1"/>
  <c r="BA3" i="16" s="1"/>
  <c r="BB3" i="16" s="1"/>
  <c r="BC3" i="16" s="1"/>
  <c r="BD3" i="16" s="1"/>
  <c r="BE3" i="16" s="1"/>
  <c r="AG21" i="10"/>
  <c r="AH3" i="2"/>
  <c r="AI3" i="2" s="1"/>
  <c r="AJ3" i="2" s="1"/>
  <c r="AK3" i="2" s="1"/>
  <c r="AL3" i="2" s="1"/>
  <c r="AM3" i="2" s="1"/>
  <c r="AN3" i="2" s="1"/>
  <c r="AO3" i="2" s="1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BD3" i="2" s="1"/>
  <c r="BE3" i="2" s="1"/>
  <c r="AG26" i="12"/>
  <c r="AH3" i="10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AH3" i="12"/>
  <c r="AI3" i="12" s="1"/>
  <c r="AJ3" i="12" s="1"/>
  <c r="AK3" i="12" s="1"/>
  <c r="AL3" i="12" s="1"/>
  <c r="AM3" i="12" s="1"/>
  <c r="AN3" i="12" s="1"/>
  <c r="AO3" i="12" s="1"/>
  <c r="AP3" i="12" s="1"/>
  <c r="AQ3" i="12" s="1"/>
  <c r="AR3" i="12" s="1"/>
  <c r="AS3" i="12" s="1"/>
  <c r="AT3" i="12" s="1"/>
  <c r="AU3" i="12" s="1"/>
  <c r="AV3" i="12" s="1"/>
  <c r="AW3" i="12" s="1"/>
  <c r="AX3" i="12" s="1"/>
  <c r="AY3" i="12" s="1"/>
  <c r="AZ3" i="12" s="1"/>
  <c r="BA3" i="12" s="1"/>
  <c r="BB3" i="12" s="1"/>
  <c r="BC3" i="12" s="1"/>
  <c r="BD3" i="12" s="1"/>
  <c r="BE3" i="12" s="1"/>
  <c r="AJ10" i="5"/>
  <c r="AJ12" i="5" s="1"/>
  <c r="AI10" i="5"/>
  <c r="AI12" i="5" s="1"/>
  <c r="AG12" i="5"/>
  <c r="AL10" i="5"/>
  <c r="AL12" i="5" s="1"/>
  <c r="AK10" i="5"/>
  <c r="AH10" i="5"/>
  <c r="AH12" i="5" s="1"/>
  <c r="AH3" i="5"/>
  <c r="AI3" i="5" s="1"/>
  <c r="AJ3" i="5" s="1"/>
  <c r="AK3" i="5" s="1"/>
  <c r="AL3" i="5" s="1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AZ3" i="5" s="1"/>
  <c r="BA3" i="5" s="1"/>
  <c r="BB3" i="5" s="1"/>
  <c r="BC3" i="5" s="1"/>
  <c r="BD3" i="5" s="1"/>
  <c r="BE3" i="5" s="1"/>
  <c r="AG20" i="8"/>
  <c r="AH3" i="8"/>
  <c r="AI3" i="8" s="1"/>
  <c r="AJ3" i="8" s="1"/>
  <c r="AK3" i="8" s="1"/>
  <c r="AL3" i="8" s="1"/>
  <c r="AM3" i="8" s="1"/>
  <c r="AN3" i="8" s="1"/>
  <c r="AO3" i="8" s="1"/>
  <c r="AP3" i="8" s="1"/>
  <c r="AQ3" i="8" s="1"/>
  <c r="AR3" i="8" s="1"/>
  <c r="AS3" i="8" s="1"/>
  <c r="AT3" i="8" s="1"/>
  <c r="AU3" i="8" s="1"/>
  <c r="AV3" i="8" s="1"/>
  <c r="AW3" i="8" s="1"/>
  <c r="AX3" i="8" s="1"/>
  <c r="AY3" i="8" s="1"/>
  <c r="AZ3" i="8" s="1"/>
  <c r="BA3" i="8" s="1"/>
  <c r="BB3" i="8" s="1"/>
  <c r="BC3" i="8" s="1"/>
  <c r="BD3" i="8" s="1"/>
  <c r="BE3" i="8" s="1"/>
  <c r="C28" i="19"/>
  <c r="C17" i="19"/>
  <c r="H17" i="19"/>
  <c r="G17" i="19"/>
  <c r="F17" i="19"/>
  <c r="E17" i="19"/>
  <c r="D17" i="19"/>
  <c r="A14" i="19"/>
  <c r="D3" i="19"/>
  <c r="E3" i="19" s="1"/>
  <c r="F3" i="19" s="1"/>
  <c r="G3" i="19" s="1"/>
  <c r="H3" i="19" s="1"/>
  <c r="I3" i="19" s="1"/>
  <c r="J3" i="19" s="1"/>
  <c r="K3" i="19" s="1"/>
  <c r="L3" i="19" s="1"/>
  <c r="M3" i="19" s="1"/>
  <c r="N3" i="19" s="1"/>
  <c r="O3" i="19" s="1"/>
  <c r="P3" i="19" s="1"/>
  <c r="Q3" i="19" s="1"/>
  <c r="R3" i="19" s="1"/>
  <c r="S3" i="19" s="1"/>
  <c r="T3" i="19" s="1"/>
  <c r="U3" i="19" s="1"/>
  <c r="V3" i="19" s="1"/>
  <c r="W3" i="19" s="1"/>
  <c r="X3" i="19" s="1"/>
  <c r="Y3" i="19" s="1"/>
  <c r="Z3" i="19" s="1"/>
  <c r="AA3" i="19" s="1"/>
  <c r="C29" i="18"/>
  <c r="D16" i="18"/>
  <c r="C16" i="18"/>
  <c r="D29" i="18"/>
  <c r="A7" i="18"/>
  <c r="D3" i="18"/>
  <c r="E3" i="18" s="1"/>
  <c r="F3" i="18" s="1"/>
  <c r="G3" i="18" s="1"/>
  <c r="H3" i="18" s="1"/>
  <c r="I3" i="18" s="1"/>
  <c r="J3" i="18" s="1"/>
  <c r="K3" i="18" s="1"/>
  <c r="L3" i="18" s="1"/>
  <c r="M3" i="18" s="1"/>
  <c r="N3" i="18" s="1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C18" i="17"/>
  <c r="C13" i="17"/>
  <c r="H18" i="17"/>
  <c r="D18" i="17"/>
  <c r="A7" i="17"/>
  <c r="D3" i="17"/>
  <c r="E3" i="17" s="1"/>
  <c r="F3" i="17" s="1"/>
  <c r="G3" i="17" s="1"/>
  <c r="H3" i="17" s="1"/>
  <c r="I3" i="17" s="1"/>
  <c r="J3" i="17" s="1"/>
  <c r="K3" i="17" s="1"/>
  <c r="L3" i="17" s="1"/>
  <c r="M3" i="17" s="1"/>
  <c r="N3" i="17" s="1"/>
  <c r="O3" i="17" s="1"/>
  <c r="P3" i="17" s="1"/>
  <c r="Q3" i="17" s="1"/>
  <c r="R3" i="17" s="1"/>
  <c r="S3" i="17" s="1"/>
  <c r="T3" i="17" s="1"/>
  <c r="U3" i="17" s="1"/>
  <c r="V3" i="17" s="1"/>
  <c r="W3" i="17" s="1"/>
  <c r="X3" i="17" s="1"/>
  <c r="Y3" i="17" s="1"/>
  <c r="Z3" i="17" s="1"/>
  <c r="AA3" i="17" s="1"/>
  <c r="A7" i="16"/>
  <c r="D3" i="16"/>
  <c r="E3" i="16" s="1"/>
  <c r="F3" i="16" s="1"/>
  <c r="G3" i="16" s="1"/>
  <c r="H3" i="16" s="1"/>
  <c r="I3" i="16" s="1"/>
  <c r="J3" i="16" s="1"/>
  <c r="K3" i="16" s="1"/>
  <c r="L3" i="16" s="1"/>
  <c r="M3" i="16" s="1"/>
  <c r="N3" i="16" s="1"/>
  <c r="O3" i="16" s="1"/>
  <c r="P3" i="16" s="1"/>
  <c r="Q3" i="16" s="1"/>
  <c r="R3" i="16" s="1"/>
  <c r="S3" i="16" s="1"/>
  <c r="T3" i="16" s="1"/>
  <c r="U3" i="16" s="1"/>
  <c r="V3" i="16" s="1"/>
  <c r="W3" i="16" s="1"/>
  <c r="X3" i="16" s="1"/>
  <c r="Y3" i="16" s="1"/>
  <c r="Z3" i="16" s="1"/>
  <c r="AA3" i="16" s="1"/>
  <c r="D18" i="16"/>
  <c r="C24" i="12"/>
  <c r="C26" i="12" s="1"/>
  <c r="A6" i="12"/>
  <c r="A7" i="10"/>
  <c r="D3" i="11"/>
  <c r="E3" i="11" s="1"/>
  <c r="F3" i="11" s="1"/>
  <c r="G3" i="11" s="1"/>
  <c r="H3" i="11" s="1"/>
  <c r="I3" i="11" s="1"/>
  <c r="J3" i="11" s="1"/>
  <c r="K3" i="11" s="1"/>
  <c r="L3" i="11" s="1"/>
  <c r="J28" i="3"/>
  <c r="J30" i="3" s="1"/>
  <c r="I28" i="3"/>
  <c r="I30" i="3" s="1"/>
  <c r="H28" i="3"/>
  <c r="H30" i="3" s="1"/>
  <c r="G28" i="3"/>
  <c r="G30" i="3" s="1"/>
  <c r="F28" i="3"/>
  <c r="F30" i="3" s="1"/>
  <c r="D37" i="18"/>
  <c r="F2" i="3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AA2" i="3" s="1"/>
  <c r="AB2" i="3" s="1"/>
  <c r="AC2" i="3" s="1"/>
  <c r="A7" i="15"/>
  <c r="D3" i="15"/>
  <c r="E3" i="15" s="1"/>
  <c r="F3" i="15" s="1"/>
  <c r="G3" i="15" s="1"/>
  <c r="H3" i="15" s="1"/>
  <c r="I3" i="15" s="1"/>
  <c r="J3" i="15" s="1"/>
  <c r="K3" i="15" s="1"/>
  <c r="L3" i="15" s="1"/>
  <c r="M3" i="15" s="1"/>
  <c r="N3" i="15" s="1"/>
  <c r="O3" i="15" s="1"/>
  <c r="P3" i="15" s="1"/>
  <c r="Q3" i="15" s="1"/>
  <c r="R3" i="15" s="1"/>
  <c r="S3" i="15" s="1"/>
  <c r="T3" i="15" s="1"/>
  <c r="U3" i="15" s="1"/>
  <c r="V3" i="15" s="1"/>
  <c r="W3" i="15" s="1"/>
  <c r="X3" i="15" s="1"/>
  <c r="Y3" i="15" s="1"/>
  <c r="Z3" i="15" s="1"/>
  <c r="AA3" i="15" s="1"/>
  <c r="G23" i="13"/>
  <c r="F23" i="13"/>
  <c r="E23" i="13"/>
  <c r="A7" i="13"/>
  <c r="D3" i="13"/>
  <c r="E3" i="13" s="1"/>
  <c r="F3" i="13" s="1"/>
  <c r="G3" i="13" s="1"/>
  <c r="H3" i="13" s="1"/>
  <c r="I3" i="13" s="1"/>
  <c r="J3" i="13" s="1"/>
  <c r="K3" i="13" s="1"/>
  <c r="L3" i="13" s="1"/>
  <c r="M3" i="13" s="1"/>
  <c r="N3" i="13" s="1"/>
  <c r="O3" i="13" s="1"/>
  <c r="P3" i="13" s="1"/>
  <c r="Q3" i="13" s="1"/>
  <c r="R3" i="13" s="1"/>
  <c r="S3" i="13" s="1"/>
  <c r="T3" i="13" s="1"/>
  <c r="U3" i="13" s="1"/>
  <c r="V3" i="13" s="1"/>
  <c r="W3" i="13" s="1"/>
  <c r="X3" i="13" s="1"/>
  <c r="Y3" i="13" s="1"/>
  <c r="Z3" i="13" s="1"/>
  <c r="AA3" i="13" s="1"/>
  <c r="D3" i="10"/>
  <c r="E3" i="10" s="1"/>
  <c r="F3" i="10" s="1"/>
  <c r="G3" i="10" s="1"/>
  <c r="H3" i="10" s="1"/>
  <c r="I3" i="10" s="1"/>
  <c r="J3" i="10" s="1"/>
  <c r="K3" i="10" s="1"/>
  <c r="L3" i="10" s="1"/>
  <c r="M3" i="10" s="1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D3" i="12"/>
  <c r="E3" i="12" s="1"/>
  <c r="F3" i="12" s="1"/>
  <c r="G3" i="12" s="1"/>
  <c r="H3" i="12" s="1"/>
  <c r="I3" i="12" s="1"/>
  <c r="J3" i="12" s="1"/>
  <c r="K3" i="12" s="1"/>
  <c r="L3" i="12" s="1"/>
  <c r="M3" i="12" s="1"/>
  <c r="N3" i="12" s="1"/>
  <c r="O3" i="12" s="1"/>
  <c r="P3" i="12" s="1"/>
  <c r="Q3" i="12" s="1"/>
  <c r="R3" i="12" s="1"/>
  <c r="S3" i="12" s="1"/>
  <c r="T3" i="12" s="1"/>
  <c r="U3" i="12" s="1"/>
  <c r="V3" i="12" s="1"/>
  <c r="W3" i="12" s="1"/>
  <c r="X3" i="12" s="1"/>
  <c r="Y3" i="12" s="1"/>
  <c r="Z3" i="12" s="1"/>
  <c r="AA3" i="12" s="1"/>
  <c r="F45" i="8"/>
  <c r="G45" i="8" s="1"/>
  <c r="H45" i="8" s="1"/>
  <c r="C20" i="8"/>
  <c r="A7" i="8"/>
  <c r="D3" i="8"/>
  <c r="H12" i="5"/>
  <c r="G12" i="5"/>
  <c r="G112" i="5" s="1"/>
  <c r="F12" i="5"/>
  <c r="E12" i="5"/>
  <c r="D12" i="5"/>
  <c r="C12" i="5"/>
  <c r="A10" i="5"/>
  <c r="A12" i="5"/>
  <c r="D3" i="5"/>
  <c r="E3" i="5" s="1"/>
  <c r="F3" i="5" s="1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X3" i="5" s="1"/>
  <c r="Y3" i="5" s="1"/>
  <c r="Z3" i="5" s="1"/>
  <c r="AA3" i="5" s="1"/>
  <c r="C18" i="2"/>
  <c r="H11" i="2"/>
  <c r="G11" i="2"/>
  <c r="F11" i="2"/>
  <c r="E11" i="2"/>
  <c r="D11" i="2"/>
  <c r="C11" i="2"/>
  <c r="C13" i="2" s="1"/>
  <c r="G7" i="2"/>
  <c r="F7" i="2"/>
  <c r="E18" i="2"/>
  <c r="D18" i="2"/>
  <c r="A7" i="2"/>
  <c r="A10" i="2" s="1"/>
  <c r="D3" i="2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C25" i="17"/>
  <c r="C50" i="16"/>
  <c r="G35" i="18"/>
  <c r="G36" i="18"/>
  <c r="G36" i="19"/>
  <c r="C24" i="17"/>
  <c r="D35" i="19"/>
  <c r="D39" i="19" s="1"/>
  <c r="E36" i="19"/>
  <c r="D34" i="19"/>
  <c r="E36" i="18"/>
  <c r="F37" i="18"/>
  <c r="E35" i="18"/>
  <c r="F35" i="19"/>
  <c r="F34" i="19"/>
  <c r="C35" i="19"/>
  <c r="A8" i="13" l="1"/>
  <c r="A10" i="13" s="1"/>
  <c r="AI26" i="18"/>
  <c r="AG105" i="16"/>
  <c r="AG5" i="11"/>
  <c r="AG9" i="11" s="1"/>
  <c r="AK12" i="5"/>
  <c r="AK108" i="5"/>
  <c r="AK112" i="5" s="1"/>
  <c r="O112" i="2"/>
  <c r="AT22" i="2"/>
  <c r="AT110" i="2"/>
  <c r="P22" i="2"/>
  <c r="P110" i="2"/>
  <c r="AS112" i="2"/>
  <c r="A10" i="15"/>
  <c r="H84" i="19"/>
  <c r="H20" i="19"/>
  <c r="AM21" i="19"/>
  <c r="I23" i="19"/>
  <c r="J84" i="19"/>
  <c r="J20" i="19"/>
  <c r="K84" i="19"/>
  <c r="K20" i="19"/>
  <c r="AP21" i="19"/>
  <c r="L23" i="19"/>
  <c r="AK21" i="19"/>
  <c r="G23" i="19"/>
  <c r="A15" i="19"/>
  <c r="A16" i="19" s="1"/>
  <c r="D28" i="19"/>
  <c r="AH28" i="19" s="1"/>
  <c r="AH30" i="19" s="1"/>
  <c r="H28" i="19"/>
  <c r="AL28" i="19" s="1"/>
  <c r="K28" i="19"/>
  <c r="AO28" i="19" s="1"/>
  <c r="K18" i="17"/>
  <c r="K13" i="17"/>
  <c r="K41" i="17" s="1"/>
  <c r="J15" i="10"/>
  <c r="AN15" i="10" s="1"/>
  <c r="J16" i="10"/>
  <c r="AN16" i="10" s="1"/>
  <c r="K80" i="10"/>
  <c r="K16" i="10"/>
  <c r="AO16" i="10" s="1"/>
  <c r="K15" i="10"/>
  <c r="AO15" i="10" s="1"/>
  <c r="L16" i="10"/>
  <c r="L15" i="10"/>
  <c r="AP15" i="10" s="1"/>
  <c r="E14" i="10"/>
  <c r="E15" i="10"/>
  <c r="E16" i="10"/>
  <c r="AI16" i="10" s="1"/>
  <c r="F16" i="10"/>
  <c r="AJ16" i="10" s="1"/>
  <c r="F14" i="10"/>
  <c r="F15" i="10"/>
  <c r="G15" i="10"/>
  <c r="G14" i="10"/>
  <c r="G16" i="10"/>
  <c r="H14" i="10"/>
  <c r="AL14" i="10" s="1"/>
  <c r="H16" i="10"/>
  <c r="AL16" i="10" s="1"/>
  <c r="H15" i="10"/>
  <c r="AL15" i="10" s="1"/>
  <c r="I14" i="10"/>
  <c r="AM14" i="10" s="1"/>
  <c r="I16" i="10"/>
  <c r="AM16" i="10" s="1"/>
  <c r="I15" i="10"/>
  <c r="AM15" i="10" s="1"/>
  <c r="K80" i="12"/>
  <c r="K16" i="12"/>
  <c r="K17" i="12"/>
  <c r="AO17" i="12" s="1"/>
  <c r="K18" i="12"/>
  <c r="AO18" i="12" s="1"/>
  <c r="K19" i="12"/>
  <c r="AO19" i="12" s="1"/>
  <c r="K20" i="12"/>
  <c r="AO20" i="12" s="1"/>
  <c r="K21" i="12"/>
  <c r="L80" i="12"/>
  <c r="L16" i="12"/>
  <c r="L17" i="12"/>
  <c r="AP17" i="12" s="1"/>
  <c r="L18" i="12"/>
  <c r="AP18" i="12" s="1"/>
  <c r="L19" i="12"/>
  <c r="AP19" i="12" s="1"/>
  <c r="L20" i="12"/>
  <c r="AP20" i="12" s="1"/>
  <c r="L21" i="12"/>
  <c r="E80" i="12"/>
  <c r="E16" i="12"/>
  <c r="E17" i="12"/>
  <c r="AI17" i="12" s="1"/>
  <c r="E18" i="12"/>
  <c r="AI18" i="12" s="1"/>
  <c r="E19" i="12"/>
  <c r="AI19" i="12" s="1"/>
  <c r="E20" i="12"/>
  <c r="AI20" i="12" s="1"/>
  <c r="E21" i="12"/>
  <c r="AI21" i="12" s="1"/>
  <c r="F80" i="12"/>
  <c r="F16" i="12"/>
  <c r="F17" i="12"/>
  <c r="F18" i="12"/>
  <c r="F19" i="12"/>
  <c r="F20" i="12"/>
  <c r="AJ20" i="12" s="1"/>
  <c r="F21" i="12"/>
  <c r="AJ21" i="12" s="1"/>
  <c r="G80" i="12"/>
  <c r="G16" i="12"/>
  <c r="AK16" i="12" s="1"/>
  <c r="G17" i="12"/>
  <c r="AK17" i="12" s="1"/>
  <c r="G18" i="12"/>
  <c r="AK18" i="12" s="1"/>
  <c r="G19" i="12"/>
  <c r="G20" i="12"/>
  <c r="AK20" i="12" s="1"/>
  <c r="G21" i="12"/>
  <c r="AK21" i="12" s="1"/>
  <c r="H80" i="12"/>
  <c r="H16" i="12"/>
  <c r="H17" i="12"/>
  <c r="AL17" i="12" s="1"/>
  <c r="H18" i="12"/>
  <c r="AL18" i="12" s="1"/>
  <c r="H19" i="12"/>
  <c r="AL19" i="12" s="1"/>
  <c r="H20" i="12"/>
  <c r="AL20" i="12" s="1"/>
  <c r="H21" i="12"/>
  <c r="I80" i="12"/>
  <c r="I16" i="12"/>
  <c r="I17" i="12"/>
  <c r="AM17" i="12" s="1"/>
  <c r="I18" i="12"/>
  <c r="AM18" i="12" s="1"/>
  <c r="I19" i="12"/>
  <c r="AM19" i="12" s="1"/>
  <c r="I20" i="12"/>
  <c r="AM20" i="12" s="1"/>
  <c r="I21" i="12"/>
  <c r="J80" i="12"/>
  <c r="J16" i="12"/>
  <c r="J17" i="12"/>
  <c r="AN17" i="12" s="1"/>
  <c r="J18" i="12"/>
  <c r="AN18" i="12" s="1"/>
  <c r="J19" i="12"/>
  <c r="AN19" i="12" s="1"/>
  <c r="J20" i="12"/>
  <c r="AN20" i="12" s="1"/>
  <c r="J21" i="12"/>
  <c r="J14" i="10"/>
  <c r="AN14" i="10" s="1"/>
  <c r="I12" i="10"/>
  <c r="A9" i="10"/>
  <c r="A9" i="8"/>
  <c r="A11" i="8" s="1"/>
  <c r="C54" i="8"/>
  <c r="D13" i="17"/>
  <c r="AH13" i="17" s="1"/>
  <c r="AH20" i="17" s="1"/>
  <c r="AH103" i="17" s="1"/>
  <c r="F13" i="17"/>
  <c r="F41" i="17" s="1"/>
  <c r="G28" i="19"/>
  <c r="AK28" i="19" s="1"/>
  <c r="G84" i="19"/>
  <c r="F28" i="19"/>
  <c r="AJ28" i="19" s="1"/>
  <c r="AJ30" i="19" s="1"/>
  <c r="F84" i="19"/>
  <c r="L28" i="19"/>
  <c r="AP28" i="19" s="1"/>
  <c r="L84" i="19"/>
  <c r="I28" i="19"/>
  <c r="AM28" i="19" s="1"/>
  <c r="I84" i="19"/>
  <c r="F19" i="18"/>
  <c r="AJ19" i="18" s="1"/>
  <c r="H29" i="18"/>
  <c r="I29" i="18"/>
  <c r="J29" i="18"/>
  <c r="G29" i="18"/>
  <c r="K29" i="18"/>
  <c r="L29" i="18"/>
  <c r="F18" i="17"/>
  <c r="E13" i="17"/>
  <c r="E41" i="17" s="1"/>
  <c r="E18" i="17"/>
  <c r="J18" i="17"/>
  <c r="G18" i="17"/>
  <c r="G13" i="17"/>
  <c r="G41" i="17" s="1"/>
  <c r="H13" i="17"/>
  <c r="AL13" i="17" s="1"/>
  <c r="AL20" i="17" s="1"/>
  <c r="AL103" i="17" s="1"/>
  <c r="L18" i="17"/>
  <c r="F18" i="16"/>
  <c r="F44" i="16" s="1"/>
  <c r="AH18" i="16"/>
  <c r="AH44" i="16" s="1"/>
  <c r="AH101" i="16" s="1"/>
  <c r="AH5" i="11" s="1"/>
  <c r="I18" i="16"/>
  <c r="AM18" i="16" s="1"/>
  <c r="AM44" i="16" s="1"/>
  <c r="AM101" i="16" s="1"/>
  <c r="J18" i="16"/>
  <c r="J44" i="16" s="1"/>
  <c r="H18" i="16"/>
  <c r="AL18" i="16" s="1"/>
  <c r="AL44" i="16" s="1"/>
  <c r="AL101" i="16" s="1"/>
  <c r="K18" i="16"/>
  <c r="L18" i="16"/>
  <c r="H18" i="2"/>
  <c r="H74" i="2"/>
  <c r="I18" i="2"/>
  <c r="I74" i="2"/>
  <c r="H13" i="2"/>
  <c r="AL13" i="2" s="1"/>
  <c r="AL20" i="2" s="1"/>
  <c r="J18" i="2"/>
  <c r="J74" i="2"/>
  <c r="F18" i="2"/>
  <c r="F74" i="2"/>
  <c r="K18" i="2"/>
  <c r="K74" i="2"/>
  <c r="G18" i="2"/>
  <c r="G74" i="2"/>
  <c r="L18" i="2"/>
  <c r="L74" i="2"/>
  <c r="G80" i="10"/>
  <c r="H80" i="10"/>
  <c r="I80" i="10"/>
  <c r="J80" i="10"/>
  <c r="F80" i="10"/>
  <c r="L80" i="10"/>
  <c r="E80" i="10"/>
  <c r="E3" i="8"/>
  <c r="D53" i="8"/>
  <c r="Y72" i="2"/>
  <c r="X74" i="2"/>
  <c r="Y78" i="10"/>
  <c r="Y80" i="10" s="1"/>
  <c r="Y78" i="12"/>
  <c r="Y80" i="12" s="1"/>
  <c r="A8" i="16"/>
  <c r="C44" i="16"/>
  <c r="C101" i="16" s="1"/>
  <c r="A11" i="15"/>
  <c r="A12" i="15" s="1"/>
  <c r="C30" i="19"/>
  <c r="F22" i="18"/>
  <c r="AJ22" i="18" s="1"/>
  <c r="A9" i="17"/>
  <c r="J13" i="17"/>
  <c r="J41" i="17" s="1"/>
  <c r="C20" i="17"/>
  <c r="C103" i="17" s="1"/>
  <c r="C107" i="17" s="1"/>
  <c r="R11" i="2"/>
  <c r="R13" i="2" s="1"/>
  <c r="Q20" i="2"/>
  <c r="AU13" i="2"/>
  <c r="AU20" i="2" s="1"/>
  <c r="A11" i="2"/>
  <c r="C20" i="2"/>
  <c r="C22" i="2" s="1"/>
  <c r="D19" i="10"/>
  <c r="D21" i="10" s="1"/>
  <c r="AH21" i="10"/>
  <c r="A8" i="12"/>
  <c r="AX17" i="12"/>
  <c r="AJ17" i="12"/>
  <c r="AJ18" i="12"/>
  <c r="AZ18" i="12"/>
  <c r="AH17" i="12"/>
  <c r="AH18" i="12"/>
  <c r="D24" i="12"/>
  <c r="D26" i="12" s="1"/>
  <c r="D44" i="16"/>
  <c r="D101" i="16" s="1"/>
  <c r="A9" i="13"/>
  <c r="K13" i="2"/>
  <c r="AO13" i="2" s="1"/>
  <c r="AO20" i="2" s="1"/>
  <c r="D13" i="2"/>
  <c r="AH13" i="2" s="1"/>
  <c r="AH20" i="2" s="1"/>
  <c r="I13" i="2"/>
  <c r="AM13" i="2" s="1"/>
  <c r="AM20" i="2" s="1"/>
  <c r="G18" i="16"/>
  <c r="G44" i="16" s="1"/>
  <c r="E28" i="19"/>
  <c r="J13" i="2"/>
  <c r="AN13" i="2" s="1"/>
  <c r="AN20" i="2" s="1"/>
  <c r="E13" i="2"/>
  <c r="F13" i="2"/>
  <c r="AJ13" i="2" s="1"/>
  <c r="AJ20" i="2" s="1"/>
  <c r="G13" i="2"/>
  <c r="AK13" i="2" s="1"/>
  <c r="AK20" i="2" s="1"/>
  <c r="L13" i="2"/>
  <c r="AP13" i="2" s="1"/>
  <c r="AP20" i="2" s="1"/>
  <c r="I14" i="12"/>
  <c r="G23" i="18"/>
  <c r="AK23" i="18" s="1"/>
  <c r="F23" i="18"/>
  <c r="AJ23" i="18" s="1"/>
  <c r="G19" i="18"/>
  <c r="AK19" i="18" s="1"/>
  <c r="H20" i="18"/>
  <c r="G20" i="18"/>
  <c r="AK20" i="18" s="1"/>
  <c r="F29" i="18"/>
  <c r="F20" i="18"/>
  <c r="G21" i="18"/>
  <c r="AK21" i="18" s="1"/>
  <c r="F21" i="18"/>
  <c r="AJ21" i="18" s="1"/>
  <c r="G22" i="18"/>
  <c r="F18" i="18"/>
  <c r="A12" i="8"/>
  <c r="A10" i="18"/>
  <c r="A11" i="18" s="1"/>
  <c r="A12" i="18" s="1"/>
  <c r="C31" i="18"/>
  <c r="D31" i="18"/>
  <c r="E31" i="18"/>
  <c r="E40" i="18" s="1"/>
  <c r="AI40" i="18" s="1"/>
  <c r="AJ13" i="17"/>
  <c r="AJ20" i="17" s="1"/>
  <c r="AJ103" i="17" s="1"/>
  <c r="I41" i="17"/>
  <c r="I20" i="17"/>
  <c r="I103" i="17" s="1"/>
  <c r="AI18" i="16"/>
  <c r="AI44" i="16" s="1"/>
  <c r="AI101" i="16" s="1"/>
  <c r="E44" i="16"/>
  <c r="E101" i="16" s="1"/>
  <c r="C34" i="19"/>
  <c r="C36" i="18"/>
  <c r="C49" i="16"/>
  <c r="D49" i="16"/>
  <c r="F49" i="16"/>
  <c r="H49" i="16"/>
  <c r="J49" i="16"/>
  <c r="L49" i="16"/>
  <c r="E25" i="17"/>
  <c r="G25" i="17"/>
  <c r="I25" i="17"/>
  <c r="K25" i="17"/>
  <c r="D36" i="18"/>
  <c r="F36" i="18"/>
  <c r="H36" i="18"/>
  <c r="J36" i="18"/>
  <c r="L36" i="18"/>
  <c r="E35" i="19"/>
  <c r="G35" i="19"/>
  <c r="I35" i="19"/>
  <c r="K35" i="19"/>
  <c r="C36" i="19"/>
  <c r="C35" i="18"/>
  <c r="C48" i="16"/>
  <c r="D48" i="16"/>
  <c r="F48" i="16"/>
  <c r="H48" i="16"/>
  <c r="J48" i="16"/>
  <c r="L48" i="16"/>
  <c r="E24" i="17"/>
  <c r="G24" i="17"/>
  <c r="I24" i="17"/>
  <c r="K24" i="17"/>
  <c r="D35" i="18"/>
  <c r="F35" i="18"/>
  <c r="H35" i="18"/>
  <c r="J35" i="18"/>
  <c r="L35" i="18"/>
  <c r="E34" i="19"/>
  <c r="G34" i="19"/>
  <c r="I34" i="19"/>
  <c r="K34" i="19"/>
  <c r="C26" i="17"/>
  <c r="C27" i="17" s="1"/>
  <c r="E50" i="16"/>
  <c r="G50" i="16"/>
  <c r="I50" i="16"/>
  <c r="K50" i="16"/>
  <c r="D26" i="17"/>
  <c r="F26" i="17"/>
  <c r="H26" i="17"/>
  <c r="J26" i="17"/>
  <c r="L26" i="17"/>
  <c r="E37" i="18"/>
  <c r="G37" i="18"/>
  <c r="I37" i="18"/>
  <c r="K37" i="18"/>
  <c r="D36" i="19"/>
  <c r="D40" i="19" s="1"/>
  <c r="F36" i="19"/>
  <c r="H36" i="19"/>
  <c r="J36" i="19"/>
  <c r="L36" i="19"/>
  <c r="E49" i="16"/>
  <c r="G49" i="16"/>
  <c r="I49" i="16"/>
  <c r="K49" i="16"/>
  <c r="D25" i="17"/>
  <c r="F25" i="17"/>
  <c r="H25" i="17"/>
  <c r="J25" i="17"/>
  <c r="L25" i="17"/>
  <c r="I36" i="18"/>
  <c r="K36" i="18"/>
  <c r="E48" i="16"/>
  <c r="G48" i="16"/>
  <c r="I48" i="16"/>
  <c r="K48" i="16"/>
  <c r="D24" i="17"/>
  <c r="F24" i="17"/>
  <c r="H24" i="17"/>
  <c r="J24" i="17"/>
  <c r="L24" i="17"/>
  <c r="I35" i="18"/>
  <c r="J34" i="19"/>
  <c r="L34" i="19"/>
  <c r="C37" i="18"/>
  <c r="D50" i="16"/>
  <c r="F50" i="16"/>
  <c r="H50" i="16"/>
  <c r="J50" i="16"/>
  <c r="L50" i="16"/>
  <c r="E26" i="17"/>
  <c r="G26" i="17"/>
  <c r="I26" i="17"/>
  <c r="K26" i="17"/>
  <c r="F106" i="15"/>
  <c r="F112" i="15" s="1"/>
  <c r="I23" i="13"/>
  <c r="H23" i="13"/>
  <c r="J28" i="19"/>
  <c r="AN28" i="19" s="1"/>
  <c r="L13" i="17"/>
  <c r="A11" i="13" l="1"/>
  <c r="AJ20" i="18"/>
  <c r="AJ103" i="18" s="1"/>
  <c r="F103" i="18"/>
  <c r="C5" i="11"/>
  <c r="C9" i="11" s="1"/>
  <c r="C105" i="16"/>
  <c r="AK19" i="12"/>
  <c r="AK108" i="12" s="1"/>
  <c r="G108" i="12"/>
  <c r="L108" i="12"/>
  <c r="AO110" i="2"/>
  <c r="AO22" i="2"/>
  <c r="AO112" i="2" s="1"/>
  <c r="AN21" i="12"/>
  <c r="AN110" i="12" s="1"/>
  <c r="J110" i="12"/>
  <c r="I108" i="12"/>
  <c r="AO21" i="12"/>
  <c r="AO110" i="12" s="1"/>
  <c r="K110" i="12"/>
  <c r="AP22" i="2"/>
  <c r="AP110" i="2"/>
  <c r="AM110" i="2"/>
  <c r="AM22" i="2"/>
  <c r="AU22" i="2"/>
  <c r="AU110" i="2"/>
  <c r="AL110" i="2"/>
  <c r="AL22" i="2"/>
  <c r="P112" i="2"/>
  <c r="J65" i="16"/>
  <c r="J101" i="16"/>
  <c r="Q22" i="2"/>
  <c r="Q110" i="2"/>
  <c r="AL21" i="12"/>
  <c r="AL110" i="12" s="1"/>
  <c r="H110" i="12"/>
  <c r="J108" i="12"/>
  <c r="AT112" i="2"/>
  <c r="AP21" i="12"/>
  <c r="AP110" i="12" s="1"/>
  <c r="L110" i="12"/>
  <c r="K108" i="12"/>
  <c r="AN110" i="2"/>
  <c r="AN22" i="2"/>
  <c r="F65" i="16"/>
  <c r="F101" i="16"/>
  <c r="AM21" i="12"/>
  <c r="AM110" i="12" s="1"/>
  <c r="I110" i="12"/>
  <c r="H108" i="12"/>
  <c r="AL20" i="18"/>
  <c r="G65" i="16"/>
  <c r="G101" i="16"/>
  <c r="AK22" i="18"/>
  <c r="AK103" i="18" s="1"/>
  <c r="G103" i="18"/>
  <c r="F20" i="17"/>
  <c r="F103" i="17" s="1"/>
  <c r="AP30" i="19"/>
  <c r="E65" i="16"/>
  <c r="A13" i="15"/>
  <c r="D18" i="8"/>
  <c r="D54" i="8"/>
  <c r="AJ18" i="16"/>
  <c r="AJ44" i="16" s="1"/>
  <c r="AJ101" i="16" s="1"/>
  <c r="AK30" i="19"/>
  <c r="AO21" i="19"/>
  <c r="AO30" i="19" s="1"/>
  <c r="K23" i="19"/>
  <c r="K30" i="19" s="1"/>
  <c r="K40" i="19" s="1"/>
  <c r="AO40" i="19" s="1"/>
  <c r="AN21" i="19"/>
  <c r="AN30" i="19" s="1"/>
  <c r="J23" i="19"/>
  <c r="J30" i="19" s="1"/>
  <c r="J38" i="19" s="1"/>
  <c r="AM30" i="19"/>
  <c r="AL21" i="19"/>
  <c r="AL30" i="19" s="1"/>
  <c r="H23" i="19"/>
  <c r="H30" i="19" s="1"/>
  <c r="H39" i="19" s="1"/>
  <c r="AL39" i="19" s="1"/>
  <c r="AK24" i="12"/>
  <c r="AK26" i="12" s="1"/>
  <c r="AK112" i="12" s="1"/>
  <c r="F37" i="8"/>
  <c r="F18" i="8"/>
  <c r="AO13" i="17"/>
  <c r="AO20" i="17" s="1"/>
  <c r="AO103" i="17" s="1"/>
  <c r="D20" i="17"/>
  <c r="K20" i="17"/>
  <c r="H20" i="17"/>
  <c r="H41" i="17"/>
  <c r="G30" i="19"/>
  <c r="G40" i="19" s="1"/>
  <c r="AK40" i="19" s="1"/>
  <c r="A26" i="19"/>
  <c r="A28" i="19" s="1"/>
  <c r="D30" i="19"/>
  <c r="AH39" i="19" s="1"/>
  <c r="AI13" i="17"/>
  <c r="AI20" i="17" s="1"/>
  <c r="AI103" i="17" s="1"/>
  <c r="E20" i="17"/>
  <c r="K44" i="16"/>
  <c r="F17" i="10"/>
  <c r="F19" i="10" s="1"/>
  <c r="F21" i="10" s="1"/>
  <c r="AJ19" i="10"/>
  <c r="AJ21" i="10" s="1"/>
  <c r="H17" i="10"/>
  <c r="H19" i="10" s="1"/>
  <c r="AL19" i="10"/>
  <c r="G17" i="10"/>
  <c r="G19" i="10" s="1"/>
  <c r="G21" i="10" s="1"/>
  <c r="AK16" i="10"/>
  <c r="AK19" i="10" s="1"/>
  <c r="AK21" i="10" s="1"/>
  <c r="E17" i="10"/>
  <c r="E19" i="10" s="1"/>
  <c r="E21" i="10" s="1"/>
  <c r="J17" i="10"/>
  <c r="J19" i="10" s="1"/>
  <c r="AN19" i="10"/>
  <c r="I17" i="10"/>
  <c r="I19" i="10" s="1"/>
  <c r="AM19" i="10"/>
  <c r="AP16" i="10"/>
  <c r="AI16" i="12"/>
  <c r="AI24" i="12" s="1"/>
  <c r="AI26" i="12" s="1"/>
  <c r="E22" i="12"/>
  <c r="G22" i="12"/>
  <c r="G24" i="12" s="1"/>
  <c r="H22" i="12"/>
  <c r="H24" i="12" s="1"/>
  <c r="I22" i="12"/>
  <c r="I24" i="12" s="1"/>
  <c r="J22" i="12"/>
  <c r="F22" i="12"/>
  <c r="F24" i="12" s="1"/>
  <c r="AJ19" i="12"/>
  <c r="K22" i="12"/>
  <c r="L22" i="12"/>
  <c r="K14" i="10"/>
  <c r="AO14" i="10" s="1"/>
  <c r="J12" i="10"/>
  <c r="A10" i="10"/>
  <c r="A11" i="10" s="1"/>
  <c r="A12" i="10" s="1"/>
  <c r="A13" i="8"/>
  <c r="A16" i="8" s="1"/>
  <c r="A18" i="8" s="1"/>
  <c r="P18" i="8"/>
  <c r="S18" i="8"/>
  <c r="V18" i="8"/>
  <c r="U18" i="8"/>
  <c r="T18" i="8"/>
  <c r="R18" i="8"/>
  <c r="Q18" i="8"/>
  <c r="H20" i="2"/>
  <c r="AO18" i="16"/>
  <c r="AO44" i="16" s="1"/>
  <c r="AO101" i="16" s="1"/>
  <c r="AP18" i="16"/>
  <c r="AP44" i="16" s="1"/>
  <c r="AP101" i="16" s="1"/>
  <c r="F30" i="19"/>
  <c r="F39" i="19" s="1"/>
  <c r="AJ39" i="19" s="1"/>
  <c r="G20" i="17"/>
  <c r="J20" i="17"/>
  <c r="AK13" i="17"/>
  <c r="AK20" i="17" s="1"/>
  <c r="AK103" i="17" s="1"/>
  <c r="H44" i="16"/>
  <c r="H101" i="16" s="1"/>
  <c r="L44" i="16"/>
  <c r="L101" i="16" s="1"/>
  <c r="I44" i="16"/>
  <c r="I101" i="16" s="1"/>
  <c r="AN18" i="16"/>
  <c r="AN44" i="16" s="1"/>
  <c r="AN101" i="16" s="1"/>
  <c r="F3" i="8"/>
  <c r="E53" i="8"/>
  <c r="Z72" i="2"/>
  <c r="Y74" i="2"/>
  <c r="Z78" i="10"/>
  <c r="Z80" i="10" s="1"/>
  <c r="AJ16" i="12"/>
  <c r="Z78" i="12"/>
  <c r="AH18" i="8"/>
  <c r="AH20" i="8" s="1"/>
  <c r="D54" i="16"/>
  <c r="AH54" i="16" s="1"/>
  <c r="AK18" i="16"/>
  <c r="AK44" i="16" s="1"/>
  <c r="AK101" i="16" s="1"/>
  <c r="L30" i="19"/>
  <c r="L39" i="19" s="1"/>
  <c r="AP39" i="19" s="1"/>
  <c r="AN13" i="17"/>
  <c r="AN20" i="17" s="1"/>
  <c r="AN103" i="17" s="1"/>
  <c r="AM30" i="17"/>
  <c r="AM29" i="17"/>
  <c r="AM28" i="17"/>
  <c r="AJ29" i="17"/>
  <c r="A13" i="2"/>
  <c r="S11" i="2"/>
  <c r="S13" i="2" s="1"/>
  <c r="R20" i="2"/>
  <c r="AV13" i="2"/>
  <c r="AV20" i="2" s="1"/>
  <c r="I20" i="2"/>
  <c r="E20" i="2"/>
  <c r="E22" i="2" s="1"/>
  <c r="AI13" i="2"/>
  <c r="AI20" i="2" s="1"/>
  <c r="K20" i="2"/>
  <c r="AY17" i="12"/>
  <c r="BA18" i="12"/>
  <c r="AH16" i="12"/>
  <c r="AH24" i="12" s="1"/>
  <c r="AH26" i="12" s="1"/>
  <c r="E24" i="12"/>
  <c r="E26" i="12" s="1"/>
  <c r="A9" i="12"/>
  <c r="F54" i="16"/>
  <c r="AJ54" i="16" s="1"/>
  <c r="G53" i="16"/>
  <c r="AK53" i="16" s="1"/>
  <c r="F53" i="16"/>
  <c r="AJ53" i="16" s="1"/>
  <c r="D53" i="16"/>
  <c r="AH53" i="16" s="1"/>
  <c r="E54" i="16"/>
  <c r="AI54" i="16" s="1"/>
  <c r="J52" i="16"/>
  <c r="AN52" i="16" s="1"/>
  <c r="J20" i="2"/>
  <c r="D20" i="2"/>
  <c r="D22" i="2" s="1"/>
  <c r="E53" i="16"/>
  <c r="AI53" i="16" s="1"/>
  <c r="E30" i="19"/>
  <c r="E40" i="19" s="1"/>
  <c r="AI40" i="19" s="1"/>
  <c r="L41" i="17"/>
  <c r="AP13" i="17"/>
  <c r="AP20" i="17" s="1"/>
  <c r="AP103" i="17" s="1"/>
  <c r="G54" i="16"/>
  <c r="AK54" i="16" s="1"/>
  <c r="AM16" i="12"/>
  <c r="AL16" i="12"/>
  <c r="F20" i="2"/>
  <c r="F22" i="2" s="1"/>
  <c r="L20" i="2"/>
  <c r="G20" i="2"/>
  <c r="G22" i="2" s="1"/>
  <c r="I30" i="19"/>
  <c r="I38" i="19" s="1"/>
  <c r="AM38" i="19" s="1"/>
  <c r="J14" i="12"/>
  <c r="A13" i="18"/>
  <c r="I20" i="18"/>
  <c r="I11" i="18"/>
  <c r="H19" i="18"/>
  <c r="AL19" i="18" s="1"/>
  <c r="H21" i="18"/>
  <c r="AL21" i="18" s="1"/>
  <c r="I13" i="18"/>
  <c r="AJ18" i="18"/>
  <c r="AJ26" i="18" s="1"/>
  <c r="F24" i="18"/>
  <c r="H22" i="18"/>
  <c r="AL22" i="18" s="1"/>
  <c r="I14" i="18"/>
  <c r="I15" i="18"/>
  <c r="H23" i="18"/>
  <c r="AL23" i="18" s="1"/>
  <c r="AI18" i="8"/>
  <c r="AJ30" i="17"/>
  <c r="D40" i="18"/>
  <c r="AH40" i="18" s="1"/>
  <c r="E39" i="18"/>
  <c r="AI39" i="18" s="1"/>
  <c r="D41" i="18"/>
  <c r="AH41" i="18" s="1"/>
  <c r="E41" i="18"/>
  <c r="AI41" i="18" s="1"/>
  <c r="J54" i="16"/>
  <c r="AN54" i="16" s="1"/>
  <c r="J53" i="16"/>
  <c r="AN53" i="16" s="1"/>
  <c r="J38" i="18"/>
  <c r="C37" i="19"/>
  <c r="J27" i="17"/>
  <c r="H38" i="18"/>
  <c r="C51" i="16"/>
  <c r="I51" i="16"/>
  <c r="L27" i="17"/>
  <c r="K37" i="19"/>
  <c r="J37" i="19"/>
  <c r="I37" i="19"/>
  <c r="I38" i="18"/>
  <c r="L51" i="16"/>
  <c r="J51" i="16"/>
  <c r="K38" i="18"/>
  <c r="G38" i="18"/>
  <c r="F37" i="19"/>
  <c r="K27" i="17"/>
  <c r="I27" i="17"/>
  <c r="D37" i="19"/>
  <c r="E38" i="18"/>
  <c r="L37" i="19"/>
  <c r="K51" i="16"/>
  <c r="C38" i="18"/>
  <c r="L38" i="18"/>
  <c r="H37" i="19"/>
  <c r="H27" i="17"/>
  <c r="H51" i="16"/>
  <c r="F27" i="17"/>
  <c r="D38" i="18"/>
  <c r="D39" i="18"/>
  <c r="AH39" i="18" s="1"/>
  <c r="F51" i="16"/>
  <c r="F52" i="16"/>
  <c r="D27" i="17"/>
  <c r="D52" i="16"/>
  <c r="D51" i="16"/>
  <c r="G37" i="19"/>
  <c r="E37" i="19"/>
  <c r="G27" i="17"/>
  <c r="F38" i="18"/>
  <c r="G52" i="16"/>
  <c r="G51" i="16"/>
  <c r="E27" i="17"/>
  <c r="E52" i="16"/>
  <c r="E51" i="16"/>
  <c r="G106" i="15"/>
  <c r="G112" i="15" s="1"/>
  <c r="F32" i="13"/>
  <c r="F34" i="13" s="1"/>
  <c r="J23" i="13"/>
  <c r="L20" i="17"/>
  <c r="L103" i="17" s="1"/>
  <c r="A12" i="13" l="1"/>
  <c r="AH30" i="17"/>
  <c r="D103" i="17"/>
  <c r="AK29" i="17"/>
  <c r="G103" i="17"/>
  <c r="AI30" i="17"/>
  <c r="E103" i="17"/>
  <c r="AI5" i="11"/>
  <c r="A14" i="18"/>
  <c r="AM112" i="2"/>
  <c r="AN112" i="2"/>
  <c r="AL24" i="12"/>
  <c r="AL108" i="12"/>
  <c r="I22" i="2"/>
  <c r="I110" i="2"/>
  <c r="J21" i="10"/>
  <c r="J108" i="10"/>
  <c r="AM24" i="12"/>
  <c r="AM26" i="12" s="1"/>
  <c r="AM112" i="12" s="1"/>
  <c r="AM108" i="12"/>
  <c r="AV110" i="2"/>
  <c r="AV22" i="2"/>
  <c r="AV112" i="2" s="1"/>
  <c r="Q112" i="2"/>
  <c r="F5" i="11"/>
  <c r="AL30" i="17"/>
  <c r="H103" i="17"/>
  <c r="AK5" i="11"/>
  <c r="AP112" i="2"/>
  <c r="AL21" i="10"/>
  <c r="AL108" i="10"/>
  <c r="AN30" i="17"/>
  <c r="J103" i="17"/>
  <c r="H21" i="10"/>
  <c r="H108" i="10"/>
  <c r="H103" i="18"/>
  <c r="AL103" i="18"/>
  <c r="L22" i="2"/>
  <c r="L110" i="2"/>
  <c r="R22" i="2"/>
  <c r="R110" i="2"/>
  <c r="AM20" i="18"/>
  <c r="AJ5" i="11"/>
  <c r="K65" i="16"/>
  <c r="K101" i="16"/>
  <c r="AM21" i="10"/>
  <c r="AM108" i="10"/>
  <c r="AM112" i="10" s="1"/>
  <c r="AL112" i="2"/>
  <c r="AN21" i="10"/>
  <c r="AN108" i="10"/>
  <c r="AO28" i="17"/>
  <c r="K103" i="17"/>
  <c r="J22" i="2"/>
  <c r="J110" i="2"/>
  <c r="K22" i="2"/>
  <c r="K110" i="2"/>
  <c r="H22" i="2"/>
  <c r="H110" i="2"/>
  <c r="I21" i="10"/>
  <c r="I108" i="10"/>
  <c r="AU112" i="2"/>
  <c r="G5" i="11"/>
  <c r="F26" i="12"/>
  <c r="I26" i="12"/>
  <c r="I112" i="12" s="1"/>
  <c r="H26" i="12"/>
  <c r="H112" i="12" s="1"/>
  <c r="G26" i="12"/>
  <c r="G112" i="12" s="1"/>
  <c r="A14" i="15"/>
  <c r="A15" i="15" s="1"/>
  <c r="A16" i="15" s="1"/>
  <c r="K53" i="16"/>
  <c r="AO53" i="16" s="1"/>
  <c r="K54" i="16"/>
  <c r="AO54" i="16" s="1"/>
  <c r="G38" i="19"/>
  <c r="AO30" i="17"/>
  <c r="AO29" i="17"/>
  <c r="AL29" i="17"/>
  <c r="AO19" i="10"/>
  <c r="AO108" i="10" s="1"/>
  <c r="K17" i="10"/>
  <c r="AI19" i="10"/>
  <c r="AI21" i="10" s="1"/>
  <c r="G37" i="8"/>
  <c r="G18" i="8"/>
  <c r="G36" i="8"/>
  <c r="G16" i="8"/>
  <c r="K38" i="19"/>
  <c r="AO38" i="19" s="1"/>
  <c r="K39" i="19"/>
  <c r="AO39" i="19" s="1"/>
  <c r="G39" i="19"/>
  <c r="AK39" i="19" s="1"/>
  <c r="AJ24" i="12"/>
  <c r="AJ26" i="12" s="1"/>
  <c r="AK28" i="17"/>
  <c r="H54" i="16"/>
  <c r="AL54" i="16" s="1"/>
  <c r="H65" i="16"/>
  <c r="L52" i="16"/>
  <c r="AP52" i="16" s="1"/>
  <c r="L65" i="16"/>
  <c r="K52" i="16"/>
  <c r="AO52" i="16" s="1"/>
  <c r="I53" i="16"/>
  <c r="AM53" i="16" s="1"/>
  <c r="I65" i="16"/>
  <c r="AH28" i="17"/>
  <c r="AH29" i="17"/>
  <c r="AI29" i="17"/>
  <c r="H52" i="16"/>
  <c r="AL52" i="16" s="1"/>
  <c r="I54" i="16"/>
  <c r="AM54" i="16" s="1"/>
  <c r="I52" i="16"/>
  <c r="H53" i="16"/>
  <c r="AL53" i="16" s="1"/>
  <c r="H40" i="19"/>
  <c r="AL40" i="19" s="1"/>
  <c r="H38" i="19"/>
  <c r="AL38" i="19" s="1"/>
  <c r="AH40" i="19"/>
  <c r="F40" i="19"/>
  <c r="AJ40" i="19" s="1"/>
  <c r="D38" i="19"/>
  <c r="A30" i="19"/>
  <c r="AK30" i="17"/>
  <c r="F38" i="19"/>
  <c r="AJ38" i="19" s="1"/>
  <c r="AN28" i="17"/>
  <c r="AN29" i="17"/>
  <c r="L14" i="10"/>
  <c r="AP14" i="10" s="1"/>
  <c r="K12" i="10"/>
  <c r="A19" i="10"/>
  <c r="A21" i="10" s="1"/>
  <c r="A10" i="12"/>
  <c r="A11" i="12"/>
  <c r="A12" i="12" s="1"/>
  <c r="E54" i="8"/>
  <c r="T37" i="8"/>
  <c r="S37" i="8"/>
  <c r="R37" i="8"/>
  <c r="W37" i="8"/>
  <c r="P37" i="8"/>
  <c r="Z37" i="8"/>
  <c r="U37" i="8"/>
  <c r="X37" i="8"/>
  <c r="Q37" i="8"/>
  <c r="V37" i="8"/>
  <c r="Y37" i="8"/>
  <c r="AA37" i="8"/>
  <c r="H18" i="8"/>
  <c r="L53" i="16"/>
  <c r="AP53" i="16" s="1"/>
  <c r="L54" i="16"/>
  <c r="AP54" i="16" s="1"/>
  <c r="AM32" i="17"/>
  <c r="D20" i="8"/>
  <c r="D24" i="8" s="1"/>
  <c r="G3" i="8"/>
  <c r="F53" i="8"/>
  <c r="AA72" i="2"/>
  <c r="AA74" i="2" s="1"/>
  <c r="Z74" i="2"/>
  <c r="AA78" i="10"/>
  <c r="AA80" i="10" s="1"/>
  <c r="AA78" i="12"/>
  <c r="AA80" i="12" s="1"/>
  <c r="Z80" i="12"/>
  <c r="A11" i="16"/>
  <c r="L38" i="19"/>
  <c r="AP38" i="19" s="1"/>
  <c r="L40" i="19"/>
  <c r="AP40" i="19" s="1"/>
  <c r="I39" i="19"/>
  <c r="AM39" i="19" s="1"/>
  <c r="I40" i="19"/>
  <c r="AM40" i="19" s="1"/>
  <c r="I32" i="17"/>
  <c r="T11" i="2"/>
  <c r="T13" i="2" s="1"/>
  <c r="S20" i="2"/>
  <c r="AW13" i="2"/>
  <c r="AW20" i="2" s="1"/>
  <c r="A16" i="2"/>
  <c r="A18" i="2" s="1"/>
  <c r="A20" i="2" s="1"/>
  <c r="A22" i="2" s="1"/>
  <c r="BB18" i="12"/>
  <c r="AZ17" i="12"/>
  <c r="AI43" i="18"/>
  <c r="AN56" i="16"/>
  <c r="AN103" i="16" s="1"/>
  <c r="E38" i="19"/>
  <c r="AI38" i="19" s="1"/>
  <c r="E39" i="19"/>
  <c r="AI39" i="19" s="1"/>
  <c r="AL26" i="12"/>
  <c r="AL112" i="12" s="1"/>
  <c r="AN38" i="19"/>
  <c r="J40" i="19"/>
  <c r="AN40" i="19" s="1"/>
  <c r="J39" i="19"/>
  <c r="AN39" i="19" s="1"/>
  <c r="J24" i="12"/>
  <c r="AN16" i="12"/>
  <c r="K14" i="12"/>
  <c r="J11" i="18"/>
  <c r="I19" i="18"/>
  <c r="AM19" i="18" s="1"/>
  <c r="J15" i="18"/>
  <c r="I23" i="18"/>
  <c r="AM23" i="18" s="1"/>
  <c r="AH43" i="18"/>
  <c r="AH105" i="18" s="1"/>
  <c r="I21" i="18"/>
  <c r="AM21" i="18" s="1"/>
  <c r="J13" i="18"/>
  <c r="J20" i="18"/>
  <c r="J14" i="18"/>
  <c r="I22" i="18"/>
  <c r="AM22" i="18" s="1"/>
  <c r="F31" i="18"/>
  <c r="E33" i="8"/>
  <c r="E20" i="8"/>
  <c r="E24" i="8" s="1"/>
  <c r="E47" i="8" s="1"/>
  <c r="E48" i="8" s="1"/>
  <c r="AH24" i="8"/>
  <c r="A20" i="8"/>
  <c r="A22" i="8" s="1"/>
  <c r="A15" i="18"/>
  <c r="A16" i="18" s="1"/>
  <c r="E43" i="18"/>
  <c r="J56" i="16"/>
  <c r="J103" i="16" s="1"/>
  <c r="AI52" i="16"/>
  <c r="AI56" i="16" s="1"/>
  <c r="AI103" i="16" s="1"/>
  <c r="E56" i="16"/>
  <c r="E103" i="16" s="1"/>
  <c r="AK52" i="16"/>
  <c r="AK56" i="16" s="1"/>
  <c r="AK103" i="16" s="1"/>
  <c r="G56" i="16"/>
  <c r="G103" i="16" s="1"/>
  <c r="AJ52" i="16"/>
  <c r="AJ56" i="16" s="1"/>
  <c r="AJ103" i="16" s="1"/>
  <c r="F56" i="16"/>
  <c r="F103" i="16" s="1"/>
  <c r="AH52" i="16"/>
  <c r="AH56" i="16" s="1"/>
  <c r="AH103" i="16" s="1"/>
  <c r="D56" i="16"/>
  <c r="D103" i="16" s="1"/>
  <c r="D43" i="18"/>
  <c r="AJ28" i="17"/>
  <c r="AJ32" i="17" s="1"/>
  <c r="F32" i="17"/>
  <c r="AL28" i="17"/>
  <c r="H106" i="15"/>
  <c r="H112" i="15" s="1"/>
  <c r="G32" i="13"/>
  <c r="G34" i="13" s="1"/>
  <c r="K23" i="13"/>
  <c r="L23" i="13"/>
  <c r="AP29" i="17"/>
  <c r="AP30" i="17"/>
  <c r="AP28" i="17"/>
  <c r="A13" i="13" l="1"/>
  <c r="A18" i="13" s="1"/>
  <c r="AJ34" i="17"/>
  <c r="AJ105" i="17"/>
  <c r="E5" i="11"/>
  <c r="AM34" i="17"/>
  <c r="AM107" i="17" s="1"/>
  <c r="AM105" i="17"/>
  <c r="D5" i="11"/>
  <c r="F34" i="17"/>
  <c r="F105" i="17"/>
  <c r="I34" i="17"/>
  <c r="I107" i="17" s="1"/>
  <c r="I105" i="17"/>
  <c r="AI45" i="18"/>
  <c r="AI105" i="18"/>
  <c r="E45" i="18"/>
  <c r="E105" i="18"/>
  <c r="D45" i="18"/>
  <c r="D105" i="18"/>
  <c r="H112" i="2"/>
  <c r="G42" i="19"/>
  <c r="I112" i="10"/>
  <c r="I103" i="18"/>
  <c r="AM103" i="18"/>
  <c r="J112" i="10"/>
  <c r="AN112" i="10"/>
  <c r="R112" i="2"/>
  <c r="AN24" i="12"/>
  <c r="AN26" i="12" s="1"/>
  <c r="AN108" i="12"/>
  <c r="H112" i="10"/>
  <c r="I112" i="2"/>
  <c r="L112" i="2"/>
  <c r="AN20" i="18"/>
  <c r="AW110" i="2"/>
  <c r="AW22" i="2"/>
  <c r="K112" i="2"/>
  <c r="S22" i="2"/>
  <c r="S110" i="2"/>
  <c r="J112" i="2"/>
  <c r="AL112" i="10"/>
  <c r="AK38" i="19"/>
  <c r="AK42" i="19" s="1"/>
  <c r="AK44" i="19" s="1"/>
  <c r="D32" i="17"/>
  <c r="J26" i="12"/>
  <c r="J112" i="12" s="1"/>
  <c r="E32" i="17"/>
  <c r="AI28" i="17"/>
  <c r="AI32" i="17" s="1"/>
  <c r="AO32" i="17"/>
  <c r="AO56" i="16"/>
  <c r="H32" i="17"/>
  <c r="AL32" i="17"/>
  <c r="A17" i="15"/>
  <c r="F16" i="8"/>
  <c r="G38" i="8"/>
  <c r="AO42" i="19"/>
  <c r="AO44" i="19" s="1"/>
  <c r="K32" i="17"/>
  <c r="AL42" i="19"/>
  <c r="AL44" i="19" s="1"/>
  <c r="K42" i="19"/>
  <c r="K44" i="19" s="1"/>
  <c r="AH32" i="17"/>
  <c r="H42" i="19"/>
  <c r="H44" i="19" s="1"/>
  <c r="AP19" i="10"/>
  <c r="AP108" i="10" s="1"/>
  <c r="L17" i="10"/>
  <c r="P36" i="8"/>
  <c r="P38" i="8" s="1"/>
  <c r="P16" i="8"/>
  <c r="U36" i="8"/>
  <c r="U38" i="8" s="1"/>
  <c r="U16" i="8"/>
  <c r="X36" i="8"/>
  <c r="X16" i="8"/>
  <c r="Z36" i="8"/>
  <c r="Z38" i="8" s="1"/>
  <c r="Z16" i="8"/>
  <c r="R36" i="8"/>
  <c r="R38" i="8" s="1"/>
  <c r="R16" i="8"/>
  <c r="Q36" i="8"/>
  <c r="Q38" i="8" s="1"/>
  <c r="Q16" i="8"/>
  <c r="V36" i="8"/>
  <c r="V38" i="8" s="1"/>
  <c r="V16" i="8"/>
  <c r="Y36" i="8"/>
  <c r="Y38" i="8" s="1"/>
  <c r="Y16" i="8"/>
  <c r="W36" i="8"/>
  <c r="W16" i="8"/>
  <c r="S36" i="8"/>
  <c r="S38" i="8" s="1"/>
  <c r="S16" i="8"/>
  <c r="Q13" i="8"/>
  <c r="AA36" i="8"/>
  <c r="AA38" i="8" s="1"/>
  <c r="AA16" i="8"/>
  <c r="T36" i="8"/>
  <c r="T38" i="8" s="1"/>
  <c r="T16" i="8"/>
  <c r="H36" i="8"/>
  <c r="H16" i="8"/>
  <c r="H20" i="8" s="1"/>
  <c r="K56" i="16"/>
  <c r="K103" i="16" s="1"/>
  <c r="AK32" i="17"/>
  <c r="AN32" i="17"/>
  <c r="G32" i="17"/>
  <c r="I56" i="16"/>
  <c r="I103" i="16" s="1"/>
  <c r="AM52" i="16"/>
  <c r="AM56" i="16" s="1"/>
  <c r="H56" i="16"/>
  <c r="H103" i="16" s="1"/>
  <c r="AL56" i="16"/>
  <c r="J32" i="17"/>
  <c r="F42" i="19"/>
  <c r="F44" i="19" s="1"/>
  <c r="AJ42" i="19"/>
  <c r="AJ44" i="19" s="1"/>
  <c r="A34" i="19"/>
  <c r="A35" i="19" s="1"/>
  <c r="A36" i="19" s="1"/>
  <c r="D42" i="19"/>
  <c r="D44" i="19" s="1"/>
  <c r="AH38" i="19"/>
  <c r="AH42" i="19" s="1"/>
  <c r="AH44" i="19" s="1"/>
  <c r="AP56" i="16"/>
  <c r="L56" i="16"/>
  <c r="L103" i="16" s="1"/>
  <c r="K19" i="10"/>
  <c r="AO21" i="10"/>
  <c r="AO112" i="10" s="1"/>
  <c r="M14" i="10"/>
  <c r="AQ14" i="10" s="1"/>
  <c r="L12" i="10"/>
  <c r="A13" i="12"/>
  <c r="A14" i="12" s="1"/>
  <c r="A16" i="12" s="1"/>
  <c r="Y13" i="8"/>
  <c r="X13" i="8"/>
  <c r="X38" i="8"/>
  <c r="R13" i="8"/>
  <c r="AA13" i="8"/>
  <c r="Z13" i="8"/>
  <c r="P13" i="8"/>
  <c r="F36" i="8"/>
  <c r="F38" i="8" s="1"/>
  <c r="F31" i="8"/>
  <c r="U13" i="8"/>
  <c r="S13" i="8"/>
  <c r="T13" i="8"/>
  <c r="H13" i="8"/>
  <c r="H37" i="8"/>
  <c r="W13" i="8"/>
  <c r="E31" i="8"/>
  <c r="AI16" i="8"/>
  <c r="AI20" i="8" s="1"/>
  <c r="V13" i="8"/>
  <c r="W38" i="8"/>
  <c r="I18" i="8"/>
  <c r="J58" i="16"/>
  <c r="J105" i="16" s="1"/>
  <c r="D58" i="16"/>
  <c r="D105" i="16" s="1"/>
  <c r="G58" i="16"/>
  <c r="G105" i="16" s="1"/>
  <c r="F58" i="16"/>
  <c r="F105" i="16" s="1"/>
  <c r="H3" i="8"/>
  <c r="G53" i="8"/>
  <c r="H54" i="8"/>
  <c r="A12" i="16"/>
  <c r="AP42" i="19"/>
  <c r="AP44" i="19" s="1"/>
  <c r="AM42" i="19"/>
  <c r="AM44" i="19" s="1"/>
  <c r="L42" i="19"/>
  <c r="L44" i="19" s="1"/>
  <c r="I42" i="19"/>
  <c r="I44" i="19" s="1"/>
  <c r="A11" i="17"/>
  <c r="U11" i="2"/>
  <c r="U13" i="2" s="1"/>
  <c r="T20" i="2"/>
  <c r="AX13" i="2"/>
  <c r="AX20" i="2" s="1"/>
  <c r="M14" i="12"/>
  <c r="BA17" i="12"/>
  <c r="BC18" i="12"/>
  <c r="AH58" i="16"/>
  <c r="AH105" i="16" s="1"/>
  <c r="AN58" i="16"/>
  <c r="AN105" i="16" s="1"/>
  <c r="G44" i="19"/>
  <c r="AI42" i="19"/>
  <c r="AI44" i="19" s="1"/>
  <c r="E42" i="19"/>
  <c r="E44" i="19" s="1"/>
  <c r="E58" i="16"/>
  <c r="E105" i="16" s="1"/>
  <c r="AP32" i="17"/>
  <c r="AP105" i="17" s="1"/>
  <c r="AN42" i="19"/>
  <c r="J42" i="19"/>
  <c r="K24" i="12"/>
  <c r="AO16" i="12"/>
  <c r="L14" i="12"/>
  <c r="K14" i="18"/>
  <c r="J22" i="18"/>
  <c r="AN22" i="18" s="1"/>
  <c r="A18" i="18"/>
  <c r="K20" i="18"/>
  <c r="K13" i="18"/>
  <c r="J21" i="18"/>
  <c r="AN21" i="18" s="1"/>
  <c r="K15" i="18"/>
  <c r="J23" i="18"/>
  <c r="AN23" i="18" s="1"/>
  <c r="F41" i="18"/>
  <c r="AJ41" i="18" s="1"/>
  <c r="F39" i="18"/>
  <c r="F40" i="18"/>
  <c r="AJ40" i="18" s="1"/>
  <c r="K11" i="18"/>
  <c r="J19" i="18"/>
  <c r="AN19" i="18" s="1"/>
  <c r="AL18" i="8"/>
  <c r="H33" i="8"/>
  <c r="A24" i="8"/>
  <c r="L32" i="17"/>
  <c r="AJ58" i="16"/>
  <c r="AK58" i="16"/>
  <c r="AK105" i="16" s="1"/>
  <c r="AI58" i="16"/>
  <c r="AI105" i="16" s="1"/>
  <c r="I106" i="15"/>
  <c r="I112" i="15" s="1"/>
  <c r="H32" i="13"/>
  <c r="H34" i="13" s="1"/>
  <c r="A19" i="13" l="1"/>
  <c r="A20" i="13" s="1"/>
  <c r="A21" i="13" s="1"/>
  <c r="AN34" i="17"/>
  <c r="AN107" i="17" s="1"/>
  <c r="AN105" i="17"/>
  <c r="K34" i="17"/>
  <c r="K105" i="17"/>
  <c r="D34" i="17"/>
  <c r="D105" i="17"/>
  <c r="F107" i="17"/>
  <c r="AK34" i="17"/>
  <c r="AK105" i="17"/>
  <c r="D7" i="11"/>
  <c r="D9" i="11" s="1"/>
  <c r="E34" i="17"/>
  <c r="E107" i="17" s="1"/>
  <c r="E105" i="17"/>
  <c r="E7" i="11" s="1"/>
  <c r="E9" i="11" s="1"/>
  <c r="AI34" i="17"/>
  <c r="AI107" i="17" s="1"/>
  <c r="AI105" i="17"/>
  <c r="AI7" i="11" s="1"/>
  <c r="AI9" i="11" s="1"/>
  <c r="AL34" i="17"/>
  <c r="AL105" i="17"/>
  <c r="AH34" i="17"/>
  <c r="AH105" i="17"/>
  <c r="AH7" i="11" s="1"/>
  <c r="AH9" i="11" s="1"/>
  <c r="G34" i="17"/>
  <c r="G105" i="17"/>
  <c r="J34" i="17"/>
  <c r="J105" i="17"/>
  <c r="H34" i="17"/>
  <c r="H105" i="17"/>
  <c r="L34" i="17"/>
  <c r="L105" i="17"/>
  <c r="AO34" i="17"/>
  <c r="AO105" i="17"/>
  <c r="AJ107" i="17"/>
  <c r="D107" i="18"/>
  <c r="E107" i="18"/>
  <c r="AI50" i="18"/>
  <c r="AI107" i="18"/>
  <c r="AO24" i="12"/>
  <c r="AO108" i="12"/>
  <c r="H24" i="8"/>
  <c r="H108" i="8"/>
  <c r="H5" i="11" s="1"/>
  <c r="S112" i="2"/>
  <c r="AN112" i="12"/>
  <c r="AX110" i="2"/>
  <c r="AX22" i="2"/>
  <c r="AJ105" i="16"/>
  <c r="T22" i="2"/>
  <c r="T110" i="2"/>
  <c r="AL58" i="16"/>
  <c r="AL103" i="16"/>
  <c r="AO58" i="16"/>
  <c r="AO103" i="16"/>
  <c r="AO20" i="18"/>
  <c r="AM58" i="16"/>
  <c r="AM103" i="16"/>
  <c r="AW112" i="2"/>
  <c r="K21" i="10"/>
  <c r="K108" i="10"/>
  <c r="J103" i="18"/>
  <c r="L105" i="16"/>
  <c r="AN103" i="18"/>
  <c r="AP58" i="16"/>
  <c r="AP103" i="16"/>
  <c r="K58" i="16"/>
  <c r="K105" i="16" s="1"/>
  <c r="H58" i="16"/>
  <c r="H105" i="16" s="1"/>
  <c r="I58" i="16"/>
  <c r="I105" i="16" s="1"/>
  <c r="L58" i="16"/>
  <c r="K26" i="12"/>
  <c r="K112" i="12" s="1"/>
  <c r="A18" i="15"/>
  <c r="H38" i="8"/>
  <c r="AQ19" i="10"/>
  <c r="AQ108" i="10" s="1"/>
  <c r="M17" i="10"/>
  <c r="I36" i="8"/>
  <c r="I16" i="8"/>
  <c r="AM16" i="8" s="1"/>
  <c r="A37" i="19"/>
  <c r="A38" i="19" s="1"/>
  <c r="A39" i="19" s="1"/>
  <c r="L19" i="10"/>
  <c r="AP21" i="10"/>
  <c r="AP112" i="10" s="1"/>
  <c r="M12" i="10"/>
  <c r="N14" i="10"/>
  <c r="AR14" i="10" s="1"/>
  <c r="AI24" i="8"/>
  <c r="I13" i="8"/>
  <c r="I37" i="8"/>
  <c r="J18" i="8"/>
  <c r="H31" i="8"/>
  <c r="AL16" i="8"/>
  <c r="AL20" i="8" s="1"/>
  <c r="AL108" i="8" s="1"/>
  <c r="AL5" i="11" s="1"/>
  <c r="L20" i="18"/>
  <c r="I3" i="8"/>
  <c r="H53" i="8"/>
  <c r="I54" i="8"/>
  <c r="A13" i="16"/>
  <c r="A13" i="17"/>
  <c r="V11" i="2"/>
  <c r="V13" i="2" s="1"/>
  <c r="U20" i="2"/>
  <c r="AY13" i="2"/>
  <c r="AY20" i="2" s="1"/>
  <c r="A17" i="12"/>
  <c r="A18" i="12" s="1"/>
  <c r="BB17" i="12"/>
  <c r="BD18" i="12"/>
  <c r="BE18" i="12"/>
  <c r="AQ16" i="12"/>
  <c r="AQ108" i="12" s="1"/>
  <c r="M24" i="12"/>
  <c r="M26" i="12" s="1"/>
  <c r="M112" i="12" s="1"/>
  <c r="N14" i="12"/>
  <c r="AP34" i="17"/>
  <c r="AP107" i="17" s="1"/>
  <c r="J44" i="19"/>
  <c r="AN44" i="19"/>
  <c r="I33" i="8"/>
  <c r="AM18" i="8"/>
  <c r="AO26" i="12"/>
  <c r="AO112" i="12" s="1"/>
  <c r="L24" i="12"/>
  <c r="AP16" i="12"/>
  <c r="L14" i="18"/>
  <c r="K22" i="18"/>
  <c r="AO22" i="18" s="1"/>
  <c r="L15" i="18"/>
  <c r="K23" i="18"/>
  <c r="AO23" i="18" s="1"/>
  <c r="A19" i="18"/>
  <c r="AJ39" i="18"/>
  <c r="AJ43" i="18" s="1"/>
  <c r="AJ105" i="18" s="1"/>
  <c r="AJ7" i="11" s="1"/>
  <c r="AJ9" i="11" s="1"/>
  <c r="F43" i="18"/>
  <c r="F105" i="18" s="1"/>
  <c r="F7" i="11" s="1"/>
  <c r="F9" i="11" s="1"/>
  <c r="L11" i="18"/>
  <c r="K19" i="18"/>
  <c r="AO19" i="18" s="1"/>
  <c r="L13" i="18"/>
  <c r="K21" i="18"/>
  <c r="AO21" i="18" s="1"/>
  <c r="J106" i="15"/>
  <c r="J112" i="15" s="1"/>
  <c r="I32" i="13"/>
  <c r="I34" i="13" s="1"/>
  <c r="A23" i="13" l="1"/>
  <c r="J107" i="17"/>
  <c r="AK107" i="17"/>
  <c r="G107" i="17"/>
  <c r="AH107" i="17"/>
  <c r="D107" i="17"/>
  <c r="AO107" i="17"/>
  <c r="AL107" i="17"/>
  <c r="K107" i="17"/>
  <c r="H107" i="17"/>
  <c r="L107" i="17"/>
  <c r="K112" i="10"/>
  <c r="AO105" i="16"/>
  <c r="AP105" i="16"/>
  <c r="AM105" i="16"/>
  <c r="AP20" i="18"/>
  <c r="AX112" i="2"/>
  <c r="AY110" i="2"/>
  <c r="AY22" i="2"/>
  <c r="U22" i="2"/>
  <c r="U112" i="2" s="1"/>
  <c r="U110" i="2"/>
  <c r="AL105" i="16"/>
  <c r="H47" i="8"/>
  <c r="H112" i="8"/>
  <c r="AP24" i="12"/>
  <c r="AP108" i="12"/>
  <c r="AO103" i="18"/>
  <c r="T112" i="2"/>
  <c r="L21" i="10"/>
  <c r="L108" i="10"/>
  <c r="K103" i="18"/>
  <c r="L26" i="12"/>
  <c r="L112" i="12" s="1"/>
  <c r="A19" i="15"/>
  <c r="I38" i="8"/>
  <c r="AR19" i="10"/>
  <c r="AR108" i="10" s="1"/>
  <c r="N17" i="10"/>
  <c r="J36" i="8"/>
  <c r="J16" i="8"/>
  <c r="AN16" i="8" s="1"/>
  <c r="AQ24" i="12"/>
  <c r="AQ26" i="12" s="1"/>
  <c r="AQ112" i="12" s="1"/>
  <c r="A40" i="19"/>
  <c r="A42" i="19" s="1"/>
  <c r="AQ21" i="10"/>
  <c r="AQ112" i="10" s="1"/>
  <c r="M19" i="10"/>
  <c r="N12" i="10"/>
  <c r="O14" i="10"/>
  <c r="AS14" i="10" s="1"/>
  <c r="A19" i="12"/>
  <c r="A20" i="12" s="1"/>
  <c r="A21" i="12" s="1"/>
  <c r="A22" i="12"/>
  <c r="A24" i="12" s="1"/>
  <c r="A26" i="12" s="1"/>
  <c r="J13" i="8"/>
  <c r="J37" i="8"/>
  <c r="K18" i="8"/>
  <c r="AM20" i="8"/>
  <c r="I20" i="8"/>
  <c r="L23" i="18"/>
  <c r="AP23" i="18" s="1"/>
  <c r="M15" i="18"/>
  <c r="L21" i="18"/>
  <c r="AP21" i="18" s="1"/>
  <c r="M13" i="18"/>
  <c r="M20" i="18"/>
  <c r="L22" i="18"/>
  <c r="AP22" i="18" s="1"/>
  <c r="M14" i="18"/>
  <c r="L19" i="18"/>
  <c r="AP19" i="18" s="1"/>
  <c r="M11" i="18"/>
  <c r="J3" i="8"/>
  <c r="I53" i="8"/>
  <c r="J54" i="8"/>
  <c r="I31" i="8"/>
  <c r="A14" i="16"/>
  <c r="A16" i="17"/>
  <c r="V20" i="2"/>
  <c r="AZ13" i="2"/>
  <c r="AZ20" i="2" s="1"/>
  <c r="W11" i="2"/>
  <c r="W13" i="2" s="1"/>
  <c r="BC17" i="12"/>
  <c r="O14" i="12"/>
  <c r="AR16" i="12"/>
  <c r="AR108" i="12" s="1"/>
  <c r="N24" i="12"/>
  <c r="N26" i="12" s="1"/>
  <c r="N112" i="12" s="1"/>
  <c r="F45" i="18"/>
  <c r="F107" i="18" s="1"/>
  <c r="AL24" i="8"/>
  <c r="J33" i="8"/>
  <c r="AN18" i="8"/>
  <c r="AP26" i="12"/>
  <c r="A20" i="18"/>
  <c r="K106" i="15"/>
  <c r="K112" i="15" s="1"/>
  <c r="J32" i="13"/>
  <c r="J34" i="13" s="1"/>
  <c r="A27" i="13" l="1"/>
  <c r="A28" i="13" s="1"/>
  <c r="AP112" i="12"/>
  <c r="L112" i="10"/>
  <c r="M21" i="10"/>
  <c r="M108" i="10"/>
  <c r="M112" i="10" s="1"/>
  <c r="I24" i="8"/>
  <c r="I108" i="8"/>
  <c r="I5" i="11" s="1"/>
  <c r="AM24" i="8"/>
  <c r="AM108" i="8"/>
  <c r="AM5" i="11" s="1"/>
  <c r="L103" i="18"/>
  <c r="AL112" i="8"/>
  <c r="AP103" i="18"/>
  <c r="AY112" i="2"/>
  <c r="AQ20" i="18"/>
  <c r="AZ110" i="2"/>
  <c r="AZ22" i="2"/>
  <c r="AZ112" i="2" s="1"/>
  <c r="V22" i="2"/>
  <c r="V110" i="2"/>
  <c r="A20" i="15"/>
  <c r="A21" i="15" s="1"/>
  <c r="J38" i="8"/>
  <c r="AS19" i="10"/>
  <c r="AS108" i="10" s="1"/>
  <c r="O17" i="10"/>
  <c r="K36" i="8"/>
  <c r="K16" i="8"/>
  <c r="AO16" i="8" s="1"/>
  <c r="AR24" i="12"/>
  <c r="AR26" i="12" s="1"/>
  <c r="AR112" i="12" s="1"/>
  <c r="A44" i="19"/>
  <c r="AR21" i="10"/>
  <c r="AR112" i="10" s="1"/>
  <c r="N19" i="10"/>
  <c r="O12" i="10"/>
  <c r="P14" i="10"/>
  <c r="AT14" i="10" s="1"/>
  <c r="M18" i="8"/>
  <c r="K13" i="8"/>
  <c r="K37" i="8"/>
  <c r="AO18" i="8"/>
  <c r="L18" i="8"/>
  <c r="J31" i="8"/>
  <c r="J20" i="8"/>
  <c r="AN20" i="8"/>
  <c r="L106" i="15"/>
  <c r="L112" i="15" s="1"/>
  <c r="N13" i="18"/>
  <c r="M21" i="18"/>
  <c r="AQ21" i="18" s="1"/>
  <c r="N20" i="18"/>
  <c r="N14" i="18"/>
  <c r="M22" i="18"/>
  <c r="AQ22" i="18" s="1"/>
  <c r="N11" i="18"/>
  <c r="M19" i="18"/>
  <c r="AQ19" i="18" s="1"/>
  <c r="N15" i="18"/>
  <c r="M23" i="18"/>
  <c r="AQ23" i="18" s="1"/>
  <c r="K3" i="8"/>
  <c r="J53" i="8"/>
  <c r="K54" i="8"/>
  <c r="A15" i="16"/>
  <c r="A18" i="17"/>
  <c r="A20" i="17" s="1"/>
  <c r="A24" i="17" s="1"/>
  <c r="X11" i="2"/>
  <c r="X13" i="2" s="1"/>
  <c r="W20" i="2"/>
  <c r="BA13" i="2"/>
  <c r="BA20" i="2" s="1"/>
  <c r="O24" i="12"/>
  <c r="O26" i="12" s="1"/>
  <c r="O112" i="12" s="1"/>
  <c r="AS16" i="12"/>
  <c r="AS108" i="12" s="1"/>
  <c r="P14" i="12"/>
  <c r="BD17" i="12"/>
  <c r="BE17" i="12"/>
  <c r="A21" i="18"/>
  <c r="K32" i="13"/>
  <c r="K34" i="13" s="1"/>
  <c r="L32" i="13"/>
  <c r="L34" i="13" s="1"/>
  <c r="A29" i="13" l="1"/>
  <c r="A30" i="13" s="1"/>
  <c r="A32" i="13" s="1"/>
  <c r="N21" i="10"/>
  <c r="N108" i="10"/>
  <c r="N112" i="10" s="1"/>
  <c r="V112" i="2"/>
  <c r="AR20" i="18"/>
  <c r="BA110" i="2"/>
  <c r="BA22" i="2"/>
  <c r="AN24" i="8"/>
  <c r="AN108" i="8"/>
  <c r="AM112" i="8"/>
  <c r="W22" i="2"/>
  <c r="W110" i="2"/>
  <c r="M103" i="18"/>
  <c r="AQ103" i="18"/>
  <c r="I112" i="8"/>
  <c r="J24" i="8"/>
  <c r="J108" i="8"/>
  <c r="A22" i="15"/>
  <c r="K38" i="8"/>
  <c r="AT19" i="10"/>
  <c r="AT108" i="10" s="1"/>
  <c r="P17" i="10"/>
  <c r="L36" i="8"/>
  <c r="L16" i="8"/>
  <c r="AP16" i="8" s="1"/>
  <c r="M36" i="8"/>
  <c r="M16" i="8"/>
  <c r="AS24" i="12"/>
  <c r="AS26" i="12" s="1"/>
  <c r="AS112" i="12" s="1"/>
  <c r="P12" i="10"/>
  <c r="Q14" i="10"/>
  <c r="AU14" i="10" s="1"/>
  <c r="AS21" i="10"/>
  <c r="AS112" i="10" s="1"/>
  <c r="O19" i="10"/>
  <c r="AO20" i="8"/>
  <c r="M37" i="8"/>
  <c r="M13" i="8"/>
  <c r="N18" i="8"/>
  <c r="L13" i="8"/>
  <c r="L37" i="8"/>
  <c r="L38" i="8" s="1"/>
  <c r="K20" i="8"/>
  <c r="K31" i="8"/>
  <c r="M106" i="15"/>
  <c r="M112" i="15" s="1"/>
  <c r="N22" i="18"/>
  <c r="AR22" i="18" s="1"/>
  <c r="O14" i="18"/>
  <c r="O15" i="18"/>
  <c r="N23" i="18"/>
  <c r="AR23" i="18" s="1"/>
  <c r="O11" i="18"/>
  <c r="N19" i="18"/>
  <c r="AR19" i="18" s="1"/>
  <c r="O20" i="18"/>
  <c r="O13" i="18"/>
  <c r="N21" i="18"/>
  <c r="AR21" i="18" s="1"/>
  <c r="A25" i="17"/>
  <c r="A26" i="17" s="1"/>
  <c r="A27" i="17" s="1"/>
  <c r="A28" i="17" s="1"/>
  <c r="A29" i="17" s="1"/>
  <c r="A30" i="17" s="1"/>
  <c r="A32" i="17" s="1"/>
  <c r="A34" i="17" s="1"/>
  <c r="A103" i="17" s="1"/>
  <c r="A105" i="17" s="1"/>
  <c r="L3" i="8"/>
  <c r="K53" i="8"/>
  <c r="L54" i="8"/>
  <c r="X20" i="2"/>
  <c r="BB13" i="2"/>
  <c r="BB20" i="2" s="1"/>
  <c r="Y11" i="2"/>
  <c r="Y13" i="2" s="1"/>
  <c r="Q14" i="12"/>
  <c r="P24" i="12"/>
  <c r="P26" i="12" s="1"/>
  <c r="P112" i="12" s="1"/>
  <c r="AT16" i="12"/>
  <c r="AT108" i="12" s="1"/>
  <c r="L33" i="8"/>
  <c r="AP18" i="8"/>
  <c r="A22" i="18"/>
  <c r="BA112" i="2" l="1"/>
  <c r="AO24" i="8"/>
  <c r="AO108" i="8"/>
  <c r="AN112" i="8"/>
  <c r="AN5" i="11"/>
  <c r="N103" i="18"/>
  <c r="AR103" i="18"/>
  <c r="X22" i="2"/>
  <c r="X110" i="2"/>
  <c r="J112" i="8"/>
  <c r="J5" i="11"/>
  <c r="BB22" i="2"/>
  <c r="BB112" i="2" s="1"/>
  <c r="BB110" i="2"/>
  <c r="O21" i="10"/>
  <c r="O108" i="10"/>
  <c r="K24" i="8"/>
  <c r="K108" i="8"/>
  <c r="W112" i="2"/>
  <c r="AS20" i="18"/>
  <c r="A23" i="15"/>
  <c r="M38" i="8"/>
  <c r="AU19" i="10"/>
  <c r="AU108" i="10" s="1"/>
  <c r="Q17" i="10"/>
  <c r="N36" i="8"/>
  <c r="N16" i="8"/>
  <c r="AT24" i="12"/>
  <c r="AT26" i="12" s="1"/>
  <c r="AT112" i="12" s="1"/>
  <c r="Q12" i="10"/>
  <c r="R14" i="10"/>
  <c r="AV14" i="10" s="1"/>
  <c r="AT21" i="10"/>
  <c r="AT112" i="10" s="1"/>
  <c r="P19" i="10"/>
  <c r="N37" i="8"/>
  <c r="N13" i="8"/>
  <c r="O18" i="8"/>
  <c r="AP20" i="8"/>
  <c r="AP108" i="8" s="1"/>
  <c r="N106" i="15"/>
  <c r="N112" i="15" s="1"/>
  <c r="P11" i="18"/>
  <c r="O19" i="18"/>
  <c r="AS19" i="18" s="1"/>
  <c r="P20" i="18"/>
  <c r="P15" i="18"/>
  <c r="O23" i="18"/>
  <c r="AS23" i="18" s="1"/>
  <c r="P13" i="18"/>
  <c r="O21" i="18"/>
  <c r="AS21" i="18" s="1"/>
  <c r="P14" i="18"/>
  <c r="O22" i="18"/>
  <c r="AS22" i="18" s="1"/>
  <c r="L53" i="8"/>
  <c r="M3" i="8"/>
  <c r="M33" i="8"/>
  <c r="AR18" i="8"/>
  <c r="L31" i="8"/>
  <c r="M54" i="8"/>
  <c r="M58" i="8" s="1"/>
  <c r="L20" i="8"/>
  <c r="Z11" i="2"/>
  <c r="Z13" i="2" s="1"/>
  <c r="AA11" i="2"/>
  <c r="AA13" i="2" s="1"/>
  <c r="Y20" i="2"/>
  <c r="BC13" i="2"/>
  <c r="BC20" i="2" s="1"/>
  <c r="AU16" i="12"/>
  <c r="AU108" i="12" s="1"/>
  <c r="Q24" i="12"/>
  <c r="Q26" i="12" s="1"/>
  <c r="Q112" i="12" s="1"/>
  <c r="R14" i="12"/>
  <c r="A34" i="13"/>
  <c r="A97" i="13" s="1"/>
  <c r="A99" i="13" s="1"/>
  <c r="A23" i="18"/>
  <c r="X112" i="2" l="1"/>
  <c r="O112" i="10"/>
  <c r="O103" i="18"/>
  <c r="P21" i="10"/>
  <c r="P108" i="10"/>
  <c r="AS103" i="18"/>
  <c r="K112" i="8"/>
  <c r="K5" i="11"/>
  <c r="BC22" i="2"/>
  <c r="BC110" i="2"/>
  <c r="AT20" i="18"/>
  <c r="L24" i="8"/>
  <c r="L108" i="8"/>
  <c r="AO112" i="8"/>
  <c r="AO5" i="11"/>
  <c r="AP5" i="11"/>
  <c r="Y22" i="2"/>
  <c r="Y110" i="2"/>
  <c r="A24" i="15"/>
  <c r="N38" i="8"/>
  <c r="AV19" i="10"/>
  <c r="AV108" i="10" s="1"/>
  <c r="R17" i="10"/>
  <c r="O36" i="8"/>
  <c r="O16" i="8"/>
  <c r="AU24" i="12"/>
  <c r="AU26" i="12" s="1"/>
  <c r="AU112" i="12" s="1"/>
  <c r="R12" i="10"/>
  <c r="S14" i="10"/>
  <c r="AW14" i="10" s="1"/>
  <c r="AU21" i="10"/>
  <c r="AU112" i="10" s="1"/>
  <c r="Q19" i="10"/>
  <c r="O37" i="8"/>
  <c r="O13" i="8"/>
  <c r="AP24" i="8"/>
  <c r="AP112" i="8" s="1"/>
  <c r="O106" i="15"/>
  <c r="O112" i="15" s="1"/>
  <c r="P23" i="18"/>
  <c r="AT23" i="18" s="1"/>
  <c r="Q15" i="18"/>
  <c r="P22" i="18"/>
  <c r="AT22" i="18" s="1"/>
  <c r="Q14" i="18"/>
  <c r="Q11" i="18"/>
  <c r="P19" i="18"/>
  <c r="AT19" i="18" s="1"/>
  <c r="Q20" i="18"/>
  <c r="P21" i="18"/>
  <c r="AT21" i="18" s="1"/>
  <c r="Q13" i="18"/>
  <c r="M53" i="8"/>
  <c r="N3" i="8"/>
  <c r="AQ18" i="8"/>
  <c r="N54" i="8"/>
  <c r="N33" i="8"/>
  <c r="M31" i="8"/>
  <c r="AQ16" i="8"/>
  <c r="M20" i="8"/>
  <c r="AA20" i="2"/>
  <c r="BE13" i="2"/>
  <c r="BE20" i="2" s="1"/>
  <c r="Z20" i="2"/>
  <c r="BD13" i="2"/>
  <c r="BD20" i="2" s="1"/>
  <c r="S14" i="12"/>
  <c r="AV16" i="12"/>
  <c r="AV108" i="12" s="1"/>
  <c r="R24" i="12"/>
  <c r="R26" i="12" s="1"/>
  <c r="R112" i="12" s="1"/>
  <c r="A24" i="18"/>
  <c r="BC112" i="2" l="1"/>
  <c r="BD22" i="2"/>
  <c r="BD110" i="2"/>
  <c r="Y112" i="2"/>
  <c r="P103" i="18"/>
  <c r="Z22" i="2"/>
  <c r="Z110" i="2"/>
  <c r="Q21" i="10"/>
  <c r="Q108" i="10"/>
  <c r="AT103" i="18"/>
  <c r="M24" i="8"/>
  <c r="M108" i="8"/>
  <c r="AU20" i="18"/>
  <c r="AA22" i="2"/>
  <c r="AA110" i="2"/>
  <c r="P112" i="10"/>
  <c r="L112" i="8"/>
  <c r="L5" i="11"/>
  <c r="BE22" i="2"/>
  <c r="BE110" i="2"/>
  <c r="A25" i="15"/>
  <c r="A29" i="15" s="1"/>
  <c r="O38" i="8"/>
  <c r="AW19" i="10"/>
  <c r="AW108" i="10" s="1"/>
  <c r="S17" i="10"/>
  <c r="AV24" i="12"/>
  <c r="AV26" i="12" s="1"/>
  <c r="AV112" i="12" s="1"/>
  <c r="AV21" i="10"/>
  <c r="AV112" i="10" s="1"/>
  <c r="R19" i="10"/>
  <c r="S12" i="10"/>
  <c r="T14" i="10"/>
  <c r="AX14" i="10" s="1"/>
  <c r="AQ20" i="8"/>
  <c r="P106" i="15"/>
  <c r="P112" i="15" s="1"/>
  <c r="Q19" i="18"/>
  <c r="AU19" i="18" s="1"/>
  <c r="R11" i="18"/>
  <c r="R20" i="18"/>
  <c r="R14" i="18"/>
  <c r="Q22" i="18"/>
  <c r="AU22" i="18" s="1"/>
  <c r="R15" i="18"/>
  <c r="Q23" i="18"/>
  <c r="AU23" i="18" s="1"/>
  <c r="R13" i="18"/>
  <c r="Q21" i="18"/>
  <c r="AU21" i="18" s="1"/>
  <c r="N53" i="8"/>
  <c r="O3" i="8"/>
  <c r="O54" i="8"/>
  <c r="O33" i="8"/>
  <c r="AS18" i="8"/>
  <c r="AR16" i="8"/>
  <c r="AR20" i="8" s="1"/>
  <c r="N20" i="8"/>
  <c r="N31" i="8"/>
  <c r="A16" i="16"/>
  <c r="A18" i="16" s="1"/>
  <c r="T14" i="12"/>
  <c r="S24" i="12"/>
  <c r="S26" i="12" s="1"/>
  <c r="S112" i="12" s="1"/>
  <c r="AW16" i="12"/>
  <c r="AW108" i="12" s="1"/>
  <c r="A27" i="18"/>
  <c r="A29" i="18" s="1"/>
  <c r="A31" i="18" s="1"/>
  <c r="A7" i="3"/>
  <c r="Q112" i="10" l="1"/>
  <c r="BE112" i="2"/>
  <c r="M112" i="8"/>
  <c r="M5" i="11"/>
  <c r="AQ24" i="8"/>
  <c r="AQ108" i="8"/>
  <c r="Z112" i="2"/>
  <c r="AA112" i="2"/>
  <c r="R21" i="10"/>
  <c r="R108" i="10"/>
  <c r="AW112" i="10"/>
  <c r="AV20" i="18"/>
  <c r="Q103" i="18"/>
  <c r="N24" i="8"/>
  <c r="N108" i="8"/>
  <c r="AR24" i="8"/>
  <c r="AR108" i="8"/>
  <c r="AU103" i="18"/>
  <c r="BD112" i="2"/>
  <c r="A21" i="16"/>
  <c r="A30" i="15"/>
  <c r="AX19" i="10"/>
  <c r="AX108" i="10" s="1"/>
  <c r="T17" i="10"/>
  <c r="AW24" i="12"/>
  <c r="AW26" i="12" s="1"/>
  <c r="AW112" i="12" s="1"/>
  <c r="AW21" i="10"/>
  <c r="S19" i="10"/>
  <c r="T12" i="10"/>
  <c r="U14" i="10"/>
  <c r="AY14" i="10" s="1"/>
  <c r="Q106" i="15"/>
  <c r="Q112" i="15" s="1"/>
  <c r="S20" i="18"/>
  <c r="S15" i="18"/>
  <c r="R23" i="18"/>
  <c r="AV23" i="18" s="1"/>
  <c r="R21" i="18"/>
  <c r="AV21" i="18" s="1"/>
  <c r="S13" i="18"/>
  <c r="S11" i="18"/>
  <c r="R19" i="18"/>
  <c r="AV19" i="18" s="1"/>
  <c r="R22" i="18"/>
  <c r="AV22" i="18" s="1"/>
  <c r="S14" i="18"/>
  <c r="P3" i="8"/>
  <c r="O53" i="8"/>
  <c r="AS16" i="8"/>
  <c r="AS20" i="8" s="1"/>
  <c r="O31" i="8"/>
  <c r="O20" i="8"/>
  <c r="AT18" i="8"/>
  <c r="P33" i="8"/>
  <c r="P54" i="8"/>
  <c r="AX16" i="12"/>
  <c r="AX108" i="12" s="1"/>
  <c r="T24" i="12"/>
  <c r="T26" i="12" s="1"/>
  <c r="T112" i="12" s="1"/>
  <c r="U14" i="12"/>
  <c r="A35" i="18"/>
  <c r="A36" i="18" s="1"/>
  <c r="A37" i="18" s="1"/>
  <c r="A38" i="18" s="1"/>
  <c r="A39" i="18" s="1"/>
  <c r="A40" i="18" s="1"/>
  <c r="A9" i="3"/>
  <c r="A12" i="3" s="1"/>
  <c r="R112" i="10" l="1"/>
  <c r="AS24" i="8"/>
  <c r="AS108" i="8"/>
  <c r="O24" i="8"/>
  <c r="O108" i="8"/>
  <c r="AR112" i="8"/>
  <c r="AR5" i="11"/>
  <c r="AQ112" i="8"/>
  <c r="AQ5" i="11"/>
  <c r="R103" i="18"/>
  <c r="AW20" i="18"/>
  <c r="N112" i="8"/>
  <c r="N5" i="11"/>
  <c r="S21" i="10"/>
  <c r="S112" i="10" s="1"/>
  <c r="S108" i="10"/>
  <c r="AV103" i="18"/>
  <c r="A22" i="16"/>
  <c r="A23" i="16" s="1"/>
  <c r="A24" i="16" s="1"/>
  <c r="A25" i="16" s="1"/>
  <c r="A26" i="16" s="1"/>
  <c r="A27" i="16" s="1"/>
  <c r="A28" i="16" s="1"/>
  <c r="A29" i="16" s="1"/>
  <c r="A30" i="16" s="1"/>
  <c r="A31" i="16" s="1"/>
  <c r="A31" i="15"/>
  <c r="AY19" i="10"/>
  <c r="AY108" i="10" s="1"/>
  <c r="U17" i="10"/>
  <c r="AX24" i="12"/>
  <c r="AX26" i="12" s="1"/>
  <c r="AX112" i="12" s="1"/>
  <c r="U12" i="10"/>
  <c r="V14" i="10"/>
  <c r="AZ14" i="10" s="1"/>
  <c r="T19" i="10"/>
  <c r="AX21" i="10"/>
  <c r="AX112" i="10" s="1"/>
  <c r="R106" i="15"/>
  <c r="R112" i="15" s="1"/>
  <c r="T11" i="18"/>
  <c r="S19" i="18"/>
  <c r="AW19" i="18" s="1"/>
  <c r="T13" i="18"/>
  <c r="S21" i="18"/>
  <c r="AW21" i="18" s="1"/>
  <c r="T20" i="18"/>
  <c r="T14" i="18"/>
  <c r="S22" i="18"/>
  <c r="AW22" i="18" s="1"/>
  <c r="S23" i="18"/>
  <c r="AW23" i="18" s="1"/>
  <c r="T15" i="18"/>
  <c r="Q3" i="8"/>
  <c r="P53" i="8"/>
  <c r="AT16" i="8"/>
  <c r="AT20" i="8" s="1"/>
  <c r="P31" i="8"/>
  <c r="P20" i="8"/>
  <c r="AU18" i="8"/>
  <c r="Q33" i="8"/>
  <c r="Q54" i="8"/>
  <c r="U24" i="12"/>
  <c r="U26" i="12" s="1"/>
  <c r="U112" i="12" s="1"/>
  <c r="AY16" i="12"/>
  <c r="AY108" i="12" s="1"/>
  <c r="V14" i="12"/>
  <c r="A41" i="18"/>
  <c r="A43" i="18" s="1"/>
  <c r="A45" i="18" s="1"/>
  <c r="A103" i="18" s="1"/>
  <c r="A105" i="18" s="1"/>
  <c r="A13" i="3"/>
  <c r="AW103" i="18" l="1"/>
  <c r="AX20" i="18"/>
  <c r="P24" i="8"/>
  <c r="P108" i="8"/>
  <c r="AT24" i="8"/>
  <c r="AT108" i="8"/>
  <c r="O112" i="8"/>
  <c r="O5" i="11"/>
  <c r="T21" i="10"/>
  <c r="T108" i="10"/>
  <c r="AS112" i="8"/>
  <c r="AS5" i="11"/>
  <c r="S103" i="18"/>
  <c r="A32" i="16"/>
  <c r="A33" i="16" s="1"/>
  <c r="A32" i="15"/>
  <c r="AZ19" i="10"/>
  <c r="AZ108" i="10" s="1"/>
  <c r="V17" i="10"/>
  <c r="AY24" i="12"/>
  <c r="AY26" i="12" s="1"/>
  <c r="AY112" i="12" s="1"/>
  <c r="U19" i="10"/>
  <c r="AY21" i="10"/>
  <c r="AY112" i="10" s="1"/>
  <c r="V12" i="10"/>
  <c r="W14" i="10"/>
  <c r="BA14" i="10" s="1"/>
  <c r="S106" i="15"/>
  <c r="S112" i="15" s="1"/>
  <c r="T23" i="18"/>
  <c r="AX23" i="18" s="1"/>
  <c r="U15" i="18"/>
  <c r="U14" i="18"/>
  <c r="T22" i="18"/>
  <c r="AX22" i="18" s="1"/>
  <c r="T21" i="18"/>
  <c r="AX21" i="18" s="1"/>
  <c r="U13" i="18"/>
  <c r="U20" i="18"/>
  <c r="T19" i="18"/>
  <c r="AX19" i="18" s="1"/>
  <c r="U11" i="18"/>
  <c r="R3" i="8"/>
  <c r="Q53" i="8"/>
  <c r="R54" i="8"/>
  <c r="R33" i="8"/>
  <c r="AV18" i="8"/>
  <c r="AU16" i="8"/>
  <c r="AU20" i="8" s="1"/>
  <c r="Q20" i="8"/>
  <c r="Q31" i="8"/>
  <c r="A34" i="16"/>
  <c r="V24" i="12"/>
  <c r="V26" i="12" s="1"/>
  <c r="V112" i="12" s="1"/>
  <c r="AZ16" i="12"/>
  <c r="AZ108" i="12" s="1"/>
  <c r="W14" i="12"/>
  <c r="A14" i="3"/>
  <c r="U21" i="10" l="1"/>
  <c r="U108" i="10"/>
  <c r="U112" i="10" s="1"/>
  <c r="Q24" i="8"/>
  <c r="Q108" i="8"/>
  <c r="AU24" i="8"/>
  <c r="AU108" i="8"/>
  <c r="P112" i="8"/>
  <c r="P5" i="11"/>
  <c r="T103" i="18"/>
  <c r="AY20" i="18"/>
  <c r="AT112" i="8"/>
  <c r="AT5" i="11"/>
  <c r="AX103" i="18"/>
  <c r="T112" i="10"/>
  <c r="A33" i="15"/>
  <c r="BA19" i="10"/>
  <c r="BA108" i="10" s="1"/>
  <c r="W17" i="10"/>
  <c r="AZ24" i="12"/>
  <c r="AZ26" i="12" s="1"/>
  <c r="AZ112" i="12" s="1"/>
  <c r="V19" i="10"/>
  <c r="AZ21" i="10"/>
  <c r="AZ112" i="10" s="1"/>
  <c r="W12" i="10"/>
  <c r="X14" i="10"/>
  <c r="BB14" i="10" s="1"/>
  <c r="T106" i="15"/>
  <c r="T112" i="15" s="1"/>
  <c r="V20" i="18"/>
  <c r="U21" i="18"/>
  <c r="AY21" i="18" s="1"/>
  <c r="V13" i="18"/>
  <c r="V11" i="18"/>
  <c r="U19" i="18"/>
  <c r="AY19" i="18" s="1"/>
  <c r="V14" i="18"/>
  <c r="U22" i="18"/>
  <c r="AY22" i="18" s="1"/>
  <c r="V15" i="18"/>
  <c r="U23" i="18"/>
  <c r="AY23" i="18" s="1"/>
  <c r="S3" i="8"/>
  <c r="R53" i="8"/>
  <c r="R31" i="8"/>
  <c r="AV16" i="8"/>
  <c r="AV20" i="8" s="1"/>
  <c r="R20" i="8"/>
  <c r="S54" i="8"/>
  <c r="AW18" i="8"/>
  <c r="S33" i="8"/>
  <c r="A35" i="16"/>
  <c r="W24" i="12"/>
  <c r="W26" i="12" s="1"/>
  <c r="W112" i="12" s="1"/>
  <c r="BA16" i="12"/>
  <c r="BA108" i="12" s="1"/>
  <c r="X14" i="12"/>
  <c r="A17" i="3"/>
  <c r="U103" i="18" l="1"/>
  <c r="AY103" i="18"/>
  <c r="AU112" i="8"/>
  <c r="AU5" i="11"/>
  <c r="Q112" i="8"/>
  <c r="Q5" i="11"/>
  <c r="V21" i="10"/>
  <c r="V108" i="10"/>
  <c r="R24" i="8"/>
  <c r="R108" i="8"/>
  <c r="R5" i="11" s="1"/>
  <c r="AV24" i="8"/>
  <c r="AV108" i="8"/>
  <c r="AV5" i="11" s="1"/>
  <c r="AZ20" i="18"/>
  <c r="A34" i="15"/>
  <c r="BB19" i="10"/>
  <c r="BB108" i="10" s="1"/>
  <c r="X17" i="10"/>
  <c r="BA24" i="12"/>
  <c r="BA26" i="12" s="1"/>
  <c r="BA112" i="12" s="1"/>
  <c r="X12" i="10"/>
  <c r="Y14" i="10"/>
  <c r="BC14" i="10" s="1"/>
  <c r="BA21" i="10"/>
  <c r="BA112" i="10" s="1"/>
  <c r="W19" i="10"/>
  <c r="U106" i="15"/>
  <c r="U112" i="15" s="1"/>
  <c r="V21" i="18"/>
  <c r="AZ21" i="18" s="1"/>
  <c r="W13" i="18"/>
  <c r="W11" i="18"/>
  <c r="V19" i="18"/>
  <c r="AZ19" i="18" s="1"/>
  <c r="W15" i="18"/>
  <c r="V23" i="18"/>
  <c r="AZ23" i="18" s="1"/>
  <c r="V22" i="18"/>
  <c r="AZ22" i="18" s="1"/>
  <c r="W14" i="18"/>
  <c r="W20" i="18"/>
  <c r="T3" i="8"/>
  <c r="S53" i="8"/>
  <c r="T54" i="8"/>
  <c r="AW16" i="8"/>
  <c r="AW20" i="8" s="1"/>
  <c r="S20" i="8"/>
  <c r="S31" i="8"/>
  <c r="T33" i="8"/>
  <c r="AX18" i="8"/>
  <c r="A36" i="16"/>
  <c r="Y14" i="12"/>
  <c r="BB16" i="12"/>
  <c r="BB108" i="12" s="1"/>
  <c r="X24" i="12"/>
  <c r="X26" i="12" s="1"/>
  <c r="X112" i="12" s="1"/>
  <c r="A18" i="3"/>
  <c r="AV112" i="8" l="1"/>
  <c r="V112" i="10"/>
  <c r="BA20" i="18"/>
  <c r="R112" i="8"/>
  <c r="V103" i="18"/>
  <c r="AZ103" i="18"/>
  <c r="S24" i="8"/>
  <c r="S108" i="8"/>
  <c r="S5" i="11" s="1"/>
  <c r="AW24" i="8"/>
  <c r="AW108" i="8"/>
  <c r="AW5" i="11" s="1"/>
  <c r="W21" i="10"/>
  <c r="W108" i="10"/>
  <c r="A35" i="15"/>
  <c r="BC19" i="10"/>
  <c r="BC108" i="10" s="1"/>
  <c r="Y17" i="10"/>
  <c r="BB24" i="12"/>
  <c r="BB26" i="12" s="1"/>
  <c r="BB112" i="12" s="1"/>
  <c r="Y12" i="10"/>
  <c r="Z14" i="10"/>
  <c r="BD14" i="10" s="1"/>
  <c r="BB21" i="10"/>
  <c r="BB112" i="10" s="1"/>
  <c r="X19" i="10"/>
  <c r="V106" i="15"/>
  <c r="V112" i="15" s="1"/>
  <c r="X15" i="18"/>
  <c r="W23" i="18"/>
  <c r="BA23" i="18" s="1"/>
  <c r="X13" i="18"/>
  <c r="W21" i="18"/>
  <c r="BA21" i="18" s="1"/>
  <c r="X11" i="18"/>
  <c r="W19" i="18"/>
  <c r="BA19" i="18" s="1"/>
  <c r="X20" i="18"/>
  <c r="X14" i="18"/>
  <c r="W22" i="18"/>
  <c r="BA22" i="18" s="1"/>
  <c r="U3" i="8"/>
  <c r="T53" i="8"/>
  <c r="U33" i="8"/>
  <c r="AY18" i="8"/>
  <c r="U54" i="8"/>
  <c r="AX16" i="8"/>
  <c r="AX20" i="8" s="1"/>
  <c r="T20" i="8"/>
  <c r="T31" i="8"/>
  <c r="A37" i="16"/>
  <c r="A38" i="16" s="1"/>
  <c r="A39" i="16" s="1"/>
  <c r="Z14" i="12"/>
  <c r="Y24" i="12"/>
  <c r="Y26" i="12" s="1"/>
  <c r="Y112" i="12" s="1"/>
  <c r="BC16" i="12"/>
  <c r="BC108" i="12" s="1"/>
  <c r="A19" i="3"/>
  <c r="A20" i="3"/>
  <c r="A25" i="3" s="1"/>
  <c r="A26" i="3" s="1"/>
  <c r="A28" i="3" s="1"/>
  <c r="A30" i="3" s="1"/>
  <c r="W112" i="10" l="1"/>
  <c r="AX24" i="8"/>
  <c r="AX108" i="8"/>
  <c r="AX5" i="11" s="1"/>
  <c r="S112" i="8"/>
  <c r="X21" i="10"/>
  <c r="X108" i="10"/>
  <c r="AW112" i="8"/>
  <c r="BB20" i="18"/>
  <c r="W103" i="18"/>
  <c r="T24" i="8"/>
  <c r="T108" i="8"/>
  <c r="T5" i="11" s="1"/>
  <c r="BA103" i="18"/>
  <c r="A36" i="15"/>
  <c r="BD19" i="10"/>
  <c r="BD108" i="10" s="1"/>
  <c r="Z17" i="10"/>
  <c r="BC24" i="12"/>
  <c r="BC26" i="12" s="1"/>
  <c r="BC112" i="12" s="1"/>
  <c r="Z12" i="10"/>
  <c r="AA14" i="10"/>
  <c r="BE14" i="10" s="1"/>
  <c r="BC21" i="10"/>
  <c r="BC112" i="10" s="1"/>
  <c r="Y19" i="10"/>
  <c r="W106" i="15"/>
  <c r="W112" i="15" s="1"/>
  <c r="Y20" i="18"/>
  <c r="Y15" i="18"/>
  <c r="X23" i="18"/>
  <c r="BB23" i="18" s="1"/>
  <c r="X21" i="18"/>
  <c r="BB21" i="18" s="1"/>
  <c r="Y13" i="18"/>
  <c r="Y11" i="18"/>
  <c r="X19" i="18"/>
  <c r="BB19" i="18" s="1"/>
  <c r="X22" i="18"/>
  <c r="BB22" i="18" s="1"/>
  <c r="Y14" i="18"/>
  <c r="V3" i="8"/>
  <c r="U53" i="8"/>
  <c r="A40" i="16"/>
  <c r="A42" i="16" s="1"/>
  <c r="A44" i="16" s="1"/>
  <c r="A48" i="16" s="1"/>
  <c r="A49" i="16" s="1"/>
  <c r="A50" i="16" s="1"/>
  <c r="A51" i="16" s="1"/>
  <c r="A52" i="16" s="1"/>
  <c r="A53" i="16" s="1"/>
  <c r="A54" i="16" s="1"/>
  <c r="A56" i="16" s="1"/>
  <c r="A58" i="16" s="1"/>
  <c r="A101" i="16" s="1"/>
  <c r="A103" i="16" s="1"/>
  <c r="V54" i="8"/>
  <c r="AY16" i="8"/>
  <c r="AY20" i="8" s="1"/>
  <c r="U31" i="8"/>
  <c r="U20" i="8"/>
  <c r="AZ18" i="8"/>
  <c r="V33" i="8"/>
  <c r="Z24" i="12"/>
  <c r="Z26" i="12" s="1"/>
  <c r="Z112" i="12" s="1"/>
  <c r="BD16" i="12"/>
  <c r="BD108" i="12" s="1"/>
  <c r="AA14" i="12"/>
  <c r="AJ45" i="18"/>
  <c r="AG45" i="18"/>
  <c r="AH45" i="18"/>
  <c r="AH50" i="18" l="1"/>
  <c r="AH107" i="18"/>
  <c r="AG50" i="18"/>
  <c r="AG107" i="18"/>
  <c r="BB103" i="18"/>
  <c r="AJ50" i="18"/>
  <c r="AJ107" i="18"/>
  <c r="X103" i="18"/>
  <c r="AX112" i="8"/>
  <c r="BC20" i="18"/>
  <c r="T112" i="8"/>
  <c r="AY24" i="8"/>
  <c r="AY108" i="8"/>
  <c r="AY5" i="11" s="1"/>
  <c r="Y21" i="10"/>
  <c r="Y108" i="10"/>
  <c r="Y112" i="10" s="1"/>
  <c r="X112" i="10"/>
  <c r="U24" i="8"/>
  <c r="U108" i="8"/>
  <c r="U5" i="11" s="1"/>
  <c r="A37" i="15"/>
  <c r="BE19" i="10"/>
  <c r="BE108" i="10" s="1"/>
  <c r="AA17" i="10"/>
  <c r="BD24" i="12"/>
  <c r="BD26" i="12" s="1"/>
  <c r="BD112" i="12" s="1"/>
  <c r="BD21" i="10"/>
  <c r="BD112" i="10" s="1"/>
  <c r="Z19" i="10"/>
  <c r="AA12" i="10"/>
  <c r="X106" i="15"/>
  <c r="X112" i="15" s="1"/>
  <c r="Y21" i="18"/>
  <c r="BC21" i="18" s="1"/>
  <c r="Z13" i="18"/>
  <c r="Z14" i="18"/>
  <c r="Y22" i="18"/>
  <c r="BC22" i="18" s="1"/>
  <c r="Z11" i="18"/>
  <c r="Y19" i="18"/>
  <c r="BC19" i="18" s="1"/>
  <c r="Y23" i="18"/>
  <c r="BC23" i="18" s="1"/>
  <c r="Z15" i="18"/>
  <c r="AA20" i="18"/>
  <c r="Z20" i="18"/>
  <c r="W3" i="8"/>
  <c r="V53" i="8"/>
  <c r="BA18" i="8"/>
  <c r="W33" i="8"/>
  <c r="W54" i="8"/>
  <c r="AZ16" i="8"/>
  <c r="AZ20" i="8" s="1"/>
  <c r="V20" i="8"/>
  <c r="V31" i="8"/>
  <c r="AA24" i="12"/>
  <c r="AA26" i="12" s="1"/>
  <c r="AA112" i="12" s="1"/>
  <c r="BE16" i="12"/>
  <c r="BE108" i="12" s="1"/>
  <c r="U112" i="8" l="1"/>
  <c r="AY112" i="8"/>
  <c r="BD20" i="18"/>
  <c r="Z21" i="10"/>
  <c r="Z108" i="10"/>
  <c r="BE20" i="18"/>
  <c r="BE112" i="10"/>
  <c r="Y103" i="18"/>
  <c r="AZ24" i="8"/>
  <c r="AZ108" i="8"/>
  <c r="V24" i="8"/>
  <c r="V108" i="8"/>
  <c r="BC103" i="18"/>
  <c r="A38" i="15"/>
  <c r="A39" i="15" s="1"/>
  <c r="A40" i="15" s="1"/>
  <c r="A41" i="15" s="1"/>
  <c r="A42" i="15" s="1"/>
  <c r="A43" i="15" s="1"/>
  <c r="A44" i="15" s="1"/>
  <c r="A45" i="15" s="1"/>
  <c r="A48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BE24" i="12"/>
  <c r="BE26" i="12" s="1"/>
  <c r="BE112" i="12" s="1"/>
  <c r="AA19" i="10"/>
  <c r="BE21" i="10"/>
  <c r="Y106" i="15"/>
  <c r="Y112" i="15" s="1"/>
  <c r="AA15" i="18"/>
  <c r="AA23" i="18" s="1"/>
  <c r="BE23" i="18" s="1"/>
  <c r="Z23" i="18"/>
  <c r="BD23" i="18" s="1"/>
  <c r="AA14" i="18"/>
  <c r="AA22" i="18" s="1"/>
  <c r="BE22" i="18" s="1"/>
  <c r="Z22" i="18"/>
  <c r="BD22" i="18" s="1"/>
  <c r="AA13" i="18"/>
  <c r="AA21" i="18" s="1"/>
  <c r="BE21" i="18" s="1"/>
  <c r="Z21" i="18"/>
  <c r="BD21" i="18" s="1"/>
  <c r="AA11" i="18"/>
  <c r="AA19" i="18" s="1"/>
  <c r="BE19" i="18" s="1"/>
  <c r="Z19" i="18"/>
  <c r="BD19" i="18" s="1"/>
  <c r="X3" i="8"/>
  <c r="W53" i="8"/>
  <c r="X54" i="8"/>
  <c r="W20" i="8"/>
  <c r="W31" i="8"/>
  <c r="BA16" i="8"/>
  <c r="BA20" i="8" s="1"/>
  <c r="BB18" i="8"/>
  <c r="X33" i="8"/>
  <c r="Z112" i="10" l="1"/>
  <c r="V112" i="8"/>
  <c r="V5" i="11"/>
  <c r="BA24" i="8"/>
  <c r="BA108" i="8"/>
  <c r="AA103" i="18"/>
  <c r="BE103" i="18"/>
  <c r="W24" i="8"/>
  <c r="W108" i="8"/>
  <c r="AA21" i="10"/>
  <c r="AA108" i="10"/>
  <c r="Z103" i="18"/>
  <c r="AZ112" i="8"/>
  <c r="AZ5" i="11"/>
  <c r="BD103" i="18"/>
  <c r="A66" i="15"/>
  <c r="A69" i="15" s="1"/>
  <c r="AA106" i="15"/>
  <c r="AA112" i="15" s="1"/>
  <c r="Z106" i="15"/>
  <c r="Z112" i="15" s="1"/>
  <c r="Y3" i="8"/>
  <c r="X53" i="8"/>
  <c r="X31" i="8"/>
  <c r="BB16" i="8"/>
  <c r="BB20" i="8" s="1"/>
  <c r="X20" i="8"/>
  <c r="Y33" i="8"/>
  <c r="BC18" i="8"/>
  <c r="Y54" i="8"/>
  <c r="AA112" i="10" l="1"/>
  <c r="BB24" i="8"/>
  <c r="BB108" i="8"/>
  <c r="W112" i="8"/>
  <c r="W5" i="11"/>
  <c r="BA112" i="8"/>
  <c r="BA5" i="11"/>
  <c r="X24" i="8"/>
  <c r="X108" i="8"/>
  <c r="A70" i="15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9" i="15" s="1"/>
  <c r="A90" i="15" s="1"/>
  <c r="Z3" i="8"/>
  <c r="Y53" i="8"/>
  <c r="Z54" i="8"/>
  <c r="BC16" i="8"/>
  <c r="BC20" i="8" s="1"/>
  <c r="Y20" i="8"/>
  <c r="Y31" i="8"/>
  <c r="BD18" i="8"/>
  <c r="Z33" i="8"/>
  <c r="Y24" i="8" l="1"/>
  <c r="Y108" i="8"/>
  <c r="X112" i="8"/>
  <c r="X5" i="11"/>
  <c r="BC24" i="8"/>
  <c r="BC108" i="8"/>
  <c r="BB112" i="8"/>
  <c r="BB5" i="11"/>
  <c r="A91" i="15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A3" i="8"/>
  <c r="AA53" i="8" s="1"/>
  <c r="Z53" i="8"/>
  <c r="BD16" i="8"/>
  <c r="BD20" i="8" s="1"/>
  <c r="Z31" i="8"/>
  <c r="Z20" i="8"/>
  <c r="AA54" i="8"/>
  <c r="AA33" i="8"/>
  <c r="BE18" i="8"/>
  <c r="BD24" i="8" l="1"/>
  <c r="BD108" i="8"/>
  <c r="Z24" i="8"/>
  <c r="Z108" i="8"/>
  <c r="Y112" i="8"/>
  <c r="Y5" i="11"/>
  <c r="BC112" i="8"/>
  <c r="BC5" i="11"/>
  <c r="A106" i="15"/>
  <c r="A108" i="15" s="1"/>
  <c r="A110" i="15" s="1"/>
  <c r="BE16" i="8"/>
  <c r="BE20" i="8" s="1"/>
  <c r="AA20" i="8"/>
  <c r="AA31" i="8"/>
  <c r="AA24" i="8" l="1"/>
  <c r="AA108" i="8"/>
  <c r="BE24" i="8"/>
  <c r="BE108" i="8"/>
  <c r="Z112" i="8"/>
  <c r="Z5" i="11"/>
  <c r="BD112" i="8"/>
  <c r="BD5" i="11"/>
  <c r="AJ16" i="8"/>
  <c r="BE112" i="8" l="1"/>
  <c r="BE5" i="11"/>
  <c r="AA112" i="8"/>
  <c r="AA5" i="11"/>
  <c r="AK16" i="8"/>
  <c r="G31" i="8"/>
  <c r="G54" i="8"/>
  <c r="F54" i="8"/>
  <c r="F33" i="8"/>
  <c r="G13" i="8" l="1"/>
  <c r="F20" i="8"/>
  <c r="AJ18" i="8"/>
  <c r="AJ20" i="8" s="1"/>
  <c r="AJ24" i="8" l="1"/>
  <c r="F24" i="8"/>
  <c r="F47" i="8" s="1"/>
  <c r="F48" i="8" s="1"/>
  <c r="G33" i="8"/>
  <c r="AK18" i="8"/>
  <c r="AK20" i="8" s="1"/>
  <c r="G20" i="8"/>
  <c r="G24" i="8" l="1"/>
  <c r="G47" i="8" s="1"/>
  <c r="AK24" i="8"/>
  <c r="G48" i="8" l="1"/>
  <c r="H48" i="8"/>
  <c r="H18" i="18" l="1"/>
  <c r="I10" i="18"/>
  <c r="I18" i="18" s="1"/>
  <c r="G18" i="18"/>
  <c r="H16" i="18"/>
  <c r="H24" i="18" l="1"/>
  <c r="H31" i="18" s="1"/>
  <c r="G16" i="18"/>
  <c r="I16" i="18"/>
  <c r="G24" i="18"/>
  <c r="G31" i="18" s="1"/>
  <c r="AK18" i="18"/>
  <c r="AK26" i="18" s="1"/>
  <c r="I24" i="18"/>
  <c r="I31" i="18" s="1"/>
  <c r="AM18" i="18"/>
  <c r="H39" i="18"/>
  <c r="H41" i="18"/>
  <c r="AL41" i="18" s="1"/>
  <c r="H40" i="18"/>
  <c r="AL40" i="18" s="1"/>
  <c r="AL18" i="18"/>
  <c r="J10" i="18"/>
  <c r="AM26" i="18" l="1"/>
  <c r="AL26" i="18"/>
  <c r="K10" i="18"/>
  <c r="J16" i="18"/>
  <c r="J18" i="18"/>
  <c r="AL39" i="18"/>
  <c r="AL43" i="18" s="1"/>
  <c r="AL105" i="18" s="1"/>
  <c r="AL7" i="11" s="1"/>
  <c r="AL9" i="11" s="1"/>
  <c r="H43" i="18"/>
  <c r="H105" i="18" s="1"/>
  <c r="H7" i="11" s="1"/>
  <c r="H9" i="11" s="1"/>
  <c r="I40" i="18"/>
  <c r="AM40" i="18" s="1"/>
  <c r="I39" i="18"/>
  <c r="I41" i="18"/>
  <c r="AM41" i="18" s="1"/>
  <c r="G41" i="18"/>
  <c r="AK41" i="18" s="1"/>
  <c r="G40" i="18"/>
  <c r="AK40" i="18" s="1"/>
  <c r="G39" i="18"/>
  <c r="G43" i="18" l="1"/>
  <c r="G105" i="18" s="1"/>
  <c r="G7" i="11" s="1"/>
  <c r="G9" i="11" s="1"/>
  <c r="AK39" i="18"/>
  <c r="AK43" i="18" s="1"/>
  <c r="AK105" i="18" s="1"/>
  <c r="AK7" i="11" s="1"/>
  <c r="AK9" i="11" s="1"/>
  <c r="I43" i="18"/>
  <c r="I105" i="18" s="1"/>
  <c r="I7" i="11" s="1"/>
  <c r="I9" i="11" s="1"/>
  <c r="AM39" i="18"/>
  <c r="AM43" i="18" s="1"/>
  <c r="AM105" i="18" s="1"/>
  <c r="AM7" i="11" s="1"/>
  <c r="AM9" i="11" s="1"/>
  <c r="H45" i="18"/>
  <c r="H107" i="18" s="1"/>
  <c r="J24" i="18"/>
  <c r="J31" i="18" s="1"/>
  <c r="AN18" i="18"/>
  <c r="AL45" i="18"/>
  <c r="L10" i="18"/>
  <c r="K16" i="18"/>
  <c r="K18" i="18"/>
  <c r="AN26" i="18" l="1"/>
  <c r="AL50" i="18"/>
  <c r="AL107" i="18"/>
  <c r="M10" i="18"/>
  <c r="L16" i="18"/>
  <c r="L18" i="18"/>
  <c r="J39" i="18"/>
  <c r="J41" i="18"/>
  <c r="AN41" i="18" s="1"/>
  <c r="J40" i="18"/>
  <c r="AN40" i="18" s="1"/>
  <c r="AM45" i="18"/>
  <c r="I45" i="18"/>
  <c r="I107" i="18" s="1"/>
  <c r="AK45" i="18"/>
  <c r="AK50" i="18" s="1"/>
  <c r="K24" i="18"/>
  <c r="K31" i="18" s="1"/>
  <c r="AO18" i="18"/>
  <c r="G45" i="18"/>
  <c r="G107" i="18" s="1"/>
  <c r="AO26" i="18" l="1"/>
  <c r="AM50" i="18"/>
  <c r="AM107" i="18"/>
  <c r="AK107" i="18"/>
  <c r="J43" i="18"/>
  <c r="J105" i="18" s="1"/>
  <c r="J7" i="11" s="1"/>
  <c r="J9" i="11" s="1"/>
  <c r="AN39" i="18"/>
  <c r="AN43" i="18" s="1"/>
  <c r="AN105" i="18" s="1"/>
  <c r="AN7" i="11" s="1"/>
  <c r="AN9" i="11" s="1"/>
  <c r="AP18" i="18"/>
  <c r="L24" i="18"/>
  <c r="L31" i="18" s="1"/>
  <c r="K40" i="18"/>
  <c r="AO40" i="18" s="1"/>
  <c r="K41" i="18"/>
  <c r="AO41" i="18" s="1"/>
  <c r="K39" i="18"/>
  <c r="M18" i="18"/>
  <c r="N10" i="18"/>
  <c r="M16" i="18"/>
  <c r="AP26" i="18" l="1"/>
  <c r="M24" i="18"/>
  <c r="M31" i="18" s="1"/>
  <c r="AQ18" i="18"/>
  <c r="AO39" i="18"/>
  <c r="AO43" i="18" s="1"/>
  <c r="AO105" i="18" s="1"/>
  <c r="AO7" i="11" s="1"/>
  <c r="AO9" i="11" s="1"/>
  <c r="K43" i="18"/>
  <c r="K105" i="18" s="1"/>
  <c r="N18" i="18"/>
  <c r="N16" i="18"/>
  <c r="O10" i="18"/>
  <c r="L40" i="18"/>
  <c r="AP40" i="18" s="1"/>
  <c r="L39" i="18"/>
  <c r="L41" i="18"/>
  <c r="AP41" i="18" s="1"/>
  <c r="AN45" i="18"/>
  <c r="J45" i="18"/>
  <c r="J107" i="18" s="1"/>
  <c r="K7" i="11" l="1"/>
  <c r="K9" i="11" s="1"/>
  <c r="AQ26" i="18"/>
  <c r="AN50" i="18"/>
  <c r="AN107" i="18"/>
  <c r="AP39" i="18"/>
  <c r="AP43" i="18" s="1"/>
  <c r="AP105" i="18" s="1"/>
  <c r="AP7" i="11" s="1"/>
  <c r="AP9" i="11" s="1"/>
  <c r="L43" i="18"/>
  <c r="L105" i="18" s="1"/>
  <c r="N24" i="18"/>
  <c r="N31" i="18" s="1"/>
  <c r="AR18" i="18"/>
  <c r="K45" i="18"/>
  <c r="K107" i="18" s="1"/>
  <c r="AO45" i="18"/>
  <c r="O16" i="18"/>
  <c r="O18" i="18"/>
  <c r="P10" i="18"/>
  <c r="M39" i="18"/>
  <c r="M41" i="18"/>
  <c r="AQ41" i="18" s="1"/>
  <c r="M40" i="18"/>
  <c r="AQ40" i="18" s="1"/>
  <c r="L7" i="11" l="1"/>
  <c r="L9" i="11" s="1"/>
  <c r="AR26" i="18"/>
  <c r="AO50" i="18"/>
  <c r="AO107" i="18"/>
  <c r="P18" i="18"/>
  <c r="P16" i="18"/>
  <c r="Q10" i="18"/>
  <c r="M43" i="18"/>
  <c r="AQ39" i="18"/>
  <c r="AQ43" i="18" s="1"/>
  <c r="AS18" i="18"/>
  <c r="O24" i="18"/>
  <c r="O31" i="18" s="1"/>
  <c r="N39" i="18"/>
  <c r="N41" i="18"/>
  <c r="AR41" i="18" s="1"/>
  <c r="N40" i="18"/>
  <c r="AR40" i="18" s="1"/>
  <c r="L45" i="18"/>
  <c r="L107" i="18" s="1"/>
  <c r="AP45" i="18"/>
  <c r="M45" i="18" l="1"/>
  <c r="M105" i="18"/>
  <c r="M7" i="11" s="1"/>
  <c r="M9" i="11" s="1"/>
  <c r="AS26" i="18"/>
  <c r="AP50" i="18"/>
  <c r="AP107" i="18"/>
  <c r="AQ45" i="18"/>
  <c r="AQ105" i="18"/>
  <c r="AQ7" i="11" s="1"/>
  <c r="AQ9" i="11" s="1"/>
  <c r="AR39" i="18"/>
  <c r="AR43" i="18" s="1"/>
  <c r="N43" i="18"/>
  <c r="O39" i="18"/>
  <c r="O41" i="18"/>
  <c r="AS41" i="18" s="1"/>
  <c r="O40" i="18"/>
  <c r="AS40" i="18" s="1"/>
  <c r="R10" i="18"/>
  <c r="Q16" i="18"/>
  <c r="Q18" i="18"/>
  <c r="AT18" i="18"/>
  <c r="P24" i="18"/>
  <c r="P31" i="18" s="1"/>
  <c r="N45" i="18" l="1"/>
  <c r="N105" i="18"/>
  <c r="N7" i="11" s="1"/>
  <c r="N9" i="11" s="1"/>
  <c r="AR45" i="18"/>
  <c r="AR105" i="18"/>
  <c r="AR7" i="11" s="1"/>
  <c r="AR9" i="11" s="1"/>
  <c r="AQ50" i="18"/>
  <c r="AQ107" i="18"/>
  <c r="AT26" i="18"/>
  <c r="M107" i="18"/>
  <c r="P40" i="18"/>
  <c r="AT40" i="18" s="1"/>
  <c r="P41" i="18"/>
  <c r="AT41" i="18" s="1"/>
  <c r="P39" i="18"/>
  <c r="Q24" i="18"/>
  <c r="Q31" i="18" s="1"/>
  <c r="AU18" i="18"/>
  <c r="S10" i="18"/>
  <c r="R16" i="18"/>
  <c r="R18" i="18"/>
  <c r="AS39" i="18"/>
  <c r="AS43" i="18" s="1"/>
  <c r="O43" i="18"/>
  <c r="O45" i="18" l="1"/>
  <c r="O105" i="18"/>
  <c r="O7" i="11" s="1"/>
  <c r="O9" i="11" s="1"/>
  <c r="AR50" i="18"/>
  <c r="AR107" i="18"/>
  <c r="AS45" i="18"/>
  <c r="AS105" i="18"/>
  <c r="AS7" i="11" s="1"/>
  <c r="AS9" i="11" s="1"/>
  <c r="AU26" i="18"/>
  <c r="N107" i="18"/>
  <c r="S18" i="18"/>
  <c r="S16" i="18"/>
  <c r="T10" i="18"/>
  <c r="AV18" i="18"/>
  <c r="R24" i="18"/>
  <c r="R31" i="18" s="1"/>
  <c r="Q40" i="18"/>
  <c r="AU40" i="18" s="1"/>
  <c r="Q41" i="18"/>
  <c r="AU41" i="18" s="1"/>
  <c r="Q39" i="18"/>
  <c r="AT39" i="18"/>
  <c r="AT43" i="18" s="1"/>
  <c r="P43" i="18"/>
  <c r="AS50" i="18" l="1"/>
  <c r="AS107" i="18"/>
  <c r="AT45" i="18"/>
  <c r="AT105" i="18"/>
  <c r="AT7" i="11" s="1"/>
  <c r="AT9" i="11" s="1"/>
  <c r="AV26" i="18"/>
  <c r="P45" i="18"/>
  <c r="P105" i="18"/>
  <c r="P7" i="11" s="1"/>
  <c r="P9" i="11" s="1"/>
  <c r="O107" i="18"/>
  <c r="AU39" i="18"/>
  <c r="AU43" i="18" s="1"/>
  <c r="Q43" i="18"/>
  <c r="R39" i="18"/>
  <c r="R41" i="18"/>
  <c r="AV41" i="18" s="1"/>
  <c r="R40" i="18"/>
  <c r="AV40" i="18" s="1"/>
  <c r="T16" i="18"/>
  <c r="T18" i="18"/>
  <c r="U10" i="18"/>
  <c r="AW18" i="18"/>
  <c r="S24" i="18"/>
  <c r="S31" i="18" s="1"/>
  <c r="AU45" i="18" l="1"/>
  <c r="AU105" i="18"/>
  <c r="AU7" i="11" s="1"/>
  <c r="AU9" i="11" s="1"/>
  <c r="AW26" i="18"/>
  <c r="AT50" i="18"/>
  <c r="AT107" i="18"/>
  <c r="Q45" i="18"/>
  <c r="Q105" i="18"/>
  <c r="Q7" i="11" s="1"/>
  <c r="Q9" i="11" s="1"/>
  <c r="P107" i="18"/>
  <c r="S39" i="18"/>
  <c r="S41" i="18"/>
  <c r="AW41" i="18" s="1"/>
  <c r="S40" i="18"/>
  <c r="AW40" i="18" s="1"/>
  <c r="U18" i="18"/>
  <c r="V10" i="18"/>
  <c r="U16" i="18"/>
  <c r="T24" i="18"/>
  <c r="T31" i="18" s="1"/>
  <c r="AX18" i="18"/>
  <c r="R43" i="18"/>
  <c r="AV39" i="18"/>
  <c r="AV43" i="18" s="1"/>
  <c r="R45" i="18" l="1"/>
  <c r="R105" i="18"/>
  <c r="R7" i="11" s="1"/>
  <c r="R9" i="11" s="1"/>
  <c r="Q107" i="18"/>
  <c r="AV45" i="18"/>
  <c r="AV105" i="18"/>
  <c r="AV7" i="11" s="1"/>
  <c r="AV9" i="11" s="1"/>
  <c r="AX26" i="18"/>
  <c r="AU50" i="18"/>
  <c r="AU107" i="18"/>
  <c r="T40" i="18"/>
  <c r="AX40" i="18" s="1"/>
  <c r="T39" i="18"/>
  <c r="T41" i="18"/>
  <c r="AX41" i="18" s="1"/>
  <c r="W10" i="18"/>
  <c r="V16" i="18"/>
  <c r="V18" i="18"/>
  <c r="AY18" i="18"/>
  <c r="U24" i="18"/>
  <c r="U31" i="18" s="1"/>
  <c r="S43" i="18"/>
  <c r="AW39" i="18"/>
  <c r="AW43" i="18" s="1"/>
  <c r="AW45" i="18" l="1"/>
  <c r="AW105" i="18"/>
  <c r="AW7" i="11" s="1"/>
  <c r="AW9" i="11" s="1"/>
  <c r="S45" i="18"/>
  <c r="S105" i="18"/>
  <c r="S7" i="11" s="1"/>
  <c r="S9" i="11" s="1"/>
  <c r="AY26" i="18"/>
  <c r="AV50" i="18"/>
  <c r="AV107" i="18"/>
  <c r="R107" i="18"/>
  <c r="V24" i="18"/>
  <c r="V31" i="18" s="1"/>
  <c r="AZ18" i="18"/>
  <c r="W16" i="18"/>
  <c r="W18" i="18"/>
  <c r="X10" i="18"/>
  <c r="U40" i="18"/>
  <c r="AY40" i="18" s="1"/>
  <c r="U41" i="18"/>
  <c r="AY41" i="18" s="1"/>
  <c r="U39" i="18"/>
  <c r="AX39" i="18"/>
  <c r="AX43" i="18" s="1"/>
  <c r="T43" i="18"/>
  <c r="T45" i="18" l="1"/>
  <c r="T105" i="18"/>
  <c r="T7" i="11" s="1"/>
  <c r="T9" i="11" s="1"/>
  <c r="AX45" i="18"/>
  <c r="AX105" i="18"/>
  <c r="AX7" i="11" s="1"/>
  <c r="AX9" i="11" s="1"/>
  <c r="S107" i="18"/>
  <c r="AZ26" i="18"/>
  <c r="AW50" i="18"/>
  <c r="AW107" i="18"/>
  <c r="U43" i="18"/>
  <c r="AY39" i="18"/>
  <c r="AY43" i="18" s="1"/>
  <c r="Y10" i="18"/>
  <c r="X18" i="18"/>
  <c r="X16" i="18"/>
  <c r="W24" i="18"/>
  <c r="W31" i="18" s="1"/>
  <c r="BA18" i="18"/>
  <c r="V41" i="18"/>
  <c r="AZ41" i="18" s="1"/>
  <c r="V39" i="18"/>
  <c r="V40" i="18"/>
  <c r="AZ40" i="18" s="1"/>
  <c r="U45" i="18" l="1"/>
  <c r="U105" i="18"/>
  <c r="U7" i="11" s="1"/>
  <c r="U9" i="11" s="1"/>
  <c r="AX50" i="18"/>
  <c r="AX107" i="18"/>
  <c r="AY45" i="18"/>
  <c r="AY105" i="18"/>
  <c r="AY7" i="11" s="1"/>
  <c r="AY9" i="11" s="1"/>
  <c r="BA26" i="18"/>
  <c r="T107" i="18"/>
  <c r="V43" i="18"/>
  <c r="AZ39" i="18"/>
  <c r="AZ43" i="18" s="1"/>
  <c r="X24" i="18"/>
  <c r="X31" i="18" s="1"/>
  <c r="BB18" i="18"/>
  <c r="Z10" i="18"/>
  <c r="Y16" i="18"/>
  <c r="Y18" i="18"/>
  <c r="W40" i="18"/>
  <c r="BA40" i="18" s="1"/>
  <c r="W39" i="18"/>
  <c r="W41" i="18"/>
  <c r="BA41" i="18" s="1"/>
  <c r="AZ45" i="18" l="1"/>
  <c r="AZ105" i="18"/>
  <c r="AZ7" i="11" s="1"/>
  <c r="AZ9" i="11" s="1"/>
  <c r="V45" i="18"/>
  <c r="V105" i="18"/>
  <c r="V7" i="11" s="1"/>
  <c r="V9" i="11" s="1"/>
  <c r="AY50" i="18"/>
  <c r="AY107" i="18"/>
  <c r="BB26" i="18"/>
  <c r="U107" i="18"/>
  <c r="BC18" i="18"/>
  <c r="Y24" i="18"/>
  <c r="Y31" i="18" s="1"/>
  <c r="Z16" i="18"/>
  <c r="Z18" i="18"/>
  <c r="AA10" i="18"/>
  <c r="X40" i="18"/>
  <c r="BB40" i="18" s="1"/>
  <c r="X39" i="18"/>
  <c r="X41" i="18"/>
  <c r="BB41" i="18" s="1"/>
  <c r="W43" i="18"/>
  <c r="BA39" i="18"/>
  <c r="BA43" i="18" s="1"/>
  <c r="BA45" i="18" l="1"/>
  <c r="BA105" i="18"/>
  <c r="BA7" i="11" s="1"/>
  <c r="BA9" i="11" s="1"/>
  <c r="W45" i="18"/>
  <c r="W105" i="18"/>
  <c r="W7" i="11" s="1"/>
  <c r="W9" i="11" s="1"/>
  <c r="V107" i="18"/>
  <c r="BC26" i="18"/>
  <c r="AZ50" i="18"/>
  <c r="AZ107" i="18"/>
  <c r="AA18" i="18"/>
  <c r="AA16" i="18"/>
  <c r="BD18" i="18"/>
  <c r="Z24" i="18"/>
  <c r="Z31" i="18" s="1"/>
  <c r="Y40" i="18"/>
  <c r="BC40" i="18" s="1"/>
  <c r="Y39" i="18"/>
  <c r="Y41" i="18"/>
  <c r="BC41" i="18" s="1"/>
  <c r="X43" i="18"/>
  <c r="BB39" i="18"/>
  <c r="BB43" i="18" s="1"/>
  <c r="W107" i="18" l="1"/>
  <c r="BB45" i="18"/>
  <c r="BB105" i="18"/>
  <c r="BB7" i="11" s="1"/>
  <c r="BB9" i="11" s="1"/>
  <c r="X45" i="18"/>
  <c r="X105" i="18"/>
  <c r="X7" i="11" s="1"/>
  <c r="X9" i="11" s="1"/>
  <c r="BD26" i="18"/>
  <c r="BA50" i="18"/>
  <c r="BA107" i="18"/>
  <c r="Z41" i="18"/>
  <c r="BD41" i="18" s="1"/>
  <c r="Z39" i="18"/>
  <c r="Z40" i="18"/>
  <c r="BD40" i="18" s="1"/>
  <c r="Y43" i="18"/>
  <c r="BC39" i="18"/>
  <c r="BC43" i="18" s="1"/>
  <c r="BE18" i="18"/>
  <c r="AA24" i="18"/>
  <c r="AA31" i="18" s="1"/>
  <c r="X107" i="18" l="1"/>
  <c r="BE26" i="18"/>
  <c r="BB107" i="18"/>
  <c r="BC45" i="18"/>
  <c r="BC105" i="18"/>
  <c r="BC7" i="11" s="1"/>
  <c r="BC9" i="11" s="1"/>
  <c r="Y45" i="18"/>
  <c r="Y105" i="18"/>
  <c r="Y7" i="11" s="1"/>
  <c r="Y9" i="11" s="1"/>
  <c r="AA41" i="18"/>
  <c r="BE41" i="18" s="1"/>
  <c r="AA40" i="18"/>
  <c r="BE40" i="18" s="1"/>
  <c r="AA39" i="18"/>
  <c r="BD39" i="18"/>
  <c r="BD43" i="18" s="1"/>
  <c r="Z43" i="18"/>
  <c r="BD45" i="18" l="1"/>
  <c r="BD105" i="18"/>
  <c r="BD7" i="11" s="1"/>
  <c r="BD9" i="11" s="1"/>
  <c r="Y107" i="18"/>
  <c r="BC107" i="18"/>
  <c r="Z45" i="18"/>
  <c r="Z105" i="18"/>
  <c r="Z7" i="11" s="1"/>
  <c r="Z9" i="11" s="1"/>
  <c r="AA43" i="18"/>
  <c r="BE39" i="18"/>
  <c r="BE43" i="18" s="1"/>
  <c r="BE45" i="18" l="1"/>
  <c r="BE105" i="18"/>
  <c r="BE7" i="11" s="1"/>
  <c r="BE9" i="11" s="1"/>
  <c r="AA45" i="18"/>
  <c r="AA105" i="18"/>
  <c r="AA7" i="11" s="1"/>
  <c r="AA9" i="11" s="1"/>
  <c r="Z107" i="18"/>
  <c r="BD107" i="18"/>
  <c r="AA107" i="18" l="1"/>
  <c r="BE107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Jagt, Dave A.</author>
  </authors>
  <commentList>
    <comment ref="G6" authorId="0" shapeId="0" xr:uid="{30A29E0D-DCF9-49BA-B801-119E90AC172A}">
      <text>
        <r>
          <rPr>
            <b/>
            <sz val="9"/>
            <color indexed="81"/>
            <rFont val="Tahoma"/>
            <family val="2"/>
          </rPr>
          <t>Jagt, Dave A.:</t>
        </r>
        <r>
          <rPr>
            <sz val="9"/>
            <color indexed="81"/>
            <rFont val="Tahoma"/>
            <family val="2"/>
          </rPr>
          <t xml:space="preserve">
Reflected to include additional base year salary costs due to the Labor Agreement settlement in 2025 which was established after the development of the 2026 capital budget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Jagt, Dave A.</author>
  </authors>
  <commentList>
    <comment ref="G11" authorId="0" shapeId="0" xr:uid="{A3E28B25-24D0-47D0-AFD4-CCD6C76D8713}">
      <text>
        <r>
          <rPr>
            <b/>
            <sz val="9"/>
            <color indexed="81"/>
            <rFont val="Tahoma"/>
            <family val="2"/>
          </rPr>
          <t>Jagt, Dave A.:</t>
        </r>
        <r>
          <rPr>
            <sz val="9"/>
            <color indexed="81"/>
            <rFont val="Tahoma"/>
            <family val="2"/>
          </rPr>
          <t xml:space="preserve">
Sludge Heating Equipment - $2.987M
Pump and Motor Repair - $1.15M</t>
        </r>
      </text>
    </comment>
    <comment ref="G12" authorId="0" shapeId="0" xr:uid="{108B738D-A4EB-4D85-9DB5-A8E5F4785854}">
      <text>
        <r>
          <rPr>
            <b/>
            <sz val="9"/>
            <color indexed="81"/>
            <rFont val="Tahoma"/>
            <family val="2"/>
          </rPr>
          <t>Jagt, Dave A.:</t>
        </r>
        <r>
          <rPr>
            <sz val="9"/>
            <color indexed="81"/>
            <rFont val="Tahoma"/>
            <family val="2"/>
          </rPr>
          <t xml:space="preserve">
Lead &amp; Copper Construction Oversight - $4.5M
MS4 Compliance - $1.679M</t>
        </r>
      </text>
    </comment>
    <comment ref="G13" authorId="0" shapeId="0" xr:uid="{02D814DB-ECB0-45FF-916C-8DAAF5DF02E1}">
      <text>
        <r>
          <rPr>
            <b/>
            <sz val="9"/>
            <color indexed="81"/>
            <rFont val="Tahoma"/>
            <family val="2"/>
          </rPr>
          <t>Jagt, Dave A.:</t>
        </r>
        <r>
          <rPr>
            <sz val="9"/>
            <color indexed="81"/>
            <rFont val="Tahoma"/>
            <family val="2"/>
          </rPr>
          <t xml:space="preserve">
Amazon Web Services - $199,523
Software License Renewals - $1,171, 947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Jagt, Dave A.</author>
  </authors>
  <commentList>
    <comment ref="G10" authorId="0" shapeId="0" xr:uid="{1A6EFFE3-4A8E-4A47-B521-DAC8D464084C}">
      <text>
        <r>
          <rPr>
            <b/>
            <sz val="9"/>
            <color indexed="81"/>
            <rFont val="Tahoma"/>
            <family val="2"/>
          </rPr>
          <t>Jagt, Dave A.:</t>
        </r>
        <r>
          <rPr>
            <sz val="9"/>
            <color indexed="81"/>
            <rFont val="Tahoma"/>
            <family val="2"/>
          </rPr>
          <t xml:space="preserve">
Vehicles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tc={AEF74446-DAF7-4A93-BE07-C99F54D9C3D8}</author>
  </authors>
  <commentList>
    <comment ref="F64" authorId="0" shapeId="0" xr:uid="{AEF74446-DAF7-4A93-BE07-C99F54D9C3D8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budget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Jagt, Dave A.</author>
  </authors>
  <commentList>
    <comment ref="G11" authorId="0" shapeId="0" xr:uid="{F571B718-6506-468E-BC45-37F2B24AE2F4}">
      <text>
        <r>
          <rPr>
            <b/>
            <sz val="9"/>
            <color indexed="81"/>
            <rFont val="Tahoma"/>
            <family val="2"/>
          </rPr>
          <t>Jagt, Dave A.:</t>
        </r>
        <r>
          <rPr>
            <sz val="9"/>
            <color indexed="81"/>
            <rFont val="Tahoma"/>
            <family val="2"/>
          </rPr>
          <t xml:space="preserve">
Not phased in - adjustment necessary to tie to budget</t>
        </r>
      </text>
    </comment>
  </commentList>
</comments>
</file>

<file path=xl/sharedStrings.xml><?xml version="1.0" encoding="utf-8"?>
<sst xmlns="http://schemas.openxmlformats.org/spreadsheetml/2006/main" count="776" uniqueCount="288">
  <si>
    <t>O&amp;M Adjustment #1 - SMIP/GARP Funding</t>
  </si>
  <si>
    <t>Assumptions</t>
  </si>
  <si>
    <t>Actual to Budget</t>
  </si>
  <si>
    <t>Line. No.</t>
  </si>
  <si>
    <t>Planning &amp; Engineering</t>
  </si>
  <si>
    <t xml:space="preserve">Inflation </t>
  </si>
  <si>
    <t>Factor</t>
  </si>
  <si>
    <t>COST BASIS</t>
  </si>
  <si>
    <t>Inflation Factors</t>
  </si>
  <si>
    <t>Inflation Factor</t>
  </si>
  <si>
    <t>Labor</t>
  </si>
  <si>
    <t>ADJUSTMENTS</t>
  </si>
  <si>
    <t>Finance</t>
  </si>
  <si>
    <t>Additional SMIP/GARP Costs</t>
  </si>
  <si>
    <t>Finance - SMIP/GARP</t>
  </si>
  <si>
    <t>TOTAL DIRECT ADJUSTMENTS</t>
  </si>
  <si>
    <t>Notes:</t>
  </si>
  <si>
    <t>O&amp;M Adjustment #2 - Shift Capital Staff Costs to O&amp;M</t>
  </si>
  <si>
    <t>Description</t>
  </si>
  <si>
    <t>Inflation</t>
  </si>
  <si>
    <t>Class 100 Inflation Factor</t>
  </si>
  <si>
    <t>Years of Shifted Staff</t>
  </si>
  <si>
    <t>Ratio Basis</t>
  </si>
  <si>
    <t>Planning &amp; Env Services</t>
  </si>
  <si>
    <t>Construction &amp; Engineering</t>
  </si>
  <si>
    <t>Subtotal</t>
  </si>
  <si>
    <t>Class 100</t>
  </si>
  <si>
    <t>Planning &amp; Environmental Services - Salaries &amp; Wages</t>
  </si>
  <si>
    <t>P&amp;E</t>
  </si>
  <si>
    <t>Construction and Engineering - Salaries &amp; Wages</t>
  </si>
  <si>
    <t>C&amp;E</t>
  </si>
  <si>
    <t>Total Direct Adjustments</t>
  </si>
  <si>
    <t>Total Inter Dept Adjustments</t>
  </si>
  <si>
    <t>Total Adjustments (Line 8 + Line 9)</t>
  </si>
  <si>
    <t xml:space="preserve">This reflects a shift in existing staffing. Pension and Benefits expenses were previously transferred to operating. </t>
  </si>
  <si>
    <t>Projected CIP Adjustment (Based on FY 2024 CIP Budget)</t>
  </si>
  <si>
    <t>The FY 2019 CIP included $19.6 Million of Engineering &amp; Admin</t>
  </si>
  <si>
    <t>Time Value Factor</t>
  </si>
  <si>
    <t>FY 2021 Value</t>
  </si>
  <si>
    <t>Total Adjustment Before Inflation</t>
  </si>
  <si>
    <t>From CIP Spending Calc File</t>
  </si>
  <si>
    <t>Simpler Inflation Formula</t>
  </si>
  <si>
    <t>Difference</t>
  </si>
  <si>
    <t>O&amp;M Adjustment #3 - Contract Services</t>
  </si>
  <si>
    <t>CITY GRANTS</t>
  </si>
  <si>
    <t>Class 200 Inflation Factor</t>
  </si>
  <si>
    <t>Other 200</t>
  </si>
  <si>
    <t>Cumulative Factor</t>
  </si>
  <si>
    <t>Human Resources and Admin</t>
  </si>
  <si>
    <t>Source:</t>
  </si>
  <si>
    <t>FY24 MDO Summary-DRAFTv520221111</t>
  </si>
  <si>
    <t>Operations</t>
  </si>
  <si>
    <t>Public Affairs</t>
  </si>
  <si>
    <t>Human Resources and Administration - Services</t>
  </si>
  <si>
    <t>Finance - Services</t>
  </si>
  <si>
    <t>Construction and Engineering - Services</t>
  </si>
  <si>
    <t>Operations - Services</t>
  </si>
  <si>
    <t>Planning &amp; Environmental Services - Services</t>
  </si>
  <si>
    <t>Total Inflated Costs</t>
  </si>
  <si>
    <t>Total Adjustments</t>
  </si>
  <si>
    <t xml:space="preserve">Notes: </t>
  </si>
  <si>
    <t xml:space="preserve">Increases due to rising costs of contract services and maintenance costs in classes 250 and 260. </t>
  </si>
  <si>
    <t>O&amp;M Adjustment #4 - Equipment</t>
  </si>
  <si>
    <t>Indemnities</t>
  </si>
  <si>
    <t>Class 400 Inflation Factor</t>
  </si>
  <si>
    <t>Other 400</t>
  </si>
  <si>
    <t>Class 400 (FY 2024 $)</t>
  </si>
  <si>
    <t>Human Resources and Administration - Equipment</t>
  </si>
  <si>
    <t>Operations - Equipment</t>
  </si>
  <si>
    <t>Planning &amp; Environmental Services - Equipment</t>
  </si>
  <si>
    <t>Expenses cover the ongoing necessary equipment expenses including furniture, PFA spectrometers, radios, and repeaters.</t>
  </si>
  <si>
    <t>O&amp;M Adjustment #5 - Materials &amp; Supplies</t>
  </si>
  <si>
    <t>STAFFING</t>
  </si>
  <si>
    <t>Class 300 Inflation Factor</t>
  </si>
  <si>
    <t>Other 300</t>
  </si>
  <si>
    <t xml:space="preserve">  </t>
  </si>
  <si>
    <t>Inflated Costs</t>
  </si>
  <si>
    <t>Operations - Materials and Supplies</t>
  </si>
  <si>
    <t>xxxxxxxxxxxxxxxx</t>
  </si>
  <si>
    <t>FY 2024</t>
  </si>
  <si>
    <t>O&amp;M Adjustment #6 - Additional Regulatory Compliance Staffing (GSI)</t>
  </si>
  <si>
    <t>FY 2021 Cumulative Factor</t>
  </si>
  <si>
    <t>Operations (GSI Maint)</t>
  </si>
  <si>
    <t>Additional Staffing (2021 $)</t>
  </si>
  <si>
    <t>FY 2023</t>
  </si>
  <si>
    <t>FY 2025</t>
  </si>
  <si>
    <t>FY 2026</t>
  </si>
  <si>
    <t>FY 2027</t>
  </si>
  <si>
    <t>Operations - Salaries &amp; Wages</t>
  </si>
  <si>
    <t>Additional Staffing (2023 $)</t>
  </si>
  <si>
    <t>FY 2028</t>
  </si>
  <si>
    <t>FY 2029</t>
  </si>
  <si>
    <t>FY 2030</t>
  </si>
  <si>
    <t>FY 2031</t>
  </si>
  <si>
    <t>FY 2032</t>
  </si>
  <si>
    <t>FY 2033</t>
  </si>
  <si>
    <t>FY 2034</t>
  </si>
  <si>
    <t>FY 2035</t>
  </si>
  <si>
    <t>FY 2036</t>
  </si>
  <si>
    <t>FY 2037</t>
  </si>
  <si>
    <t>FY 2038</t>
  </si>
  <si>
    <t>FY 2039</t>
  </si>
  <si>
    <t>FY 2040</t>
  </si>
  <si>
    <t>FY 2041</t>
  </si>
  <si>
    <t>FY 2042</t>
  </si>
  <si>
    <t>FY 2043</t>
  </si>
  <si>
    <t>FY 2044</t>
  </si>
  <si>
    <t>FY 2045</t>
  </si>
  <si>
    <t>City Finance - Pension &amp; Fringes</t>
  </si>
  <si>
    <t>Water Fund Salary Ratios [See Pension &amp; Fringes Ratio Worksheet]</t>
  </si>
  <si>
    <t>Benefits</t>
  </si>
  <si>
    <t>Pension</t>
  </si>
  <si>
    <t>Pension Obligations</t>
  </si>
  <si>
    <t>Total</t>
  </si>
  <si>
    <t>Benefits (Line 12 x Line 13)</t>
  </si>
  <si>
    <t>City Finance - Benefits</t>
  </si>
  <si>
    <t>Pension (Line 12 x Line 14)</t>
  </si>
  <si>
    <t>City Finance - Pension</t>
  </si>
  <si>
    <t>Pension Obligations (Line 12 x Line 15)</t>
  </si>
  <si>
    <t>City Finance - Pension Obligations</t>
  </si>
  <si>
    <t>xxxxxxxxxxxx</t>
  </si>
  <si>
    <t>Staff Costs</t>
  </si>
  <si>
    <t>Additional Staffing (2025 $)</t>
  </si>
  <si>
    <t xml:space="preserve">Operations </t>
  </si>
  <si>
    <t>Planning &amp; Environmental Services</t>
  </si>
  <si>
    <t>Human Resources and Administration - Salaries &amp; Wages</t>
  </si>
  <si>
    <t>Finance - Salaries &amp; Wages</t>
  </si>
  <si>
    <t>Public Affairs - Salaries &amp; Wages</t>
  </si>
  <si>
    <t>xxxxxxxxxxxxxx</t>
  </si>
  <si>
    <t>Class 220 Inflation Factor (Power)</t>
  </si>
  <si>
    <t>Energy</t>
  </si>
  <si>
    <t>Class 221 Inflation Factor (Gas)</t>
  </si>
  <si>
    <t>Gas</t>
  </si>
  <si>
    <t>Class 307 Inflation Factor (Chemicals)</t>
  </si>
  <si>
    <t>Chemicals</t>
  </si>
  <si>
    <t>Cumulative Class 220</t>
  </si>
  <si>
    <t>Cumulative Class 221</t>
  </si>
  <si>
    <t>Cumulative Class 307</t>
  </si>
  <si>
    <t>2024 $</t>
  </si>
  <si>
    <t>Power</t>
  </si>
  <si>
    <t>Operations - Power</t>
  </si>
  <si>
    <t>Operations - Gas</t>
  </si>
  <si>
    <t>Operations - Chemicals</t>
  </si>
  <si>
    <t>xxxxxxxxxxxxxxxxxx</t>
  </si>
  <si>
    <t>NOT USED</t>
  </si>
  <si>
    <t>O&amp;M Adjustment #10 - XXXXXXXXXXXX</t>
  </si>
  <si>
    <t>Line No.</t>
  </si>
  <si>
    <t>Cumulative Class 100</t>
  </si>
  <si>
    <t>Cumulative Class 200</t>
  </si>
  <si>
    <t>Cumulative Class 300</t>
  </si>
  <si>
    <t>Cumulative Class 400</t>
  </si>
  <si>
    <t>Class 200</t>
  </si>
  <si>
    <t>Class 300</t>
  </si>
  <si>
    <t>Class 400</t>
  </si>
  <si>
    <t>Total Operations</t>
  </si>
  <si>
    <t>Total Inflated Operations</t>
  </si>
  <si>
    <t>CHECK</t>
  </si>
  <si>
    <t xml:space="preserve">Inflation Factors </t>
  </si>
  <si>
    <t>Salary</t>
  </si>
  <si>
    <t>TOTAL</t>
  </si>
  <si>
    <t>Finance &amp; Admin - Class 200 (Excludes Reduction in City Grants)</t>
  </si>
  <si>
    <t>City Finance</t>
  </si>
  <si>
    <t>Pension &amp; Fringes Ratios</t>
  </si>
  <si>
    <t xml:space="preserve">Line No. </t>
  </si>
  <si>
    <t>Class Code</t>
  </si>
  <si>
    <t>Projected Water Fund Class 100 Costs (Source:  Workpaper Financial Plan Model, Other Dept O&amp;M - 7)</t>
  </si>
  <si>
    <t>Salaries &amp; Wages</t>
  </si>
  <si>
    <t>1xx</t>
  </si>
  <si>
    <t>Water Fund Salary Ratios (Percentage of Salary)</t>
  </si>
  <si>
    <t>Benefits (Line 2 / Line 1)</t>
  </si>
  <si>
    <t>Pension (Line 3 / Line 1)</t>
  </si>
  <si>
    <t>Pension Obligations (Line 4 / Line 1)</t>
  </si>
  <si>
    <t>Water Fund Class 100 Distribution</t>
  </si>
  <si>
    <t>Salaries &amp; Wages (Line 1 / Line 5)</t>
  </si>
  <si>
    <t>Benefits (Line 2 / Line 5)</t>
  </si>
  <si>
    <t>Pension (Line 3 / Line 5)</t>
  </si>
  <si>
    <t>Pension Obligations (Line 4 / Line 5)</t>
  </si>
  <si>
    <t xml:space="preserve">Direct </t>
  </si>
  <si>
    <t>Other Departments</t>
  </si>
  <si>
    <t xml:space="preserve">TOTAL ADJUSTMENTS </t>
  </si>
  <si>
    <t>DIRECT</t>
  </si>
  <si>
    <t>INTER DEPARTMENTAL</t>
  </si>
  <si>
    <t xml:space="preserve"> </t>
  </si>
  <si>
    <t>O&amp;M Adjustments - Inflation Factors</t>
  </si>
  <si>
    <t xml:space="preserve">Constant </t>
  </si>
  <si>
    <t/>
  </si>
  <si>
    <t>Other Benefits</t>
  </si>
  <si>
    <t>General</t>
  </si>
  <si>
    <t>Not in Use</t>
  </si>
  <si>
    <t>Property Leases</t>
  </si>
  <si>
    <t>Transfers</t>
  </si>
  <si>
    <t>O&amp;M Adjustments - Actual to Budget Factors</t>
  </si>
  <si>
    <t>PWD Direct O&amp;M</t>
  </si>
  <si>
    <t>Human Resources and Administration</t>
  </si>
  <si>
    <t>Services</t>
  </si>
  <si>
    <t>Materials and Supplies</t>
  </si>
  <si>
    <t>Equipment</t>
  </si>
  <si>
    <t>Subtotal Human Resources and Administration</t>
  </si>
  <si>
    <t>SMIP/GARP</t>
  </si>
  <si>
    <t>2xx</t>
  </si>
  <si>
    <t>Subtotal Finance</t>
  </si>
  <si>
    <t>Construction and Engineering</t>
  </si>
  <si>
    <t>Subtotal Construction and Engineering</t>
  </si>
  <si>
    <t>Subtotal Operations</t>
  </si>
  <si>
    <t>Subtotal Planning &amp; Environmental Services</t>
  </si>
  <si>
    <t>Subtotal Public Affairs</t>
  </si>
  <si>
    <t>Other Department O&amp;M</t>
  </si>
  <si>
    <t>Division of Technology</t>
  </si>
  <si>
    <t>Subtotal Division of Technology</t>
  </si>
  <si>
    <t>Mayor's Office of Transportation &amp; Utilities</t>
  </si>
  <si>
    <t>Subtotal Mayor's Office of Transportation &amp; Utilities</t>
  </si>
  <si>
    <t>Philadelphia Water, Sewer and Stormwater Rate Board</t>
  </si>
  <si>
    <t>Subtotal Philadelphia Water, Sewer and Stormwater Rate Board</t>
  </si>
  <si>
    <t>Public Property</t>
  </si>
  <si>
    <t>Subtotal Public Property</t>
  </si>
  <si>
    <t>Fleet Management</t>
  </si>
  <si>
    <t>Subtotal Fleet Management</t>
  </si>
  <si>
    <t>Subtotal City Finance</t>
  </si>
  <si>
    <t>City Treasurer</t>
  </si>
  <si>
    <t>Subtotal City Treasurer</t>
  </si>
  <si>
    <t>Revenue</t>
  </si>
  <si>
    <t>Subtotal Revenue</t>
  </si>
  <si>
    <t>Procurement</t>
  </si>
  <si>
    <t>Subtotal Procurement</t>
  </si>
  <si>
    <t>Law</t>
  </si>
  <si>
    <t>Class 100 Inflation Factor - Included in FY 2025 Budget</t>
  </si>
  <si>
    <t>PWD - Human Resources and Administration</t>
  </si>
  <si>
    <t>PWD - Finance</t>
  </si>
  <si>
    <t>Class 100 - Base Cost (FY 2025 Costs) - Including Budget Allowance for Salary Increases (see above)</t>
  </si>
  <si>
    <t>Staff Costs (in FY 2025 $)</t>
  </si>
  <si>
    <t>Class 200 (FY 2025 $)</t>
  </si>
  <si>
    <t>PWD - Construction and Engineering</t>
  </si>
  <si>
    <t>PWD - Operations</t>
  </si>
  <si>
    <t>PWD - Planning &amp; Enviromental Services</t>
  </si>
  <si>
    <t>PWD - Public Affairs</t>
  </si>
  <si>
    <t>OD - Division of Technology</t>
  </si>
  <si>
    <t>OD - Mayor's Office of Transportation</t>
  </si>
  <si>
    <t>OD - Phil. Water, Sewer and Stormwater Rate Board</t>
  </si>
  <si>
    <t>OD - Public Property</t>
  </si>
  <si>
    <t>OD - Fleet Management</t>
  </si>
  <si>
    <t>OD - City Finance</t>
  </si>
  <si>
    <t>OD - City Treasurer</t>
  </si>
  <si>
    <t>OD - Revenue</t>
  </si>
  <si>
    <t>OD - Procurement</t>
  </si>
  <si>
    <t>OD - Law</t>
  </si>
  <si>
    <t>One Time Bonus</t>
  </si>
  <si>
    <t>Cost Basis - One Time Bonus</t>
  </si>
  <si>
    <t>Number of Positions</t>
  </si>
  <si>
    <t>We used filled positions - Use 100%</t>
  </si>
  <si>
    <t>Class 100 - Adjustment for Labor Agreement Settlement (Higher increase than provided in assumed in Budget)</t>
  </si>
  <si>
    <t>O&amp;M Adjustment #8 - FY 2026 Additional Staffing Needs</t>
  </si>
  <si>
    <t>Notes: PWD anticipates 35% of the salary associated with the 45 new positions to be added in FY 2026 and the remaining 65% to be added in FY 2027.</t>
  </si>
  <si>
    <t>WRB</t>
  </si>
  <si>
    <t>Additional Costs (2026 $)</t>
  </si>
  <si>
    <t>Class 300 (FY 2026 $)</t>
  </si>
  <si>
    <t>Division of Technology - Salaries &amp; Wages</t>
  </si>
  <si>
    <t>Mayor's Office of Transportation &amp; Utilities - Salaries &amp; Wages</t>
  </si>
  <si>
    <t>Philadelphia Water, Sewer and Stormwater Rate Board - Salaries &amp; Wages</t>
  </si>
  <si>
    <t>Public Property - Salaries &amp; Wages</t>
  </si>
  <si>
    <t>Fleet Management - Salaries &amp; Wages</t>
  </si>
  <si>
    <t>City Finance - Salaries &amp; Wages</t>
  </si>
  <si>
    <t>City Treasurer - Salaries &amp; Wages</t>
  </si>
  <si>
    <t>Revenue - Salaries &amp; Wages</t>
  </si>
  <si>
    <t>Procurement - Salaries &amp; Wages</t>
  </si>
  <si>
    <t>Law - Salaries &amp; Wages</t>
  </si>
  <si>
    <t xml:space="preserve">PWD (Dept 28) Subtotal </t>
  </si>
  <si>
    <t>OD Subtotal</t>
  </si>
  <si>
    <t xml:space="preserve">Check </t>
  </si>
  <si>
    <t>Fleet Management - Materials and Supplies</t>
  </si>
  <si>
    <t>WRB:  FY26 Summary - WRB.xls</t>
  </si>
  <si>
    <t>Others:  FY2026 Position Increase Details.xls</t>
  </si>
  <si>
    <t>Based on CIP Budget</t>
  </si>
  <si>
    <t>Division of Technology - Services</t>
  </si>
  <si>
    <t>Additional Staffing (2026 $)</t>
  </si>
  <si>
    <t>FY 2026 Cumulative Factor</t>
  </si>
  <si>
    <t>CPI</t>
  </si>
  <si>
    <t>Finance - Transfers (801)</t>
  </si>
  <si>
    <t>Finance - Transfers</t>
  </si>
  <si>
    <t>Rate Board</t>
  </si>
  <si>
    <t>O&amp;M Adjustment #11 - xxxxxxxxxxxxxxxxxxxxxxxxxxx</t>
  </si>
  <si>
    <t>O&amp;M Adjustment #9 - Increased Transfers (Interfund Transfers)</t>
  </si>
  <si>
    <t>O&amp;M Adjustment #7 - Labor Agreement 2025 Settlement Impact</t>
  </si>
  <si>
    <t>Operations Allocation</t>
  </si>
  <si>
    <t>SW WPCP</t>
  </si>
  <si>
    <t>Load Control</t>
  </si>
  <si>
    <t>Flow Control</t>
  </si>
  <si>
    <t>Reflects increasing the budget back to $25.0 Million per year (consistent with the $10.0 M temporary reduction reflected in the 2025 Budget) - Increasing 5.0M per year</t>
  </si>
  <si>
    <t>Reflects elimination of SMIP/GARP at the end of the LTCP in 2037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</si>
</sst>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1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_);\(0\)"/>
    <numFmt numFmtId="167" formatCode="&quot;$&quot;#,##0.00"/>
    <numFmt numFmtId="168" formatCode="&quot;$&quot;#,##0\ ;\(&quot;$&quot;#,##0\)"/>
    <numFmt numFmtId="169" formatCode="00000"/>
    <numFmt numFmtId="170" formatCode="#,##0.0000_);\(#,##0.0000\)"/>
    <numFmt numFmtId="171" formatCode="#,##0.00000000000;[Red]\-#,##0.00000000000"/>
    <numFmt numFmtId="172" formatCode="0.00_)"/>
    <numFmt numFmtId="173" formatCode="0.00000_)"/>
    <numFmt numFmtId="174" formatCode="dd\-mmm\-yy_)"/>
    <numFmt numFmtId="175" formatCode="_(&quot;$&quot;* #,##0.0000_);_(&quot;$&quot;* \(#,##0.0000\);_(&quot;$&quot;* &quot;-&quot;????_);_(@_)"/>
    <numFmt numFmtId="176" formatCode="0.000000"/>
    <numFmt numFmtId="177" formatCode="0%;;"/>
    <numFmt numFmtId="178" formatCode="m/d/yy;;"/>
    <numFmt numFmtId="179" formatCode="0&quot; days&quot;;;"/>
    <numFmt numFmtId="180" formatCode="0;;;"/>
    <numFmt numFmtId="181" formatCode=";;;"/>
    <numFmt numFmtId="182" formatCode="#,##0_);[Red]\(#,##0\);"/>
    <numFmt numFmtId="183" formatCode="#,##0.000_);[Red]\(#,##0.000\);"/>
    <numFmt numFmtId="184" formatCode="0.000%;;"/>
    <numFmt numFmtId="185" formatCode="General;;"/>
    <numFmt numFmtId="186" formatCode="0.00&quot; years&quot;;;"/>
    <numFmt numFmtId="187" formatCode="&quot;Yes&quot;;;&quot;No&quot;"/>
    <numFmt numFmtId="188" formatCode="0.0%"/>
  </numFmts>
  <fonts count="1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0"/>
      <name val="MS Sans Serif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color indexed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sz val="11"/>
      <color theme="1"/>
      <name val="Cambria"/>
      <family val="2"/>
    </font>
    <font>
      <sz val="11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sz val="12"/>
      <name val="Helv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0"/>
      <color indexed="9"/>
      <name val="Times New Roman"/>
      <family val="1"/>
    </font>
    <font>
      <u/>
      <sz val="10"/>
      <color indexed="12"/>
      <name val="Arial"/>
      <family val="2"/>
    </font>
    <font>
      <u/>
      <sz val="10"/>
      <color indexed="12"/>
      <name val="Courier"/>
      <family val="3"/>
    </font>
    <font>
      <shadow/>
      <sz val="10"/>
      <color indexed="12"/>
      <name val="Times New Roman"/>
      <family val="1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i/>
      <shadow/>
      <sz val="12"/>
      <color indexed="12"/>
      <name val="Arial"/>
      <family val="2"/>
    </font>
    <font>
      <sz val="11"/>
      <color indexed="52"/>
      <name val="Calibri"/>
      <family val="2"/>
    </font>
    <font>
      <sz val="10"/>
      <color theme="1"/>
      <name val="Times New Roman"/>
      <family val="1"/>
    </font>
    <font>
      <sz val="10"/>
      <color indexed="12"/>
      <name val="Times New Roman"/>
      <family val="1"/>
    </font>
    <font>
      <b/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2"/>
      <color indexed="10"/>
      <name val="Arial"/>
      <family val="2"/>
    </font>
    <font>
      <b/>
      <sz val="10"/>
      <name val="Arial"/>
      <family val="2"/>
    </font>
    <font>
      <shadow/>
      <sz val="10"/>
      <color indexed="16"/>
      <name val="Times New Roman"/>
      <family val="1"/>
    </font>
    <font>
      <i/>
      <shadow/>
      <sz val="10"/>
      <color indexed="14"/>
      <name val="Times New Roman"/>
      <family val="1"/>
    </font>
    <font>
      <sz val="10"/>
      <color indexed="16"/>
      <name val="Times New Roman"/>
      <family val="1"/>
    </font>
    <font>
      <sz val="11"/>
      <color indexed="60"/>
      <name val="Calibri"/>
      <family val="2"/>
    </font>
    <font>
      <sz val="12"/>
      <name val="Arial MT"/>
    </font>
    <font>
      <sz val="10"/>
      <name val="Courier"/>
      <family val="3"/>
    </font>
    <font>
      <sz val="10"/>
      <name val="Tms Rmn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8"/>
      <name val="Times New Roman"/>
      <family val="1"/>
    </font>
    <font>
      <sz val="8"/>
      <color indexed="8"/>
      <name val="Times New Roman"/>
      <family val="1"/>
    </font>
    <font>
      <b/>
      <sz val="10"/>
      <name val="Helv"/>
    </font>
    <font>
      <b/>
      <i/>
      <sz val="10"/>
      <name val="Helv"/>
    </font>
    <font>
      <i/>
      <sz val="10"/>
      <name val="Helv"/>
    </font>
    <font>
      <b/>
      <i/>
      <sz val="10"/>
      <name val="Arial"/>
      <family val="2"/>
    </font>
    <font>
      <i/>
      <sz val="10"/>
      <name val="Arial"/>
      <family val="2"/>
    </font>
    <font>
      <shadow/>
      <sz val="10"/>
      <color theme="1"/>
      <name val="Times New Roman"/>
      <family val="1"/>
    </font>
    <font>
      <b/>
      <sz val="18"/>
      <color indexed="56"/>
      <name val="Cambria"/>
      <family val="2"/>
    </font>
    <font>
      <b/>
      <sz val="12"/>
      <color indexed="60"/>
      <name val="Arial"/>
      <family val="2"/>
    </font>
    <font>
      <b/>
      <sz val="14"/>
      <color indexed="56"/>
      <name val="Arial"/>
      <family val="2"/>
    </font>
    <font>
      <b/>
      <sz val="11"/>
      <color indexed="8"/>
      <name val="Calibri"/>
      <family val="2"/>
    </font>
    <font>
      <sz val="10"/>
      <color indexed="23"/>
      <name val="Times New Roman"/>
      <family val="1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sz val="8"/>
      <name val="Times New Roman"/>
      <family val="1"/>
    </font>
    <font>
      <i/>
      <sz val="8"/>
      <name val="Times New Roman"/>
      <family val="1"/>
    </font>
    <font>
      <b/>
      <sz val="11"/>
      <color indexed="52"/>
      <name val="Calibri"/>
      <family val="2"/>
      <scheme val="minor"/>
    </font>
    <font>
      <sz val="8"/>
      <color indexed="62"/>
      <name val="Times New Roman"/>
      <family val="1"/>
    </font>
    <font>
      <sz val="8"/>
      <color indexed="21"/>
      <name val="Times New Roman"/>
      <family val="1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8"/>
      <color indexed="57"/>
      <name val="Times New Roman"/>
      <family val="1"/>
    </font>
    <font>
      <sz val="11"/>
      <color indexed="52"/>
      <name val="Calibri"/>
      <family val="2"/>
      <scheme val="minor"/>
    </font>
    <font>
      <sz val="11"/>
      <color indexed="60"/>
      <name val="Calibri"/>
      <family val="2"/>
      <scheme val="minor"/>
    </font>
    <font>
      <b/>
      <i/>
      <sz val="10"/>
      <name val="Times New Roman"/>
      <family val="1"/>
    </font>
    <font>
      <b/>
      <sz val="18"/>
      <color indexed="56"/>
      <name val="Cambria"/>
      <family val="2"/>
      <scheme val="major"/>
    </font>
    <font>
      <sz val="10"/>
      <color indexed="10"/>
      <name val="Times New Roman"/>
      <family val="1"/>
    </font>
    <font>
      <u/>
      <sz val="10"/>
      <color indexed="12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1"/>
      <name val="Arial Blac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43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64"/>
      </patternFill>
    </fill>
    <fill>
      <patternFill patternType="solid">
        <fgColor rgb="FFFFCCFF"/>
        <bgColor indexed="8"/>
      </patternFill>
    </fill>
    <fill>
      <patternFill patternType="gray0625">
        <fgColor indexed="8"/>
        <bgColor indexed="9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9"/>
      </patternFill>
    </fill>
    <fill>
      <patternFill patternType="solid">
        <fgColor rgb="FFDDF2FF"/>
        <bgColor indexed="11"/>
      </patternFill>
    </fill>
    <fill>
      <patternFill patternType="solid">
        <fgColor indexed="43"/>
      </patternFill>
    </fill>
    <fill>
      <patternFill patternType="solid">
        <fgColor theme="0"/>
      </patternFill>
    </fill>
    <fill>
      <patternFill patternType="solid">
        <fgColor indexed="26"/>
      </patternFill>
    </fill>
    <fill>
      <patternFill patternType="solid">
        <fgColor indexed="8"/>
      </patternFill>
    </fill>
    <fill>
      <patternFill patternType="lightGray">
        <fgColor indexed="8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47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46"/>
      </patternFill>
    </fill>
    <fill>
      <patternFill patternType="solid">
        <fgColor indexed="3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6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4" fillId="0" borderId="0"/>
    <xf numFmtId="8" fontId="4" fillId="0" borderId="0" applyFont="0" applyFill="0" applyBorder="0" applyAlignment="0" applyProtection="0"/>
    <xf numFmtId="0" fontId="20" fillId="0" borderId="0">
      <alignment horizontal="centerContinuous"/>
    </xf>
    <xf numFmtId="0" fontId="27" fillId="0" borderId="0"/>
    <xf numFmtId="0" fontId="27" fillId="0" borderId="0"/>
    <xf numFmtId="0" fontId="1" fillId="0" borderId="0"/>
    <xf numFmtId="0" fontId="28" fillId="43" borderId="0" applyNumberFormat="0" applyBorder="0" applyAlignment="0" applyProtection="0"/>
    <xf numFmtId="0" fontId="29" fillId="44" borderId="0" applyNumberFormat="0" applyBorder="0" applyAlignment="0" applyProtection="0"/>
    <xf numFmtId="0" fontId="30" fillId="0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31" fillId="4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31" fillId="4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31" fillId="4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31" fillId="48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31" fillId="49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31" fillId="5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31" fillId="5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31" fillId="5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31" fillId="53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31" fillId="48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31" fillId="51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31" fillId="54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32" fillId="55" borderId="0" applyNumberFormat="0" applyBorder="0" applyAlignment="0" applyProtection="0"/>
    <xf numFmtId="0" fontId="19" fillId="14" borderId="0" applyNumberFormat="0" applyBorder="0" applyAlignment="0" applyProtection="0"/>
    <xf numFmtId="0" fontId="32" fillId="52" borderId="0" applyNumberFormat="0" applyBorder="0" applyAlignment="0" applyProtection="0"/>
    <xf numFmtId="0" fontId="19" fillId="18" borderId="0" applyNumberFormat="0" applyBorder="0" applyAlignment="0" applyProtection="0"/>
    <xf numFmtId="0" fontId="32" fillId="53" borderId="0" applyNumberFormat="0" applyBorder="0" applyAlignment="0" applyProtection="0"/>
    <xf numFmtId="0" fontId="19" fillId="22" borderId="0" applyNumberFormat="0" applyBorder="0" applyAlignment="0" applyProtection="0"/>
    <xf numFmtId="0" fontId="32" fillId="56" borderId="0" applyNumberFormat="0" applyBorder="0" applyAlignment="0" applyProtection="0"/>
    <xf numFmtId="0" fontId="19" fillId="26" borderId="0" applyNumberFormat="0" applyBorder="0" applyAlignment="0" applyProtection="0"/>
    <xf numFmtId="0" fontId="32" fillId="57" borderId="0" applyNumberFormat="0" applyBorder="0" applyAlignment="0" applyProtection="0"/>
    <xf numFmtId="0" fontId="19" fillId="30" borderId="0" applyNumberFormat="0" applyBorder="0" applyAlignment="0" applyProtection="0"/>
    <xf numFmtId="0" fontId="32" fillId="58" borderId="0" applyNumberFormat="0" applyBorder="0" applyAlignment="0" applyProtection="0"/>
    <xf numFmtId="0" fontId="19" fillId="34" borderId="0" applyNumberFormat="0" applyBorder="0" applyAlignment="0" applyProtection="0"/>
    <xf numFmtId="0" fontId="32" fillId="59" borderId="0" applyNumberFormat="0" applyBorder="0" applyAlignment="0" applyProtection="0"/>
    <xf numFmtId="0" fontId="19" fillId="11" borderId="0" applyNumberFormat="0" applyBorder="0" applyAlignment="0" applyProtection="0"/>
    <xf numFmtId="0" fontId="32" fillId="60" borderId="0" applyNumberFormat="0" applyBorder="0" applyAlignment="0" applyProtection="0"/>
    <xf numFmtId="0" fontId="19" fillId="15" borderId="0" applyNumberFormat="0" applyBorder="0" applyAlignment="0" applyProtection="0"/>
    <xf numFmtId="0" fontId="32" fillId="61" borderId="0" applyNumberFormat="0" applyBorder="0" applyAlignment="0" applyProtection="0"/>
    <xf numFmtId="0" fontId="19" fillId="19" borderId="0" applyNumberFormat="0" applyBorder="0" applyAlignment="0" applyProtection="0"/>
    <xf numFmtId="0" fontId="32" fillId="56" borderId="0" applyNumberFormat="0" applyBorder="0" applyAlignment="0" applyProtection="0"/>
    <xf numFmtId="0" fontId="19" fillId="23" borderId="0" applyNumberFormat="0" applyBorder="0" applyAlignment="0" applyProtection="0"/>
    <xf numFmtId="0" fontId="32" fillId="57" borderId="0" applyNumberFormat="0" applyBorder="0" applyAlignment="0" applyProtection="0"/>
    <xf numFmtId="0" fontId="19" fillId="27" borderId="0" applyNumberFormat="0" applyBorder="0" applyAlignment="0" applyProtection="0"/>
    <xf numFmtId="0" fontId="32" fillId="62" borderId="0" applyNumberFormat="0" applyBorder="0" applyAlignment="0" applyProtection="0"/>
    <xf numFmtId="0" fontId="19" fillId="31" borderId="0" applyNumberFormat="0" applyBorder="0" applyAlignment="0" applyProtection="0"/>
    <xf numFmtId="0" fontId="33" fillId="46" borderId="0" applyNumberFormat="0" applyBorder="0" applyAlignment="0" applyProtection="0"/>
    <xf numFmtId="0" fontId="10" fillId="5" borderId="0" applyNumberFormat="0" applyBorder="0" applyAlignment="0" applyProtection="0"/>
    <xf numFmtId="0" fontId="34" fillId="63" borderId="16" applyNumberFormat="0" applyAlignment="0" applyProtection="0"/>
    <xf numFmtId="0" fontId="14" fillId="8" borderId="4" applyNumberFormat="0" applyAlignment="0" applyProtection="0"/>
    <xf numFmtId="0" fontId="35" fillId="64" borderId="17" applyNumberFormat="0" applyAlignment="0" applyProtection="0"/>
    <xf numFmtId="0" fontId="16" fillId="9" borderId="7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42" fillId="0" borderId="0"/>
    <xf numFmtId="0" fontId="42" fillId="0" borderId="0"/>
    <xf numFmtId="0" fontId="42" fillId="0" borderId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168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169" fontId="37" fillId="0" borderId="0"/>
    <xf numFmtId="0" fontId="4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2" fontId="41" fillId="0" borderId="0" applyFont="0" applyFill="0" applyBorder="0" applyAlignment="0" applyProtection="0"/>
    <xf numFmtId="0" fontId="44" fillId="47" borderId="0" applyNumberFormat="0" applyBorder="0" applyAlignment="0" applyProtection="0"/>
    <xf numFmtId="0" fontId="9" fillId="4" borderId="0" applyNumberFormat="0" applyBorder="0" applyAlignment="0" applyProtection="0"/>
    <xf numFmtId="38" fontId="45" fillId="65" borderId="0" applyNumberFormat="0" applyBorder="0" applyAlignment="0" applyProtection="0"/>
    <xf numFmtId="0" fontId="46" fillId="0" borderId="18" applyNumberFormat="0" applyFill="0" applyAlignment="0" applyProtection="0"/>
    <xf numFmtId="0" fontId="6" fillId="0" borderId="1" applyNumberFormat="0" applyFill="0" applyAlignment="0" applyProtection="0"/>
    <xf numFmtId="0" fontId="47" fillId="0" borderId="19" applyNumberFormat="0" applyFill="0" applyAlignment="0" applyProtection="0"/>
    <xf numFmtId="0" fontId="7" fillId="0" borderId="2" applyNumberFormat="0" applyFill="0" applyAlignment="0" applyProtection="0"/>
    <xf numFmtId="0" fontId="48" fillId="0" borderId="20" applyNumberFormat="0" applyFill="0" applyAlignment="0" applyProtection="0"/>
    <xf numFmtId="0" fontId="8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38" fontId="49" fillId="0" borderId="0"/>
    <xf numFmtId="40" fontId="49" fillId="0" borderId="0"/>
    <xf numFmtId="0" fontId="50" fillId="0" borderId="0">
      <alignment horizontal="left"/>
    </xf>
    <xf numFmtId="3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10" fontId="45" fillId="44" borderId="21" applyNumberFormat="0" applyBorder="0" applyAlignment="0" applyProtection="0"/>
    <xf numFmtId="0" fontId="12" fillId="7" borderId="4" applyNumberFormat="0" applyAlignment="0" applyProtection="0"/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0" fontId="12" fillId="7" borderId="4" applyNumberFormat="0" applyAlignment="0" applyProtection="0"/>
    <xf numFmtId="37" fontId="54" fillId="66" borderId="0" applyNumberFormat="0" applyBorder="0" applyAlignment="0">
      <protection locked="0"/>
    </xf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55" fillId="50" borderId="16" applyNumberFormat="0" applyAlignment="0" applyProtection="0"/>
    <xf numFmtId="39" fontId="56" fillId="0" borderId="0" applyNumberFormat="0" applyBorder="0" applyAlignment="0">
      <protection locked="0"/>
    </xf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3" fontId="54" fillId="67" borderId="22" applyBorder="0">
      <alignment vertical="center"/>
      <protection locked="0"/>
    </xf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3" fontId="54" fillId="67" borderId="22" applyBorder="0">
      <alignment vertical="center"/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0" fontId="12" fillId="7" borderId="4" applyNumberFormat="0" applyAlignment="0" applyProtection="0"/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0" fontId="12" fillId="7" borderId="4" applyNumberFormat="0" applyAlignment="0" applyProtection="0"/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0" fontId="12" fillId="7" borderId="4" applyNumberFormat="0" applyAlignment="0" applyProtection="0"/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7" fillId="68" borderId="0" applyNumberFormat="0" applyBorder="0" applyAlignment="0">
      <protection locked="0"/>
    </xf>
    <xf numFmtId="37" fontId="57" fillId="68" borderId="0" applyNumberFormat="0" applyBorder="0" applyAlignment="0">
      <protection locked="0"/>
    </xf>
    <xf numFmtId="37" fontId="57" fillId="68" borderId="0" applyNumberFormat="0" applyBorder="0" applyAlignment="0">
      <protection locked="0"/>
    </xf>
    <xf numFmtId="37" fontId="57" fillId="68" borderId="0" applyNumberFormat="0" applyBorder="0" applyAlignment="0">
      <protection locked="0"/>
    </xf>
    <xf numFmtId="37" fontId="57" fillId="68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0" fontId="12" fillId="35" borderId="0" applyNumberFormat="0" applyAlignment="0">
      <protection locked="0"/>
    </xf>
    <xf numFmtId="0" fontId="12" fillId="7" borderId="4" applyNumberFormat="0" applyAlignment="0" applyProtection="0"/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7" borderId="4" applyNumberFormat="0" applyAlignment="0" applyProtection="0"/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0" fontId="12" fillId="35" borderId="0" applyNumberFormat="0" applyAlignment="0">
      <protection locked="0"/>
    </xf>
    <xf numFmtId="1" fontId="54" fillId="69" borderId="0">
      <alignment horizontal="center"/>
      <protection locked="0"/>
    </xf>
    <xf numFmtId="0" fontId="58" fillId="0" borderId="23" applyNumberFormat="0" applyFill="0" applyAlignment="0" applyProtection="0"/>
    <xf numFmtId="0" fontId="15" fillId="0" borderId="6" applyNumberFormat="0" applyFill="0" applyAlignment="0" applyProtection="0"/>
    <xf numFmtId="37" fontId="59" fillId="70" borderId="0" applyNumberFormat="0" applyAlignment="0"/>
    <xf numFmtId="10" fontId="60" fillId="3" borderId="0" applyNumberFormat="0" applyBorder="0" applyAlignment="0" applyProtection="0">
      <alignment horizontal="right"/>
      <protection locked="0"/>
    </xf>
    <xf numFmtId="170" fontId="61" fillId="71" borderId="24"/>
    <xf numFmtId="0" fontId="30" fillId="0" borderId="0" applyNumberFormat="0" applyBorder="0" applyAlignment="0" applyProtection="0"/>
    <xf numFmtId="0" fontId="36" fillId="0" borderId="0" applyNumberFormat="0" applyBorder="0" applyAlignment="0" applyProtection="0"/>
    <xf numFmtId="0" fontId="36" fillId="0" borderId="0" applyNumberFormat="0" applyBorder="0" applyAlignment="0" applyProtection="0"/>
    <xf numFmtId="0" fontId="62" fillId="69" borderId="0" applyNumberFormat="0" applyBorder="0" applyAlignment="0" applyProtection="0"/>
    <xf numFmtId="0" fontId="63" fillId="0" borderId="10" applyNumberFormat="0" applyBorder="0">
      <alignment horizontal="center"/>
    </xf>
    <xf numFmtId="0" fontId="29" fillId="72" borderId="25" applyNumberFormat="0" applyBorder="0" applyAlignment="0" applyProtection="0"/>
    <xf numFmtId="44" fontId="64" fillId="0" borderId="26" applyNumberFormat="0" applyFont="0" applyAlignment="0">
      <alignment horizontal="center"/>
    </xf>
    <xf numFmtId="44" fontId="64" fillId="0" borderId="27" applyNumberFormat="0" applyFont="0" applyAlignment="0">
      <alignment horizontal="center"/>
    </xf>
    <xf numFmtId="0" fontId="65" fillId="0" borderId="0"/>
    <xf numFmtId="0" fontId="66" fillId="73" borderId="0"/>
    <xf numFmtId="0" fontId="65" fillId="0" borderId="0"/>
    <xf numFmtId="37" fontId="67" fillId="74" borderId="0" applyNumberFormat="0" applyAlignment="0"/>
    <xf numFmtId="0" fontId="68" fillId="75" borderId="0" applyNumberFormat="0" applyBorder="0" applyAlignment="0" applyProtection="0"/>
    <xf numFmtId="0" fontId="11" fillId="6" borderId="0" applyNumberFormat="0" applyBorder="0" applyAlignment="0" applyProtection="0"/>
    <xf numFmtId="171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72" fontId="6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41" fillId="0" borderId="0"/>
    <xf numFmtId="0" fontId="38" fillId="0" borderId="0"/>
    <xf numFmtId="0" fontId="41" fillId="0" borderId="0"/>
    <xf numFmtId="0" fontId="37" fillId="0" borderId="0"/>
    <xf numFmtId="0" fontId="36" fillId="0" borderId="0"/>
    <xf numFmtId="37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172" fontId="69" fillId="0" borderId="0"/>
    <xf numFmtId="172" fontId="69" fillId="0" borderId="0"/>
    <xf numFmtId="172" fontId="69" fillId="0" borderId="0"/>
    <xf numFmtId="0" fontId="37" fillId="0" borderId="0"/>
    <xf numFmtId="0" fontId="37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0" fontId="37" fillId="0" borderId="0"/>
    <xf numFmtId="0" fontId="37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172" fontId="69" fillId="0" borderId="0"/>
    <xf numFmtId="0" fontId="4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173" fontId="70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0" fontId="37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0" fontId="37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37" fontId="41" fillId="0" borderId="0" applyFill="0" applyBorder="0" applyAlignment="0"/>
    <xf numFmtId="37" fontId="41" fillId="0" borderId="0" applyFill="0" applyBorder="0" applyAlignment="0"/>
    <xf numFmtId="37" fontId="41" fillId="0" borderId="0" applyFill="0" applyBorder="0" applyAlignment="0"/>
    <xf numFmtId="37" fontId="41" fillId="0" borderId="0" applyFill="0" applyBorder="0" applyAlignment="0"/>
    <xf numFmtId="0" fontId="37" fillId="0" borderId="0"/>
    <xf numFmtId="37" fontId="41" fillId="0" borderId="0" applyFill="0" applyBorder="0" applyAlignment="0"/>
    <xf numFmtId="38" fontId="40" fillId="0" borderId="0"/>
    <xf numFmtId="38" fontId="40" fillId="0" borderId="0"/>
    <xf numFmtId="0" fontId="27" fillId="76" borderId="0"/>
    <xf numFmtId="0" fontId="27" fillId="42" borderId="0"/>
    <xf numFmtId="38" fontId="40" fillId="0" borderId="0"/>
    <xf numFmtId="38" fontId="40" fillId="0" borderId="0"/>
    <xf numFmtId="38" fontId="40" fillId="0" borderId="0"/>
    <xf numFmtId="38" fontId="40" fillId="0" borderId="0"/>
    <xf numFmtId="38" fontId="4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7" fontId="7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37" fillId="0" borderId="0"/>
    <xf numFmtId="0" fontId="7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174" fontId="70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37" fillId="77" borderId="22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0" fontId="1" fillId="10" borderId="8" applyNumberFormat="0" applyFont="0" applyAlignment="0" applyProtection="0"/>
    <xf numFmtId="38" fontId="40" fillId="0" borderId="0" applyFont="0" applyFill="0" applyBorder="0" applyProtection="0"/>
    <xf numFmtId="38" fontId="40" fillId="0" borderId="0" applyFont="0" applyFill="0" applyBorder="0" applyProtection="0"/>
    <xf numFmtId="38" fontId="40" fillId="0" borderId="0" applyFont="0" applyFill="0" applyBorder="0" applyProtection="0"/>
    <xf numFmtId="0" fontId="72" fillId="63" borderId="28" applyNumberFormat="0" applyAlignment="0" applyProtection="0"/>
    <xf numFmtId="0" fontId="13" fillId="8" borderId="5" applyNumberFormat="0" applyAlignment="0" applyProtection="0"/>
    <xf numFmtId="40" fontId="73" fillId="44" borderId="0">
      <alignment horizontal="right"/>
    </xf>
    <xf numFmtId="0" fontId="74" fillId="44" borderId="0">
      <alignment horizontal="right"/>
    </xf>
    <xf numFmtId="0" fontId="75" fillId="44" borderId="25"/>
    <xf numFmtId="0" fontId="75" fillId="0" borderId="0" applyBorder="0">
      <alignment horizontal="centerContinuous"/>
    </xf>
    <xf numFmtId="0" fontId="76" fillId="0" borderId="0" applyBorder="0">
      <alignment horizontal="centerContinuous"/>
    </xf>
    <xf numFmtId="0" fontId="42" fillId="0" borderId="0"/>
    <xf numFmtId="0" fontId="42" fillId="0" borderId="0"/>
    <xf numFmtId="10" fontId="37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10" fontId="40" fillId="0" borderId="0" applyFont="0" applyFill="0" applyBorder="0" applyAlignment="0" applyProtection="0"/>
    <xf numFmtId="10" fontId="40" fillId="0" borderId="0" applyFont="0" applyFill="0" applyBorder="0" applyAlignment="0" applyProtection="0"/>
    <xf numFmtId="10" fontId="40" fillId="0" borderId="0" applyFont="0" applyFill="0" applyBorder="0" applyAlignment="0" applyProtection="0"/>
    <xf numFmtId="10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0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horizontal="left"/>
    </xf>
    <xf numFmtId="37" fontId="77" fillId="77" borderId="29">
      <alignment horizontal="left" vertical="center"/>
      <protection locked="0"/>
    </xf>
    <xf numFmtId="166" fontId="77" fillId="77" borderId="29">
      <alignment horizontal="left" vertical="center"/>
    </xf>
    <xf numFmtId="37" fontId="77" fillId="45" borderId="29">
      <alignment horizontal="left" vertical="center"/>
      <protection locked="0"/>
    </xf>
    <xf numFmtId="37" fontId="77" fillId="77" borderId="30" applyAlignment="0">
      <alignment horizontal="left" vertical="center"/>
      <protection locked="0"/>
    </xf>
    <xf numFmtId="37" fontId="78" fillId="75" borderId="31" applyBorder="0" applyAlignment="0">
      <alignment horizontal="left" vertical="center"/>
      <protection locked="0"/>
    </xf>
    <xf numFmtId="37" fontId="77" fillId="51" borderId="30" applyAlignment="0">
      <alignment horizontal="left" vertical="center"/>
      <protection locked="0"/>
    </xf>
    <xf numFmtId="37" fontId="77" fillId="77" borderId="30" applyAlignment="0">
      <alignment horizontal="left" vertical="center"/>
      <protection locked="0"/>
    </xf>
    <xf numFmtId="37" fontId="77" fillId="45" borderId="30" applyAlignment="0">
      <alignment horizontal="left" vertical="center"/>
      <protection locked="0"/>
    </xf>
    <xf numFmtId="37" fontId="77" fillId="77" borderId="30" applyAlignment="0">
      <alignment horizontal="left" vertical="center"/>
      <protection locked="0"/>
    </xf>
    <xf numFmtId="37" fontId="78" fillId="75" borderId="29">
      <alignment horizontal="left" vertical="center"/>
    </xf>
    <xf numFmtId="37" fontId="77" fillId="51" borderId="29">
      <alignment horizontal="left" vertical="center"/>
      <protection locked="0"/>
    </xf>
    <xf numFmtId="166" fontId="77" fillId="77" borderId="29">
      <alignment horizontal="left" vertical="center"/>
    </xf>
    <xf numFmtId="166" fontId="77" fillId="77" borderId="29">
      <alignment horizontal="left" vertical="center"/>
    </xf>
    <xf numFmtId="166" fontId="77" fillId="77" borderId="29">
      <alignment horizontal="left" vertical="center"/>
    </xf>
    <xf numFmtId="166" fontId="77" fillId="77" borderId="29">
      <alignment horizontal="left" vertical="center"/>
    </xf>
    <xf numFmtId="166" fontId="77" fillId="77" borderId="29">
      <alignment horizontal="left" vertical="center"/>
    </xf>
    <xf numFmtId="37" fontId="77" fillId="77" borderId="29">
      <alignment horizontal="left" vertical="center"/>
      <protection locked="0"/>
    </xf>
    <xf numFmtId="37" fontId="79" fillId="0" borderId="0">
      <alignment horizontal="center"/>
    </xf>
    <xf numFmtId="42" fontId="37" fillId="44" borderId="0"/>
    <xf numFmtId="0" fontId="42" fillId="78" borderId="0"/>
    <xf numFmtId="0" fontId="80" fillId="78" borderId="32"/>
    <xf numFmtId="0" fontId="81" fillId="79" borderId="33"/>
    <xf numFmtId="0" fontId="82" fillId="78" borderId="34"/>
    <xf numFmtId="42" fontId="83" fillId="80" borderId="35">
      <alignment vertical="center"/>
    </xf>
    <xf numFmtId="0" fontId="64" fillId="44" borderId="36" applyNumberFormat="0">
      <alignment horizontal="center" vertical="center" wrapText="1"/>
    </xf>
    <xf numFmtId="175" fontId="37" fillId="44" borderId="0"/>
    <xf numFmtId="42" fontId="37" fillId="44" borderId="0"/>
    <xf numFmtId="42" fontId="84" fillId="44" borderId="37">
      <alignment horizontal="left"/>
    </xf>
    <xf numFmtId="37" fontId="85" fillId="0" borderId="0" applyNumberFormat="0" applyAlignment="0" applyProtection="0">
      <protection locked="0"/>
    </xf>
    <xf numFmtId="37" fontId="54" fillId="81" borderId="0" applyNumberFormat="0" applyAlignment="0" applyProtection="0">
      <protection locked="0"/>
    </xf>
    <xf numFmtId="38" fontId="45" fillId="0" borderId="38"/>
    <xf numFmtId="38" fontId="49" fillId="0" borderId="37"/>
    <xf numFmtId="176" fontId="37" fillId="0" borderId="0">
      <alignment horizontal="left" wrapText="1"/>
    </xf>
    <xf numFmtId="0" fontId="37" fillId="0" borderId="0" applyNumberFormat="0" applyBorder="0" applyAlignment="0"/>
    <xf numFmtId="0" fontId="8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37" fontId="20" fillId="0" borderId="0">
      <alignment horizontal="center"/>
    </xf>
    <xf numFmtId="0" fontId="42" fillId="0" borderId="0"/>
    <xf numFmtId="0" fontId="80" fillId="78" borderId="0"/>
    <xf numFmtId="167" fontId="87" fillId="0" borderId="0">
      <alignment horizontal="left" vertical="center"/>
    </xf>
    <xf numFmtId="0" fontId="64" fillId="44" borderId="0">
      <alignment horizontal="left" wrapText="1"/>
    </xf>
    <xf numFmtId="0" fontId="88" fillId="0" borderId="0">
      <alignment horizontal="left" vertical="center"/>
    </xf>
    <xf numFmtId="0" fontId="89" fillId="0" borderId="39" applyNumberFormat="0" applyFill="0" applyAlignment="0" applyProtection="0"/>
    <xf numFmtId="0" fontId="2" fillId="0" borderId="9" applyNumberFormat="0" applyFill="0" applyAlignment="0" applyProtection="0"/>
    <xf numFmtId="165" fontId="56" fillId="0" borderId="0" applyNumberFormat="0" applyBorder="0" applyAlignment="0">
      <protection locked="0"/>
    </xf>
    <xf numFmtId="0" fontId="90" fillId="0" borderId="0"/>
    <xf numFmtId="0" fontId="9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38" fontId="40" fillId="0" borderId="0"/>
    <xf numFmtId="37" fontId="54" fillId="66" borderId="0" applyNumberFormat="0" applyBorder="0" applyAlignment="0">
      <protection locked="0"/>
    </xf>
    <xf numFmtId="37" fontId="54" fillId="66" borderId="0" applyNumberFormat="0" applyBorder="0" applyAlignment="0">
      <protection locked="0"/>
    </xf>
    <xf numFmtId="9" fontId="40" fillId="0" borderId="0" applyFont="0" applyFill="0" applyBorder="0" applyAlignment="0" applyProtection="0"/>
    <xf numFmtId="38" fontId="40" fillId="0" borderId="0"/>
    <xf numFmtId="9" fontId="4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0" fontId="93" fillId="0" borderId="0"/>
    <xf numFmtId="43" fontId="37" fillId="0" borderId="0" applyFont="0" applyFill="0" applyBorder="0" applyAlignment="0" applyProtection="0"/>
    <xf numFmtId="0" fontId="41" fillId="0" borderId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28" borderId="0" applyNumberFormat="0" applyBorder="0" applyAlignment="0" applyProtection="0"/>
    <xf numFmtId="0" fontId="1" fillId="63" borderId="0" applyNumberFormat="0" applyBorder="0" applyAlignment="0" applyProtection="0"/>
    <xf numFmtId="0" fontId="1" fillId="51" borderId="0" applyNumberFormat="0" applyBorder="0" applyAlignment="0" applyProtection="0"/>
    <xf numFmtId="0" fontId="1" fillId="17" borderId="0" applyNumberFormat="0" applyBorder="0" applyAlignment="0" applyProtection="0"/>
    <xf numFmtId="0" fontId="1" fillId="53" borderId="0" applyNumberFormat="0" applyBorder="0" applyAlignment="0" applyProtection="0"/>
    <xf numFmtId="0" fontId="1" fillId="48" borderId="0" applyNumberFormat="0" applyBorder="0" applyAlignment="0" applyProtection="0"/>
    <xf numFmtId="0" fontId="1" fillId="51" borderId="0" applyNumberFormat="0" applyBorder="0" applyAlignment="0" applyProtection="0"/>
    <xf numFmtId="0" fontId="1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6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56" borderId="0" applyNumberFormat="0" applyBorder="0" applyAlignment="0" applyProtection="0"/>
    <xf numFmtId="0" fontId="19" fillId="62" borderId="0" applyNumberFormat="0" applyBorder="0" applyAlignment="0" applyProtection="0"/>
    <xf numFmtId="0" fontId="10" fillId="46" borderId="0" applyNumberFormat="0" applyBorder="0" applyAlignment="0" applyProtection="0"/>
    <xf numFmtId="0" fontId="95" fillId="63" borderId="4" applyNumberFormat="0" applyAlignment="0" applyProtection="0"/>
    <xf numFmtId="43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7" fillId="0" borderId="0" applyFont="0" applyFill="0" applyBorder="0" applyAlignment="0" applyProtection="0"/>
    <xf numFmtId="178" fontId="93" fillId="0" borderId="0" applyFont="0" applyFill="0" applyBorder="0" applyAlignment="0" applyProtection="0"/>
    <xf numFmtId="179" fontId="96" fillId="0" borderId="0" applyFont="0" applyFill="0" applyBorder="0" applyAlignment="0" applyProtection="0">
      <protection locked="0"/>
    </xf>
    <xf numFmtId="180" fontId="93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" fillId="47" borderId="0" applyNumberFormat="0" applyBorder="0" applyAlignment="0" applyProtection="0"/>
    <xf numFmtId="0" fontId="98" fillId="0" borderId="18" applyNumberFormat="0" applyFill="0" applyAlignment="0" applyProtection="0"/>
    <xf numFmtId="0" fontId="99" fillId="0" borderId="19" applyNumberFormat="0" applyFill="0" applyAlignment="0" applyProtection="0"/>
    <xf numFmtId="0" fontId="100" fillId="0" borderId="20" applyNumberFormat="0" applyFill="0" applyAlignment="0" applyProtection="0"/>
    <xf numFmtId="0" fontId="100" fillId="0" borderId="0" applyNumberFormat="0" applyFill="0" applyBorder="0" applyAlignment="0" applyProtection="0"/>
    <xf numFmtId="181" fontId="94" fillId="0" borderId="40" applyFont="0" applyFill="0" applyBorder="0" applyAlignment="0"/>
    <xf numFmtId="0" fontId="12" fillId="63" borderId="4" applyNumberFormat="0" applyAlignment="0" applyProtection="0"/>
    <xf numFmtId="1" fontId="101" fillId="0" borderId="36" applyFont="0" applyFill="0" applyBorder="0" applyAlignment="0" applyProtection="0"/>
    <xf numFmtId="0" fontId="102" fillId="0" borderId="23" applyNumberFormat="0" applyFill="0" applyAlignment="0" applyProtection="0"/>
    <xf numFmtId="0" fontId="103" fillId="6" borderId="0" applyNumberFormat="0" applyBorder="0" applyAlignment="0" applyProtection="0"/>
    <xf numFmtId="182" fontId="93" fillId="0" borderId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0" fontId="31" fillId="0" borderId="0"/>
    <xf numFmtId="0" fontId="37" fillId="0" borderId="0"/>
    <xf numFmtId="0" fontId="31" fillId="10" borderId="8" applyNumberFormat="0" applyFont="0" applyAlignment="0" applyProtection="0"/>
    <xf numFmtId="0" fontId="1" fillId="10" borderId="8" applyNumberFormat="0" applyFont="0" applyAlignment="0" applyProtection="0"/>
    <xf numFmtId="0" fontId="13" fillId="63" borderId="5" applyNumberFormat="0" applyAlignment="0" applyProtection="0"/>
    <xf numFmtId="0" fontId="1" fillId="0" borderId="0"/>
    <xf numFmtId="183" fontId="96" fillId="0" borderId="41" applyFont="0" applyFill="0" applyBorder="0" applyAlignment="0" applyProtection="0">
      <protection locked="0"/>
    </xf>
    <xf numFmtId="184" fontId="93" fillId="0" borderId="40" applyFont="0" applyFill="0" applyBorder="0" applyAlignment="0" applyProtection="0"/>
    <xf numFmtId="0" fontId="79" fillId="0" borderId="0" applyNumberFormat="0" applyFill="0" applyBorder="0" applyAlignment="0" applyProtection="0"/>
    <xf numFmtId="0" fontId="93" fillId="82" borderId="0" applyNumberFormat="0" applyBorder="0" applyAlignment="0" applyProtection="0"/>
    <xf numFmtId="0" fontId="104" fillId="65" borderId="0" applyNumberFormat="0" applyFont="0" applyBorder="0" applyAlignment="0" applyProtection="0"/>
    <xf numFmtId="185" fontId="93" fillId="0" borderId="0" applyFont="0" applyFill="0" applyBorder="0" applyAlignment="0" applyProtection="0"/>
    <xf numFmtId="182" fontId="96" fillId="0" borderId="36" applyFont="0" applyFill="0" applyBorder="0" applyAlignment="0" applyProtection="0">
      <protection locked="0"/>
    </xf>
    <xf numFmtId="0" fontId="105" fillId="0" borderId="0" applyNumberFormat="0" applyFill="0" applyBorder="0" applyAlignment="0" applyProtection="0"/>
    <xf numFmtId="0" fontId="2" fillId="0" borderId="39" applyNumberFormat="0" applyFill="0" applyAlignment="0" applyProtection="0"/>
    <xf numFmtId="186" fontId="93" fillId="0" borderId="0" applyFont="0" applyFill="0" applyBorder="0" applyAlignment="0" applyProtection="0"/>
    <xf numFmtId="187" fontId="93" fillId="0" borderId="0" applyFont="0" applyFill="0" applyBorder="0" applyAlignment="0" applyProtection="0"/>
    <xf numFmtId="0" fontId="37" fillId="0" borderId="0"/>
    <xf numFmtId="0" fontId="37" fillId="0" borderId="0"/>
    <xf numFmtId="43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0" fontId="37" fillId="0" borderId="0"/>
    <xf numFmtId="0" fontId="1" fillId="0" borderId="0"/>
    <xf numFmtId="0" fontId="1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0" fontId="27" fillId="0" borderId="0"/>
    <xf numFmtId="177" fontId="9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177" fontId="93" fillId="0" borderId="0" applyFont="0" applyFill="0" applyBorder="0" applyAlignment="0" applyProtection="0"/>
    <xf numFmtId="43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7" fillId="0" borderId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38" fontId="40" fillId="0" borderId="0"/>
    <xf numFmtId="43" fontId="1" fillId="0" borderId="0" applyFont="0" applyFill="0" applyBorder="0" applyAlignment="0" applyProtection="0"/>
    <xf numFmtId="38" fontId="51" fillId="0" borderId="0"/>
    <xf numFmtId="0" fontId="107" fillId="0" borderId="0" applyNumberFormat="0" applyFill="0" applyBorder="0" applyAlignment="0" applyProtection="0">
      <alignment vertical="top"/>
      <protection locked="0"/>
    </xf>
    <xf numFmtId="37" fontId="54" fillId="50" borderId="0" applyNumberFormat="0" applyAlignment="0">
      <protection locked="0"/>
    </xf>
    <xf numFmtId="37" fontId="106" fillId="83" borderId="0" applyNumberFormat="0" applyAlignment="0"/>
    <xf numFmtId="38" fontId="65" fillId="84" borderId="0" applyNumberFormat="0" applyAlignment="0"/>
    <xf numFmtId="0" fontId="1" fillId="0" borderId="0"/>
    <xf numFmtId="9" fontId="40" fillId="0" borderId="0" applyFont="0" applyFill="0" applyBorder="0" applyAlignment="0" applyProtection="0"/>
    <xf numFmtId="39" fontId="79" fillId="0" borderId="0">
      <alignment horizontal="center"/>
    </xf>
    <xf numFmtId="2" fontId="60" fillId="85" borderId="0" applyNumberFormat="0" applyBorder="0" applyAlignment="0" applyProtection="0"/>
    <xf numFmtId="38" fontId="40" fillId="0" borderId="0"/>
    <xf numFmtId="37" fontId="54" fillId="50" borderId="0" applyNumberFormat="0" applyAlignment="0">
      <protection locked="0"/>
    </xf>
    <xf numFmtId="9" fontId="40" fillId="0" borderId="0" applyFont="0" applyFill="0" applyBorder="0" applyAlignment="0" applyProtection="0"/>
    <xf numFmtId="0" fontId="41" fillId="0" borderId="0"/>
    <xf numFmtId="0" fontId="1" fillId="0" borderId="0"/>
    <xf numFmtId="9" fontId="41" fillId="0" borderId="0" applyFont="0" applyFill="0" applyBorder="0" applyAlignment="0" applyProtection="0"/>
    <xf numFmtId="0" fontId="41" fillId="0" borderId="0"/>
    <xf numFmtId="0" fontId="4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41" fillId="0" borderId="0"/>
    <xf numFmtId="9" fontId="4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41" fillId="0" borderId="0"/>
    <xf numFmtId="0" fontId="41" fillId="0" borderId="0"/>
    <xf numFmtId="9" fontId="41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9">
    <xf numFmtId="0" fontId="0" fillId="0" borderId="0" xfId="0"/>
    <xf numFmtId="164" fontId="0" fillId="0" borderId="0" xfId="0" applyNumberFormat="1"/>
    <xf numFmtId="4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10" fontId="3" fillId="2" borderId="0" xfId="2" applyNumberFormat="1" applyFont="1" applyFill="1"/>
    <xf numFmtId="164" fontId="3" fillId="2" borderId="0" xfId="0" applyNumberFormat="1" applyFont="1" applyFill="1"/>
    <xf numFmtId="0" fontId="23" fillId="0" borderId="0" xfId="0" applyFont="1" applyAlignment="1">
      <alignment horizontal="center" vertical="center"/>
    </xf>
    <xf numFmtId="0" fontId="24" fillId="38" borderId="0" xfId="0" applyFont="1" applyFill="1" applyAlignment="1">
      <alignment horizontal="center" vertical="center"/>
    </xf>
    <xf numFmtId="0" fontId="24" fillId="0" borderId="0" xfId="0" applyFont="1" applyAlignment="1">
      <alignment horizontal="left" vertical="center" indent="1"/>
    </xf>
    <xf numFmtId="0" fontId="24" fillId="38" borderId="13" xfId="0" applyFont="1" applyFill="1" applyBorder="1" applyAlignment="1">
      <alignment horizontal="center" vertical="center"/>
    </xf>
    <xf numFmtId="0" fontId="21" fillId="0" borderId="0" xfId="5" applyFont="1">
      <alignment horizontal="centerContinuous"/>
    </xf>
    <xf numFmtId="0" fontId="21" fillId="36" borderId="12" xfId="5" applyFont="1" applyFill="1" applyBorder="1">
      <alignment horizontal="centerContinuous"/>
    </xf>
    <xf numFmtId="37" fontId="25" fillId="3" borderId="14" xfId="0" applyNumberFormat="1" applyFont="1" applyFill="1" applyBorder="1" applyAlignment="1">
      <alignment horizontal="center" vertical="center"/>
    </xf>
    <xf numFmtId="164" fontId="0" fillId="39" borderId="0" xfId="1" applyNumberFormat="1" applyFont="1" applyFill="1"/>
    <xf numFmtId="37" fontId="25" fillId="40" borderId="14" xfId="0" applyNumberFormat="1" applyFont="1" applyFill="1" applyBorder="1" applyAlignment="1">
      <alignment horizontal="center" vertical="center"/>
    </xf>
    <xf numFmtId="37" fontId="25" fillId="39" borderId="15" xfId="0" applyNumberFormat="1" applyFont="1" applyFill="1" applyBorder="1" applyAlignment="1">
      <alignment horizontal="left" vertical="center"/>
    </xf>
    <xf numFmtId="0" fontId="0" fillId="39" borderId="0" xfId="0" applyFill="1"/>
    <xf numFmtId="164" fontId="0" fillId="39" borderId="0" xfId="0" applyNumberFormat="1" applyFill="1"/>
    <xf numFmtId="0" fontId="0" fillId="40" borderId="0" xfId="0" applyFill="1"/>
    <xf numFmtId="164" fontId="0" fillId="40" borderId="0" xfId="0" applyNumberFormat="1" applyFill="1"/>
    <xf numFmtId="37" fontId="25" fillId="40" borderId="15" xfId="0" applyNumberFormat="1" applyFont="1" applyFill="1" applyBorder="1" applyAlignment="1">
      <alignment horizontal="center" vertical="center"/>
    </xf>
    <xf numFmtId="0" fontId="26" fillId="37" borderId="11" xfId="0" applyFont="1" applyFill="1" applyBorder="1" applyAlignment="1">
      <alignment horizontal="center"/>
    </xf>
    <xf numFmtId="0" fontId="26" fillId="37" borderId="12" xfId="0" applyFont="1" applyFill="1" applyBorder="1" applyAlignment="1">
      <alignment horizontal="center"/>
    </xf>
    <xf numFmtId="0" fontId="0" fillId="41" borderId="0" xfId="0" applyFill="1"/>
    <xf numFmtId="37" fontId="22" fillId="38" borderId="15" xfId="6" applyNumberFormat="1" applyFont="1" applyFill="1" applyBorder="1" applyAlignment="1">
      <alignment horizontal="center" vertical="center"/>
    </xf>
    <xf numFmtId="37" fontId="22" fillId="38" borderId="14" xfId="6" applyNumberFormat="1" applyFont="1" applyFill="1" applyBorder="1" applyAlignment="1">
      <alignment horizontal="center" vertical="center"/>
    </xf>
    <xf numFmtId="164" fontId="0" fillId="39" borderId="15" xfId="1" applyNumberFormat="1" applyFont="1" applyFill="1" applyBorder="1" applyAlignment="1">
      <alignment vertical="center"/>
    </xf>
    <xf numFmtId="0" fontId="0" fillId="39" borderId="0" xfId="0" applyFill="1" applyAlignment="1">
      <alignment vertical="center"/>
    </xf>
    <xf numFmtId="37" fontId="92" fillId="39" borderId="15" xfId="0" applyNumberFormat="1" applyFont="1" applyFill="1" applyBorder="1" applyAlignment="1">
      <alignment horizontal="left" vertical="center"/>
    </xf>
    <xf numFmtId="164" fontId="2" fillId="39" borderId="0" xfId="1" applyNumberFormat="1" applyFont="1" applyFill="1" applyAlignment="1">
      <alignment vertical="center"/>
    </xf>
    <xf numFmtId="0" fontId="24" fillId="38" borderId="0" xfId="0" applyFont="1" applyFill="1" applyAlignment="1">
      <alignment horizontal="left" vertical="center"/>
    </xf>
    <xf numFmtId="37" fontId="25" fillId="40" borderId="15" xfId="0" applyNumberFormat="1" applyFont="1" applyFill="1" applyBorder="1" applyAlignment="1">
      <alignment horizontal="left" vertical="center"/>
    </xf>
    <xf numFmtId="164" fontId="2" fillId="39" borderId="15" xfId="1" applyNumberFormat="1" applyFont="1" applyFill="1" applyBorder="1" applyAlignment="1">
      <alignment vertical="center"/>
    </xf>
    <xf numFmtId="0" fontId="2" fillId="39" borderId="0" xfId="0" applyFont="1" applyFill="1" applyAlignment="1">
      <alignment vertical="center"/>
    </xf>
    <xf numFmtId="164" fontId="2" fillId="39" borderId="0" xfId="0" applyNumberFormat="1" applyFont="1" applyFill="1" applyAlignment="1">
      <alignment vertical="center"/>
    </xf>
    <xf numFmtId="37" fontId="92" fillId="40" borderId="14" xfId="0" applyNumberFormat="1" applyFont="1" applyFill="1" applyBorder="1" applyAlignment="1">
      <alignment horizontal="center" vertical="center"/>
    </xf>
    <xf numFmtId="37" fontId="92" fillId="40" borderId="15" xfId="0" applyNumberFormat="1" applyFont="1" applyFill="1" applyBorder="1" applyAlignment="1">
      <alignment horizontal="center" vertical="center"/>
    </xf>
    <xf numFmtId="0" fontId="0" fillId="41" borderId="0" xfId="0" applyFill="1" applyAlignment="1">
      <alignment horizontal="center"/>
    </xf>
    <xf numFmtId="164" fontId="25" fillId="40" borderId="15" xfId="1" applyNumberFormat="1" applyFont="1" applyFill="1" applyBorder="1" applyAlignment="1" applyProtection="1">
      <alignment vertical="center"/>
    </xf>
    <xf numFmtId="0" fontId="24" fillId="38" borderId="0" xfId="0" applyFont="1" applyFill="1" applyAlignment="1">
      <alignment vertical="center"/>
    </xf>
    <xf numFmtId="37" fontId="22" fillId="38" borderId="15" xfId="6" applyNumberFormat="1" applyFont="1" applyFill="1" applyBorder="1" applyAlignment="1">
      <alignment vertical="center"/>
    </xf>
    <xf numFmtId="164" fontId="0" fillId="40" borderId="15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92" fillId="39" borderId="14" xfId="0" applyFont="1" applyFill="1" applyBorder="1" applyAlignment="1">
      <alignment horizontal="center" vertical="center"/>
    </xf>
    <xf numFmtId="0" fontId="108" fillId="0" borderId="0" xfId="0" applyFont="1"/>
    <xf numFmtId="0" fontId="0" fillId="40" borderId="0" xfId="0" applyFill="1" applyAlignment="1">
      <alignment horizontal="center" vertical="center"/>
    </xf>
    <xf numFmtId="10" fontId="0" fillId="40" borderId="0" xfId="2" applyNumberFormat="1" applyFont="1" applyFill="1"/>
    <xf numFmtId="0" fontId="0" fillId="39" borderId="0" xfId="0" applyFill="1" applyAlignment="1">
      <alignment horizontal="center" vertical="center"/>
    </xf>
    <xf numFmtId="10" fontId="0" fillId="39" borderId="0" xfId="2" applyNumberFormat="1" applyFont="1" applyFill="1"/>
    <xf numFmtId="0" fontId="0" fillId="41" borderId="0" xfId="0" applyFill="1" applyAlignment="1">
      <alignment horizontal="center" vertical="center"/>
    </xf>
    <xf numFmtId="164" fontId="0" fillId="39" borderId="0" xfId="2" applyNumberFormat="1" applyFont="1" applyFill="1"/>
    <xf numFmtId="164" fontId="0" fillId="40" borderId="0" xfId="2" applyNumberFormat="1" applyFont="1" applyFill="1"/>
    <xf numFmtId="0" fontId="26" fillId="37" borderId="11" xfId="0" applyFont="1" applyFill="1" applyBorder="1" applyAlignment="1">
      <alignment horizontal="center" vertical="center"/>
    </xf>
    <xf numFmtId="0" fontId="25" fillId="3" borderId="14" xfId="0" applyFont="1" applyFill="1" applyBorder="1" applyAlignment="1">
      <alignment horizontal="center" vertical="center"/>
    </xf>
    <xf numFmtId="0" fontId="25" fillId="40" borderId="14" xfId="0" applyFont="1" applyFill="1" applyBorder="1" applyAlignment="1">
      <alignment horizontal="center" vertical="center"/>
    </xf>
    <xf numFmtId="0" fontId="92" fillId="3" borderId="14" xfId="0" applyFont="1" applyFill="1" applyBorder="1" applyAlignment="1">
      <alignment horizontal="center" vertical="center"/>
    </xf>
    <xf numFmtId="0" fontId="0" fillId="39" borderId="0" xfId="0" applyFill="1" applyAlignment="1">
      <alignment horizontal="center"/>
    </xf>
    <xf numFmtId="0" fontId="26" fillId="37" borderId="12" xfId="0" applyFont="1" applyFill="1" applyBorder="1" applyAlignment="1">
      <alignment horizontal="center" vertical="center"/>
    </xf>
    <xf numFmtId="10" fontId="0" fillId="39" borderId="0" xfId="2" applyNumberFormat="1" applyFont="1" applyFill="1" applyAlignment="1">
      <alignment vertical="center"/>
    </xf>
    <xf numFmtId="0" fontId="0" fillId="40" borderId="0" xfId="0" applyFill="1" applyAlignment="1">
      <alignment vertical="center"/>
    </xf>
    <xf numFmtId="10" fontId="0" fillId="40" borderId="0" xfId="2" applyNumberFormat="1" applyFont="1" applyFill="1" applyAlignment="1">
      <alignment vertical="center"/>
    </xf>
    <xf numFmtId="37" fontId="25" fillId="39" borderId="15" xfId="0" applyNumberFormat="1" applyFont="1" applyFill="1" applyBorder="1" applyAlignment="1">
      <alignment vertical="center"/>
    </xf>
    <xf numFmtId="0" fontId="21" fillId="36" borderId="12" xfId="5" applyFont="1" applyFill="1" applyBorder="1" applyAlignment="1">
      <alignment horizontal="centerContinuous" vertical="center"/>
    </xf>
    <xf numFmtId="164" fontId="25" fillId="40" borderId="15" xfId="0" applyNumberFormat="1" applyFont="1" applyFill="1" applyBorder="1" applyAlignment="1">
      <alignment horizontal="center" vertical="center"/>
    </xf>
    <xf numFmtId="37" fontId="92" fillId="40" borderId="15" xfId="0" applyNumberFormat="1" applyFont="1" applyFill="1" applyBorder="1" applyAlignment="1">
      <alignment horizontal="left" vertical="center"/>
    </xf>
    <xf numFmtId="164" fontId="92" fillId="40" borderId="15" xfId="0" applyNumberFormat="1" applyFont="1" applyFill="1" applyBorder="1" applyAlignment="1">
      <alignment horizontal="center" vertical="center"/>
    </xf>
    <xf numFmtId="37" fontId="25" fillId="3" borderId="15" xfId="0" applyNumberFormat="1" applyFont="1" applyFill="1" applyBorder="1" applyAlignment="1">
      <alignment horizontal="center" vertical="center"/>
    </xf>
    <xf numFmtId="37" fontId="25" fillId="40" borderId="15" xfId="0" applyNumberFormat="1" applyFont="1" applyFill="1" applyBorder="1" applyAlignment="1">
      <alignment vertical="center"/>
    </xf>
    <xf numFmtId="37" fontId="92" fillId="40" borderId="15" xfId="0" applyNumberFormat="1" applyFont="1" applyFill="1" applyBorder="1" applyAlignment="1">
      <alignment vertical="center"/>
    </xf>
    <xf numFmtId="0" fontId="26" fillId="37" borderId="12" xfId="0" applyFont="1" applyFill="1" applyBorder="1" applyAlignment="1">
      <alignment horizontal="centerContinuous" vertical="center"/>
    </xf>
    <xf numFmtId="0" fontId="0" fillId="40" borderId="0" xfId="0" applyFill="1" applyAlignment="1">
      <alignment horizontal="left" indent="1"/>
    </xf>
    <xf numFmtId="0" fontId="0" fillId="39" borderId="0" xfId="0" applyFill="1" applyAlignment="1">
      <alignment horizontal="left" indent="1"/>
    </xf>
    <xf numFmtId="10" fontId="0" fillId="39" borderId="15" xfId="2" applyNumberFormat="1" applyFont="1" applyFill="1" applyBorder="1" applyAlignment="1">
      <alignment vertical="center"/>
    </xf>
    <xf numFmtId="164" fontId="25" fillId="40" borderId="15" xfId="1" applyNumberFormat="1" applyFont="1" applyFill="1" applyBorder="1" applyAlignment="1" applyProtection="1">
      <alignment horizontal="right" vertical="center"/>
    </xf>
    <xf numFmtId="164" fontId="25" fillId="40" borderId="15" xfId="1" applyNumberFormat="1" applyFont="1" applyFill="1" applyBorder="1" applyAlignment="1" applyProtection="1">
      <alignment horizontal="left" vertical="center"/>
    </xf>
    <xf numFmtId="164" fontId="0" fillId="39" borderId="0" xfId="1" applyNumberFormat="1" applyFont="1" applyFill="1" applyAlignment="1">
      <alignment horizontal="right"/>
    </xf>
    <xf numFmtId="164" fontId="21" fillId="36" borderId="12" xfId="1" applyNumberFormat="1" applyFont="1" applyFill="1" applyBorder="1" applyAlignment="1">
      <alignment horizontal="centerContinuous" vertical="center"/>
    </xf>
    <xf numFmtId="164" fontId="0" fillId="0" borderId="0" xfId="1" applyNumberFormat="1" applyFont="1"/>
    <xf numFmtId="164" fontId="24" fillId="38" borderId="0" xfId="1" applyNumberFormat="1" applyFont="1" applyFill="1" applyBorder="1" applyAlignment="1">
      <alignment horizontal="left" vertical="center"/>
    </xf>
    <xf numFmtId="164" fontId="3" fillId="2" borderId="0" xfId="1" applyNumberFormat="1" applyFont="1" applyFill="1"/>
    <xf numFmtId="164" fontId="2" fillId="40" borderId="15" xfId="1" applyNumberFormat="1" applyFont="1" applyFill="1" applyBorder="1" applyAlignment="1">
      <alignment vertical="center"/>
    </xf>
    <xf numFmtId="0" fontId="0" fillId="39" borderId="0" xfId="0" applyFill="1" applyAlignment="1">
      <alignment horizontal="left"/>
    </xf>
    <xf numFmtId="1" fontId="26" fillId="37" borderId="11" xfId="0" applyNumberFormat="1" applyFont="1" applyFill="1" applyBorder="1" applyAlignment="1">
      <alignment horizontal="center" vertical="center"/>
    </xf>
    <xf numFmtId="1" fontId="24" fillId="38" borderId="13" xfId="0" applyNumberFormat="1" applyFont="1" applyFill="1" applyBorder="1" applyAlignment="1">
      <alignment horizontal="center" vertical="center"/>
    </xf>
    <xf numFmtId="1" fontId="0" fillId="39" borderId="0" xfId="0" applyNumberFormat="1" applyFill="1" applyAlignment="1">
      <alignment horizontal="center" vertical="center"/>
    </xf>
    <xf numFmtId="1" fontId="25" fillId="40" borderId="14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1" fillId="39" borderId="0" xfId="1" applyNumberFormat="1" applyFont="1" applyFill="1" applyAlignment="1">
      <alignment horizontal="right"/>
    </xf>
    <xf numFmtId="1" fontId="21" fillId="36" borderId="12" xfId="5" applyNumberFormat="1" applyFont="1" applyFill="1" applyBorder="1" applyAlignment="1">
      <alignment horizontal="centerContinuous" vertical="center"/>
    </xf>
    <xf numFmtId="41" fontId="3" fillId="2" borderId="0" xfId="1" applyNumberFormat="1" applyFont="1" applyFill="1"/>
    <xf numFmtId="1" fontId="24" fillId="86" borderId="13" xfId="0" applyNumberFormat="1" applyFont="1" applyFill="1" applyBorder="1" applyAlignment="1">
      <alignment horizontal="center" vertical="center"/>
    </xf>
    <xf numFmtId="0" fontId="24" fillId="86" borderId="0" xfId="0" applyFont="1" applyFill="1" applyAlignment="1">
      <alignment horizontal="left" vertical="center"/>
    </xf>
    <xf numFmtId="164" fontId="24" fillId="86" borderId="0" xfId="1" applyNumberFormat="1" applyFont="1" applyFill="1" applyBorder="1" applyAlignment="1">
      <alignment horizontal="left" vertical="center"/>
    </xf>
    <xf numFmtId="1" fontId="25" fillId="40" borderId="13" xfId="0" applyNumberFormat="1" applyFont="1" applyFill="1" applyBorder="1" applyAlignment="1">
      <alignment horizontal="center" vertical="center"/>
    </xf>
    <xf numFmtId="37" fontId="92" fillId="40" borderId="0" xfId="0" applyNumberFormat="1" applyFont="1" applyFill="1" applyAlignment="1">
      <alignment horizontal="left" vertical="center"/>
    </xf>
    <xf numFmtId="164" fontId="2" fillId="40" borderId="0" xfId="1" applyNumberFormat="1" applyFont="1" applyFill="1" applyBorder="1" applyAlignment="1">
      <alignment vertical="center"/>
    </xf>
    <xf numFmtId="164" fontId="0" fillId="40" borderId="0" xfId="1" applyNumberFormat="1" applyFont="1" applyFill="1" applyBorder="1" applyAlignment="1">
      <alignment vertical="center"/>
    </xf>
    <xf numFmtId="164" fontId="0" fillId="2" borderId="15" xfId="1" applyNumberFormat="1" applyFont="1" applyFill="1" applyBorder="1" applyAlignment="1">
      <alignment vertical="center"/>
    </xf>
    <xf numFmtId="164" fontId="3" fillId="2" borderId="15" xfId="1" applyNumberFormat="1" applyFont="1" applyFill="1" applyBorder="1" applyAlignment="1">
      <alignment vertical="center"/>
    </xf>
    <xf numFmtId="44" fontId="0" fillId="40" borderId="0" xfId="0" applyNumberFormat="1" applyFill="1"/>
    <xf numFmtId="10" fontId="0" fillId="40" borderId="0" xfId="0" applyNumberFormat="1" applyFill="1"/>
    <xf numFmtId="41" fontId="3" fillId="2" borderId="0" xfId="2" applyNumberFormat="1" applyFont="1" applyFill="1"/>
    <xf numFmtId="41" fontId="0" fillId="39" borderId="15" xfId="1" applyNumberFormat="1" applyFont="1" applyFill="1" applyBorder="1" applyAlignment="1">
      <alignment vertical="center"/>
    </xf>
    <xf numFmtId="10" fontId="3" fillId="2" borderId="0" xfId="2" applyNumberFormat="1" applyFont="1" applyFill="1" applyAlignment="1">
      <alignment horizontal="right"/>
    </xf>
    <xf numFmtId="42" fontId="0" fillId="0" borderId="0" xfId="0" applyNumberFormat="1"/>
    <xf numFmtId="164" fontId="0" fillId="39" borderId="0" xfId="0" applyNumberFormat="1" applyFill="1" applyAlignment="1">
      <alignment vertical="center"/>
    </xf>
    <xf numFmtId="0" fontId="0" fillId="40" borderId="0" xfId="0" applyFill="1" applyAlignment="1">
      <alignment horizontal="left"/>
    </xf>
    <xf numFmtId="10" fontId="109" fillId="87" borderId="0" xfId="911" applyNumberFormat="1" applyFont="1" applyFill="1"/>
    <xf numFmtId="0" fontId="21" fillId="36" borderId="0" xfId="5" applyFont="1" applyFill="1">
      <alignment horizontal="centerContinuous"/>
    </xf>
    <xf numFmtId="37" fontId="22" fillId="38" borderId="0" xfId="6" applyNumberFormat="1" applyFont="1" applyFill="1" applyAlignment="1">
      <alignment horizontal="center" vertical="center"/>
    </xf>
    <xf numFmtId="37" fontId="22" fillId="38" borderId="0" xfId="6" applyNumberFormat="1" applyFont="1" applyFill="1" applyAlignment="1">
      <alignment vertical="center"/>
    </xf>
    <xf numFmtId="10" fontId="3" fillId="87" borderId="0" xfId="2" applyNumberFormat="1" applyFont="1" applyFill="1"/>
    <xf numFmtId="164" fontId="3" fillId="87" borderId="0" xfId="0" applyNumberFormat="1" applyFont="1" applyFill="1"/>
    <xf numFmtId="0" fontId="21" fillId="36" borderId="0" xfId="5" applyFont="1" applyFill="1" applyAlignment="1">
      <alignment horizontal="centerContinuous" vertical="center"/>
    </xf>
    <xf numFmtId="37" fontId="0" fillId="39" borderId="0" xfId="0" applyNumberFormat="1" applyFill="1" applyAlignment="1">
      <alignment horizontal="center" vertical="center"/>
    </xf>
    <xf numFmtId="37" fontId="0" fillId="40" borderId="0" xfId="0" applyNumberFormat="1" applyFill="1" applyAlignment="1">
      <alignment horizontal="center" vertical="center"/>
    </xf>
    <xf numFmtId="10" fontId="0" fillId="40" borderId="15" xfId="2" applyNumberFormat="1" applyFont="1" applyFill="1" applyBorder="1" applyAlignment="1">
      <alignment vertical="center"/>
    </xf>
    <xf numFmtId="0" fontId="2" fillId="39" borderId="0" xfId="0" applyFont="1" applyFill="1"/>
    <xf numFmtId="164" fontId="2" fillId="39" borderId="0" xfId="0" applyNumberFormat="1" applyFont="1" applyFill="1"/>
    <xf numFmtId="0" fontId="0" fillId="40" borderId="0" xfId="0" applyFill="1" applyAlignment="1">
      <alignment horizontal="center"/>
    </xf>
    <xf numFmtId="10" fontId="0" fillId="40" borderId="0" xfId="2" applyNumberFormat="1" applyFont="1" applyFill="1" applyBorder="1" applyAlignment="1">
      <alignment vertical="center"/>
    </xf>
    <xf numFmtId="0" fontId="110" fillId="38" borderId="13" xfId="0" applyFont="1" applyFill="1" applyBorder="1" applyAlignment="1">
      <alignment horizontal="center" vertical="center"/>
    </xf>
    <xf numFmtId="0" fontId="25" fillId="39" borderId="14" xfId="0" applyFont="1" applyFill="1" applyBorder="1" applyAlignment="1">
      <alignment horizontal="center" vertical="center"/>
    </xf>
    <xf numFmtId="10" fontId="3" fillId="0" borderId="0" xfId="2" applyNumberFormat="1" applyFont="1" applyFill="1"/>
    <xf numFmtId="164" fontId="2" fillId="0" borderId="0" xfId="0" applyNumberFormat="1" applyFont="1" applyAlignment="1">
      <alignment vertical="center"/>
    </xf>
    <xf numFmtId="0" fontId="0" fillId="88" borderId="0" xfId="0" applyFill="1"/>
    <xf numFmtId="0" fontId="2" fillId="88" borderId="0" xfId="0" applyFont="1" applyFill="1"/>
    <xf numFmtId="0" fontId="111" fillId="88" borderId="0" xfId="0" applyFont="1" applyFill="1" applyAlignment="1">
      <alignment horizontal="left" vertical="center"/>
    </xf>
    <xf numFmtId="0" fontId="24" fillId="88" borderId="0" xfId="0" applyFont="1" applyFill="1" applyAlignment="1">
      <alignment horizontal="left" vertical="center"/>
    </xf>
    <xf numFmtId="0" fontId="24" fillId="88" borderId="13" xfId="0" applyFont="1" applyFill="1" applyBorder="1" applyAlignment="1">
      <alignment horizontal="center" vertical="center"/>
    </xf>
    <xf numFmtId="37" fontId="25" fillId="89" borderId="14" xfId="0" applyNumberFormat="1" applyFont="1" applyFill="1" applyBorder="1" applyAlignment="1">
      <alignment horizontal="center" vertical="center"/>
    </xf>
    <xf numFmtId="37" fontId="0" fillId="39" borderId="0" xfId="0" applyNumberFormat="1" applyFill="1" applyAlignment="1">
      <alignment horizontal="center"/>
    </xf>
    <xf numFmtId="37" fontId="25" fillId="89" borderId="15" xfId="0" applyNumberFormat="1" applyFont="1" applyFill="1" applyBorder="1" applyAlignment="1">
      <alignment vertical="center"/>
    </xf>
    <xf numFmtId="164" fontId="0" fillId="89" borderId="0" xfId="0" applyNumberFormat="1" applyFill="1" applyAlignment="1">
      <alignment vertical="center"/>
    </xf>
    <xf numFmtId="37" fontId="25" fillId="39" borderId="14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37" fontId="92" fillId="0" borderId="0" xfId="0" applyNumberFormat="1" applyFont="1" applyAlignment="1">
      <alignment horizontal="left" vertical="center"/>
    </xf>
    <xf numFmtId="10" fontId="0" fillId="41" borderId="0" xfId="2" applyNumberFormat="1" applyFont="1" applyFill="1"/>
    <xf numFmtId="164" fontId="0" fillId="2" borderId="0" xfId="1" applyNumberFormat="1" applyFont="1" applyFill="1"/>
    <xf numFmtId="164" fontId="0" fillId="40" borderId="0" xfId="1" applyNumberFormat="1" applyFont="1" applyFill="1"/>
    <xf numFmtId="164" fontId="0" fillId="39" borderId="0" xfId="1" applyNumberFormat="1" applyFont="1" applyFill="1" applyBorder="1" applyAlignment="1">
      <alignment vertical="center"/>
    </xf>
    <xf numFmtId="164" fontId="25" fillId="40" borderId="0" xfId="0" applyNumberFormat="1" applyFont="1" applyFill="1" applyAlignment="1">
      <alignment horizontal="center" vertical="center"/>
    </xf>
    <xf numFmtId="164" fontId="25" fillId="40" borderId="0" xfId="1" applyNumberFormat="1" applyFont="1" applyFill="1" applyBorder="1" applyAlignment="1" applyProtection="1">
      <alignment horizontal="left" vertical="center"/>
    </xf>
    <xf numFmtId="10" fontId="0" fillId="0" borderId="0" xfId="0" applyNumberFormat="1"/>
    <xf numFmtId="44" fontId="0" fillId="0" borderId="0" xfId="0" applyNumberFormat="1"/>
    <xf numFmtId="10" fontId="0" fillId="0" borderId="0" xfId="2" applyNumberFormat="1" applyFont="1"/>
    <xf numFmtId="164" fontId="0" fillId="35" borderId="0" xfId="0" applyNumberFormat="1" applyFill="1"/>
    <xf numFmtId="37" fontId="25" fillId="40" borderId="0" xfId="0" applyNumberFormat="1" applyFont="1" applyFill="1" applyAlignment="1">
      <alignment horizontal="left" vertical="center"/>
    </xf>
    <xf numFmtId="37" fontId="25" fillId="89" borderId="0" xfId="0" applyNumberFormat="1" applyFont="1" applyFill="1" applyAlignment="1">
      <alignment vertical="center"/>
    </xf>
    <xf numFmtId="37" fontId="0" fillId="39" borderId="0" xfId="0" applyNumberFormat="1" applyFill="1" applyAlignment="1">
      <alignment vertical="center"/>
    </xf>
    <xf numFmtId="42" fontId="0" fillId="90" borderId="0" xfId="0" applyNumberFormat="1" applyFill="1"/>
    <xf numFmtId="10" fontId="0" fillId="39" borderId="0" xfId="2" applyNumberFormat="1" applyFont="1" applyFill="1" applyBorder="1" applyAlignment="1">
      <alignment vertical="center"/>
    </xf>
    <xf numFmtId="37" fontId="25" fillId="39" borderId="0" xfId="0" applyNumberFormat="1" applyFont="1" applyFill="1" applyAlignment="1">
      <alignment vertical="center"/>
    </xf>
    <xf numFmtId="0" fontId="2" fillId="40" borderId="0" xfId="0" applyFont="1" applyFill="1"/>
    <xf numFmtId="0" fontId="0" fillId="89" borderId="0" xfId="0" applyFill="1"/>
    <xf numFmtId="164" fontId="0" fillId="89" borderId="0" xfId="1" applyNumberFormat="1" applyFont="1" applyFill="1"/>
    <xf numFmtId="0" fontId="2" fillId="39" borderId="0" xfId="0" applyFont="1" applyFill="1" applyAlignment="1">
      <alignment horizontal="center" vertical="center"/>
    </xf>
    <xf numFmtId="0" fontId="2" fillId="40" borderId="0" xfId="0" applyFont="1" applyFill="1" applyAlignment="1">
      <alignment horizontal="center" vertical="center"/>
    </xf>
    <xf numFmtId="44" fontId="24" fillId="38" borderId="0" xfId="0" applyNumberFormat="1" applyFont="1" applyFill="1" applyAlignment="1">
      <alignment horizontal="left" vertical="center"/>
    </xf>
    <xf numFmtId="0" fontId="1" fillId="0" borderId="0" xfId="455"/>
    <xf numFmtId="0" fontId="25" fillId="0" borderId="0" xfId="455" applyFont="1"/>
    <xf numFmtId="0" fontId="25" fillId="0" borderId="0" xfId="455" applyFont="1" applyAlignment="1">
      <alignment horizontal="center"/>
    </xf>
    <xf numFmtId="10" fontId="109" fillId="35" borderId="0" xfId="911" applyNumberFormat="1" applyFont="1" applyFill="1"/>
    <xf numFmtId="0" fontId="113" fillId="0" borderId="0" xfId="455" applyFont="1"/>
    <xf numFmtId="0" fontId="92" fillId="0" borderId="0" xfId="455" applyFont="1" applyAlignment="1">
      <alignment wrapText="1"/>
    </xf>
    <xf numFmtId="0" fontId="92" fillId="0" borderId="0" xfId="455" applyFont="1"/>
    <xf numFmtId="0" fontId="25" fillId="0" borderId="0" xfId="455" applyFont="1" applyAlignment="1">
      <alignment horizontal="left" indent="2"/>
    </xf>
    <xf numFmtId="10" fontId="109" fillId="35" borderId="0" xfId="177" applyNumberFormat="1" applyFont="1" applyFill="1"/>
    <xf numFmtId="0" fontId="16" fillId="0" borderId="0" xfId="455" applyFont="1"/>
    <xf numFmtId="0" fontId="21" fillId="36" borderId="12" xfId="5" applyFont="1" applyFill="1" applyBorder="1" applyAlignment="1">
      <alignment horizontal="center"/>
    </xf>
    <xf numFmtId="10" fontId="109" fillId="91" borderId="0" xfId="177" applyNumberFormat="1" applyFont="1" applyFill="1"/>
    <xf numFmtId="10" fontId="3" fillId="2" borderId="0" xfId="2" applyNumberFormat="1" applyFont="1" applyFill="1" applyAlignment="1">
      <alignment horizontal="left"/>
    </xf>
    <xf numFmtId="10" fontId="25" fillId="0" borderId="0" xfId="2" applyNumberFormat="1" applyFont="1" applyFill="1"/>
    <xf numFmtId="164" fontId="25" fillId="40" borderId="15" xfId="1" applyNumberFormat="1" applyFont="1" applyFill="1" applyBorder="1" applyAlignment="1">
      <alignment horizontal="left" vertical="center"/>
    </xf>
    <xf numFmtId="164" fontId="25" fillId="40" borderId="0" xfId="1" applyNumberFormat="1" applyFont="1" applyFill="1" applyAlignment="1">
      <alignment horizontal="left" vertical="center"/>
    </xf>
    <xf numFmtId="41" fontId="3" fillId="2" borderId="0" xfId="0" applyNumberFormat="1" applyFont="1" applyFill="1"/>
    <xf numFmtId="164" fontId="25" fillId="40" borderId="15" xfId="1" applyNumberFormat="1" applyFont="1" applyFill="1" applyBorder="1" applyAlignment="1">
      <alignment horizontal="right" vertical="center"/>
    </xf>
    <xf numFmtId="1" fontId="92" fillId="40" borderId="14" xfId="0" applyNumberFormat="1" applyFont="1" applyFill="1" applyBorder="1" applyAlignment="1">
      <alignment horizontal="center" vertical="center"/>
    </xf>
    <xf numFmtId="164" fontId="92" fillId="40" borderId="15" xfId="1" applyNumberFormat="1" applyFont="1" applyFill="1" applyBorder="1" applyAlignment="1">
      <alignment horizontal="right" vertical="center"/>
    </xf>
    <xf numFmtId="164" fontId="0" fillId="40" borderId="0" xfId="1" applyNumberFormat="1" applyFont="1" applyFill="1" applyAlignment="1">
      <alignment vertical="center"/>
    </xf>
    <xf numFmtId="10" fontId="25" fillId="0" borderId="0" xfId="2" applyNumberFormat="1" applyFont="1"/>
    <xf numFmtId="37" fontId="0" fillId="0" borderId="0" xfId="0" applyNumberFormat="1"/>
    <xf numFmtId="42" fontId="2" fillId="40" borderId="15" xfId="1" applyNumberFormat="1" applyFont="1" applyFill="1" applyBorder="1" applyAlignment="1">
      <alignment vertical="center"/>
    </xf>
    <xf numFmtId="41" fontId="92" fillId="40" borderId="15" xfId="1" applyNumberFormat="1" applyFont="1" applyFill="1" applyBorder="1" applyAlignment="1">
      <alignment horizontal="right" vertical="center"/>
    </xf>
    <xf numFmtId="188" fontId="0" fillId="0" borderId="0" xfId="2" applyNumberFormat="1" applyFont="1"/>
    <xf numFmtId="188" fontId="0" fillId="0" borderId="0" xfId="0" applyNumberFormat="1"/>
    <xf numFmtId="3" fontId="0" fillId="0" borderId="0" xfId="0" applyNumberFormat="1"/>
    <xf numFmtId="0" fontId="21" fillId="36" borderId="0" xfId="5" applyFont="1" applyFill="1" applyAlignment="1">
      <alignment horizontal="center"/>
    </xf>
  </cellXfs>
  <cellStyles count="1262">
    <cellStyle name="20% - Accent1 2" xfId="15" xr:uid="{00000000-0005-0000-0000-000000000000}"/>
    <cellStyle name="20% - Accent1 2 2" xfId="16" xr:uid="{00000000-0005-0000-0000-000001000000}"/>
    <cellStyle name="20% - Accent1 2 3" xfId="1080" xr:uid="{00000000-0005-0000-0000-000002000000}"/>
    <cellStyle name="20% - Accent1 3" xfId="17" xr:uid="{00000000-0005-0000-0000-000003000000}"/>
    <cellStyle name="20% - Accent1 3 2" xfId="18" xr:uid="{00000000-0005-0000-0000-000004000000}"/>
    <cellStyle name="20% - Accent1 3 3" xfId="19" xr:uid="{00000000-0005-0000-0000-000005000000}"/>
    <cellStyle name="20% - Accent1 4" xfId="20" xr:uid="{00000000-0005-0000-0000-000006000000}"/>
    <cellStyle name="20% - Accent1 5" xfId="21" xr:uid="{00000000-0005-0000-0000-000007000000}"/>
    <cellStyle name="20% - Accent1 6" xfId="22" xr:uid="{00000000-0005-0000-0000-000008000000}"/>
    <cellStyle name="20% - Accent1 7" xfId="23" xr:uid="{00000000-0005-0000-0000-000009000000}"/>
    <cellStyle name="20% - Accent1 8" xfId="24" xr:uid="{00000000-0005-0000-0000-00000A000000}"/>
    <cellStyle name="20% - Accent1 9" xfId="25" xr:uid="{00000000-0005-0000-0000-00000B000000}"/>
    <cellStyle name="20% - Accent2 2" xfId="26" xr:uid="{00000000-0005-0000-0000-00000C000000}"/>
    <cellStyle name="20% - Accent2 2 2" xfId="27" xr:uid="{00000000-0005-0000-0000-00000D000000}"/>
    <cellStyle name="20% - Accent2 2 3" xfId="1081" xr:uid="{00000000-0005-0000-0000-00000E000000}"/>
    <cellStyle name="20% - Accent2 3" xfId="28" xr:uid="{00000000-0005-0000-0000-00000F000000}"/>
    <cellStyle name="20% - Accent2 3 2" xfId="29" xr:uid="{00000000-0005-0000-0000-000010000000}"/>
    <cellStyle name="20% - Accent2 3 3" xfId="30" xr:uid="{00000000-0005-0000-0000-000011000000}"/>
    <cellStyle name="20% - Accent2 4" xfId="31" xr:uid="{00000000-0005-0000-0000-000012000000}"/>
    <cellStyle name="20% - Accent2 5" xfId="32" xr:uid="{00000000-0005-0000-0000-000013000000}"/>
    <cellStyle name="20% - Accent2 6" xfId="33" xr:uid="{00000000-0005-0000-0000-000014000000}"/>
    <cellStyle name="20% - Accent2 7" xfId="34" xr:uid="{00000000-0005-0000-0000-000015000000}"/>
    <cellStyle name="20% - Accent2 8" xfId="35" xr:uid="{00000000-0005-0000-0000-000016000000}"/>
    <cellStyle name="20% - Accent2 9" xfId="36" xr:uid="{00000000-0005-0000-0000-000017000000}"/>
    <cellStyle name="20% - Accent3 2" xfId="37" xr:uid="{00000000-0005-0000-0000-000018000000}"/>
    <cellStyle name="20% - Accent3 2 2" xfId="38" xr:uid="{00000000-0005-0000-0000-000019000000}"/>
    <cellStyle name="20% - Accent3 2 3" xfId="1082" xr:uid="{00000000-0005-0000-0000-00001A000000}"/>
    <cellStyle name="20% - Accent3 3" xfId="39" xr:uid="{00000000-0005-0000-0000-00001B000000}"/>
    <cellStyle name="20% - Accent3 3 2" xfId="40" xr:uid="{00000000-0005-0000-0000-00001C000000}"/>
    <cellStyle name="20% - Accent3 3 3" xfId="41" xr:uid="{00000000-0005-0000-0000-00001D000000}"/>
    <cellStyle name="20% - Accent3 4" xfId="42" xr:uid="{00000000-0005-0000-0000-00001E000000}"/>
    <cellStyle name="20% - Accent3 5" xfId="43" xr:uid="{00000000-0005-0000-0000-00001F000000}"/>
    <cellStyle name="20% - Accent3 6" xfId="44" xr:uid="{00000000-0005-0000-0000-000020000000}"/>
    <cellStyle name="20% - Accent3 7" xfId="45" xr:uid="{00000000-0005-0000-0000-000021000000}"/>
    <cellStyle name="20% - Accent3 8" xfId="46" xr:uid="{00000000-0005-0000-0000-000022000000}"/>
    <cellStyle name="20% - Accent3 9" xfId="47" xr:uid="{00000000-0005-0000-0000-000023000000}"/>
    <cellStyle name="20% - Accent4 2" xfId="48" xr:uid="{00000000-0005-0000-0000-000024000000}"/>
    <cellStyle name="20% - Accent4 2 2" xfId="49" xr:uid="{00000000-0005-0000-0000-000025000000}"/>
    <cellStyle name="20% - Accent4 2 3" xfId="1083" xr:uid="{00000000-0005-0000-0000-000026000000}"/>
    <cellStyle name="20% - Accent4 3" xfId="50" xr:uid="{00000000-0005-0000-0000-000027000000}"/>
    <cellStyle name="20% - Accent4 3 2" xfId="51" xr:uid="{00000000-0005-0000-0000-000028000000}"/>
    <cellStyle name="20% - Accent4 3 3" xfId="52" xr:uid="{00000000-0005-0000-0000-000029000000}"/>
    <cellStyle name="20% - Accent4 4" xfId="53" xr:uid="{00000000-0005-0000-0000-00002A000000}"/>
    <cellStyle name="20% - Accent4 5" xfId="54" xr:uid="{00000000-0005-0000-0000-00002B000000}"/>
    <cellStyle name="20% - Accent4 6" xfId="55" xr:uid="{00000000-0005-0000-0000-00002C000000}"/>
    <cellStyle name="20% - Accent4 7" xfId="56" xr:uid="{00000000-0005-0000-0000-00002D000000}"/>
    <cellStyle name="20% - Accent4 8" xfId="57" xr:uid="{00000000-0005-0000-0000-00002E000000}"/>
    <cellStyle name="20% - Accent4 9" xfId="58" xr:uid="{00000000-0005-0000-0000-00002F000000}"/>
    <cellStyle name="20% - Accent5 2" xfId="59" xr:uid="{00000000-0005-0000-0000-000030000000}"/>
    <cellStyle name="20% - Accent5 2 2" xfId="60" xr:uid="{00000000-0005-0000-0000-000031000000}"/>
    <cellStyle name="20% - Accent5 2 3" xfId="1084" xr:uid="{00000000-0005-0000-0000-000032000000}"/>
    <cellStyle name="20% - Accent5 3" xfId="61" xr:uid="{00000000-0005-0000-0000-000033000000}"/>
    <cellStyle name="20% - Accent5 3 2" xfId="62" xr:uid="{00000000-0005-0000-0000-000034000000}"/>
    <cellStyle name="20% - Accent5 3 3" xfId="63" xr:uid="{00000000-0005-0000-0000-000035000000}"/>
    <cellStyle name="20% - Accent5 4" xfId="64" xr:uid="{00000000-0005-0000-0000-000036000000}"/>
    <cellStyle name="20% - Accent5 5" xfId="65" xr:uid="{00000000-0005-0000-0000-000037000000}"/>
    <cellStyle name="20% - Accent5 6" xfId="66" xr:uid="{00000000-0005-0000-0000-000038000000}"/>
    <cellStyle name="20% - Accent5 7" xfId="67" xr:uid="{00000000-0005-0000-0000-000039000000}"/>
    <cellStyle name="20% - Accent5 8" xfId="68" xr:uid="{00000000-0005-0000-0000-00003A000000}"/>
    <cellStyle name="20% - Accent5 9" xfId="69" xr:uid="{00000000-0005-0000-0000-00003B000000}"/>
    <cellStyle name="20% - Accent6 2" xfId="70" xr:uid="{00000000-0005-0000-0000-00003C000000}"/>
    <cellStyle name="20% - Accent6 2 2" xfId="71" xr:uid="{00000000-0005-0000-0000-00003D000000}"/>
    <cellStyle name="20% - Accent6 2 3" xfId="1085" xr:uid="{00000000-0005-0000-0000-00003E000000}"/>
    <cellStyle name="20% - Accent6 3" xfId="72" xr:uid="{00000000-0005-0000-0000-00003F000000}"/>
    <cellStyle name="20% - Accent6 3 2" xfId="73" xr:uid="{00000000-0005-0000-0000-000040000000}"/>
    <cellStyle name="20% - Accent6 3 3" xfId="74" xr:uid="{00000000-0005-0000-0000-000041000000}"/>
    <cellStyle name="20% - Accent6 4" xfId="75" xr:uid="{00000000-0005-0000-0000-000042000000}"/>
    <cellStyle name="20% - Accent6 5" xfId="76" xr:uid="{00000000-0005-0000-0000-000043000000}"/>
    <cellStyle name="20% - Accent6 6" xfId="77" xr:uid="{00000000-0005-0000-0000-000044000000}"/>
    <cellStyle name="20% - Accent6 7" xfId="78" xr:uid="{00000000-0005-0000-0000-000045000000}"/>
    <cellStyle name="20% - Accent6 8" xfId="79" xr:uid="{00000000-0005-0000-0000-000046000000}"/>
    <cellStyle name="20% - Accent6 9" xfId="80" xr:uid="{00000000-0005-0000-0000-000047000000}"/>
    <cellStyle name="40% - Accent1 2" xfId="81" xr:uid="{00000000-0005-0000-0000-000048000000}"/>
    <cellStyle name="40% - Accent1 2 2" xfId="82" xr:uid="{00000000-0005-0000-0000-000049000000}"/>
    <cellStyle name="40% - Accent1 2 3" xfId="1086" xr:uid="{00000000-0005-0000-0000-00004A000000}"/>
    <cellStyle name="40% - Accent1 3" xfId="83" xr:uid="{00000000-0005-0000-0000-00004B000000}"/>
    <cellStyle name="40% - Accent1 3 2" xfId="84" xr:uid="{00000000-0005-0000-0000-00004C000000}"/>
    <cellStyle name="40% - Accent1 3 3" xfId="85" xr:uid="{00000000-0005-0000-0000-00004D000000}"/>
    <cellStyle name="40% - Accent1 4" xfId="86" xr:uid="{00000000-0005-0000-0000-00004E000000}"/>
    <cellStyle name="40% - Accent1 5" xfId="87" xr:uid="{00000000-0005-0000-0000-00004F000000}"/>
    <cellStyle name="40% - Accent1 6" xfId="88" xr:uid="{00000000-0005-0000-0000-000050000000}"/>
    <cellStyle name="40% - Accent1 7" xfId="89" xr:uid="{00000000-0005-0000-0000-000051000000}"/>
    <cellStyle name="40% - Accent1 8" xfId="90" xr:uid="{00000000-0005-0000-0000-000052000000}"/>
    <cellStyle name="40% - Accent1 9" xfId="91" xr:uid="{00000000-0005-0000-0000-000053000000}"/>
    <cellStyle name="40% - Accent2 2" xfId="92" xr:uid="{00000000-0005-0000-0000-000054000000}"/>
    <cellStyle name="40% - Accent2 2 2" xfId="93" xr:uid="{00000000-0005-0000-0000-000055000000}"/>
    <cellStyle name="40% - Accent2 2 3" xfId="1087" xr:uid="{00000000-0005-0000-0000-000056000000}"/>
    <cellStyle name="40% - Accent2 3" xfId="94" xr:uid="{00000000-0005-0000-0000-000057000000}"/>
    <cellStyle name="40% - Accent2 3 2" xfId="95" xr:uid="{00000000-0005-0000-0000-000058000000}"/>
    <cellStyle name="40% - Accent2 3 3" xfId="96" xr:uid="{00000000-0005-0000-0000-000059000000}"/>
    <cellStyle name="40% - Accent2 4" xfId="97" xr:uid="{00000000-0005-0000-0000-00005A000000}"/>
    <cellStyle name="40% - Accent2 5" xfId="98" xr:uid="{00000000-0005-0000-0000-00005B000000}"/>
    <cellStyle name="40% - Accent2 6" xfId="99" xr:uid="{00000000-0005-0000-0000-00005C000000}"/>
    <cellStyle name="40% - Accent2 7" xfId="100" xr:uid="{00000000-0005-0000-0000-00005D000000}"/>
    <cellStyle name="40% - Accent2 8" xfId="101" xr:uid="{00000000-0005-0000-0000-00005E000000}"/>
    <cellStyle name="40% - Accent2 9" xfId="102" xr:uid="{00000000-0005-0000-0000-00005F000000}"/>
    <cellStyle name="40% - Accent3 2" xfId="103" xr:uid="{00000000-0005-0000-0000-000060000000}"/>
    <cellStyle name="40% - Accent3 2 2" xfId="104" xr:uid="{00000000-0005-0000-0000-000061000000}"/>
    <cellStyle name="40% - Accent3 2 3" xfId="1088" xr:uid="{00000000-0005-0000-0000-000062000000}"/>
    <cellStyle name="40% - Accent3 3" xfId="105" xr:uid="{00000000-0005-0000-0000-000063000000}"/>
    <cellStyle name="40% - Accent3 3 2" xfId="106" xr:uid="{00000000-0005-0000-0000-000064000000}"/>
    <cellStyle name="40% - Accent3 3 3" xfId="107" xr:uid="{00000000-0005-0000-0000-000065000000}"/>
    <cellStyle name="40% - Accent3 4" xfId="108" xr:uid="{00000000-0005-0000-0000-000066000000}"/>
    <cellStyle name="40% - Accent3 5" xfId="109" xr:uid="{00000000-0005-0000-0000-000067000000}"/>
    <cellStyle name="40% - Accent3 6" xfId="110" xr:uid="{00000000-0005-0000-0000-000068000000}"/>
    <cellStyle name="40% - Accent3 7" xfId="111" xr:uid="{00000000-0005-0000-0000-000069000000}"/>
    <cellStyle name="40% - Accent3 8" xfId="112" xr:uid="{00000000-0005-0000-0000-00006A000000}"/>
    <cellStyle name="40% - Accent3 9" xfId="113" xr:uid="{00000000-0005-0000-0000-00006B000000}"/>
    <cellStyle name="40% - Accent4 2" xfId="114" xr:uid="{00000000-0005-0000-0000-00006C000000}"/>
    <cellStyle name="40% - Accent4 2 2" xfId="115" xr:uid="{00000000-0005-0000-0000-00006D000000}"/>
    <cellStyle name="40% - Accent4 2 3" xfId="1089" xr:uid="{00000000-0005-0000-0000-00006E000000}"/>
    <cellStyle name="40% - Accent4 3" xfId="116" xr:uid="{00000000-0005-0000-0000-00006F000000}"/>
    <cellStyle name="40% - Accent4 3 2" xfId="117" xr:uid="{00000000-0005-0000-0000-000070000000}"/>
    <cellStyle name="40% - Accent4 3 3" xfId="118" xr:uid="{00000000-0005-0000-0000-000071000000}"/>
    <cellStyle name="40% - Accent4 4" xfId="119" xr:uid="{00000000-0005-0000-0000-000072000000}"/>
    <cellStyle name="40% - Accent4 5" xfId="120" xr:uid="{00000000-0005-0000-0000-000073000000}"/>
    <cellStyle name="40% - Accent4 6" xfId="121" xr:uid="{00000000-0005-0000-0000-000074000000}"/>
    <cellStyle name="40% - Accent4 7" xfId="122" xr:uid="{00000000-0005-0000-0000-000075000000}"/>
    <cellStyle name="40% - Accent4 8" xfId="123" xr:uid="{00000000-0005-0000-0000-000076000000}"/>
    <cellStyle name="40% - Accent4 9" xfId="124" xr:uid="{00000000-0005-0000-0000-000077000000}"/>
    <cellStyle name="40% - Accent5 2" xfId="125" xr:uid="{00000000-0005-0000-0000-000078000000}"/>
    <cellStyle name="40% - Accent5 2 2" xfId="126" xr:uid="{00000000-0005-0000-0000-000079000000}"/>
    <cellStyle name="40% - Accent5 2 3" xfId="1090" xr:uid="{00000000-0005-0000-0000-00007A000000}"/>
    <cellStyle name="40% - Accent5 3" xfId="127" xr:uid="{00000000-0005-0000-0000-00007B000000}"/>
    <cellStyle name="40% - Accent5 3 2" xfId="128" xr:uid="{00000000-0005-0000-0000-00007C000000}"/>
    <cellStyle name="40% - Accent5 3 3" xfId="129" xr:uid="{00000000-0005-0000-0000-00007D000000}"/>
    <cellStyle name="40% - Accent5 4" xfId="130" xr:uid="{00000000-0005-0000-0000-00007E000000}"/>
    <cellStyle name="40% - Accent5 5" xfId="131" xr:uid="{00000000-0005-0000-0000-00007F000000}"/>
    <cellStyle name="40% - Accent5 6" xfId="132" xr:uid="{00000000-0005-0000-0000-000080000000}"/>
    <cellStyle name="40% - Accent5 7" xfId="133" xr:uid="{00000000-0005-0000-0000-000081000000}"/>
    <cellStyle name="40% - Accent5 8" xfId="134" xr:uid="{00000000-0005-0000-0000-000082000000}"/>
    <cellStyle name="40% - Accent5 9" xfId="135" xr:uid="{00000000-0005-0000-0000-000083000000}"/>
    <cellStyle name="40% - Accent6 2" xfId="136" xr:uid="{00000000-0005-0000-0000-000084000000}"/>
    <cellStyle name="40% - Accent6 2 2" xfId="137" xr:uid="{00000000-0005-0000-0000-000085000000}"/>
    <cellStyle name="40% - Accent6 2 3" xfId="1091" xr:uid="{00000000-0005-0000-0000-000086000000}"/>
    <cellStyle name="40% - Accent6 3" xfId="138" xr:uid="{00000000-0005-0000-0000-000087000000}"/>
    <cellStyle name="40% - Accent6 3 2" xfId="139" xr:uid="{00000000-0005-0000-0000-000088000000}"/>
    <cellStyle name="40% - Accent6 3 3" xfId="140" xr:uid="{00000000-0005-0000-0000-000089000000}"/>
    <cellStyle name="40% - Accent6 4" xfId="141" xr:uid="{00000000-0005-0000-0000-00008A000000}"/>
    <cellStyle name="40% - Accent6 5" xfId="142" xr:uid="{00000000-0005-0000-0000-00008B000000}"/>
    <cellStyle name="40% - Accent6 6" xfId="143" xr:uid="{00000000-0005-0000-0000-00008C000000}"/>
    <cellStyle name="40% - Accent6 7" xfId="144" xr:uid="{00000000-0005-0000-0000-00008D000000}"/>
    <cellStyle name="40% - Accent6 8" xfId="145" xr:uid="{00000000-0005-0000-0000-00008E000000}"/>
    <cellStyle name="40% - Accent6 9" xfId="146" xr:uid="{00000000-0005-0000-0000-00008F000000}"/>
    <cellStyle name="60% - Accent1 2" xfId="147" xr:uid="{00000000-0005-0000-0000-000090000000}"/>
    <cellStyle name="60% - Accent1 2 2" xfId="1092" xr:uid="{00000000-0005-0000-0000-000091000000}"/>
    <cellStyle name="60% - Accent1 3" xfId="148" xr:uid="{00000000-0005-0000-0000-000092000000}"/>
    <cellStyle name="60% - Accent2 2" xfId="149" xr:uid="{00000000-0005-0000-0000-000093000000}"/>
    <cellStyle name="60% - Accent2 2 2" xfId="1093" xr:uid="{00000000-0005-0000-0000-000094000000}"/>
    <cellStyle name="60% - Accent2 3" xfId="150" xr:uid="{00000000-0005-0000-0000-000095000000}"/>
    <cellStyle name="60% - Accent3 2" xfId="151" xr:uid="{00000000-0005-0000-0000-000096000000}"/>
    <cellStyle name="60% - Accent3 2 2" xfId="1094" xr:uid="{00000000-0005-0000-0000-000097000000}"/>
    <cellStyle name="60% - Accent3 3" xfId="152" xr:uid="{00000000-0005-0000-0000-000098000000}"/>
    <cellStyle name="60% - Accent4 2" xfId="153" xr:uid="{00000000-0005-0000-0000-000099000000}"/>
    <cellStyle name="60% - Accent4 2 2" xfId="1095" xr:uid="{00000000-0005-0000-0000-00009A000000}"/>
    <cellStyle name="60% - Accent4 3" xfId="154" xr:uid="{00000000-0005-0000-0000-00009B000000}"/>
    <cellStyle name="60% - Accent5 2" xfId="155" xr:uid="{00000000-0005-0000-0000-00009C000000}"/>
    <cellStyle name="60% - Accent5 2 2" xfId="1096" xr:uid="{00000000-0005-0000-0000-00009D000000}"/>
    <cellStyle name="60% - Accent5 3" xfId="156" xr:uid="{00000000-0005-0000-0000-00009E000000}"/>
    <cellStyle name="60% - Accent6 2" xfId="157" xr:uid="{00000000-0005-0000-0000-00009F000000}"/>
    <cellStyle name="60% - Accent6 2 2" xfId="1097" xr:uid="{00000000-0005-0000-0000-0000A0000000}"/>
    <cellStyle name="60% - Accent6 3" xfId="158" xr:uid="{00000000-0005-0000-0000-0000A1000000}"/>
    <cellStyle name="Accent1 2" xfId="159" xr:uid="{00000000-0005-0000-0000-0000A2000000}"/>
    <cellStyle name="Accent1 2 2" xfId="1098" xr:uid="{00000000-0005-0000-0000-0000A3000000}"/>
    <cellStyle name="Accent1 3" xfId="160" xr:uid="{00000000-0005-0000-0000-0000A4000000}"/>
    <cellStyle name="Accent2 2" xfId="161" xr:uid="{00000000-0005-0000-0000-0000A5000000}"/>
    <cellStyle name="Accent2 2 2" xfId="1099" xr:uid="{00000000-0005-0000-0000-0000A6000000}"/>
    <cellStyle name="Accent2 3" xfId="162" xr:uid="{00000000-0005-0000-0000-0000A7000000}"/>
    <cellStyle name="Accent3 2" xfId="163" xr:uid="{00000000-0005-0000-0000-0000A8000000}"/>
    <cellStyle name="Accent3 2 2" xfId="1100" xr:uid="{00000000-0005-0000-0000-0000A9000000}"/>
    <cellStyle name="Accent3 3" xfId="164" xr:uid="{00000000-0005-0000-0000-0000AA000000}"/>
    <cellStyle name="Accent4 2" xfId="165" xr:uid="{00000000-0005-0000-0000-0000AB000000}"/>
    <cellStyle name="Accent4 2 2" xfId="1101" xr:uid="{00000000-0005-0000-0000-0000AC000000}"/>
    <cellStyle name="Accent4 3" xfId="166" xr:uid="{00000000-0005-0000-0000-0000AD000000}"/>
    <cellStyle name="Accent5 2" xfId="167" xr:uid="{00000000-0005-0000-0000-0000AE000000}"/>
    <cellStyle name="Accent5 3" xfId="168" xr:uid="{00000000-0005-0000-0000-0000AF000000}"/>
    <cellStyle name="Accent6 2" xfId="169" xr:uid="{00000000-0005-0000-0000-0000B0000000}"/>
    <cellStyle name="Accent6 2 2" xfId="1102" xr:uid="{00000000-0005-0000-0000-0000B1000000}"/>
    <cellStyle name="Accent6 3" xfId="170" xr:uid="{00000000-0005-0000-0000-0000B2000000}"/>
    <cellStyle name="Bad 2" xfId="171" xr:uid="{00000000-0005-0000-0000-0000B3000000}"/>
    <cellStyle name="Bad 2 2" xfId="1103" xr:uid="{00000000-0005-0000-0000-0000B4000000}"/>
    <cellStyle name="Bad 3" xfId="172" xr:uid="{00000000-0005-0000-0000-0000B5000000}"/>
    <cellStyle name="Calculation 2" xfId="173" xr:uid="{00000000-0005-0000-0000-0000B6000000}"/>
    <cellStyle name="Calculation 2 2" xfId="1104" xr:uid="{00000000-0005-0000-0000-0000B7000000}"/>
    <cellStyle name="Calculation 3" xfId="174" xr:uid="{00000000-0005-0000-0000-0000B8000000}"/>
    <cellStyle name="Check Cell 2" xfId="175" xr:uid="{00000000-0005-0000-0000-0000B9000000}"/>
    <cellStyle name="Check Cell 3" xfId="176" xr:uid="{00000000-0005-0000-0000-0000BA000000}"/>
    <cellStyle name="Comma 10" xfId="177" xr:uid="{00000000-0005-0000-0000-0000BB000000}"/>
    <cellStyle name="Comma 10 2" xfId="178" xr:uid="{00000000-0005-0000-0000-0000BC000000}"/>
    <cellStyle name="Comma 10 3" xfId="1068" xr:uid="{00000000-0005-0000-0000-0000BD000000}"/>
    <cellStyle name="Comma 10 3 2" xfId="1073" xr:uid="{00000000-0005-0000-0000-0000BE000000}"/>
    <cellStyle name="Comma 10 4" xfId="1225" xr:uid="{00000000-0005-0000-0000-0000BF000000}"/>
    <cellStyle name="Comma 11" xfId="179" xr:uid="{00000000-0005-0000-0000-0000C0000000}"/>
    <cellStyle name="Comma 11 2" xfId="180" xr:uid="{00000000-0005-0000-0000-0000C1000000}"/>
    <cellStyle name="Comma 12" xfId="181" xr:uid="{00000000-0005-0000-0000-0000C2000000}"/>
    <cellStyle name="Comma 12 2" xfId="182" xr:uid="{00000000-0005-0000-0000-0000C3000000}"/>
    <cellStyle name="Comma 13" xfId="183" xr:uid="{00000000-0005-0000-0000-0000C4000000}"/>
    <cellStyle name="Comma 13 2" xfId="184" xr:uid="{00000000-0005-0000-0000-0000C5000000}"/>
    <cellStyle name="Comma 14" xfId="185" xr:uid="{00000000-0005-0000-0000-0000C6000000}"/>
    <cellStyle name="Comma 14 2" xfId="186" xr:uid="{00000000-0005-0000-0000-0000C7000000}"/>
    <cellStyle name="Comma 15" xfId="187" xr:uid="{00000000-0005-0000-0000-0000C8000000}"/>
    <cellStyle name="Comma 15 2" xfId="188" xr:uid="{00000000-0005-0000-0000-0000C9000000}"/>
    <cellStyle name="Comma 16" xfId="189" xr:uid="{00000000-0005-0000-0000-0000CA000000}"/>
    <cellStyle name="Comma 16 2" xfId="190" xr:uid="{00000000-0005-0000-0000-0000CB000000}"/>
    <cellStyle name="Comma 17" xfId="191" xr:uid="{00000000-0005-0000-0000-0000CC000000}"/>
    <cellStyle name="Comma 17 2" xfId="192" xr:uid="{00000000-0005-0000-0000-0000CD000000}"/>
    <cellStyle name="Comma 18" xfId="193" xr:uid="{00000000-0005-0000-0000-0000CE000000}"/>
    <cellStyle name="Comma 18 2" xfId="194" xr:uid="{00000000-0005-0000-0000-0000CF000000}"/>
    <cellStyle name="Comma 19" xfId="195" xr:uid="{00000000-0005-0000-0000-0000D0000000}"/>
    <cellStyle name="Comma 2" xfId="12" xr:uid="{00000000-0005-0000-0000-0000D1000000}"/>
    <cellStyle name="Comma 2 2" xfId="196" xr:uid="{00000000-0005-0000-0000-0000D2000000}"/>
    <cellStyle name="Comma 2 2 2" xfId="1078" xr:uid="{00000000-0005-0000-0000-0000D3000000}"/>
    <cellStyle name="Comma 2 3" xfId="197" xr:uid="{00000000-0005-0000-0000-0000D4000000}"/>
    <cellStyle name="Comma 2 4" xfId="198" xr:uid="{00000000-0005-0000-0000-0000D5000000}"/>
    <cellStyle name="Comma 2 5" xfId="199" xr:uid="{00000000-0005-0000-0000-0000D6000000}"/>
    <cellStyle name="Comma 2 6" xfId="1219" xr:uid="{00000000-0005-0000-0000-0000D7000000}"/>
    <cellStyle name="Comma 2 7" xfId="1214" xr:uid="{00000000-0005-0000-0000-0000D8000000}"/>
    <cellStyle name="Comma 20" xfId="200" xr:uid="{00000000-0005-0000-0000-0000D9000000}"/>
    <cellStyle name="Comma 21" xfId="201" xr:uid="{00000000-0005-0000-0000-0000DA000000}"/>
    <cellStyle name="Comma 22" xfId="202" xr:uid="{00000000-0005-0000-0000-0000DB000000}"/>
    <cellStyle name="Comma 23" xfId="203" xr:uid="{00000000-0005-0000-0000-0000DC000000}"/>
    <cellStyle name="Comma 24" xfId="204" xr:uid="{00000000-0005-0000-0000-0000DD000000}"/>
    <cellStyle name="Comma 25" xfId="205" xr:uid="{00000000-0005-0000-0000-0000DE000000}"/>
    <cellStyle name="Comma 26" xfId="206" xr:uid="{00000000-0005-0000-0000-0000DF000000}"/>
    <cellStyle name="Comma 27" xfId="207" xr:uid="{00000000-0005-0000-0000-0000E0000000}"/>
    <cellStyle name="Comma 28" xfId="208" xr:uid="{00000000-0005-0000-0000-0000E1000000}"/>
    <cellStyle name="Comma 29" xfId="1059" xr:uid="{00000000-0005-0000-0000-0000E2000000}"/>
    <cellStyle name="Comma 3" xfId="209" xr:uid="{00000000-0005-0000-0000-0000E3000000}"/>
    <cellStyle name="Comma 3 10" xfId="210" xr:uid="{00000000-0005-0000-0000-0000E4000000}"/>
    <cellStyle name="Comma 3 11" xfId="211" xr:uid="{00000000-0005-0000-0000-0000E5000000}"/>
    <cellStyle name="Comma 3 12" xfId="212" xr:uid="{00000000-0005-0000-0000-0000E6000000}"/>
    <cellStyle name="Comma 3 13" xfId="213" xr:uid="{00000000-0005-0000-0000-0000E7000000}"/>
    <cellStyle name="Comma 3 14" xfId="1105" xr:uid="{00000000-0005-0000-0000-0000E8000000}"/>
    <cellStyle name="Comma 3 2" xfId="214" xr:uid="{00000000-0005-0000-0000-0000E9000000}"/>
    <cellStyle name="Comma 3 2 2" xfId="1153" xr:uid="{00000000-0005-0000-0000-0000EA000000}"/>
    <cellStyle name="Comma 3 3" xfId="215" xr:uid="{00000000-0005-0000-0000-0000EB000000}"/>
    <cellStyle name="Comma 3 3 2" xfId="216" xr:uid="{00000000-0005-0000-0000-0000EC000000}"/>
    <cellStyle name="Comma 3 4" xfId="217" xr:uid="{00000000-0005-0000-0000-0000ED000000}"/>
    <cellStyle name="Comma 3 4 2" xfId="218" xr:uid="{00000000-0005-0000-0000-0000EE000000}"/>
    <cellStyle name="Comma 3 5" xfId="219" xr:uid="{00000000-0005-0000-0000-0000EF000000}"/>
    <cellStyle name="Comma 3 5 2" xfId="220" xr:uid="{00000000-0005-0000-0000-0000F0000000}"/>
    <cellStyle name="Comma 3 6" xfId="221" xr:uid="{00000000-0005-0000-0000-0000F1000000}"/>
    <cellStyle name="Comma 3 6 2" xfId="222" xr:uid="{00000000-0005-0000-0000-0000F2000000}"/>
    <cellStyle name="Comma 3 7" xfId="223" xr:uid="{00000000-0005-0000-0000-0000F3000000}"/>
    <cellStyle name="Comma 3 7 2" xfId="224" xr:uid="{00000000-0005-0000-0000-0000F4000000}"/>
    <cellStyle name="Comma 3 8" xfId="225" xr:uid="{00000000-0005-0000-0000-0000F5000000}"/>
    <cellStyle name="Comma 3 8 2" xfId="226" xr:uid="{00000000-0005-0000-0000-0000F6000000}"/>
    <cellStyle name="Comma 3 9" xfId="227" xr:uid="{00000000-0005-0000-0000-0000F7000000}"/>
    <cellStyle name="Comma 3 9 2" xfId="228" xr:uid="{00000000-0005-0000-0000-0000F8000000}"/>
    <cellStyle name="Comma 30" xfId="1075" xr:uid="{00000000-0005-0000-0000-0000F9000000}"/>
    <cellStyle name="Comma 31" xfId="1209" xr:uid="{00000000-0005-0000-0000-0000FA000000}"/>
    <cellStyle name="Comma 32" xfId="1260" xr:uid="{00000000-0005-0000-0000-0000FB000000}"/>
    <cellStyle name="Comma 33" xfId="1049" xr:uid="{00000000-0005-0000-0000-0000FC000000}"/>
    <cellStyle name="Comma 4" xfId="229" xr:uid="{00000000-0005-0000-0000-0000FD000000}"/>
    <cellStyle name="Comma 4 2" xfId="230" xr:uid="{00000000-0005-0000-0000-0000FE000000}"/>
    <cellStyle name="Comma 5" xfId="231" xr:uid="{00000000-0005-0000-0000-0000FF000000}"/>
    <cellStyle name="Comma 5 2" xfId="232" xr:uid="{00000000-0005-0000-0000-000000010000}"/>
    <cellStyle name="Comma 5 3" xfId="233" xr:uid="{00000000-0005-0000-0000-000001010000}"/>
    <cellStyle name="Comma 6" xfId="234" xr:uid="{00000000-0005-0000-0000-000002010000}"/>
    <cellStyle name="Comma 6 2" xfId="235" xr:uid="{00000000-0005-0000-0000-000003010000}"/>
    <cellStyle name="Comma 7" xfId="236" xr:uid="{00000000-0005-0000-0000-000004010000}"/>
    <cellStyle name="Comma 7 2" xfId="237" xr:uid="{00000000-0005-0000-0000-000005010000}"/>
    <cellStyle name="Comma 7 2 2" xfId="238" xr:uid="{00000000-0005-0000-0000-000006010000}"/>
    <cellStyle name="Comma 7 3" xfId="239" xr:uid="{00000000-0005-0000-0000-000007010000}"/>
    <cellStyle name="Comma 7 3 2" xfId="240" xr:uid="{00000000-0005-0000-0000-000008010000}"/>
    <cellStyle name="Comma 7 4" xfId="241" xr:uid="{00000000-0005-0000-0000-000009010000}"/>
    <cellStyle name="Comma 7 4 2" xfId="242" xr:uid="{00000000-0005-0000-0000-00000A010000}"/>
    <cellStyle name="Comma 7 5" xfId="243" xr:uid="{00000000-0005-0000-0000-00000B010000}"/>
    <cellStyle name="Comma 7 5 2" xfId="244" xr:uid="{00000000-0005-0000-0000-00000C010000}"/>
    <cellStyle name="Comma 7 6" xfId="245" xr:uid="{00000000-0005-0000-0000-00000D010000}"/>
    <cellStyle name="Comma 7 6 2" xfId="246" xr:uid="{00000000-0005-0000-0000-00000E010000}"/>
    <cellStyle name="Comma 7 7" xfId="247" xr:uid="{00000000-0005-0000-0000-00000F010000}"/>
    <cellStyle name="Comma 7 8" xfId="248" xr:uid="{00000000-0005-0000-0000-000010010000}"/>
    <cellStyle name="Comma 7 9" xfId="249" xr:uid="{00000000-0005-0000-0000-000011010000}"/>
    <cellStyle name="Comma 8" xfId="250" xr:uid="{00000000-0005-0000-0000-000012010000}"/>
    <cellStyle name="Comma 8 2" xfId="251" xr:uid="{00000000-0005-0000-0000-000013010000}"/>
    <cellStyle name="Comma 9" xfId="252" xr:uid="{00000000-0005-0000-0000-000014010000}"/>
    <cellStyle name="Comma 9 2" xfId="253" xr:uid="{00000000-0005-0000-0000-000015010000}"/>
    <cellStyle name="Comma0" xfId="254" xr:uid="{00000000-0005-0000-0000-000016010000}"/>
    <cellStyle name="Comma0 - Style4" xfId="255" xr:uid="{00000000-0005-0000-0000-000017010000}"/>
    <cellStyle name="Comma1 - Style1" xfId="256" xr:uid="{00000000-0005-0000-0000-000018010000}"/>
    <cellStyle name="Curren - Style2" xfId="257" xr:uid="{00000000-0005-0000-0000-000019010000}"/>
    <cellStyle name="Currency" xfId="1" builtinId="4"/>
    <cellStyle name="Currency 10" xfId="258" xr:uid="{00000000-0005-0000-0000-00001B010000}"/>
    <cellStyle name="Currency 10 2" xfId="259" xr:uid="{00000000-0005-0000-0000-00001C010000}"/>
    <cellStyle name="Currency 11" xfId="260" xr:uid="{00000000-0005-0000-0000-00001D010000}"/>
    <cellStyle name="Currency 11 2" xfId="261" xr:uid="{00000000-0005-0000-0000-00001E010000}"/>
    <cellStyle name="Currency 12" xfId="262" xr:uid="{00000000-0005-0000-0000-00001F010000}"/>
    <cellStyle name="Currency 13" xfId="263" xr:uid="{00000000-0005-0000-0000-000020010000}"/>
    <cellStyle name="Currency 14" xfId="264" xr:uid="{00000000-0005-0000-0000-000021010000}"/>
    <cellStyle name="Currency 15" xfId="265" xr:uid="{00000000-0005-0000-0000-000022010000}"/>
    <cellStyle name="Currency 15 2" xfId="1067" xr:uid="{00000000-0005-0000-0000-000023010000}"/>
    <cellStyle name="Currency 15 2 2" xfId="1072" xr:uid="{00000000-0005-0000-0000-000024010000}"/>
    <cellStyle name="Currency 16" xfId="266" xr:uid="{00000000-0005-0000-0000-000025010000}"/>
    <cellStyle name="Currency 17" xfId="267" xr:uid="{00000000-0005-0000-0000-000026010000}"/>
    <cellStyle name="Currency 18" xfId="268" xr:uid="{00000000-0005-0000-0000-000027010000}"/>
    <cellStyle name="Currency 19" xfId="269" xr:uid="{00000000-0005-0000-0000-000028010000}"/>
    <cellStyle name="Currency 2" xfId="4" xr:uid="{00000000-0005-0000-0000-000029010000}"/>
    <cellStyle name="Currency 2 2" xfId="270" xr:uid="{00000000-0005-0000-0000-00002A010000}"/>
    <cellStyle name="Currency 2 3" xfId="1106" xr:uid="{00000000-0005-0000-0000-00002B010000}"/>
    <cellStyle name="Currency 2 4" xfId="1244" xr:uid="{00000000-0005-0000-0000-00002C010000}"/>
    <cellStyle name="Currency 2 5" xfId="13" xr:uid="{00000000-0005-0000-0000-00002D010000}"/>
    <cellStyle name="Currency 20" xfId="1064" xr:uid="{00000000-0005-0000-0000-00002E010000}"/>
    <cellStyle name="Currency 21" xfId="1210" xr:uid="{00000000-0005-0000-0000-00002F010000}"/>
    <cellStyle name="Currency 22" xfId="1223" xr:uid="{00000000-0005-0000-0000-000030010000}"/>
    <cellStyle name="Currency 23" xfId="1261" xr:uid="{00000000-0005-0000-0000-000031010000}"/>
    <cellStyle name="Currency 24" xfId="1050" xr:uid="{00000000-0005-0000-0000-000032010000}"/>
    <cellStyle name="Currency 3" xfId="271" xr:uid="{00000000-0005-0000-0000-000033010000}"/>
    <cellStyle name="Currency 3 10" xfId="272" xr:uid="{00000000-0005-0000-0000-000034010000}"/>
    <cellStyle name="Currency 3 11" xfId="1107" xr:uid="{00000000-0005-0000-0000-000035010000}"/>
    <cellStyle name="Currency 3 12" xfId="1249" xr:uid="{00000000-0005-0000-0000-000036010000}"/>
    <cellStyle name="Currency 3 2" xfId="273" xr:uid="{00000000-0005-0000-0000-000037010000}"/>
    <cellStyle name="Currency 3 2 2" xfId="274" xr:uid="{00000000-0005-0000-0000-000038010000}"/>
    <cellStyle name="Currency 3 3" xfId="275" xr:uid="{00000000-0005-0000-0000-000039010000}"/>
    <cellStyle name="Currency 3 3 2" xfId="276" xr:uid="{00000000-0005-0000-0000-00003A010000}"/>
    <cellStyle name="Currency 3 4" xfId="277" xr:uid="{00000000-0005-0000-0000-00003B010000}"/>
    <cellStyle name="Currency 3 4 2" xfId="278" xr:uid="{00000000-0005-0000-0000-00003C010000}"/>
    <cellStyle name="Currency 3 5" xfId="279" xr:uid="{00000000-0005-0000-0000-00003D010000}"/>
    <cellStyle name="Currency 3 5 2" xfId="280" xr:uid="{00000000-0005-0000-0000-00003E010000}"/>
    <cellStyle name="Currency 3 6" xfId="281" xr:uid="{00000000-0005-0000-0000-00003F010000}"/>
    <cellStyle name="Currency 3 6 2" xfId="282" xr:uid="{00000000-0005-0000-0000-000040010000}"/>
    <cellStyle name="Currency 3 7" xfId="283" xr:uid="{00000000-0005-0000-0000-000041010000}"/>
    <cellStyle name="Currency 3 7 2" xfId="284" xr:uid="{00000000-0005-0000-0000-000042010000}"/>
    <cellStyle name="Currency 3 8" xfId="285" xr:uid="{00000000-0005-0000-0000-000043010000}"/>
    <cellStyle name="Currency 3 9" xfId="286" xr:uid="{00000000-0005-0000-0000-000044010000}"/>
    <cellStyle name="Currency 4" xfId="287" xr:uid="{00000000-0005-0000-0000-000045010000}"/>
    <cellStyle name="Currency 4 2" xfId="288" xr:uid="{00000000-0005-0000-0000-000046010000}"/>
    <cellStyle name="Currency 4 3" xfId="289" xr:uid="{00000000-0005-0000-0000-000047010000}"/>
    <cellStyle name="Currency 5" xfId="290" xr:uid="{00000000-0005-0000-0000-000048010000}"/>
    <cellStyle name="Currency 6" xfId="291" xr:uid="{00000000-0005-0000-0000-000049010000}"/>
    <cellStyle name="Currency 6 2" xfId="292" xr:uid="{00000000-0005-0000-0000-00004A010000}"/>
    <cellStyle name="Currency 7" xfId="293" xr:uid="{00000000-0005-0000-0000-00004B010000}"/>
    <cellStyle name="Currency 7 2" xfId="294" xr:uid="{00000000-0005-0000-0000-00004C010000}"/>
    <cellStyle name="Currency 8" xfId="295" xr:uid="{00000000-0005-0000-0000-00004D010000}"/>
    <cellStyle name="Currency 8 2" xfId="296" xr:uid="{00000000-0005-0000-0000-00004E010000}"/>
    <cellStyle name="Currency 9" xfId="297" xr:uid="{00000000-0005-0000-0000-00004F010000}"/>
    <cellStyle name="Currency 9 2" xfId="298" xr:uid="{00000000-0005-0000-0000-000050010000}"/>
    <cellStyle name="Currency0" xfId="299" xr:uid="{00000000-0005-0000-0000-000051010000}"/>
    <cellStyle name="Date" xfId="300" xr:uid="{00000000-0005-0000-0000-000052010000}"/>
    <cellStyle name="Date 2" xfId="1108" xr:uid="{00000000-0005-0000-0000-000053010000}"/>
    <cellStyle name="Days" xfId="1109" xr:uid="{00000000-0005-0000-0000-000054010000}"/>
    <cellStyle name="Delphis" xfId="1110" xr:uid="{00000000-0005-0000-0000-000055010000}"/>
    <cellStyle name="Entered" xfId="301" xr:uid="{00000000-0005-0000-0000-000056010000}"/>
    <cellStyle name="Explanatory Text 2" xfId="302" xr:uid="{00000000-0005-0000-0000-000057010000}"/>
    <cellStyle name="Explanatory Text 3" xfId="303" xr:uid="{00000000-0005-0000-0000-000058010000}"/>
    <cellStyle name="Fixed" xfId="304" xr:uid="{00000000-0005-0000-0000-000059010000}"/>
    <cellStyle name="Formula" xfId="1111" xr:uid="{00000000-0005-0000-0000-00005A010000}"/>
    <cellStyle name="Good 2" xfId="305" xr:uid="{00000000-0005-0000-0000-00005B010000}"/>
    <cellStyle name="Good 2 2" xfId="1112" xr:uid="{00000000-0005-0000-0000-00005C010000}"/>
    <cellStyle name="Good 3" xfId="306" xr:uid="{00000000-0005-0000-0000-00005D010000}"/>
    <cellStyle name="Grey" xfId="307" xr:uid="{00000000-0005-0000-0000-00005E010000}"/>
    <cellStyle name="Heading 1 2" xfId="308" xr:uid="{00000000-0005-0000-0000-00005F010000}"/>
    <cellStyle name="Heading 1 2 2" xfId="1113" xr:uid="{00000000-0005-0000-0000-000060010000}"/>
    <cellStyle name="Heading 1 3" xfId="309" xr:uid="{00000000-0005-0000-0000-000061010000}"/>
    <cellStyle name="Heading 2 2" xfId="310" xr:uid="{00000000-0005-0000-0000-000062010000}"/>
    <cellStyle name="Heading 2 2 2" xfId="1114" xr:uid="{00000000-0005-0000-0000-000063010000}"/>
    <cellStyle name="Heading 2 3" xfId="311" xr:uid="{00000000-0005-0000-0000-000064010000}"/>
    <cellStyle name="Heading 3 2" xfId="312" xr:uid="{00000000-0005-0000-0000-000065010000}"/>
    <cellStyle name="Heading 3 2 2" xfId="1115" xr:uid="{00000000-0005-0000-0000-000066010000}"/>
    <cellStyle name="Heading 3 3" xfId="313" xr:uid="{00000000-0005-0000-0000-000067010000}"/>
    <cellStyle name="Heading 4 2" xfId="314" xr:uid="{00000000-0005-0000-0000-000068010000}"/>
    <cellStyle name="Heading 4 2 2" xfId="1116" xr:uid="{00000000-0005-0000-0000-000069010000}"/>
    <cellStyle name="Heading 4 3" xfId="315" xr:uid="{00000000-0005-0000-0000-00006A010000}"/>
    <cellStyle name="Heading1" xfId="316" xr:uid="{00000000-0005-0000-0000-00006B010000}"/>
    <cellStyle name="Heading2" xfId="317" xr:uid="{00000000-0005-0000-0000-00006C010000}"/>
    <cellStyle name="Headings" xfId="318" xr:uid="{00000000-0005-0000-0000-00006D010000}"/>
    <cellStyle name="Hidden" xfId="319" xr:uid="{00000000-0005-0000-0000-00006E010000}"/>
    <cellStyle name="Hidden 2" xfId="1117" xr:uid="{00000000-0005-0000-0000-00006F010000}"/>
    <cellStyle name="Hidden 3" xfId="1226" xr:uid="{00000000-0005-0000-0000-000070010000}"/>
    <cellStyle name="Hyperlink 2" xfId="320" xr:uid="{00000000-0005-0000-0000-000071010000}"/>
    <cellStyle name="Hyperlink 3" xfId="321" xr:uid="{00000000-0005-0000-0000-000072010000}"/>
    <cellStyle name="Hyperlink 4" xfId="1227" xr:uid="{00000000-0005-0000-0000-000073010000}"/>
    <cellStyle name="Input [yellow]" xfId="322" xr:uid="{00000000-0005-0000-0000-000074010000}"/>
    <cellStyle name="Input 10" xfId="323" xr:uid="{00000000-0005-0000-0000-000075010000}"/>
    <cellStyle name="Input 100" xfId="324" xr:uid="{00000000-0005-0000-0000-000076010000}"/>
    <cellStyle name="Input 101" xfId="325" xr:uid="{00000000-0005-0000-0000-000077010000}"/>
    <cellStyle name="Input 102" xfId="326" xr:uid="{00000000-0005-0000-0000-000078010000}"/>
    <cellStyle name="Input 103" xfId="327" xr:uid="{00000000-0005-0000-0000-000079010000}"/>
    <cellStyle name="Input 104" xfId="328" xr:uid="{00000000-0005-0000-0000-00007A010000}"/>
    <cellStyle name="Input 105" xfId="329" xr:uid="{00000000-0005-0000-0000-00007B010000}"/>
    <cellStyle name="Input 106" xfId="330" xr:uid="{00000000-0005-0000-0000-00007C010000}"/>
    <cellStyle name="Input 107" xfId="331" xr:uid="{00000000-0005-0000-0000-00007D010000}"/>
    <cellStyle name="Input 108" xfId="332" xr:uid="{00000000-0005-0000-0000-00007E010000}"/>
    <cellStyle name="Input 109" xfId="333" xr:uid="{00000000-0005-0000-0000-00007F010000}"/>
    <cellStyle name="Input 11" xfId="334" xr:uid="{00000000-0005-0000-0000-000080010000}"/>
    <cellStyle name="Input 110" xfId="335" xr:uid="{00000000-0005-0000-0000-000081010000}"/>
    <cellStyle name="Input 111" xfId="1053" xr:uid="{00000000-0005-0000-0000-000082010000}"/>
    <cellStyle name="Input 112" xfId="1054" xr:uid="{00000000-0005-0000-0000-000083010000}"/>
    <cellStyle name="Input 113" xfId="1228" xr:uid="{00000000-0005-0000-0000-000084010000}"/>
    <cellStyle name="Input 114" xfId="1236" xr:uid="{00000000-0005-0000-0000-000085010000}"/>
    <cellStyle name="Input 12" xfId="336" xr:uid="{00000000-0005-0000-0000-000086010000}"/>
    <cellStyle name="Input 13" xfId="337" xr:uid="{00000000-0005-0000-0000-000087010000}"/>
    <cellStyle name="Input 14" xfId="338" xr:uid="{00000000-0005-0000-0000-000088010000}"/>
    <cellStyle name="Input 15" xfId="339" xr:uid="{00000000-0005-0000-0000-000089010000}"/>
    <cellStyle name="Input 16" xfId="340" xr:uid="{00000000-0005-0000-0000-00008A010000}"/>
    <cellStyle name="Input 17" xfId="341" xr:uid="{00000000-0005-0000-0000-00008B010000}"/>
    <cellStyle name="Input 18" xfId="342" xr:uid="{00000000-0005-0000-0000-00008C010000}"/>
    <cellStyle name="Input 19" xfId="343" xr:uid="{00000000-0005-0000-0000-00008D010000}"/>
    <cellStyle name="Input 2" xfId="344" xr:uid="{00000000-0005-0000-0000-00008E010000}"/>
    <cellStyle name="Input 2 2" xfId="345" xr:uid="{00000000-0005-0000-0000-00008F010000}"/>
    <cellStyle name="Input 2 3" xfId="346" xr:uid="{00000000-0005-0000-0000-000090010000}"/>
    <cellStyle name="Input 2 4" xfId="1118" xr:uid="{00000000-0005-0000-0000-000091010000}"/>
    <cellStyle name="Input 20" xfId="347" xr:uid="{00000000-0005-0000-0000-000092010000}"/>
    <cellStyle name="Input 21" xfId="348" xr:uid="{00000000-0005-0000-0000-000093010000}"/>
    <cellStyle name="Input 22" xfId="349" xr:uid="{00000000-0005-0000-0000-000094010000}"/>
    <cellStyle name="Input 23" xfId="350" xr:uid="{00000000-0005-0000-0000-000095010000}"/>
    <cellStyle name="Input 24" xfId="351" xr:uid="{00000000-0005-0000-0000-000096010000}"/>
    <cellStyle name="Input 25" xfId="352" xr:uid="{00000000-0005-0000-0000-000097010000}"/>
    <cellStyle name="Input 26" xfId="353" xr:uid="{00000000-0005-0000-0000-000098010000}"/>
    <cellStyle name="Input 27" xfId="354" xr:uid="{00000000-0005-0000-0000-000099010000}"/>
    <cellStyle name="Input 28" xfId="355" xr:uid="{00000000-0005-0000-0000-00009A010000}"/>
    <cellStyle name="Input 29" xfId="356" xr:uid="{00000000-0005-0000-0000-00009B010000}"/>
    <cellStyle name="Input 3" xfId="357" xr:uid="{00000000-0005-0000-0000-00009C010000}"/>
    <cellStyle name="Input 30" xfId="358" xr:uid="{00000000-0005-0000-0000-00009D010000}"/>
    <cellStyle name="Input 31" xfId="359" xr:uid="{00000000-0005-0000-0000-00009E010000}"/>
    <cellStyle name="Input 32" xfId="360" xr:uid="{00000000-0005-0000-0000-00009F010000}"/>
    <cellStyle name="Input 33" xfId="361" xr:uid="{00000000-0005-0000-0000-0000A0010000}"/>
    <cellStyle name="Input 34" xfId="362" xr:uid="{00000000-0005-0000-0000-0000A1010000}"/>
    <cellStyle name="Input 35" xfId="363" xr:uid="{00000000-0005-0000-0000-0000A2010000}"/>
    <cellStyle name="Input 36" xfId="364" xr:uid="{00000000-0005-0000-0000-0000A3010000}"/>
    <cellStyle name="Input 37" xfId="365" xr:uid="{00000000-0005-0000-0000-0000A4010000}"/>
    <cellStyle name="Input 38" xfId="366" xr:uid="{00000000-0005-0000-0000-0000A5010000}"/>
    <cellStyle name="Input 39" xfId="367" xr:uid="{00000000-0005-0000-0000-0000A6010000}"/>
    <cellStyle name="Input 4" xfId="368" xr:uid="{00000000-0005-0000-0000-0000A7010000}"/>
    <cellStyle name="Input 40" xfId="369" xr:uid="{00000000-0005-0000-0000-0000A8010000}"/>
    <cellStyle name="Input 41" xfId="370" xr:uid="{00000000-0005-0000-0000-0000A9010000}"/>
    <cellStyle name="Input 42" xfId="371" xr:uid="{00000000-0005-0000-0000-0000AA010000}"/>
    <cellStyle name="Input 43" xfId="372" xr:uid="{00000000-0005-0000-0000-0000AB010000}"/>
    <cellStyle name="Input 44" xfId="373" xr:uid="{00000000-0005-0000-0000-0000AC010000}"/>
    <cellStyle name="Input 45" xfId="374" xr:uid="{00000000-0005-0000-0000-0000AD010000}"/>
    <cellStyle name="Input 46" xfId="375" xr:uid="{00000000-0005-0000-0000-0000AE010000}"/>
    <cellStyle name="Input 47" xfId="376" xr:uid="{00000000-0005-0000-0000-0000AF010000}"/>
    <cellStyle name="Input 48" xfId="377" xr:uid="{00000000-0005-0000-0000-0000B0010000}"/>
    <cellStyle name="Input 49" xfId="378" xr:uid="{00000000-0005-0000-0000-0000B1010000}"/>
    <cellStyle name="Input 5" xfId="379" xr:uid="{00000000-0005-0000-0000-0000B2010000}"/>
    <cellStyle name="Input 50" xfId="380" xr:uid="{00000000-0005-0000-0000-0000B3010000}"/>
    <cellStyle name="Input 51" xfId="381" xr:uid="{00000000-0005-0000-0000-0000B4010000}"/>
    <cellStyle name="Input 52" xfId="382" xr:uid="{00000000-0005-0000-0000-0000B5010000}"/>
    <cellStyle name="Input 53" xfId="383" xr:uid="{00000000-0005-0000-0000-0000B6010000}"/>
    <cellStyle name="Input 54" xfId="384" xr:uid="{00000000-0005-0000-0000-0000B7010000}"/>
    <cellStyle name="Input 55" xfId="385" xr:uid="{00000000-0005-0000-0000-0000B8010000}"/>
    <cellStyle name="Input 56" xfId="386" xr:uid="{00000000-0005-0000-0000-0000B9010000}"/>
    <cellStyle name="Input 57" xfId="387" xr:uid="{00000000-0005-0000-0000-0000BA010000}"/>
    <cellStyle name="Input 58" xfId="388" xr:uid="{00000000-0005-0000-0000-0000BB010000}"/>
    <cellStyle name="Input 59" xfId="389" xr:uid="{00000000-0005-0000-0000-0000BC010000}"/>
    <cellStyle name="Input 6" xfId="390" xr:uid="{00000000-0005-0000-0000-0000BD010000}"/>
    <cellStyle name="Input 60" xfId="391" xr:uid="{00000000-0005-0000-0000-0000BE010000}"/>
    <cellStyle name="Input 61" xfId="392" xr:uid="{00000000-0005-0000-0000-0000BF010000}"/>
    <cellStyle name="Input 62" xfId="393" xr:uid="{00000000-0005-0000-0000-0000C0010000}"/>
    <cellStyle name="Input 63" xfId="394" xr:uid="{00000000-0005-0000-0000-0000C1010000}"/>
    <cellStyle name="Input 64" xfId="395" xr:uid="{00000000-0005-0000-0000-0000C2010000}"/>
    <cellStyle name="Input 65" xfId="396" xr:uid="{00000000-0005-0000-0000-0000C3010000}"/>
    <cellStyle name="Input 66" xfId="397" xr:uid="{00000000-0005-0000-0000-0000C4010000}"/>
    <cellStyle name="Input 67" xfId="398" xr:uid="{00000000-0005-0000-0000-0000C5010000}"/>
    <cellStyle name="Input 68" xfId="399" xr:uid="{00000000-0005-0000-0000-0000C6010000}"/>
    <cellStyle name="Input 69" xfId="400" xr:uid="{00000000-0005-0000-0000-0000C7010000}"/>
    <cellStyle name="Input 7" xfId="401" xr:uid="{00000000-0005-0000-0000-0000C8010000}"/>
    <cellStyle name="Input 70" xfId="402" xr:uid="{00000000-0005-0000-0000-0000C9010000}"/>
    <cellStyle name="Input 71" xfId="403" xr:uid="{00000000-0005-0000-0000-0000CA010000}"/>
    <cellStyle name="Input 72" xfId="404" xr:uid="{00000000-0005-0000-0000-0000CB010000}"/>
    <cellStyle name="Input 73" xfId="405" xr:uid="{00000000-0005-0000-0000-0000CC010000}"/>
    <cellStyle name="Input 74" xfId="406" xr:uid="{00000000-0005-0000-0000-0000CD010000}"/>
    <cellStyle name="Input 75" xfId="407" xr:uid="{00000000-0005-0000-0000-0000CE010000}"/>
    <cellStyle name="Input 76" xfId="408" xr:uid="{00000000-0005-0000-0000-0000CF010000}"/>
    <cellStyle name="Input 77" xfId="409" xr:uid="{00000000-0005-0000-0000-0000D0010000}"/>
    <cellStyle name="Input 78" xfId="410" xr:uid="{00000000-0005-0000-0000-0000D1010000}"/>
    <cellStyle name="Input 79" xfId="411" xr:uid="{00000000-0005-0000-0000-0000D2010000}"/>
    <cellStyle name="Input 8" xfId="412" xr:uid="{00000000-0005-0000-0000-0000D3010000}"/>
    <cellStyle name="Input 80" xfId="413" xr:uid="{00000000-0005-0000-0000-0000D4010000}"/>
    <cellStyle name="Input 81" xfId="414" xr:uid="{00000000-0005-0000-0000-0000D5010000}"/>
    <cellStyle name="Input 82" xfId="415" xr:uid="{00000000-0005-0000-0000-0000D6010000}"/>
    <cellStyle name="Input 83" xfId="416" xr:uid="{00000000-0005-0000-0000-0000D7010000}"/>
    <cellStyle name="Input 84" xfId="417" xr:uid="{00000000-0005-0000-0000-0000D8010000}"/>
    <cellStyle name="Input 85" xfId="418" xr:uid="{00000000-0005-0000-0000-0000D9010000}"/>
    <cellStyle name="Input 86" xfId="419" xr:uid="{00000000-0005-0000-0000-0000DA010000}"/>
    <cellStyle name="Input 87" xfId="420" xr:uid="{00000000-0005-0000-0000-0000DB010000}"/>
    <cellStyle name="Input 88" xfId="421" xr:uid="{00000000-0005-0000-0000-0000DC010000}"/>
    <cellStyle name="Input 89" xfId="422" xr:uid="{00000000-0005-0000-0000-0000DD010000}"/>
    <cellStyle name="Input 9" xfId="423" xr:uid="{00000000-0005-0000-0000-0000DE010000}"/>
    <cellStyle name="Input 90" xfId="424" xr:uid="{00000000-0005-0000-0000-0000DF010000}"/>
    <cellStyle name="Input 91" xfId="425" xr:uid="{00000000-0005-0000-0000-0000E0010000}"/>
    <cellStyle name="Input 92" xfId="426" xr:uid="{00000000-0005-0000-0000-0000E1010000}"/>
    <cellStyle name="Input 93" xfId="427" xr:uid="{00000000-0005-0000-0000-0000E2010000}"/>
    <cellStyle name="Input 94" xfId="428" xr:uid="{00000000-0005-0000-0000-0000E3010000}"/>
    <cellStyle name="Input 95" xfId="429" xr:uid="{00000000-0005-0000-0000-0000E4010000}"/>
    <cellStyle name="Input 96" xfId="430" xr:uid="{00000000-0005-0000-0000-0000E5010000}"/>
    <cellStyle name="Input 97" xfId="431" xr:uid="{00000000-0005-0000-0000-0000E6010000}"/>
    <cellStyle name="Input 98" xfId="432" xr:uid="{00000000-0005-0000-0000-0000E7010000}"/>
    <cellStyle name="Input 99" xfId="433" xr:uid="{00000000-0005-0000-0000-0000E8010000}"/>
    <cellStyle name="Input Year" xfId="434" xr:uid="{00000000-0005-0000-0000-0000E9010000}"/>
    <cellStyle name="Integer" xfId="1119" xr:uid="{00000000-0005-0000-0000-0000EA010000}"/>
    <cellStyle name="Linked Cell 2" xfId="435" xr:uid="{00000000-0005-0000-0000-0000EB010000}"/>
    <cellStyle name="Linked Cell 2 2" xfId="1120" xr:uid="{00000000-0005-0000-0000-0000EC010000}"/>
    <cellStyle name="Linked Cell 3" xfId="436" xr:uid="{00000000-0005-0000-0000-0000ED010000}"/>
    <cellStyle name="Linked Data" xfId="437" xr:uid="{00000000-0005-0000-0000-0000EE010000}"/>
    <cellStyle name="Linked Data 2" xfId="438" xr:uid="{00000000-0005-0000-0000-0000EF010000}"/>
    <cellStyle name="Linked Data 3" xfId="1229" xr:uid="{00000000-0005-0000-0000-0000F0010000}"/>
    <cellStyle name="Linked Data 4" xfId="439" xr:uid="{00000000-0005-0000-0000-0000F1010000}"/>
    <cellStyle name="Model Formula Ref Another Tab" xfId="11" xr:uid="{00000000-0005-0000-0000-0000F2010000}"/>
    <cellStyle name="Model Formula Ref Another Tab 2" xfId="440" xr:uid="{00000000-0005-0000-0000-0000F3010000}"/>
    <cellStyle name="Model Formula Ref Only Within Tab" xfId="441" xr:uid="{00000000-0005-0000-0000-0000F4010000}"/>
    <cellStyle name="Model Formula Ref Only Within Tab 2" xfId="442" xr:uid="{00000000-0005-0000-0000-0000F5010000}"/>
    <cellStyle name="Model Heading" xfId="9" xr:uid="{00000000-0005-0000-0000-0000F6010000}"/>
    <cellStyle name="Model Input" xfId="443" xr:uid="{00000000-0005-0000-0000-0000F7010000}"/>
    <cellStyle name="Model List" xfId="444" xr:uid="{00000000-0005-0000-0000-0000F8010000}"/>
    <cellStyle name="Model Sub Heading" xfId="10" xr:uid="{00000000-0005-0000-0000-0000F9010000}"/>
    <cellStyle name="Model Sub Heading 2" xfId="445" xr:uid="{00000000-0005-0000-0000-0000FA010000}"/>
    <cellStyle name="modified border" xfId="446" xr:uid="{00000000-0005-0000-0000-0000FB010000}"/>
    <cellStyle name="modified border1" xfId="447" xr:uid="{00000000-0005-0000-0000-0000FC010000}"/>
    <cellStyle name="Net Number" xfId="448" xr:uid="{00000000-0005-0000-0000-0000FD010000}"/>
    <cellStyle name="Net Number 2" xfId="449" xr:uid="{00000000-0005-0000-0000-0000FE010000}"/>
    <cellStyle name="Net Number 3" xfId="450" xr:uid="{00000000-0005-0000-0000-0000FF010000}"/>
    <cellStyle name="Net Number 4" xfId="451" xr:uid="{00000000-0005-0000-0000-000000020000}"/>
    <cellStyle name="Net Number 5" xfId="1230" xr:uid="{00000000-0005-0000-0000-000001020000}"/>
    <cellStyle name="Neutral 2" xfId="452" xr:uid="{00000000-0005-0000-0000-000002020000}"/>
    <cellStyle name="Neutral 2 2" xfId="1121" xr:uid="{00000000-0005-0000-0000-000003020000}"/>
    <cellStyle name="Neutral 3" xfId="453" xr:uid="{00000000-0005-0000-0000-000004020000}"/>
    <cellStyle name="Normal" xfId="0" builtinId="0"/>
    <cellStyle name="Normal - Style1" xfId="454" xr:uid="{00000000-0005-0000-0000-000006020000}"/>
    <cellStyle name="Normal (no decimal)" xfId="1122" xr:uid="{00000000-0005-0000-0000-000007020000}"/>
    <cellStyle name="Normal 10" xfId="455" xr:uid="{00000000-0005-0000-0000-000008020000}"/>
    <cellStyle name="Normal 10 2" xfId="456" xr:uid="{00000000-0005-0000-0000-000009020000}"/>
    <cellStyle name="Normal 10 3" xfId="1066" xr:uid="{00000000-0005-0000-0000-00000A020000}"/>
    <cellStyle name="Normal 10 3 2" xfId="1070" xr:uid="{00000000-0005-0000-0000-00000B020000}"/>
    <cellStyle name="Normal 10 4" xfId="1123" xr:uid="{00000000-0005-0000-0000-00000C020000}"/>
    <cellStyle name="Normal 10 5" xfId="1231" xr:uid="{00000000-0005-0000-0000-00000D020000}"/>
    <cellStyle name="Normal 100" xfId="457" xr:uid="{00000000-0005-0000-0000-00000E020000}"/>
    <cellStyle name="Normal 101" xfId="458" xr:uid="{00000000-0005-0000-0000-00000F020000}"/>
    <cellStyle name="Normal 102" xfId="459" xr:uid="{00000000-0005-0000-0000-000010020000}"/>
    <cellStyle name="Normal 103" xfId="460" xr:uid="{00000000-0005-0000-0000-000011020000}"/>
    <cellStyle name="Normal 104" xfId="461" xr:uid="{00000000-0005-0000-0000-000012020000}"/>
    <cellStyle name="Normal 105" xfId="462" xr:uid="{00000000-0005-0000-0000-000013020000}"/>
    <cellStyle name="Normal 106" xfId="463" xr:uid="{00000000-0005-0000-0000-000014020000}"/>
    <cellStyle name="Normal 107" xfId="464" xr:uid="{00000000-0005-0000-0000-000015020000}"/>
    <cellStyle name="Normal 108" xfId="465" xr:uid="{00000000-0005-0000-0000-000016020000}"/>
    <cellStyle name="Normal 109" xfId="466" xr:uid="{00000000-0005-0000-0000-000017020000}"/>
    <cellStyle name="Normal 11" xfId="467" xr:uid="{00000000-0005-0000-0000-000018020000}"/>
    <cellStyle name="Normal 11 2" xfId="468" xr:uid="{00000000-0005-0000-0000-000019020000}"/>
    <cellStyle name="Normal 11 3" xfId="1124" xr:uid="{00000000-0005-0000-0000-00001A020000}"/>
    <cellStyle name="Normal 110" xfId="469" xr:uid="{00000000-0005-0000-0000-00001B020000}"/>
    <cellStyle name="Normal 111" xfId="470" xr:uid="{00000000-0005-0000-0000-00001C020000}"/>
    <cellStyle name="Normal 112" xfId="471" xr:uid="{00000000-0005-0000-0000-00001D020000}"/>
    <cellStyle name="Normal 113" xfId="472" xr:uid="{00000000-0005-0000-0000-00001E020000}"/>
    <cellStyle name="Normal 114" xfId="473" xr:uid="{00000000-0005-0000-0000-00001F020000}"/>
    <cellStyle name="Normal 115" xfId="474" xr:uid="{00000000-0005-0000-0000-000020020000}"/>
    <cellStyle name="Normal 116" xfId="475" xr:uid="{00000000-0005-0000-0000-000021020000}"/>
    <cellStyle name="Normal 117" xfId="476" xr:uid="{00000000-0005-0000-0000-000022020000}"/>
    <cellStyle name="Normal 118" xfId="477" xr:uid="{00000000-0005-0000-0000-000023020000}"/>
    <cellStyle name="Normal 119" xfId="478" xr:uid="{00000000-0005-0000-0000-000024020000}"/>
    <cellStyle name="Normal 12" xfId="479" xr:uid="{00000000-0005-0000-0000-000025020000}"/>
    <cellStyle name="Normal 12 2" xfId="480" xr:uid="{00000000-0005-0000-0000-000026020000}"/>
    <cellStyle name="Normal 12 3" xfId="1125" xr:uid="{00000000-0005-0000-0000-000027020000}"/>
    <cellStyle name="Normal 120" xfId="481" xr:uid="{00000000-0005-0000-0000-000028020000}"/>
    <cellStyle name="Normal 121" xfId="482" xr:uid="{00000000-0005-0000-0000-000029020000}"/>
    <cellStyle name="Normal 122" xfId="483" xr:uid="{00000000-0005-0000-0000-00002A020000}"/>
    <cellStyle name="Normal 123" xfId="484" xr:uid="{00000000-0005-0000-0000-00002B020000}"/>
    <cellStyle name="Normal 124" xfId="485" xr:uid="{00000000-0005-0000-0000-00002C020000}"/>
    <cellStyle name="Normal 125" xfId="486" xr:uid="{00000000-0005-0000-0000-00002D020000}"/>
    <cellStyle name="Normal 126" xfId="487" xr:uid="{00000000-0005-0000-0000-00002E020000}"/>
    <cellStyle name="Normal 127" xfId="488" xr:uid="{00000000-0005-0000-0000-00002F020000}"/>
    <cellStyle name="Normal 128" xfId="489" xr:uid="{00000000-0005-0000-0000-000030020000}"/>
    <cellStyle name="Normal 129" xfId="490" xr:uid="{00000000-0005-0000-0000-000031020000}"/>
    <cellStyle name="Normal 13" xfId="491" xr:uid="{00000000-0005-0000-0000-000032020000}"/>
    <cellStyle name="Normal 13 2" xfId="492" xr:uid="{00000000-0005-0000-0000-000033020000}"/>
    <cellStyle name="Normal 13 3" xfId="1126" xr:uid="{00000000-0005-0000-0000-000034020000}"/>
    <cellStyle name="Normal 130" xfId="493" xr:uid="{00000000-0005-0000-0000-000035020000}"/>
    <cellStyle name="Normal 131" xfId="494" xr:uid="{00000000-0005-0000-0000-000036020000}"/>
    <cellStyle name="Normal 132" xfId="495" xr:uid="{00000000-0005-0000-0000-000037020000}"/>
    <cellStyle name="Normal 133" xfId="496" xr:uid="{00000000-0005-0000-0000-000038020000}"/>
    <cellStyle name="Normal 134" xfId="497" xr:uid="{00000000-0005-0000-0000-000039020000}"/>
    <cellStyle name="Normal 135" xfId="498" xr:uid="{00000000-0005-0000-0000-00003A020000}"/>
    <cellStyle name="Normal 136" xfId="499" xr:uid="{00000000-0005-0000-0000-00003B020000}"/>
    <cellStyle name="Normal 137" xfId="500" xr:uid="{00000000-0005-0000-0000-00003C020000}"/>
    <cellStyle name="Normal 138" xfId="501" xr:uid="{00000000-0005-0000-0000-00003D020000}"/>
    <cellStyle name="Normal 139" xfId="502" xr:uid="{00000000-0005-0000-0000-00003E020000}"/>
    <cellStyle name="Normal 14" xfId="503" xr:uid="{00000000-0005-0000-0000-00003F020000}"/>
    <cellStyle name="Normal 14 2" xfId="504" xr:uid="{00000000-0005-0000-0000-000040020000}"/>
    <cellStyle name="Normal 14 3" xfId="1127" xr:uid="{00000000-0005-0000-0000-000041020000}"/>
    <cellStyle name="Normal 140" xfId="505" xr:uid="{00000000-0005-0000-0000-000042020000}"/>
    <cellStyle name="Normal 141" xfId="506" xr:uid="{00000000-0005-0000-0000-000043020000}"/>
    <cellStyle name="Normal 142" xfId="507" xr:uid="{00000000-0005-0000-0000-000044020000}"/>
    <cellStyle name="Normal 143" xfId="508" xr:uid="{00000000-0005-0000-0000-000045020000}"/>
    <cellStyle name="Normal 144" xfId="509" xr:uid="{00000000-0005-0000-0000-000046020000}"/>
    <cellStyle name="Normal 145" xfId="510" xr:uid="{00000000-0005-0000-0000-000047020000}"/>
    <cellStyle name="Normal 146" xfId="511" xr:uid="{00000000-0005-0000-0000-000048020000}"/>
    <cellStyle name="Normal 147" xfId="512" xr:uid="{00000000-0005-0000-0000-000049020000}"/>
    <cellStyle name="Normal 148" xfId="513" xr:uid="{00000000-0005-0000-0000-00004A020000}"/>
    <cellStyle name="Normal 149" xfId="514" xr:uid="{00000000-0005-0000-0000-00004B020000}"/>
    <cellStyle name="Normal 15" xfId="515" xr:uid="{00000000-0005-0000-0000-00004C020000}"/>
    <cellStyle name="Normal 15 2" xfId="1128" xr:uid="{00000000-0005-0000-0000-00004D020000}"/>
    <cellStyle name="Normal 150" xfId="516" xr:uid="{00000000-0005-0000-0000-00004E020000}"/>
    <cellStyle name="Normal 151" xfId="517" xr:uid="{00000000-0005-0000-0000-00004F020000}"/>
    <cellStyle name="Normal 152" xfId="518" xr:uid="{00000000-0005-0000-0000-000050020000}"/>
    <cellStyle name="Normal 153" xfId="519" xr:uid="{00000000-0005-0000-0000-000051020000}"/>
    <cellStyle name="Normal 154" xfId="520" xr:uid="{00000000-0005-0000-0000-000052020000}"/>
    <cellStyle name="Normal 155" xfId="521" xr:uid="{00000000-0005-0000-0000-000053020000}"/>
    <cellStyle name="Normal 156" xfId="522" xr:uid="{00000000-0005-0000-0000-000054020000}"/>
    <cellStyle name="Normal 157" xfId="523" xr:uid="{00000000-0005-0000-0000-000055020000}"/>
    <cellStyle name="Normal 158" xfId="524" xr:uid="{00000000-0005-0000-0000-000056020000}"/>
    <cellStyle name="Normal 159" xfId="525" xr:uid="{00000000-0005-0000-0000-000057020000}"/>
    <cellStyle name="Normal 16" xfId="526" xr:uid="{00000000-0005-0000-0000-000058020000}"/>
    <cellStyle name="Normal 16 2" xfId="527" xr:uid="{00000000-0005-0000-0000-000059020000}"/>
    <cellStyle name="Normal 16 3" xfId="1129" xr:uid="{00000000-0005-0000-0000-00005A020000}"/>
    <cellStyle name="Normal 160" xfId="528" xr:uid="{00000000-0005-0000-0000-00005B020000}"/>
    <cellStyle name="Normal 161" xfId="529" xr:uid="{00000000-0005-0000-0000-00005C020000}"/>
    <cellStyle name="Normal 162" xfId="530" xr:uid="{00000000-0005-0000-0000-00005D020000}"/>
    <cellStyle name="Normal 163" xfId="531" xr:uid="{00000000-0005-0000-0000-00005E020000}"/>
    <cellStyle name="Normal 164" xfId="532" xr:uid="{00000000-0005-0000-0000-00005F020000}"/>
    <cellStyle name="Normal 165" xfId="533" xr:uid="{00000000-0005-0000-0000-000060020000}"/>
    <cellStyle name="Normal 166" xfId="534" xr:uid="{00000000-0005-0000-0000-000061020000}"/>
    <cellStyle name="Normal 167" xfId="535" xr:uid="{00000000-0005-0000-0000-000062020000}"/>
    <cellStyle name="Normal 168" xfId="536" xr:uid="{00000000-0005-0000-0000-000063020000}"/>
    <cellStyle name="Normal 169" xfId="537" xr:uid="{00000000-0005-0000-0000-000064020000}"/>
    <cellStyle name="Normal 17" xfId="538" xr:uid="{00000000-0005-0000-0000-000065020000}"/>
    <cellStyle name="Normal 17 2" xfId="539" xr:uid="{00000000-0005-0000-0000-000066020000}"/>
    <cellStyle name="Normal 17 3" xfId="1130" xr:uid="{00000000-0005-0000-0000-000067020000}"/>
    <cellStyle name="Normal 170" xfId="540" xr:uid="{00000000-0005-0000-0000-000068020000}"/>
    <cellStyle name="Normal 171" xfId="541" xr:uid="{00000000-0005-0000-0000-000069020000}"/>
    <cellStyle name="Normal 172" xfId="542" xr:uid="{00000000-0005-0000-0000-00006A020000}"/>
    <cellStyle name="Normal 173" xfId="543" xr:uid="{00000000-0005-0000-0000-00006B020000}"/>
    <cellStyle name="Normal 174" xfId="544" xr:uid="{00000000-0005-0000-0000-00006C020000}"/>
    <cellStyle name="Normal 175" xfId="545" xr:uid="{00000000-0005-0000-0000-00006D020000}"/>
    <cellStyle name="Normal 176" xfId="546" xr:uid="{00000000-0005-0000-0000-00006E020000}"/>
    <cellStyle name="Normal 177" xfId="547" xr:uid="{00000000-0005-0000-0000-00006F020000}"/>
    <cellStyle name="Normal 178" xfId="548" xr:uid="{00000000-0005-0000-0000-000070020000}"/>
    <cellStyle name="Normal 179" xfId="549" xr:uid="{00000000-0005-0000-0000-000071020000}"/>
    <cellStyle name="Normal 18" xfId="550" xr:uid="{00000000-0005-0000-0000-000072020000}"/>
    <cellStyle name="Normal 18 2" xfId="551" xr:uid="{00000000-0005-0000-0000-000073020000}"/>
    <cellStyle name="Normal 18 3" xfId="1151" xr:uid="{00000000-0005-0000-0000-000074020000}"/>
    <cellStyle name="Normal 180" xfId="552" xr:uid="{00000000-0005-0000-0000-000075020000}"/>
    <cellStyle name="Normal 181" xfId="553" xr:uid="{00000000-0005-0000-0000-000076020000}"/>
    <cellStyle name="Normal 182" xfId="554" xr:uid="{00000000-0005-0000-0000-000077020000}"/>
    <cellStyle name="Normal 183" xfId="555" xr:uid="{00000000-0005-0000-0000-000078020000}"/>
    <cellStyle name="Normal 184" xfId="556" xr:uid="{00000000-0005-0000-0000-000079020000}"/>
    <cellStyle name="Normal 185" xfId="557" xr:uid="{00000000-0005-0000-0000-00007A020000}"/>
    <cellStyle name="Normal 186" xfId="558" xr:uid="{00000000-0005-0000-0000-00007B020000}"/>
    <cellStyle name="Normal 187" xfId="559" xr:uid="{00000000-0005-0000-0000-00007C020000}"/>
    <cellStyle name="Normal 188" xfId="560" xr:uid="{00000000-0005-0000-0000-00007D020000}"/>
    <cellStyle name="Normal 189" xfId="561" xr:uid="{00000000-0005-0000-0000-00007E020000}"/>
    <cellStyle name="Normal 19" xfId="562" xr:uid="{00000000-0005-0000-0000-00007F020000}"/>
    <cellStyle name="Normal 19 2" xfId="563" xr:uid="{00000000-0005-0000-0000-000080020000}"/>
    <cellStyle name="Normal 19 3" xfId="1159" xr:uid="{00000000-0005-0000-0000-000081020000}"/>
    <cellStyle name="Normal 190" xfId="564" xr:uid="{00000000-0005-0000-0000-000082020000}"/>
    <cellStyle name="Normal 191" xfId="565" xr:uid="{00000000-0005-0000-0000-000083020000}"/>
    <cellStyle name="Normal 192" xfId="566" xr:uid="{00000000-0005-0000-0000-000084020000}"/>
    <cellStyle name="Normal 193" xfId="567" xr:uid="{00000000-0005-0000-0000-000085020000}"/>
    <cellStyle name="Normal 194" xfId="568" xr:uid="{00000000-0005-0000-0000-000086020000}"/>
    <cellStyle name="Normal 195" xfId="569" xr:uid="{00000000-0005-0000-0000-000087020000}"/>
    <cellStyle name="Normal 196" xfId="570" xr:uid="{00000000-0005-0000-0000-000088020000}"/>
    <cellStyle name="Normal 197" xfId="571" xr:uid="{00000000-0005-0000-0000-000089020000}"/>
    <cellStyle name="Normal 198" xfId="572" xr:uid="{00000000-0005-0000-0000-00008A020000}"/>
    <cellStyle name="Normal 199" xfId="573" xr:uid="{00000000-0005-0000-0000-00008B020000}"/>
    <cellStyle name="Normal 2" xfId="3" xr:uid="{00000000-0005-0000-0000-00008C020000}"/>
    <cellStyle name="Normal 2 10" xfId="8" xr:uid="{00000000-0005-0000-0000-00008D020000}"/>
    <cellStyle name="Normal 2 2" xfId="574" xr:uid="{00000000-0005-0000-0000-00008E020000}"/>
    <cellStyle name="Normal 2 2 2" xfId="1155" xr:uid="{00000000-0005-0000-0000-00008F020000}"/>
    <cellStyle name="Normal 2 2 3" xfId="1245" xr:uid="{00000000-0005-0000-0000-000090020000}"/>
    <cellStyle name="Normal 2 3" xfId="575" xr:uid="{00000000-0005-0000-0000-000091020000}"/>
    <cellStyle name="Normal 2 3 2" xfId="576" xr:uid="{00000000-0005-0000-0000-000092020000}"/>
    <cellStyle name="Normal 2 3 3" xfId="1220" xr:uid="{00000000-0005-0000-0000-000093020000}"/>
    <cellStyle name="Normal 2 4" xfId="577" xr:uid="{00000000-0005-0000-0000-000094020000}"/>
    <cellStyle name="Normal 2 5" xfId="578" xr:uid="{00000000-0005-0000-0000-000095020000}"/>
    <cellStyle name="Normal 2 6" xfId="579" xr:uid="{00000000-0005-0000-0000-000096020000}"/>
    <cellStyle name="Normal 2 7" xfId="580" xr:uid="{00000000-0005-0000-0000-000097020000}"/>
    <cellStyle name="Normal 2 8" xfId="1077" xr:uid="{00000000-0005-0000-0000-000098020000}"/>
    <cellStyle name="Normal 2 9" xfId="1239" xr:uid="{00000000-0005-0000-0000-000099020000}"/>
    <cellStyle name="Normal 2_Cover Sheet" xfId="1221" xr:uid="{00000000-0005-0000-0000-00009A020000}"/>
    <cellStyle name="Normal 20" xfId="581" xr:uid="{00000000-0005-0000-0000-00009B020000}"/>
    <cellStyle name="Normal 20 2" xfId="582" xr:uid="{00000000-0005-0000-0000-00009C020000}"/>
    <cellStyle name="Normal 20 3" xfId="1152" xr:uid="{00000000-0005-0000-0000-00009D020000}"/>
    <cellStyle name="Normal 200" xfId="583" xr:uid="{00000000-0005-0000-0000-00009E020000}"/>
    <cellStyle name="Normal 201" xfId="584" xr:uid="{00000000-0005-0000-0000-00009F020000}"/>
    <cellStyle name="Normal 202" xfId="585" xr:uid="{00000000-0005-0000-0000-0000A0020000}"/>
    <cellStyle name="Normal 203" xfId="586" xr:uid="{00000000-0005-0000-0000-0000A1020000}"/>
    <cellStyle name="Normal 204" xfId="587" xr:uid="{00000000-0005-0000-0000-0000A2020000}"/>
    <cellStyle name="Normal 205" xfId="588" xr:uid="{00000000-0005-0000-0000-0000A3020000}"/>
    <cellStyle name="Normal 206" xfId="589" xr:uid="{00000000-0005-0000-0000-0000A4020000}"/>
    <cellStyle name="Normal 207" xfId="590" xr:uid="{00000000-0005-0000-0000-0000A5020000}"/>
    <cellStyle name="Normal 208" xfId="591" xr:uid="{00000000-0005-0000-0000-0000A6020000}"/>
    <cellStyle name="Normal 209" xfId="592" xr:uid="{00000000-0005-0000-0000-0000A7020000}"/>
    <cellStyle name="Normal 21" xfId="593" xr:uid="{00000000-0005-0000-0000-0000A8020000}"/>
    <cellStyle name="Normal 21 2" xfId="594" xr:uid="{00000000-0005-0000-0000-0000A9020000}"/>
    <cellStyle name="Normal 21 3" xfId="1160" xr:uid="{00000000-0005-0000-0000-0000AA020000}"/>
    <cellStyle name="Normal 210" xfId="595" xr:uid="{00000000-0005-0000-0000-0000AB020000}"/>
    <cellStyle name="Normal 211" xfId="596" xr:uid="{00000000-0005-0000-0000-0000AC020000}"/>
    <cellStyle name="Normal 212" xfId="597" xr:uid="{00000000-0005-0000-0000-0000AD020000}"/>
    <cellStyle name="Normal 213" xfId="598" xr:uid="{00000000-0005-0000-0000-0000AE020000}"/>
    <cellStyle name="Normal 214" xfId="599" xr:uid="{00000000-0005-0000-0000-0000AF020000}"/>
    <cellStyle name="Normal 215" xfId="600" xr:uid="{00000000-0005-0000-0000-0000B0020000}"/>
    <cellStyle name="Normal 216" xfId="601" xr:uid="{00000000-0005-0000-0000-0000B1020000}"/>
    <cellStyle name="Normal 217" xfId="602" xr:uid="{00000000-0005-0000-0000-0000B2020000}"/>
    <cellStyle name="Normal 218" xfId="603" xr:uid="{00000000-0005-0000-0000-0000B3020000}"/>
    <cellStyle name="Normal 219" xfId="604" xr:uid="{00000000-0005-0000-0000-0000B4020000}"/>
    <cellStyle name="Normal 22" xfId="605" xr:uid="{00000000-0005-0000-0000-0000B5020000}"/>
    <cellStyle name="Normal 22 2" xfId="606" xr:uid="{00000000-0005-0000-0000-0000B6020000}"/>
    <cellStyle name="Normal 22 3" xfId="1161" xr:uid="{00000000-0005-0000-0000-0000B7020000}"/>
    <cellStyle name="Normal 220" xfId="607" xr:uid="{00000000-0005-0000-0000-0000B8020000}"/>
    <cellStyle name="Normal 221" xfId="608" xr:uid="{00000000-0005-0000-0000-0000B9020000}"/>
    <cellStyle name="Normal 222" xfId="609" xr:uid="{00000000-0005-0000-0000-0000BA020000}"/>
    <cellStyle name="Normal 223" xfId="610" xr:uid="{00000000-0005-0000-0000-0000BB020000}"/>
    <cellStyle name="Normal 224" xfId="611" xr:uid="{00000000-0005-0000-0000-0000BC020000}"/>
    <cellStyle name="Normal 225" xfId="612" xr:uid="{00000000-0005-0000-0000-0000BD020000}"/>
    <cellStyle name="Normal 226" xfId="613" xr:uid="{00000000-0005-0000-0000-0000BE020000}"/>
    <cellStyle name="Normal 227" xfId="614" xr:uid="{00000000-0005-0000-0000-0000BF020000}"/>
    <cellStyle name="Normal 228" xfId="615" xr:uid="{00000000-0005-0000-0000-0000C0020000}"/>
    <cellStyle name="Normal 229" xfId="616" xr:uid="{00000000-0005-0000-0000-0000C1020000}"/>
    <cellStyle name="Normal 23" xfId="617" xr:uid="{00000000-0005-0000-0000-0000C2020000}"/>
    <cellStyle name="Normal 23 2" xfId="618" xr:uid="{00000000-0005-0000-0000-0000C3020000}"/>
    <cellStyle name="Normal 23 3" xfId="1162" xr:uid="{00000000-0005-0000-0000-0000C4020000}"/>
    <cellStyle name="Normal 230" xfId="619" xr:uid="{00000000-0005-0000-0000-0000C5020000}"/>
    <cellStyle name="Normal 231" xfId="620" xr:uid="{00000000-0005-0000-0000-0000C6020000}"/>
    <cellStyle name="Normal 232" xfId="621" xr:uid="{00000000-0005-0000-0000-0000C7020000}"/>
    <cellStyle name="Normal 233" xfId="622" xr:uid="{00000000-0005-0000-0000-0000C8020000}"/>
    <cellStyle name="Normal 234" xfId="623" xr:uid="{00000000-0005-0000-0000-0000C9020000}"/>
    <cellStyle name="Normal 235" xfId="624" xr:uid="{00000000-0005-0000-0000-0000CA020000}"/>
    <cellStyle name="Normal 236" xfId="625" xr:uid="{00000000-0005-0000-0000-0000CB020000}"/>
    <cellStyle name="Normal 237" xfId="626" xr:uid="{00000000-0005-0000-0000-0000CC020000}"/>
    <cellStyle name="Normal 238" xfId="627" xr:uid="{00000000-0005-0000-0000-0000CD020000}"/>
    <cellStyle name="Normal 239" xfId="628" xr:uid="{00000000-0005-0000-0000-0000CE020000}"/>
    <cellStyle name="Normal 24" xfId="629" xr:uid="{00000000-0005-0000-0000-0000CF020000}"/>
    <cellStyle name="Normal 24 2" xfId="630" xr:uid="{00000000-0005-0000-0000-0000D0020000}"/>
    <cellStyle name="Normal 24 3" xfId="1163" xr:uid="{00000000-0005-0000-0000-0000D1020000}"/>
    <cellStyle name="Normal 240" xfId="631" xr:uid="{00000000-0005-0000-0000-0000D2020000}"/>
    <cellStyle name="Normal 241" xfId="632" xr:uid="{00000000-0005-0000-0000-0000D3020000}"/>
    <cellStyle name="Normal 242" xfId="633" xr:uid="{00000000-0005-0000-0000-0000D4020000}"/>
    <cellStyle name="Normal 243" xfId="634" xr:uid="{00000000-0005-0000-0000-0000D5020000}"/>
    <cellStyle name="Normal 244" xfId="635" xr:uid="{00000000-0005-0000-0000-0000D6020000}"/>
    <cellStyle name="Normal 245" xfId="636" xr:uid="{00000000-0005-0000-0000-0000D7020000}"/>
    <cellStyle name="Normal 246" xfId="637" xr:uid="{00000000-0005-0000-0000-0000D8020000}"/>
    <cellStyle name="Normal 247" xfId="638" xr:uid="{00000000-0005-0000-0000-0000D9020000}"/>
    <cellStyle name="Normal 248" xfId="639" xr:uid="{00000000-0005-0000-0000-0000DA020000}"/>
    <cellStyle name="Normal 249" xfId="640" xr:uid="{00000000-0005-0000-0000-0000DB020000}"/>
    <cellStyle name="Normal 25" xfId="641" xr:uid="{00000000-0005-0000-0000-0000DC020000}"/>
    <cellStyle name="Normal 25 2" xfId="642" xr:uid="{00000000-0005-0000-0000-0000DD020000}"/>
    <cellStyle name="Normal 25 3" xfId="1164" xr:uid="{00000000-0005-0000-0000-0000DE020000}"/>
    <cellStyle name="Normal 250" xfId="643" xr:uid="{00000000-0005-0000-0000-0000DF020000}"/>
    <cellStyle name="Normal 251" xfId="644" xr:uid="{00000000-0005-0000-0000-0000E0020000}"/>
    <cellStyle name="Normal 252" xfId="645" xr:uid="{00000000-0005-0000-0000-0000E1020000}"/>
    <cellStyle name="Normal 253" xfId="646" xr:uid="{00000000-0005-0000-0000-0000E2020000}"/>
    <cellStyle name="Normal 254" xfId="647" xr:uid="{00000000-0005-0000-0000-0000E3020000}"/>
    <cellStyle name="Normal 255" xfId="648" xr:uid="{00000000-0005-0000-0000-0000E4020000}"/>
    <cellStyle name="Normal 256" xfId="649" xr:uid="{00000000-0005-0000-0000-0000E5020000}"/>
    <cellStyle name="Normal 257" xfId="650" xr:uid="{00000000-0005-0000-0000-0000E6020000}"/>
    <cellStyle name="Normal 258" xfId="651" xr:uid="{00000000-0005-0000-0000-0000E7020000}"/>
    <cellStyle name="Normal 259" xfId="652" xr:uid="{00000000-0005-0000-0000-0000E8020000}"/>
    <cellStyle name="Normal 26" xfId="653" xr:uid="{00000000-0005-0000-0000-0000E9020000}"/>
    <cellStyle name="Normal 26 2" xfId="654" xr:uid="{00000000-0005-0000-0000-0000EA020000}"/>
    <cellStyle name="Normal 260" xfId="655" xr:uid="{00000000-0005-0000-0000-0000EB020000}"/>
    <cellStyle name="Normal 261" xfId="656" xr:uid="{00000000-0005-0000-0000-0000EC020000}"/>
    <cellStyle name="Normal 262" xfId="657" xr:uid="{00000000-0005-0000-0000-0000ED020000}"/>
    <cellStyle name="Normal 263" xfId="658" xr:uid="{00000000-0005-0000-0000-0000EE020000}"/>
    <cellStyle name="Normal 264" xfId="659" xr:uid="{00000000-0005-0000-0000-0000EF020000}"/>
    <cellStyle name="Normal 265" xfId="660" xr:uid="{00000000-0005-0000-0000-0000F0020000}"/>
    <cellStyle name="Normal 266" xfId="661" xr:uid="{00000000-0005-0000-0000-0000F1020000}"/>
    <cellStyle name="Normal 267" xfId="662" xr:uid="{00000000-0005-0000-0000-0000F2020000}"/>
    <cellStyle name="Normal 268" xfId="663" xr:uid="{00000000-0005-0000-0000-0000F3020000}"/>
    <cellStyle name="Normal 269" xfId="664" xr:uid="{00000000-0005-0000-0000-0000F4020000}"/>
    <cellStyle name="Normal 27" xfId="665" xr:uid="{00000000-0005-0000-0000-0000F5020000}"/>
    <cellStyle name="Normal 27 2" xfId="666" xr:uid="{00000000-0005-0000-0000-0000F6020000}"/>
    <cellStyle name="Normal 270" xfId="667" xr:uid="{00000000-0005-0000-0000-0000F7020000}"/>
    <cellStyle name="Normal 271" xfId="668" xr:uid="{00000000-0005-0000-0000-0000F8020000}"/>
    <cellStyle name="Normal 272" xfId="669" xr:uid="{00000000-0005-0000-0000-0000F9020000}"/>
    <cellStyle name="Normal 273" xfId="670" xr:uid="{00000000-0005-0000-0000-0000FA020000}"/>
    <cellStyle name="Normal 274" xfId="671" xr:uid="{00000000-0005-0000-0000-0000FB020000}"/>
    <cellStyle name="Normal 275" xfId="672" xr:uid="{00000000-0005-0000-0000-0000FC020000}"/>
    <cellStyle name="Normal 276" xfId="673" xr:uid="{00000000-0005-0000-0000-0000FD020000}"/>
    <cellStyle name="Normal 277" xfId="674" xr:uid="{00000000-0005-0000-0000-0000FE020000}"/>
    <cellStyle name="Normal 278" xfId="675" xr:uid="{00000000-0005-0000-0000-0000FF020000}"/>
    <cellStyle name="Normal 279" xfId="676" xr:uid="{00000000-0005-0000-0000-000000030000}"/>
    <cellStyle name="Normal 28" xfId="677" xr:uid="{00000000-0005-0000-0000-000001030000}"/>
    <cellStyle name="Normal 28 2" xfId="678" xr:uid="{00000000-0005-0000-0000-000002030000}"/>
    <cellStyle name="Normal 280" xfId="679" xr:uid="{00000000-0005-0000-0000-000003030000}"/>
    <cellStyle name="Normal 281" xfId="680" xr:uid="{00000000-0005-0000-0000-000004030000}"/>
    <cellStyle name="Normal 282" xfId="681" xr:uid="{00000000-0005-0000-0000-000005030000}"/>
    <cellStyle name="Normal 283" xfId="682" xr:uid="{00000000-0005-0000-0000-000006030000}"/>
    <cellStyle name="Normal 284" xfId="683" xr:uid="{00000000-0005-0000-0000-000007030000}"/>
    <cellStyle name="Normal 285" xfId="684" xr:uid="{00000000-0005-0000-0000-000008030000}"/>
    <cellStyle name="Normal 286" xfId="685" xr:uid="{00000000-0005-0000-0000-000009030000}"/>
    <cellStyle name="Normal 287" xfId="686" xr:uid="{00000000-0005-0000-0000-00000A030000}"/>
    <cellStyle name="Normal 288" xfId="687" xr:uid="{00000000-0005-0000-0000-00000B030000}"/>
    <cellStyle name="Normal 289" xfId="688" xr:uid="{00000000-0005-0000-0000-00000C030000}"/>
    <cellStyle name="Normal 29" xfId="689" xr:uid="{00000000-0005-0000-0000-00000D030000}"/>
    <cellStyle name="Normal 29 2" xfId="690" xr:uid="{00000000-0005-0000-0000-00000E030000}"/>
    <cellStyle name="Normal 290" xfId="691" xr:uid="{00000000-0005-0000-0000-00000F030000}"/>
    <cellStyle name="Normal 291" xfId="692" xr:uid="{00000000-0005-0000-0000-000010030000}"/>
    <cellStyle name="Normal 292" xfId="693" xr:uid="{00000000-0005-0000-0000-000011030000}"/>
    <cellStyle name="Normal 293" xfId="694" xr:uid="{00000000-0005-0000-0000-000012030000}"/>
    <cellStyle name="Normal 294" xfId="695" xr:uid="{00000000-0005-0000-0000-000013030000}"/>
    <cellStyle name="Normal 295" xfId="696" xr:uid="{00000000-0005-0000-0000-000014030000}"/>
    <cellStyle name="Normal 296" xfId="697" xr:uid="{00000000-0005-0000-0000-000015030000}"/>
    <cellStyle name="Normal 297" xfId="698" xr:uid="{00000000-0005-0000-0000-000016030000}"/>
    <cellStyle name="Normal 298" xfId="699" xr:uid="{00000000-0005-0000-0000-000017030000}"/>
    <cellStyle name="Normal 299" xfId="700" xr:uid="{00000000-0005-0000-0000-000018030000}"/>
    <cellStyle name="Normal 3" xfId="701" xr:uid="{00000000-0005-0000-0000-000019030000}"/>
    <cellStyle name="Normal 3 10" xfId="1216" xr:uid="{00000000-0005-0000-0000-00001A030000}"/>
    <cellStyle name="Normal 3 11" xfId="1241" xr:uid="{00000000-0005-0000-0000-00001B030000}"/>
    <cellStyle name="Normal 3 2" xfId="702" xr:uid="{00000000-0005-0000-0000-00001C030000}"/>
    <cellStyle name="Normal 3 2 2" xfId="703" xr:uid="{00000000-0005-0000-0000-00001D030000}"/>
    <cellStyle name="Normal 3 2 3" xfId="704" xr:uid="{00000000-0005-0000-0000-00001E030000}"/>
    <cellStyle name="Normal 3 2 4" xfId="1222" xr:uid="{00000000-0005-0000-0000-00001F030000}"/>
    <cellStyle name="Normal 3 3" xfId="705" xr:uid="{00000000-0005-0000-0000-000020030000}"/>
    <cellStyle name="Normal 3 3 2" xfId="706" xr:uid="{00000000-0005-0000-0000-000021030000}"/>
    <cellStyle name="Normal 3 4" xfId="707" xr:uid="{00000000-0005-0000-0000-000022030000}"/>
    <cellStyle name="Normal 3 4 2" xfId="708" xr:uid="{00000000-0005-0000-0000-000023030000}"/>
    <cellStyle name="Normal 3 5" xfId="709" xr:uid="{00000000-0005-0000-0000-000024030000}"/>
    <cellStyle name="Normal 3 6" xfId="710" xr:uid="{00000000-0005-0000-0000-000025030000}"/>
    <cellStyle name="Normal 3 7" xfId="711" xr:uid="{00000000-0005-0000-0000-000026030000}"/>
    <cellStyle name="Normal 3 8" xfId="712" xr:uid="{00000000-0005-0000-0000-000027030000}"/>
    <cellStyle name="Normal 3 9" xfId="1131" xr:uid="{00000000-0005-0000-0000-000028030000}"/>
    <cellStyle name="Normal 30" xfId="713" xr:uid="{00000000-0005-0000-0000-000029030000}"/>
    <cellStyle name="Normal 30 2" xfId="714" xr:uid="{00000000-0005-0000-0000-00002A030000}"/>
    <cellStyle name="Normal 300" xfId="715" xr:uid="{00000000-0005-0000-0000-00002B030000}"/>
    <cellStyle name="Normal 301" xfId="716" xr:uid="{00000000-0005-0000-0000-00002C030000}"/>
    <cellStyle name="Normal 302" xfId="717" xr:uid="{00000000-0005-0000-0000-00002D030000}"/>
    <cellStyle name="Normal 303" xfId="718" xr:uid="{00000000-0005-0000-0000-00002E030000}"/>
    <cellStyle name="Normal 304" xfId="719" xr:uid="{00000000-0005-0000-0000-00002F030000}"/>
    <cellStyle name="Normal 305" xfId="720" xr:uid="{00000000-0005-0000-0000-000030030000}"/>
    <cellStyle name="Normal 306" xfId="721" xr:uid="{00000000-0005-0000-0000-000031030000}"/>
    <cellStyle name="Normal 307" xfId="722" xr:uid="{00000000-0005-0000-0000-000032030000}"/>
    <cellStyle name="Normal 308" xfId="723" xr:uid="{00000000-0005-0000-0000-000033030000}"/>
    <cellStyle name="Normal 309" xfId="724" xr:uid="{00000000-0005-0000-0000-000034030000}"/>
    <cellStyle name="Normal 31" xfId="725" xr:uid="{00000000-0005-0000-0000-000035030000}"/>
    <cellStyle name="Normal 310" xfId="726" xr:uid="{00000000-0005-0000-0000-000036030000}"/>
    <cellStyle name="Normal 311" xfId="727" xr:uid="{00000000-0005-0000-0000-000037030000}"/>
    <cellStyle name="Normal 312" xfId="728" xr:uid="{00000000-0005-0000-0000-000038030000}"/>
    <cellStyle name="Normal 313" xfId="729" xr:uid="{00000000-0005-0000-0000-000039030000}"/>
    <cellStyle name="Normal 314" xfId="730" xr:uid="{00000000-0005-0000-0000-00003A030000}"/>
    <cellStyle name="Normal 315" xfId="731" xr:uid="{00000000-0005-0000-0000-00003B030000}"/>
    <cellStyle name="Normal 316" xfId="732" xr:uid="{00000000-0005-0000-0000-00003C030000}"/>
    <cellStyle name="Normal 317" xfId="733" xr:uid="{00000000-0005-0000-0000-00003D030000}"/>
    <cellStyle name="Normal 318" xfId="734" xr:uid="{00000000-0005-0000-0000-00003E030000}"/>
    <cellStyle name="Normal 319" xfId="735" xr:uid="{00000000-0005-0000-0000-00003F030000}"/>
    <cellStyle name="Normal 32" xfId="736" xr:uid="{00000000-0005-0000-0000-000040030000}"/>
    <cellStyle name="Normal 320" xfId="737" xr:uid="{00000000-0005-0000-0000-000041030000}"/>
    <cellStyle name="Normal 321" xfId="738" xr:uid="{00000000-0005-0000-0000-000042030000}"/>
    <cellStyle name="Normal 322" xfId="739" xr:uid="{00000000-0005-0000-0000-000043030000}"/>
    <cellStyle name="Normal 323" xfId="740" xr:uid="{00000000-0005-0000-0000-000044030000}"/>
    <cellStyle name="Normal 324" xfId="741" xr:uid="{00000000-0005-0000-0000-000045030000}"/>
    <cellStyle name="Normal 325" xfId="742" xr:uid="{00000000-0005-0000-0000-000046030000}"/>
    <cellStyle name="Normal 326" xfId="743" xr:uid="{00000000-0005-0000-0000-000047030000}"/>
    <cellStyle name="Normal 327" xfId="744" xr:uid="{00000000-0005-0000-0000-000048030000}"/>
    <cellStyle name="Normal 328" xfId="745" xr:uid="{00000000-0005-0000-0000-000049030000}"/>
    <cellStyle name="Normal 329" xfId="746" xr:uid="{00000000-0005-0000-0000-00004A030000}"/>
    <cellStyle name="Normal 33" xfId="747" xr:uid="{00000000-0005-0000-0000-00004B030000}"/>
    <cellStyle name="Normal 330" xfId="748" xr:uid="{00000000-0005-0000-0000-00004C030000}"/>
    <cellStyle name="Normal 331" xfId="749" xr:uid="{00000000-0005-0000-0000-00004D030000}"/>
    <cellStyle name="Normal 332" xfId="750" xr:uid="{00000000-0005-0000-0000-00004E030000}"/>
    <cellStyle name="Normal 333" xfId="751" xr:uid="{00000000-0005-0000-0000-00004F030000}"/>
    <cellStyle name="Normal 334" xfId="752" xr:uid="{00000000-0005-0000-0000-000050030000}"/>
    <cellStyle name="Normal 335" xfId="753" xr:uid="{00000000-0005-0000-0000-000051030000}"/>
    <cellStyle name="Normal 336" xfId="754" xr:uid="{00000000-0005-0000-0000-000052030000}"/>
    <cellStyle name="Normal 337" xfId="755" xr:uid="{00000000-0005-0000-0000-000053030000}"/>
    <cellStyle name="Normal 338" xfId="756" xr:uid="{00000000-0005-0000-0000-000054030000}"/>
    <cellStyle name="Normal 339" xfId="757" xr:uid="{00000000-0005-0000-0000-000055030000}"/>
    <cellStyle name="Normal 34" xfId="758" xr:uid="{00000000-0005-0000-0000-000056030000}"/>
    <cellStyle name="Normal 340" xfId="7" xr:uid="{00000000-0005-0000-0000-000057030000}"/>
    <cellStyle name="Normal 341" xfId="1052" xr:uid="{00000000-0005-0000-0000-000058030000}"/>
    <cellStyle name="Normal 342" xfId="1056" xr:uid="{00000000-0005-0000-0000-000059030000}"/>
    <cellStyle name="Normal 343" xfId="1058" xr:uid="{00000000-0005-0000-0000-00005A030000}"/>
    <cellStyle name="Normal 344" xfId="1061" xr:uid="{00000000-0005-0000-0000-00005B030000}"/>
    <cellStyle name="Normal 345" xfId="1063" xr:uid="{00000000-0005-0000-0000-00005C030000}"/>
    <cellStyle name="Normal 346" xfId="1074" xr:uid="{00000000-0005-0000-0000-00005D030000}"/>
    <cellStyle name="Normal 347" xfId="1139" xr:uid="{00000000-0005-0000-0000-00005E030000}"/>
    <cellStyle name="Normal 348" xfId="1187" xr:uid="{00000000-0005-0000-0000-00005F030000}"/>
    <cellStyle name="Normal 349" xfId="1173" xr:uid="{00000000-0005-0000-0000-000060030000}"/>
    <cellStyle name="Normal 35" xfId="759" xr:uid="{00000000-0005-0000-0000-000061030000}"/>
    <cellStyle name="Normal 350" xfId="1180" xr:uid="{00000000-0005-0000-0000-000062030000}"/>
    <cellStyle name="Normal 351" xfId="1189" xr:uid="{00000000-0005-0000-0000-000063030000}"/>
    <cellStyle name="Normal 352" xfId="1171" xr:uid="{00000000-0005-0000-0000-000064030000}"/>
    <cellStyle name="Normal 353" xfId="1192" xr:uid="{00000000-0005-0000-0000-000065030000}"/>
    <cellStyle name="Normal 354" xfId="1168" xr:uid="{00000000-0005-0000-0000-000066030000}"/>
    <cellStyle name="Normal 355" xfId="1182" xr:uid="{00000000-0005-0000-0000-000067030000}"/>
    <cellStyle name="Normal 356" xfId="1197" xr:uid="{00000000-0005-0000-0000-000068030000}"/>
    <cellStyle name="Normal 357" xfId="1181" xr:uid="{00000000-0005-0000-0000-000069030000}"/>
    <cellStyle name="Normal 358" xfId="1198" xr:uid="{00000000-0005-0000-0000-00006A030000}"/>
    <cellStyle name="Normal 359" xfId="1190" xr:uid="{00000000-0005-0000-0000-00006B030000}"/>
    <cellStyle name="Normal 36" xfId="760" xr:uid="{00000000-0005-0000-0000-00006C030000}"/>
    <cellStyle name="Normal 360" xfId="1167" xr:uid="{00000000-0005-0000-0000-00006D030000}"/>
    <cellStyle name="Normal 361" xfId="1196" xr:uid="{00000000-0005-0000-0000-00006E030000}"/>
    <cellStyle name="Normal 362" xfId="1201" xr:uid="{00000000-0005-0000-0000-00006F030000}"/>
    <cellStyle name="Normal 363" xfId="1165" xr:uid="{00000000-0005-0000-0000-000070030000}"/>
    <cellStyle name="Normal 364" xfId="1203" xr:uid="{00000000-0005-0000-0000-000071030000}"/>
    <cellStyle name="Normal 365" xfId="1204" xr:uid="{00000000-0005-0000-0000-000072030000}"/>
    <cellStyle name="Normal 366" xfId="1202" xr:uid="{00000000-0005-0000-0000-000073030000}"/>
    <cellStyle name="Normal 367" xfId="1200" xr:uid="{00000000-0005-0000-0000-000074030000}"/>
    <cellStyle name="Normal 368" xfId="1194" xr:uid="{00000000-0005-0000-0000-000075030000}"/>
    <cellStyle name="Normal 369" xfId="1186" xr:uid="{00000000-0005-0000-0000-000076030000}"/>
    <cellStyle name="Normal 37" xfId="761" xr:uid="{00000000-0005-0000-0000-000077030000}"/>
    <cellStyle name="Normal 370" xfId="1178" xr:uid="{00000000-0005-0000-0000-000078030000}"/>
    <cellStyle name="Normal 371" xfId="1212" xr:uid="{00000000-0005-0000-0000-000079030000}"/>
    <cellStyle name="Normal 372" xfId="1224" xr:uid="{00000000-0005-0000-0000-00007A030000}"/>
    <cellStyle name="Normal 373" xfId="1235" xr:uid="{00000000-0005-0000-0000-00007B030000}"/>
    <cellStyle name="Normal 374" xfId="1238" xr:uid="{00000000-0005-0000-0000-00007C030000}"/>
    <cellStyle name="Normal 375" xfId="1246" xr:uid="{00000000-0005-0000-0000-00007D030000}"/>
    <cellStyle name="Normal 376" xfId="1251" xr:uid="{00000000-0005-0000-0000-00007E030000}"/>
    <cellStyle name="Normal 377" xfId="1250" xr:uid="{00000000-0005-0000-0000-00007F030000}"/>
    <cellStyle name="Normal 378" xfId="1253" xr:uid="{00000000-0005-0000-0000-000080030000}"/>
    <cellStyle name="Normal 379" xfId="1242" xr:uid="{00000000-0005-0000-0000-000081030000}"/>
    <cellStyle name="Normal 38" xfId="762" xr:uid="{00000000-0005-0000-0000-000082030000}"/>
    <cellStyle name="Normal 380" xfId="1258" xr:uid="{00000000-0005-0000-0000-000083030000}"/>
    <cellStyle name="Normal 381" xfId="1259" xr:uid="{00000000-0005-0000-0000-000084030000}"/>
    <cellStyle name="Normal 382" xfId="6" xr:uid="{00000000-0005-0000-0000-000085030000}"/>
    <cellStyle name="Normal 39" xfId="763" xr:uid="{00000000-0005-0000-0000-000086030000}"/>
    <cellStyle name="Normal 4" xfId="764" xr:uid="{00000000-0005-0000-0000-000087030000}"/>
    <cellStyle name="Normal 4 10" xfId="765" xr:uid="{00000000-0005-0000-0000-000088030000}"/>
    <cellStyle name="Normal 4 11" xfId="766" xr:uid="{00000000-0005-0000-0000-000089030000}"/>
    <cellStyle name="Normal 4 12" xfId="767" xr:uid="{00000000-0005-0000-0000-00008A030000}"/>
    <cellStyle name="Normal 4 13" xfId="1079" xr:uid="{00000000-0005-0000-0000-00008B030000}"/>
    <cellStyle name="Normal 4 14" xfId="1217" xr:uid="{00000000-0005-0000-0000-00008C030000}"/>
    <cellStyle name="Normal 4 2" xfId="768" xr:uid="{00000000-0005-0000-0000-00008D030000}"/>
    <cellStyle name="Normal 4 2 2" xfId="769" xr:uid="{00000000-0005-0000-0000-00008E030000}"/>
    <cellStyle name="Normal 4 3" xfId="770" xr:uid="{00000000-0005-0000-0000-00008F030000}"/>
    <cellStyle name="Normal 4 3 2" xfId="771" xr:uid="{00000000-0005-0000-0000-000090030000}"/>
    <cellStyle name="Normal 4 4" xfId="772" xr:uid="{00000000-0005-0000-0000-000091030000}"/>
    <cellStyle name="Normal 4 4 2" xfId="773" xr:uid="{00000000-0005-0000-0000-000092030000}"/>
    <cellStyle name="Normal 4 5" xfId="774" xr:uid="{00000000-0005-0000-0000-000093030000}"/>
    <cellStyle name="Normal 4 5 2" xfId="775" xr:uid="{00000000-0005-0000-0000-000094030000}"/>
    <cellStyle name="Normal 4 6" xfId="776" xr:uid="{00000000-0005-0000-0000-000095030000}"/>
    <cellStyle name="Normal 4 7" xfId="777" xr:uid="{00000000-0005-0000-0000-000096030000}"/>
    <cellStyle name="Normal 4 7 2" xfId="778" xr:uid="{00000000-0005-0000-0000-000097030000}"/>
    <cellStyle name="Normal 4 8" xfId="779" xr:uid="{00000000-0005-0000-0000-000098030000}"/>
    <cellStyle name="Normal 4 8 2" xfId="780" xr:uid="{00000000-0005-0000-0000-000099030000}"/>
    <cellStyle name="Normal 4 9" xfId="781" xr:uid="{00000000-0005-0000-0000-00009A030000}"/>
    <cellStyle name="Normal 40" xfId="782" xr:uid="{00000000-0005-0000-0000-00009B030000}"/>
    <cellStyle name="Normal 41" xfId="783" xr:uid="{00000000-0005-0000-0000-00009C030000}"/>
    <cellStyle name="Normal 42" xfId="784" xr:uid="{00000000-0005-0000-0000-00009D030000}"/>
    <cellStyle name="Normal 43" xfId="785" xr:uid="{00000000-0005-0000-0000-00009E030000}"/>
    <cellStyle name="Normal 44" xfId="786" xr:uid="{00000000-0005-0000-0000-00009F030000}"/>
    <cellStyle name="Normal 45" xfId="787" xr:uid="{00000000-0005-0000-0000-0000A0030000}"/>
    <cellStyle name="Normal 46" xfId="788" xr:uid="{00000000-0005-0000-0000-0000A1030000}"/>
    <cellStyle name="Normal 47" xfId="789" xr:uid="{00000000-0005-0000-0000-0000A2030000}"/>
    <cellStyle name="Normal 48" xfId="790" xr:uid="{00000000-0005-0000-0000-0000A3030000}"/>
    <cellStyle name="Normal 49" xfId="791" xr:uid="{00000000-0005-0000-0000-0000A4030000}"/>
    <cellStyle name="Normal 5" xfId="792" xr:uid="{00000000-0005-0000-0000-0000A5030000}"/>
    <cellStyle name="Normal 5 2" xfId="793" xr:uid="{00000000-0005-0000-0000-0000A6030000}"/>
    <cellStyle name="Normal 5 3" xfId="794" xr:uid="{00000000-0005-0000-0000-0000A7030000}"/>
    <cellStyle name="Normal 5 4" xfId="1132" xr:uid="{00000000-0005-0000-0000-0000A8030000}"/>
    <cellStyle name="Normal 5 5" xfId="1243" xr:uid="{00000000-0005-0000-0000-0000A9030000}"/>
    <cellStyle name="Normal 50" xfId="795" xr:uid="{00000000-0005-0000-0000-0000AA030000}"/>
    <cellStyle name="Normal 51" xfId="796" xr:uid="{00000000-0005-0000-0000-0000AB030000}"/>
    <cellStyle name="Normal 52" xfId="797" xr:uid="{00000000-0005-0000-0000-0000AC030000}"/>
    <cellStyle name="Normal 53" xfId="798" xr:uid="{00000000-0005-0000-0000-0000AD030000}"/>
    <cellStyle name="Normal 54" xfId="799" xr:uid="{00000000-0005-0000-0000-0000AE030000}"/>
    <cellStyle name="Normal 55" xfId="800" xr:uid="{00000000-0005-0000-0000-0000AF030000}"/>
    <cellStyle name="Normal 56" xfId="801" xr:uid="{00000000-0005-0000-0000-0000B0030000}"/>
    <cellStyle name="Normal 57" xfId="802" xr:uid="{00000000-0005-0000-0000-0000B1030000}"/>
    <cellStyle name="Normal 58" xfId="803" xr:uid="{00000000-0005-0000-0000-0000B2030000}"/>
    <cellStyle name="Normal 59" xfId="804" xr:uid="{00000000-0005-0000-0000-0000B3030000}"/>
    <cellStyle name="Normal 6" xfId="805" xr:uid="{00000000-0005-0000-0000-0000B4030000}"/>
    <cellStyle name="Normal 6 2" xfId="806" xr:uid="{00000000-0005-0000-0000-0000B5030000}"/>
    <cellStyle name="Normal 6 3" xfId="807" xr:uid="{00000000-0005-0000-0000-0000B6030000}"/>
    <cellStyle name="Normal 6 4" xfId="808" xr:uid="{00000000-0005-0000-0000-0000B7030000}"/>
    <cellStyle name="Normal 60" xfId="809" xr:uid="{00000000-0005-0000-0000-0000B8030000}"/>
    <cellStyle name="Normal 61" xfId="810" xr:uid="{00000000-0005-0000-0000-0000B9030000}"/>
    <cellStyle name="Normal 62" xfId="811" xr:uid="{00000000-0005-0000-0000-0000BA030000}"/>
    <cellStyle name="Normal 63" xfId="812" xr:uid="{00000000-0005-0000-0000-0000BB030000}"/>
    <cellStyle name="Normal 64" xfId="813" xr:uid="{00000000-0005-0000-0000-0000BC030000}"/>
    <cellStyle name="Normal 65" xfId="814" xr:uid="{00000000-0005-0000-0000-0000BD030000}"/>
    <cellStyle name="Normal 66" xfId="815" xr:uid="{00000000-0005-0000-0000-0000BE030000}"/>
    <cellStyle name="Normal 67" xfId="816" xr:uid="{00000000-0005-0000-0000-0000BF030000}"/>
    <cellStyle name="Normal 68" xfId="817" xr:uid="{00000000-0005-0000-0000-0000C0030000}"/>
    <cellStyle name="Normal 69" xfId="818" xr:uid="{00000000-0005-0000-0000-0000C1030000}"/>
    <cellStyle name="Normal 7" xfId="819" xr:uid="{00000000-0005-0000-0000-0000C2030000}"/>
    <cellStyle name="Normal 7 2" xfId="820" xr:uid="{00000000-0005-0000-0000-0000C3030000}"/>
    <cellStyle name="Normal 7 2 2" xfId="1156" xr:uid="{00000000-0005-0000-0000-0000C4030000}"/>
    <cellStyle name="Normal 7 3" xfId="821" xr:uid="{00000000-0005-0000-0000-0000C5030000}"/>
    <cellStyle name="Normal 7 4" xfId="1134" xr:uid="{00000000-0005-0000-0000-0000C6030000}"/>
    <cellStyle name="Normal 7 5" xfId="1248" xr:uid="{00000000-0005-0000-0000-0000C7030000}"/>
    <cellStyle name="Normal 70" xfId="822" xr:uid="{00000000-0005-0000-0000-0000C8030000}"/>
    <cellStyle name="Normal 71" xfId="823" xr:uid="{00000000-0005-0000-0000-0000C9030000}"/>
    <cellStyle name="Normal 72" xfId="824" xr:uid="{00000000-0005-0000-0000-0000CA030000}"/>
    <cellStyle name="Normal 73" xfId="825" xr:uid="{00000000-0005-0000-0000-0000CB030000}"/>
    <cellStyle name="Normal 74" xfId="826" xr:uid="{00000000-0005-0000-0000-0000CC030000}"/>
    <cellStyle name="Normal 75" xfId="827" xr:uid="{00000000-0005-0000-0000-0000CD030000}"/>
    <cellStyle name="Normal 75 2" xfId="828" xr:uid="{00000000-0005-0000-0000-0000CE030000}"/>
    <cellStyle name="Normal 76" xfId="829" xr:uid="{00000000-0005-0000-0000-0000CF030000}"/>
    <cellStyle name="Normal 76 2" xfId="830" xr:uid="{00000000-0005-0000-0000-0000D0030000}"/>
    <cellStyle name="Normal 77" xfId="831" xr:uid="{00000000-0005-0000-0000-0000D1030000}"/>
    <cellStyle name="Normal 77 2" xfId="832" xr:uid="{00000000-0005-0000-0000-0000D2030000}"/>
    <cellStyle name="Normal 78" xfId="833" xr:uid="{00000000-0005-0000-0000-0000D3030000}"/>
    <cellStyle name="Normal 78 2" xfId="834" xr:uid="{00000000-0005-0000-0000-0000D4030000}"/>
    <cellStyle name="Normal 79" xfId="835" xr:uid="{00000000-0005-0000-0000-0000D5030000}"/>
    <cellStyle name="Normal 79 2" xfId="836" xr:uid="{00000000-0005-0000-0000-0000D6030000}"/>
    <cellStyle name="Normal 8" xfId="837" xr:uid="{00000000-0005-0000-0000-0000D7030000}"/>
    <cellStyle name="Normal 8 10" xfId="838" xr:uid="{00000000-0005-0000-0000-0000D8030000}"/>
    <cellStyle name="Normal 8 11" xfId="1135" xr:uid="{00000000-0005-0000-0000-0000D9030000}"/>
    <cellStyle name="Normal 8 2" xfId="839" xr:uid="{00000000-0005-0000-0000-0000DA030000}"/>
    <cellStyle name="Normal 8 2 2" xfId="840" xr:uid="{00000000-0005-0000-0000-0000DB030000}"/>
    <cellStyle name="Normal 8 2 3" xfId="1157" xr:uid="{00000000-0005-0000-0000-0000DC030000}"/>
    <cellStyle name="Normal 8 3" xfId="841" xr:uid="{00000000-0005-0000-0000-0000DD030000}"/>
    <cellStyle name="Normal 8 3 2" xfId="842" xr:uid="{00000000-0005-0000-0000-0000DE030000}"/>
    <cellStyle name="Normal 8 4" xfId="843" xr:uid="{00000000-0005-0000-0000-0000DF030000}"/>
    <cellStyle name="Normal 8 4 2" xfId="844" xr:uid="{00000000-0005-0000-0000-0000E0030000}"/>
    <cellStyle name="Normal 8 5" xfId="845" xr:uid="{00000000-0005-0000-0000-0000E1030000}"/>
    <cellStyle name="Normal 8 6" xfId="846" xr:uid="{00000000-0005-0000-0000-0000E2030000}"/>
    <cellStyle name="Normal 8 6 2" xfId="847" xr:uid="{00000000-0005-0000-0000-0000E3030000}"/>
    <cellStyle name="Normal 8 7" xfId="848" xr:uid="{00000000-0005-0000-0000-0000E4030000}"/>
    <cellStyle name="Normal 8 7 2" xfId="849" xr:uid="{00000000-0005-0000-0000-0000E5030000}"/>
    <cellStyle name="Normal 8 8" xfId="850" xr:uid="{00000000-0005-0000-0000-0000E6030000}"/>
    <cellStyle name="Normal 8 9" xfId="851" xr:uid="{00000000-0005-0000-0000-0000E7030000}"/>
    <cellStyle name="Normal 80" xfId="852" xr:uid="{00000000-0005-0000-0000-0000E8030000}"/>
    <cellStyle name="Normal 80 2" xfId="853" xr:uid="{00000000-0005-0000-0000-0000E9030000}"/>
    <cellStyle name="Normal 81" xfId="854" xr:uid="{00000000-0005-0000-0000-0000EA030000}"/>
    <cellStyle name="Normal 81 2" xfId="855" xr:uid="{00000000-0005-0000-0000-0000EB030000}"/>
    <cellStyle name="Normal 82" xfId="856" xr:uid="{00000000-0005-0000-0000-0000EC030000}"/>
    <cellStyle name="Normal 82 2" xfId="857" xr:uid="{00000000-0005-0000-0000-0000ED030000}"/>
    <cellStyle name="Normal 83" xfId="858" xr:uid="{00000000-0005-0000-0000-0000EE030000}"/>
    <cellStyle name="Normal 83 2" xfId="859" xr:uid="{00000000-0005-0000-0000-0000EF030000}"/>
    <cellStyle name="Normal 84" xfId="860" xr:uid="{00000000-0005-0000-0000-0000F0030000}"/>
    <cellStyle name="Normal 84 2" xfId="861" xr:uid="{00000000-0005-0000-0000-0000F1030000}"/>
    <cellStyle name="Normal 85" xfId="862" xr:uid="{00000000-0005-0000-0000-0000F2030000}"/>
    <cellStyle name="Normal 85 2" xfId="863" xr:uid="{00000000-0005-0000-0000-0000F3030000}"/>
    <cellStyle name="Normal 86" xfId="864" xr:uid="{00000000-0005-0000-0000-0000F4030000}"/>
    <cellStyle name="Normal 86 2" xfId="865" xr:uid="{00000000-0005-0000-0000-0000F5030000}"/>
    <cellStyle name="Normal 87" xfId="866" xr:uid="{00000000-0005-0000-0000-0000F6030000}"/>
    <cellStyle name="Normal 87 2" xfId="867" xr:uid="{00000000-0005-0000-0000-0000F7030000}"/>
    <cellStyle name="Normal 88" xfId="868" xr:uid="{00000000-0005-0000-0000-0000F8030000}"/>
    <cellStyle name="Normal 88 2" xfId="869" xr:uid="{00000000-0005-0000-0000-0000F9030000}"/>
    <cellStyle name="Normal 89" xfId="870" xr:uid="{00000000-0005-0000-0000-0000FA030000}"/>
    <cellStyle name="Normal 89 2" xfId="871" xr:uid="{00000000-0005-0000-0000-0000FB030000}"/>
    <cellStyle name="Normal 9" xfId="872" xr:uid="{00000000-0005-0000-0000-0000FC030000}"/>
    <cellStyle name="Normal 9 2" xfId="873" xr:uid="{00000000-0005-0000-0000-0000FD030000}"/>
    <cellStyle name="Normal 90" xfId="874" xr:uid="{00000000-0005-0000-0000-0000FE030000}"/>
    <cellStyle name="Normal 90 2" xfId="875" xr:uid="{00000000-0005-0000-0000-0000FF030000}"/>
    <cellStyle name="Normal 91" xfId="876" xr:uid="{00000000-0005-0000-0000-000000040000}"/>
    <cellStyle name="Normal 92" xfId="877" xr:uid="{00000000-0005-0000-0000-000001040000}"/>
    <cellStyle name="Normal 93" xfId="878" xr:uid="{00000000-0005-0000-0000-000002040000}"/>
    <cellStyle name="Normal 94" xfId="879" xr:uid="{00000000-0005-0000-0000-000003040000}"/>
    <cellStyle name="Normal 95" xfId="880" xr:uid="{00000000-0005-0000-0000-000004040000}"/>
    <cellStyle name="Normal 96" xfId="881" xr:uid="{00000000-0005-0000-0000-000005040000}"/>
    <cellStyle name="Normal 97" xfId="882" xr:uid="{00000000-0005-0000-0000-000006040000}"/>
    <cellStyle name="Normal 98" xfId="883" xr:uid="{00000000-0005-0000-0000-000007040000}"/>
    <cellStyle name="Normal 99" xfId="884" xr:uid="{00000000-0005-0000-0000-000008040000}"/>
    <cellStyle name="Note 10" xfId="885" xr:uid="{00000000-0005-0000-0000-000009040000}"/>
    <cellStyle name="Note 2" xfId="886" xr:uid="{00000000-0005-0000-0000-00000A040000}"/>
    <cellStyle name="Note 2 2" xfId="887" xr:uid="{00000000-0005-0000-0000-00000B040000}"/>
    <cellStyle name="Note 2 3" xfId="1136" xr:uid="{00000000-0005-0000-0000-00000C040000}"/>
    <cellStyle name="Note 3" xfId="888" xr:uid="{00000000-0005-0000-0000-00000D040000}"/>
    <cellStyle name="Note 3 2" xfId="889" xr:uid="{00000000-0005-0000-0000-00000E040000}"/>
    <cellStyle name="Note 3 3" xfId="890" xr:uid="{00000000-0005-0000-0000-00000F040000}"/>
    <cellStyle name="Note 3 4" xfId="1137" xr:uid="{00000000-0005-0000-0000-000010040000}"/>
    <cellStyle name="Note 4" xfId="891" xr:uid="{00000000-0005-0000-0000-000011040000}"/>
    <cellStyle name="Note 5" xfId="892" xr:uid="{00000000-0005-0000-0000-000012040000}"/>
    <cellStyle name="Note 6" xfId="893" xr:uid="{00000000-0005-0000-0000-000013040000}"/>
    <cellStyle name="Note 7" xfId="894" xr:uid="{00000000-0005-0000-0000-000014040000}"/>
    <cellStyle name="Note 8" xfId="895" xr:uid="{00000000-0005-0000-0000-000015040000}"/>
    <cellStyle name="Note 9" xfId="896" xr:uid="{00000000-0005-0000-0000-000016040000}"/>
    <cellStyle name="Number" xfId="897" xr:uid="{00000000-0005-0000-0000-000017040000}"/>
    <cellStyle name="Number 2" xfId="898" xr:uid="{00000000-0005-0000-0000-000018040000}"/>
    <cellStyle name="Number 3" xfId="899" xr:uid="{00000000-0005-0000-0000-000019040000}"/>
    <cellStyle name="Output 2" xfId="900" xr:uid="{00000000-0005-0000-0000-00001A040000}"/>
    <cellStyle name="Output 2 2" xfId="1138" xr:uid="{00000000-0005-0000-0000-00001B040000}"/>
    <cellStyle name="Output 3" xfId="901" xr:uid="{00000000-0005-0000-0000-00001C040000}"/>
    <cellStyle name="Output Amounts" xfId="902" xr:uid="{00000000-0005-0000-0000-00001D040000}"/>
    <cellStyle name="Output Column Headings" xfId="903" xr:uid="{00000000-0005-0000-0000-00001E040000}"/>
    <cellStyle name="Output Line Items" xfId="904" xr:uid="{00000000-0005-0000-0000-00001F040000}"/>
    <cellStyle name="Output Report Heading" xfId="905" xr:uid="{00000000-0005-0000-0000-000020040000}"/>
    <cellStyle name="Output Report Title" xfId="906" xr:uid="{00000000-0005-0000-0000-000021040000}"/>
    <cellStyle name="Percen - Style2" xfId="907" xr:uid="{00000000-0005-0000-0000-000022040000}"/>
    <cellStyle name="Percen - Style3" xfId="908" xr:uid="{00000000-0005-0000-0000-000023040000}"/>
    <cellStyle name="Percent" xfId="2" builtinId="5"/>
    <cellStyle name="Percent [2]" xfId="909" xr:uid="{00000000-0005-0000-0000-000025040000}"/>
    <cellStyle name="Percent 10" xfId="910" xr:uid="{00000000-0005-0000-0000-000026040000}"/>
    <cellStyle name="Percent 100" xfId="1237" xr:uid="{00000000-0005-0000-0000-000027040000}"/>
    <cellStyle name="Percent 101" xfId="1240" xr:uid="{00000000-0005-0000-0000-000028040000}"/>
    <cellStyle name="Percent 102" xfId="1247" xr:uid="{00000000-0005-0000-0000-000029040000}"/>
    <cellStyle name="Percent 103" xfId="1252" xr:uid="{00000000-0005-0000-0000-00002A040000}"/>
    <cellStyle name="Percent 104" xfId="1255" xr:uid="{00000000-0005-0000-0000-00002B040000}"/>
    <cellStyle name="Percent 105" xfId="1256" xr:uid="{00000000-0005-0000-0000-00002C040000}"/>
    <cellStyle name="Percent 106" xfId="1257" xr:uid="{00000000-0005-0000-0000-00002D040000}"/>
    <cellStyle name="Percent 107" xfId="1254" xr:uid="{00000000-0005-0000-0000-00002E040000}"/>
    <cellStyle name="Percent 108" xfId="1051" xr:uid="{00000000-0005-0000-0000-00002F040000}"/>
    <cellStyle name="Percent 11" xfId="911" xr:uid="{00000000-0005-0000-0000-000030040000}"/>
    <cellStyle name="Percent 11 2" xfId="1069" xr:uid="{00000000-0005-0000-0000-000031040000}"/>
    <cellStyle name="Percent 11 2 2" xfId="1071" xr:uid="{00000000-0005-0000-0000-000032040000}"/>
    <cellStyle name="Percent 12" xfId="912" xr:uid="{00000000-0005-0000-0000-000033040000}"/>
    <cellStyle name="Percent 13" xfId="913" xr:uid="{00000000-0005-0000-0000-000034040000}"/>
    <cellStyle name="Percent 14" xfId="914" xr:uid="{00000000-0005-0000-0000-000035040000}"/>
    <cellStyle name="Percent 15" xfId="915" xr:uid="{00000000-0005-0000-0000-000036040000}"/>
    <cellStyle name="Percent 16" xfId="916" xr:uid="{00000000-0005-0000-0000-000037040000}"/>
    <cellStyle name="Percent 17" xfId="917" xr:uid="{00000000-0005-0000-0000-000038040000}"/>
    <cellStyle name="Percent 18" xfId="918" xr:uid="{00000000-0005-0000-0000-000039040000}"/>
    <cellStyle name="Percent 19" xfId="919" xr:uid="{00000000-0005-0000-0000-00003A040000}"/>
    <cellStyle name="Percent 2" xfId="14" xr:uid="{00000000-0005-0000-0000-00003B040000}"/>
    <cellStyle name="Percent 2 10" xfId="920" xr:uid="{00000000-0005-0000-0000-00003C040000}"/>
    <cellStyle name="Percent 2 11" xfId="921" xr:uid="{00000000-0005-0000-0000-00003D040000}"/>
    <cellStyle name="Percent 2 12" xfId="922" xr:uid="{00000000-0005-0000-0000-00003E040000}"/>
    <cellStyle name="Percent 2 13" xfId="923" xr:uid="{00000000-0005-0000-0000-00003F040000}"/>
    <cellStyle name="Percent 2 14" xfId="1218" xr:uid="{00000000-0005-0000-0000-000040040000}"/>
    <cellStyle name="Percent 2 15" xfId="1215" xr:uid="{00000000-0005-0000-0000-000041040000}"/>
    <cellStyle name="Percent 2 2" xfId="924" xr:uid="{00000000-0005-0000-0000-000042040000}"/>
    <cellStyle name="Percent 2 3" xfId="925" xr:uid="{00000000-0005-0000-0000-000043040000}"/>
    <cellStyle name="Percent 2 3 2" xfId="926" xr:uid="{00000000-0005-0000-0000-000044040000}"/>
    <cellStyle name="Percent 2 4" xfId="927" xr:uid="{00000000-0005-0000-0000-000045040000}"/>
    <cellStyle name="Percent 2 4 2" xfId="928" xr:uid="{00000000-0005-0000-0000-000046040000}"/>
    <cellStyle name="Percent 2 5" xfId="929" xr:uid="{00000000-0005-0000-0000-000047040000}"/>
    <cellStyle name="Percent 2 5 2" xfId="930" xr:uid="{00000000-0005-0000-0000-000048040000}"/>
    <cellStyle name="Percent 2 6" xfId="931" xr:uid="{00000000-0005-0000-0000-000049040000}"/>
    <cellStyle name="Percent 2 6 2" xfId="932" xr:uid="{00000000-0005-0000-0000-00004A040000}"/>
    <cellStyle name="Percent 2 7" xfId="933" xr:uid="{00000000-0005-0000-0000-00004B040000}"/>
    <cellStyle name="Percent 2 8" xfId="934" xr:uid="{00000000-0005-0000-0000-00004C040000}"/>
    <cellStyle name="Percent 2 8 2" xfId="935" xr:uid="{00000000-0005-0000-0000-00004D040000}"/>
    <cellStyle name="Percent 2 9" xfId="936" xr:uid="{00000000-0005-0000-0000-00004E040000}"/>
    <cellStyle name="Percent 2 9 2" xfId="937" xr:uid="{00000000-0005-0000-0000-00004F040000}"/>
    <cellStyle name="Percent 20" xfId="938" xr:uid="{00000000-0005-0000-0000-000050040000}"/>
    <cellStyle name="Percent 21" xfId="939" xr:uid="{00000000-0005-0000-0000-000051040000}"/>
    <cellStyle name="Percent 22" xfId="940" xr:uid="{00000000-0005-0000-0000-000052040000}"/>
    <cellStyle name="Percent 23" xfId="941" xr:uid="{00000000-0005-0000-0000-000053040000}"/>
    <cellStyle name="Percent 24" xfId="942" xr:uid="{00000000-0005-0000-0000-000054040000}"/>
    <cellStyle name="Percent 25" xfId="943" xr:uid="{00000000-0005-0000-0000-000055040000}"/>
    <cellStyle name="Percent 26" xfId="944" xr:uid="{00000000-0005-0000-0000-000056040000}"/>
    <cellStyle name="Percent 27" xfId="945" xr:uid="{00000000-0005-0000-0000-000057040000}"/>
    <cellStyle name="Percent 28" xfId="946" xr:uid="{00000000-0005-0000-0000-000058040000}"/>
    <cellStyle name="Percent 29" xfId="947" xr:uid="{00000000-0005-0000-0000-000059040000}"/>
    <cellStyle name="Percent 3" xfId="948" xr:uid="{00000000-0005-0000-0000-00005A040000}"/>
    <cellStyle name="Percent 3 2" xfId="949" xr:uid="{00000000-0005-0000-0000-00005B040000}"/>
    <cellStyle name="Percent 3 3" xfId="1158" xr:uid="{00000000-0005-0000-0000-00005C040000}"/>
    <cellStyle name="Percent 30" xfId="950" xr:uid="{00000000-0005-0000-0000-00005D040000}"/>
    <cellStyle name="Percent 31" xfId="951" xr:uid="{00000000-0005-0000-0000-00005E040000}"/>
    <cellStyle name="Percent 32" xfId="952" xr:uid="{00000000-0005-0000-0000-00005F040000}"/>
    <cellStyle name="Percent 33" xfId="953" xr:uid="{00000000-0005-0000-0000-000060040000}"/>
    <cellStyle name="Percent 34" xfId="954" xr:uid="{00000000-0005-0000-0000-000061040000}"/>
    <cellStyle name="Percent 35" xfId="955" xr:uid="{00000000-0005-0000-0000-000062040000}"/>
    <cellStyle name="Percent 36" xfId="956" xr:uid="{00000000-0005-0000-0000-000063040000}"/>
    <cellStyle name="Percent 37" xfId="957" xr:uid="{00000000-0005-0000-0000-000064040000}"/>
    <cellStyle name="Percent 38" xfId="958" xr:uid="{00000000-0005-0000-0000-000065040000}"/>
    <cellStyle name="Percent 39" xfId="959" xr:uid="{00000000-0005-0000-0000-000066040000}"/>
    <cellStyle name="Percent 4" xfId="960" xr:uid="{00000000-0005-0000-0000-000067040000}"/>
    <cellStyle name="Percent 4 2" xfId="961" xr:uid="{00000000-0005-0000-0000-000068040000}"/>
    <cellStyle name="Percent 4 3" xfId="962" xr:uid="{00000000-0005-0000-0000-000069040000}"/>
    <cellStyle name="Percent 40" xfId="963" xr:uid="{00000000-0005-0000-0000-00006A040000}"/>
    <cellStyle name="Percent 41" xfId="964" xr:uid="{00000000-0005-0000-0000-00006B040000}"/>
    <cellStyle name="Percent 42" xfId="965" xr:uid="{00000000-0005-0000-0000-00006C040000}"/>
    <cellStyle name="Percent 43" xfId="966" xr:uid="{00000000-0005-0000-0000-00006D040000}"/>
    <cellStyle name="Percent 44" xfId="967" xr:uid="{00000000-0005-0000-0000-00006E040000}"/>
    <cellStyle name="Percent 45" xfId="968" xr:uid="{00000000-0005-0000-0000-00006F040000}"/>
    <cellStyle name="Percent 46" xfId="969" xr:uid="{00000000-0005-0000-0000-000070040000}"/>
    <cellStyle name="Percent 47" xfId="970" xr:uid="{00000000-0005-0000-0000-000071040000}"/>
    <cellStyle name="Percent 48" xfId="971" xr:uid="{00000000-0005-0000-0000-000072040000}"/>
    <cellStyle name="Percent 49" xfId="972" xr:uid="{00000000-0005-0000-0000-000073040000}"/>
    <cellStyle name="Percent 5" xfId="973" xr:uid="{00000000-0005-0000-0000-000074040000}"/>
    <cellStyle name="Percent 50" xfId="974" xr:uid="{00000000-0005-0000-0000-000075040000}"/>
    <cellStyle name="Percent 51" xfId="975" xr:uid="{00000000-0005-0000-0000-000076040000}"/>
    <cellStyle name="Percent 52" xfId="976" xr:uid="{00000000-0005-0000-0000-000077040000}"/>
    <cellStyle name="Percent 53" xfId="977" xr:uid="{00000000-0005-0000-0000-000078040000}"/>
    <cellStyle name="Percent 54" xfId="978" xr:uid="{00000000-0005-0000-0000-000079040000}"/>
    <cellStyle name="Percent 55" xfId="979" xr:uid="{00000000-0005-0000-0000-00007A040000}"/>
    <cellStyle name="Percent 56" xfId="980" xr:uid="{00000000-0005-0000-0000-00007B040000}"/>
    <cellStyle name="Percent 57" xfId="981" xr:uid="{00000000-0005-0000-0000-00007C040000}"/>
    <cellStyle name="Percent 58" xfId="982" xr:uid="{00000000-0005-0000-0000-00007D040000}"/>
    <cellStyle name="Percent 59" xfId="983" xr:uid="{00000000-0005-0000-0000-00007E040000}"/>
    <cellStyle name="Percent 6" xfId="984" xr:uid="{00000000-0005-0000-0000-00007F040000}"/>
    <cellStyle name="Percent 6 2" xfId="985" xr:uid="{00000000-0005-0000-0000-000080040000}"/>
    <cellStyle name="Percent 60" xfId="986" xr:uid="{00000000-0005-0000-0000-000081040000}"/>
    <cellStyle name="Percent 61" xfId="987" xr:uid="{00000000-0005-0000-0000-000082040000}"/>
    <cellStyle name="Percent 62" xfId="988" xr:uid="{00000000-0005-0000-0000-000083040000}"/>
    <cellStyle name="Percent 63" xfId="989" xr:uid="{00000000-0005-0000-0000-000084040000}"/>
    <cellStyle name="Percent 64" xfId="990" xr:uid="{00000000-0005-0000-0000-000085040000}"/>
    <cellStyle name="Percent 65" xfId="991" xr:uid="{00000000-0005-0000-0000-000086040000}"/>
    <cellStyle name="Percent 66" xfId="992" xr:uid="{00000000-0005-0000-0000-000087040000}"/>
    <cellStyle name="Percent 67" xfId="993" xr:uid="{00000000-0005-0000-0000-000088040000}"/>
    <cellStyle name="Percent 68" xfId="1055" xr:uid="{00000000-0005-0000-0000-000089040000}"/>
    <cellStyle name="Percent 69" xfId="1057" xr:uid="{00000000-0005-0000-0000-00008A040000}"/>
    <cellStyle name="Percent 7" xfId="994" xr:uid="{00000000-0005-0000-0000-00008B040000}"/>
    <cellStyle name="Percent 7 2" xfId="995" xr:uid="{00000000-0005-0000-0000-00008C040000}"/>
    <cellStyle name="Percent 70" xfId="1060" xr:uid="{00000000-0005-0000-0000-00008D040000}"/>
    <cellStyle name="Percent 71" xfId="1062" xr:uid="{00000000-0005-0000-0000-00008E040000}"/>
    <cellStyle name="Percent 72" xfId="1065" xr:uid="{00000000-0005-0000-0000-00008F040000}"/>
    <cellStyle name="Percent 73" xfId="1076" xr:uid="{00000000-0005-0000-0000-000090040000}"/>
    <cellStyle name="Percent 74" xfId="1133" xr:uid="{00000000-0005-0000-0000-000091040000}"/>
    <cellStyle name="Percent 75" xfId="1185" xr:uid="{00000000-0005-0000-0000-000092040000}"/>
    <cellStyle name="Percent 76" xfId="1174" xr:uid="{00000000-0005-0000-0000-000093040000}"/>
    <cellStyle name="Percent 77" xfId="1179" xr:uid="{00000000-0005-0000-0000-000094040000}"/>
    <cellStyle name="Percent 78" xfId="1176" xr:uid="{00000000-0005-0000-0000-000095040000}"/>
    <cellStyle name="Percent 79" xfId="1188" xr:uid="{00000000-0005-0000-0000-000096040000}"/>
    <cellStyle name="Percent 8" xfId="996" xr:uid="{00000000-0005-0000-0000-000097040000}"/>
    <cellStyle name="Percent 8 2" xfId="997" xr:uid="{00000000-0005-0000-0000-000098040000}"/>
    <cellStyle name="Percent 80" xfId="1172" xr:uid="{00000000-0005-0000-0000-000099040000}"/>
    <cellStyle name="Percent 81" xfId="1191" xr:uid="{00000000-0005-0000-0000-00009A040000}"/>
    <cellStyle name="Percent 82" xfId="1169" xr:uid="{00000000-0005-0000-0000-00009B040000}"/>
    <cellStyle name="Percent 83" xfId="1183" xr:uid="{00000000-0005-0000-0000-00009C040000}"/>
    <cellStyle name="Percent 84" xfId="1175" xr:uid="{00000000-0005-0000-0000-00009D040000}"/>
    <cellStyle name="Percent 85" xfId="1193" xr:uid="{00000000-0005-0000-0000-00009E040000}"/>
    <cellStyle name="Percent 86" xfId="1184" xr:uid="{00000000-0005-0000-0000-00009F040000}"/>
    <cellStyle name="Percent 87" xfId="1177" xr:uid="{00000000-0005-0000-0000-0000A0040000}"/>
    <cellStyle name="Percent 88" xfId="1166" xr:uid="{00000000-0005-0000-0000-0000A1040000}"/>
    <cellStyle name="Percent 89" xfId="1205" xr:uid="{00000000-0005-0000-0000-0000A2040000}"/>
    <cellStyle name="Percent 9" xfId="998" xr:uid="{00000000-0005-0000-0000-0000A3040000}"/>
    <cellStyle name="Percent 9 2" xfId="999" xr:uid="{00000000-0005-0000-0000-0000A4040000}"/>
    <cellStyle name="Percent 90" xfId="1195" xr:uid="{00000000-0005-0000-0000-0000A5040000}"/>
    <cellStyle name="Percent 91" xfId="1206" xr:uid="{00000000-0005-0000-0000-0000A6040000}"/>
    <cellStyle name="Percent 92" xfId="1154" xr:uid="{00000000-0005-0000-0000-0000A7040000}"/>
    <cellStyle name="Percent 93" xfId="1208" xr:uid="{00000000-0005-0000-0000-0000A8040000}"/>
    <cellStyle name="Percent 94" xfId="1199" xr:uid="{00000000-0005-0000-0000-0000A9040000}"/>
    <cellStyle name="Percent 95" xfId="1170" xr:uid="{00000000-0005-0000-0000-0000AA040000}"/>
    <cellStyle name="Percent 96" xfId="1207" xr:uid="{00000000-0005-0000-0000-0000AB040000}"/>
    <cellStyle name="Percent 97" xfId="1211" xr:uid="{00000000-0005-0000-0000-0000AC040000}"/>
    <cellStyle name="Percent 98" xfId="1213" xr:uid="{00000000-0005-0000-0000-0000AD040000}"/>
    <cellStyle name="Percent 99" xfId="1232" xr:uid="{00000000-0005-0000-0000-0000AE040000}"/>
    <cellStyle name="Price" xfId="1140" xr:uid="{00000000-0005-0000-0000-0000AF040000}"/>
    <cellStyle name="PSChar" xfId="1000" xr:uid="{00000000-0005-0000-0000-0000B0040000}"/>
    <cellStyle name="Range Header" xfId="1001" xr:uid="{00000000-0005-0000-0000-0000B1040000}"/>
    <cellStyle name="Range Header 10" xfId="1002" xr:uid="{00000000-0005-0000-0000-0000B2040000}"/>
    <cellStyle name="Range Header 11" xfId="1003" xr:uid="{00000000-0005-0000-0000-0000B3040000}"/>
    <cellStyle name="Range Header 2" xfId="1004" xr:uid="{00000000-0005-0000-0000-0000B4040000}"/>
    <cellStyle name="Range Header 2 2" xfId="1005" xr:uid="{00000000-0005-0000-0000-0000B5040000}"/>
    <cellStyle name="Range Header 2 3" xfId="1006" xr:uid="{00000000-0005-0000-0000-0000B6040000}"/>
    <cellStyle name="Range Header 2 4" xfId="1007" xr:uid="{00000000-0005-0000-0000-0000B7040000}"/>
    <cellStyle name="Range Header 2 5" xfId="1008" xr:uid="{00000000-0005-0000-0000-0000B8040000}"/>
    <cellStyle name="Range Header 2_LTCP" xfId="1009" xr:uid="{00000000-0005-0000-0000-0000B9040000}"/>
    <cellStyle name="Range Header 3" xfId="1010" xr:uid="{00000000-0005-0000-0000-0000BA040000}"/>
    <cellStyle name="Range Header 4" xfId="1011" xr:uid="{00000000-0005-0000-0000-0000BB040000}"/>
    <cellStyle name="Range Header 5" xfId="1012" xr:uid="{00000000-0005-0000-0000-0000BC040000}"/>
    <cellStyle name="Range Header 6" xfId="1013" xr:uid="{00000000-0005-0000-0000-0000BD040000}"/>
    <cellStyle name="Range Header 7" xfId="1014" xr:uid="{00000000-0005-0000-0000-0000BE040000}"/>
    <cellStyle name="Range Header 8" xfId="1015" xr:uid="{00000000-0005-0000-0000-0000BF040000}"/>
    <cellStyle name="Range Header 9" xfId="1016" xr:uid="{00000000-0005-0000-0000-0000C0040000}"/>
    <cellStyle name="Range Header_Bill Compare" xfId="1017" xr:uid="{00000000-0005-0000-0000-0000C1040000}"/>
    <cellStyle name="Rate" xfId="1141" xr:uid="{00000000-0005-0000-0000-0000C2040000}"/>
    <cellStyle name="Reference" xfId="1018" xr:uid="{00000000-0005-0000-0000-0000C3040000}"/>
    <cellStyle name="Reference 2" xfId="1142" xr:uid="{00000000-0005-0000-0000-0000C4040000}"/>
    <cellStyle name="Reference 3" xfId="1233" xr:uid="{00000000-0005-0000-0000-0000C5040000}"/>
    <cellStyle name="Report" xfId="1019" xr:uid="{00000000-0005-0000-0000-0000C6040000}"/>
    <cellStyle name="Report - Style5" xfId="1020" xr:uid="{00000000-0005-0000-0000-0000C7040000}"/>
    <cellStyle name="Report - Style6" xfId="1021" xr:uid="{00000000-0005-0000-0000-0000C8040000}"/>
    <cellStyle name="Report - Style7" xfId="1022" xr:uid="{00000000-0005-0000-0000-0000C9040000}"/>
    <cellStyle name="Report - Style8" xfId="1023" xr:uid="{00000000-0005-0000-0000-0000CA040000}"/>
    <cellStyle name="Report Bar" xfId="1024" xr:uid="{00000000-0005-0000-0000-0000CB040000}"/>
    <cellStyle name="Report Heading" xfId="1025" xr:uid="{00000000-0005-0000-0000-0000CC040000}"/>
    <cellStyle name="Report Unit Cost" xfId="1026" xr:uid="{00000000-0005-0000-0000-0000CD040000}"/>
    <cellStyle name="Report_BPUB 2011 Rate Design_March 2011 (FA) (3)" xfId="1027" xr:uid="{00000000-0005-0000-0000-0000CE040000}"/>
    <cellStyle name="Reports Total" xfId="1028" xr:uid="{00000000-0005-0000-0000-0000CF040000}"/>
    <cellStyle name="Result" xfId="1143" xr:uid="{00000000-0005-0000-0000-0000D0040000}"/>
    <cellStyle name="REVISED" xfId="1029" xr:uid="{00000000-0005-0000-0000-0000D1040000}"/>
    <cellStyle name="REVISED 2" xfId="1030" xr:uid="{00000000-0005-0000-0000-0000D2040000}"/>
    <cellStyle name="REVISED 3" xfId="1234" xr:uid="{00000000-0005-0000-0000-0000D3040000}"/>
    <cellStyle name="SectionBreak" xfId="1144" xr:uid="{00000000-0005-0000-0000-0000D4040000}"/>
    <cellStyle name="StmtTtl1" xfId="1031" xr:uid="{00000000-0005-0000-0000-0000D5040000}"/>
    <cellStyle name="StmtTtl2" xfId="1032" xr:uid="{00000000-0005-0000-0000-0000D6040000}"/>
    <cellStyle name="Style 1" xfId="1033" xr:uid="{00000000-0005-0000-0000-0000D7040000}"/>
    <cellStyle name="Test" xfId="1034" xr:uid="{00000000-0005-0000-0000-0000D8040000}"/>
    <cellStyle name="Text" xfId="1145" xr:uid="{00000000-0005-0000-0000-0000D9040000}"/>
    <cellStyle name="Thousands" xfId="1146" xr:uid="{00000000-0005-0000-0000-0000DA040000}"/>
    <cellStyle name="Title 2" xfId="1035" xr:uid="{00000000-0005-0000-0000-0000DB040000}"/>
    <cellStyle name="Title 2 2" xfId="1147" xr:uid="{00000000-0005-0000-0000-0000DC040000}"/>
    <cellStyle name="Title 3" xfId="1036" xr:uid="{00000000-0005-0000-0000-0000DD040000}"/>
    <cellStyle name="Title 4" xfId="1037" xr:uid="{00000000-0005-0000-0000-0000DE040000}"/>
    <cellStyle name="Title: - Style3" xfId="1038" xr:uid="{00000000-0005-0000-0000-0000DF040000}"/>
    <cellStyle name="Title: - Style4" xfId="1039" xr:uid="{00000000-0005-0000-0000-0000E0040000}"/>
    <cellStyle name="Title: Major" xfId="1040" xr:uid="{00000000-0005-0000-0000-0000E1040000}"/>
    <cellStyle name="Title: Minor" xfId="1041" xr:uid="{00000000-0005-0000-0000-0000E2040000}"/>
    <cellStyle name="Title: Worksheet" xfId="1042" xr:uid="{00000000-0005-0000-0000-0000E3040000}"/>
    <cellStyle name="Titles" xfId="5" xr:uid="{00000000-0005-0000-0000-0000E4040000}"/>
    <cellStyle name="Total 2" xfId="1043" xr:uid="{00000000-0005-0000-0000-0000E5040000}"/>
    <cellStyle name="Total 2 2" xfId="1148" xr:uid="{00000000-0005-0000-0000-0000E6040000}"/>
    <cellStyle name="Total 3" xfId="1044" xr:uid="{00000000-0005-0000-0000-0000E7040000}"/>
    <cellStyle name="Unprotected" xfId="1045" xr:uid="{00000000-0005-0000-0000-0000E8040000}"/>
    <cellStyle name="Version" xfId="1046" xr:uid="{00000000-0005-0000-0000-0000E9040000}"/>
    <cellStyle name="Warning Text 2" xfId="1047" xr:uid="{00000000-0005-0000-0000-0000EA040000}"/>
    <cellStyle name="Warning Text 3" xfId="1048" xr:uid="{00000000-0005-0000-0000-0000EB040000}"/>
    <cellStyle name="Years" xfId="1149" xr:uid="{00000000-0005-0000-0000-0000EC040000}"/>
    <cellStyle name="Yes/No Switch" xfId="1150" xr:uid="{00000000-0005-0000-0000-0000ED040000}"/>
  </cellStyles>
  <dxfs count="4"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sz val="9"/>
        <color theme="1"/>
        <name val="Calibri"/>
        <scheme val="minor"/>
      </font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SlicerStyleLight1 2" pivot="0" table="0" count="2" xr9:uid="{00000000-0011-0000-FFFF-FFFF00000000}">
      <tableStyleElement type="wholeTable" dxfId="3"/>
      <tableStyleElement type="headerRow" dxfId="2"/>
    </tableStyle>
    <tableStyle name="SlicerStyleLight1 3" pivot="0" table="0" count="2" xr9:uid="{00000000-0011-0000-FFFF-FFFF01000000}">
      <tableStyleElement type="wholeTable" dxfId="1"/>
      <tableStyleElement type="headerRow" dxfId="0"/>
    </tableStyle>
  </tableStyles>
  <colors>
    <mruColors>
      <color rgb="FFF2F2F2"/>
      <color rgb="FFFFFF99"/>
      <color rgb="FFFFFFCC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erritt, Brian L." id="{11E0E8DC-285C-4B3D-9A7E-006348347381}" userId="S::MerrittBL@bv.com::d49033ef-d1d6-4b57-a5f8-394e8d0ceed2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4" dT="2024-12-22T14:50:04.01" personId="{11E0E8DC-285C-4B3D-9A7E-006348347381}" id="{AEF74446-DAF7-4A93-BE07-C99F54D9C3D8}">
    <text>From budget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/>
  <dimension ref="A1:BE11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4.5" x14ac:dyDescent="0.35"/>
  <cols>
    <col min="1" max="1" width="10.54296875" customWidth="1"/>
    <col min="2" max="2" width="30.54296875" customWidth="1"/>
    <col min="3" max="6" width="12.54296875" customWidth="1"/>
    <col min="7" max="9" width="12.81640625" bestFit="1" customWidth="1"/>
    <col min="10" max="30" width="12.54296875" customWidth="1"/>
    <col min="31" max="31" width="19.1796875" bestFit="1" customWidth="1"/>
    <col min="32" max="32" width="12.54296875" customWidth="1"/>
    <col min="33" max="33" width="5.81640625" bestFit="1" customWidth="1"/>
    <col min="34" max="36" width="12.1796875" bestFit="1" customWidth="1"/>
    <col min="37" max="41" width="12.81640625" bestFit="1" customWidth="1"/>
    <col min="42" max="57" width="12.81640625" customWidth="1"/>
  </cols>
  <sheetData>
    <row r="1" spans="1:57" ht="19" thickTop="1" x14ac:dyDescent="0.45">
      <c r="A1" s="12" t="s">
        <v>0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AF2" t="s">
        <v>2</v>
      </c>
    </row>
    <row r="3" spans="1:57" ht="16.5" thickTop="1" x14ac:dyDescent="0.5">
      <c r="A3" s="53" t="s">
        <v>3</v>
      </c>
      <c r="B3" s="58" t="s">
        <v>4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5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57">
        <v>1</v>
      </c>
      <c r="B6" s="17" t="s">
        <v>9</v>
      </c>
      <c r="C6" s="104"/>
      <c r="D6" s="104">
        <v>0</v>
      </c>
      <c r="E6" s="104">
        <v>0</v>
      </c>
      <c r="F6" s="104">
        <v>0</v>
      </c>
      <c r="G6" s="104">
        <f>SUMIF(Assumptions!$B$6:$B$20,$AC6,Assumptions!E$6:E$20)</f>
        <v>0</v>
      </c>
      <c r="H6" s="104">
        <f>SUMIF(Assumptions!$B$6:$B$20,$AC6,Assumptions!F$6:F$20)</f>
        <v>0</v>
      </c>
      <c r="I6" s="104">
        <f>SUMIF(Assumptions!$B$6:$B$20,$AC6,Assumptions!G$6:G$20)</f>
        <v>0</v>
      </c>
      <c r="J6" s="104">
        <f>SUMIF(Assumptions!$B$6:$B$20,$AC6,Assumptions!H$6:H$20)</f>
        <v>0</v>
      </c>
      <c r="K6" s="104">
        <f>SUMIF(Assumptions!$B$6:$B$20,$AC6,Assumptions!I$6:I$20)</f>
        <v>0</v>
      </c>
      <c r="L6" s="104">
        <f>SUMIF(Assumptions!$B$6:$B$20,$AC6,Assumptions!J$6:J$20)</f>
        <v>0</v>
      </c>
      <c r="M6" s="104">
        <f>SUMIF(Assumptions!$B$6:$B$20,$AC6,Assumptions!K$6:K$20)</f>
        <v>0</v>
      </c>
      <c r="N6" s="104">
        <f>SUMIF(Assumptions!$B$6:$B$20,$AC6,Assumptions!L$6:L$20)</f>
        <v>0</v>
      </c>
      <c r="O6" s="104">
        <f>SUMIF(Assumptions!$B$6:$B$20,$AC6,Assumptions!M$6:M$20)</f>
        <v>0</v>
      </c>
      <c r="P6" s="104">
        <f>SUMIF(Assumptions!$B$6:$B$20,$AC6,Assumptions!N$6:N$20)</f>
        <v>0</v>
      </c>
      <c r="Q6" s="104">
        <f>SUMIF(Assumptions!$B$6:$B$20,$AC6,Assumptions!O$6:O$20)</f>
        <v>0</v>
      </c>
      <c r="R6" s="104">
        <f>SUMIF(Assumptions!$B$6:$B$20,$AC6,Assumptions!P$6:P$20)</f>
        <v>0</v>
      </c>
      <c r="S6" s="104">
        <f>SUMIF(Assumptions!$B$6:$B$20,$AC6,Assumptions!Q$6:Q$20)</f>
        <v>0</v>
      </c>
      <c r="T6" s="104">
        <f>SUMIF(Assumptions!$B$6:$B$20,$AC6,Assumptions!R$6:R$20)</f>
        <v>0</v>
      </c>
      <c r="U6" s="104">
        <f>SUMIF(Assumptions!$B$6:$B$20,$AC6,Assumptions!S$6:S$20)</f>
        <v>0</v>
      </c>
      <c r="V6" s="104">
        <f>SUMIF(Assumptions!$B$6:$B$20,$AC6,Assumptions!T$6:T$20)</f>
        <v>0</v>
      </c>
      <c r="W6" s="104">
        <f>SUMIF(Assumptions!$B$6:$B$20,$AC6,Assumptions!U$6:U$20)</f>
        <v>0</v>
      </c>
      <c r="X6" s="104">
        <f>SUMIF(Assumptions!$B$6:$B$20,$AC6,Assumptions!V$6:V$20)</f>
        <v>0</v>
      </c>
      <c r="Y6" s="104">
        <f>SUMIF(Assumptions!$B$6:$B$20,$AC6,Assumptions!W$6:W$20)</f>
        <v>0</v>
      </c>
      <c r="Z6" s="104">
        <f>SUMIF(Assumptions!$B$6:$B$20,$AC6,Assumptions!X$6:X$20)</f>
        <v>0</v>
      </c>
      <c r="AA6" s="104">
        <f>SUMIF(Assumptions!$B$6:$B$20,$AC6,Assumptions!Y$6:Y$20)</f>
        <v>0</v>
      </c>
      <c r="AC6" s="172" t="s">
        <v>184</v>
      </c>
    </row>
    <row r="7" spans="1:57" x14ac:dyDescent="0.35">
      <c r="A7" s="55"/>
      <c r="B7" s="3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 spans="1:57" ht="15.5" x14ac:dyDescent="0.35">
      <c r="A8" s="91"/>
      <c r="B8" s="92" t="s">
        <v>11</v>
      </c>
      <c r="C8" s="92"/>
      <c r="D8" s="92"/>
      <c r="E8" s="93"/>
      <c r="F8" s="93"/>
      <c r="G8" s="93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</row>
    <row r="9" spans="1:57" ht="15.5" x14ac:dyDescent="0.35">
      <c r="A9" s="8"/>
      <c r="B9" s="31" t="s">
        <v>12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57" x14ac:dyDescent="0.35">
      <c r="A10" s="57">
        <f>MAX(A$6:A9)+1</f>
        <v>2</v>
      </c>
      <c r="B10" s="28" t="s">
        <v>13</v>
      </c>
      <c r="C10" s="17"/>
      <c r="D10" s="6">
        <f t="shared" ref="D10:F10" si="32">10000000*0</f>
        <v>0</v>
      </c>
      <c r="E10" s="6">
        <f t="shared" si="32"/>
        <v>0</v>
      </c>
      <c r="F10" s="6">
        <f t="shared" si="32"/>
        <v>0</v>
      </c>
      <c r="G10" s="6">
        <v>0</v>
      </c>
      <c r="H10" s="6">
        <v>10000000</v>
      </c>
      <c r="I10" s="6">
        <v>10000000</v>
      </c>
      <c r="J10" s="6">
        <v>10000000</v>
      </c>
      <c r="K10" s="6">
        <v>10000000</v>
      </c>
      <c r="L10" s="6">
        <v>10000000</v>
      </c>
      <c r="M10" s="6">
        <v>10000000</v>
      </c>
      <c r="N10" s="6">
        <v>10000000</v>
      </c>
      <c r="O10" s="6">
        <v>10000000</v>
      </c>
      <c r="P10" s="6">
        <v>10000000</v>
      </c>
      <c r="Q10" s="6">
        <v>10000000</v>
      </c>
      <c r="R10" s="6">
        <v>-15000000</v>
      </c>
      <c r="S10" s="6">
        <v>-15000000</v>
      </c>
      <c r="T10" s="6">
        <v>-15000000</v>
      </c>
      <c r="U10" s="6">
        <v>-15000000</v>
      </c>
      <c r="V10" s="6">
        <v>-15000000</v>
      </c>
      <c r="W10" s="6">
        <v>-15000000</v>
      </c>
      <c r="X10" s="6">
        <v>-15000000</v>
      </c>
      <c r="Y10" s="6">
        <v>-15000000</v>
      </c>
      <c r="Z10" s="6">
        <v>-15000000</v>
      </c>
      <c r="AA10" s="6">
        <v>-15000000</v>
      </c>
      <c r="AE10" s="172" t="s">
        <v>14</v>
      </c>
      <c r="AF10" s="173">
        <f>SUMIF(Assumptions!$E$27:$E$193,'OM Adj 1'!AE10,Assumptions!$D$27:$D$193)</f>
        <v>1</v>
      </c>
      <c r="AH10" s="105">
        <f t="shared" ref="AH10:AP10" si="33">+D10*$AF10</f>
        <v>0</v>
      </c>
      <c r="AI10" s="105">
        <f t="shared" si="33"/>
        <v>0</v>
      </c>
      <c r="AJ10" s="105">
        <f t="shared" si="33"/>
        <v>0</v>
      </c>
      <c r="AK10" s="105">
        <f t="shared" si="33"/>
        <v>0</v>
      </c>
      <c r="AL10" s="105">
        <f t="shared" si="33"/>
        <v>10000000</v>
      </c>
      <c r="AM10" s="105">
        <f t="shared" si="33"/>
        <v>10000000</v>
      </c>
      <c r="AN10" s="105">
        <f t="shared" si="33"/>
        <v>10000000</v>
      </c>
      <c r="AO10" s="105">
        <f t="shared" si="33"/>
        <v>10000000</v>
      </c>
      <c r="AP10" s="105">
        <f t="shared" si="33"/>
        <v>10000000</v>
      </c>
      <c r="AQ10" s="105">
        <f t="shared" ref="AQ10:AU10" si="34">+M10*$AF10</f>
        <v>10000000</v>
      </c>
      <c r="AR10" s="105">
        <f t="shared" si="34"/>
        <v>10000000</v>
      </c>
      <c r="AS10" s="105">
        <f t="shared" si="34"/>
        <v>10000000</v>
      </c>
      <c r="AT10" s="105">
        <f t="shared" si="34"/>
        <v>10000000</v>
      </c>
      <c r="AU10" s="105">
        <f t="shared" si="34"/>
        <v>10000000</v>
      </c>
      <c r="AV10" s="105">
        <f t="shared" ref="AV10" si="35">+R10*$AF10</f>
        <v>-15000000</v>
      </c>
      <c r="AW10" s="105">
        <f t="shared" ref="AW10" si="36">+S10*$AF10</f>
        <v>-15000000</v>
      </c>
      <c r="AX10" s="105">
        <f t="shared" ref="AX10" si="37">+T10*$AF10</f>
        <v>-15000000</v>
      </c>
      <c r="AY10" s="105">
        <f t="shared" ref="AY10" si="38">+U10*$AF10</f>
        <v>-15000000</v>
      </c>
      <c r="AZ10" s="105">
        <f t="shared" ref="AZ10" si="39">+V10*$AF10</f>
        <v>-15000000</v>
      </c>
      <c r="BA10" s="105">
        <f t="shared" ref="BA10" si="40">+W10*$AF10</f>
        <v>-15000000</v>
      </c>
      <c r="BB10" s="105">
        <f t="shared" ref="BB10" si="41">+X10*$AF10</f>
        <v>-15000000</v>
      </c>
      <c r="BC10" s="105">
        <f t="shared" ref="BC10" si="42">+Y10*$AF10</f>
        <v>-15000000</v>
      </c>
      <c r="BD10" s="105">
        <f t="shared" ref="BD10" si="43">+Z10*$AF10</f>
        <v>-15000000</v>
      </c>
      <c r="BE10" s="105">
        <f t="shared" ref="BE10" si="44">+AA10*$AF10</f>
        <v>-15000000</v>
      </c>
    </row>
    <row r="11" spans="1:57" x14ac:dyDescent="0.35">
      <c r="A11" s="55"/>
      <c r="B11" s="3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 spans="1:57" s="4" customFormat="1" x14ac:dyDescent="0.35">
      <c r="A12" s="56">
        <f>MAX(A$6:A11)+1</f>
        <v>3</v>
      </c>
      <c r="B12" s="29" t="s">
        <v>15</v>
      </c>
      <c r="C12" s="33">
        <f t="shared" ref="C12:H12" si="45">+C10</f>
        <v>0</v>
      </c>
      <c r="D12" s="33">
        <f t="shared" si="45"/>
        <v>0</v>
      </c>
      <c r="E12" s="33">
        <f t="shared" si="45"/>
        <v>0</v>
      </c>
      <c r="F12" s="33">
        <f t="shared" si="45"/>
        <v>0</v>
      </c>
      <c r="G12" s="33">
        <f t="shared" si="45"/>
        <v>0</v>
      </c>
      <c r="H12" s="33">
        <f t="shared" si="45"/>
        <v>10000000</v>
      </c>
      <c r="I12" s="33">
        <f t="shared" ref="I12:L12" si="46">+I10</f>
        <v>10000000</v>
      </c>
      <c r="J12" s="33">
        <f t="shared" si="46"/>
        <v>10000000</v>
      </c>
      <c r="K12" s="33">
        <f t="shared" si="46"/>
        <v>10000000</v>
      </c>
      <c r="L12" s="33">
        <f t="shared" si="46"/>
        <v>10000000</v>
      </c>
      <c r="M12" s="33">
        <f t="shared" ref="M12:AA12" si="47">+M10</f>
        <v>10000000</v>
      </c>
      <c r="N12" s="33">
        <f t="shared" si="47"/>
        <v>10000000</v>
      </c>
      <c r="O12" s="33">
        <f t="shared" si="47"/>
        <v>10000000</v>
      </c>
      <c r="P12" s="33">
        <f t="shared" si="47"/>
        <v>10000000</v>
      </c>
      <c r="Q12" s="33">
        <f t="shared" si="47"/>
        <v>10000000</v>
      </c>
      <c r="R12" s="33">
        <f t="shared" si="47"/>
        <v>-15000000</v>
      </c>
      <c r="S12" s="33">
        <f t="shared" si="47"/>
        <v>-15000000</v>
      </c>
      <c r="T12" s="33">
        <f t="shared" si="47"/>
        <v>-15000000</v>
      </c>
      <c r="U12" s="33">
        <f t="shared" si="47"/>
        <v>-15000000</v>
      </c>
      <c r="V12" s="33">
        <f t="shared" si="47"/>
        <v>-15000000</v>
      </c>
      <c r="W12" s="33">
        <f t="shared" si="47"/>
        <v>-15000000</v>
      </c>
      <c r="X12" s="33">
        <f t="shared" si="47"/>
        <v>-15000000</v>
      </c>
      <c r="Y12" s="33">
        <f t="shared" si="47"/>
        <v>-15000000</v>
      </c>
      <c r="Z12" s="33">
        <f t="shared" si="47"/>
        <v>-15000000</v>
      </c>
      <c r="AA12" s="33">
        <f t="shared" si="47"/>
        <v>-15000000</v>
      </c>
      <c r="AF12"/>
      <c r="AG12" s="33">
        <f t="shared" ref="AG12:AL12" si="48">+AG10</f>
        <v>0</v>
      </c>
      <c r="AH12" s="33">
        <f t="shared" si="48"/>
        <v>0</v>
      </c>
      <c r="AI12" s="33">
        <f t="shared" si="48"/>
        <v>0</v>
      </c>
      <c r="AJ12" s="33">
        <f t="shared" si="48"/>
        <v>0</v>
      </c>
      <c r="AK12" s="33">
        <f t="shared" si="48"/>
        <v>0</v>
      </c>
      <c r="AL12" s="33">
        <f t="shared" si="48"/>
        <v>10000000</v>
      </c>
      <c r="AM12" s="33">
        <f t="shared" ref="AM12:AP12" si="49">+AM10</f>
        <v>10000000</v>
      </c>
      <c r="AN12" s="33">
        <f t="shared" si="49"/>
        <v>10000000</v>
      </c>
      <c r="AO12" s="33">
        <f t="shared" si="49"/>
        <v>10000000</v>
      </c>
      <c r="AP12" s="33">
        <f t="shared" si="49"/>
        <v>10000000</v>
      </c>
      <c r="AQ12" s="33">
        <f t="shared" ref="AQ12:AU12" si="50">+AQ10</f>
        <v>10000000</v>
      </c>
      <c r="AR12" s="33">
        <f t="shared" si="50"/>
        <v>10000000</v>
      </c>
      <c r="AS12" s="33">
        <f t="shared" si="50"/>
        <v>10000000</v>
      </c>
      <c r="AT12" s="33">
        <f t="shared" si="50"/>
        <v>10000000</v>
      </c>
      <c r="AU12" s="33">
        <f t="shared" si="50"/>
        <v>10000000</v>
      </c>
      <c r="AV12" s="33">
        <f t="shared" ref="AV12:BC12" si="51">+AV10</f>
        <v>-15000000</v>
      </c>
      <c r="AW12" s="33">
        <f t="shared" si="51"/>
        <v>-15000000</v>
      </c>
      <c r="AX12" s="33">
        <f t="shared" si="51"/>
        <v>-15000000</v>
      </c>
      <c r="AY12" s="33">
        <f t="shared" si="51"/>
        <v>-15000000</v>
      </c>
      <c r="AZ12" s="33">
        <f t="shared" si="51"/>
        <v>-15000000</v>
      </c>
      <c r="BA12" s="33">
        <f t="shared" si="51"/>
        <v>-15000000</v>
      </c>
      <c r="BB12" s="33">
        <f t="shared" si="51"/>
        <v>-15000000</v>
      </c>
      <c r="BC12" s="33">
        <f t="shared" si="51"/>
        <v>-15000000</v>
      </c>
      <c r="BD12" s="33">
        <f t="shared" ref="BD12:BE12" si="52">+BD10</f>
        <v>-15000000</v>
      </c>
      <c r="BE12" s="33">
        <f t="shared" si="52"/>
        <v>-15000000</v>
      </c>
    </row>
    <row r="13" spans="1:57" x14ac:dyDescent="0.35">
      <c r="A13" s="55"/>
      <c r="B13" s="3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 spans="1:57" ht="15.5" x14ac:dyDescent="0.35">
      <c r="A14" s="1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6" spans="1:57" x14ac:dyDescent="0.35">
      <c r="A16" s="43" t="s">
        <v>16</v>
      </c>
      <c r="B16" t="s">
        <v>286</v>
      </c>
    </row>
    <row r="17" spans="2:2" x14ac:dyDescent="0.35">
      <c r="B17" t="s">
        <v>287</v>
      </c>
    </row>
    <row r="108" spans="1:57" x14ac:dyDescent="0.35">
      <c r="A108" s="85">
        <f>MAX(A$6:A107)+1</f>
        <v>4</v>
      </c>
      <c r="B108" s="72" t="s">
        <v>265</v>
      </c>
      <c r="C108" s="88">
        <f>+C10</f>
        <v>0</v>
      </c>
      <c r="D108" s="88">
        <f t="shared" ref="D108:AA108" si="53">+D10</f>
        <v>0</v>
      </c>
      <c r="E108" s="88">
        <f t="shared" si="53"/>
        <v>0</v>
      </c>
      <c r="F108" s="88">
        <f t="shared" si="53"/>
        <v>0</v>
      </c>
      <c r="G108" s="88">
        <f t="shared" si="53"/>
        <v>0</v>
      </c>
      <c r="H108" s="88">
        <f t="shared" si="53"/>
        <v>10000000</v>
      </c>
      <c r="I108" s="88">
        <f t="shared" si="53"/>
        <v>10000000</v>
      </c>
      <c r="J108" s="88">
        <f t="shared" si="53"/>
        <v>10000000</v>
      </c>
      <c r="K108" s="88">
        <f t="shared" si="53"/>
        <v>10000000</v>
      </c>
      <c r="L108" s="88">
        <f t="shared" si="53"/>
        <v>10000000</v>
      </c>
      <c r="M108" s="88">
        <f t="shared" si="53"/>
        <v>10000000</v>
      </c>
      <c r="N108" s="88">
        <f t="shared" si="53"/>
        <v>10000000</v>
      </c>
      <c r="O108" s="88">
        <f t="shared" si="53"/>
        <v>10000000</v>
      </c>
      <c r="P108" s="88">
        <f t="shared" si="53"/>
        <v>10000000</v>
      </c>
      <c r="Q108" s="88">
        <f t="shared" si="53"/>
        <v>10000000</v>
      </c>
      <c r="R108" s="88">
        <f t="shared" si="53"/>
        <v>-15000000</v>
      </c>
      <c r="S108" s="88">
        <f t="shared" si="53"/>
        <v>-15000000</v>
      </c>
      <c r="T108" s="88">
        <f t="shared" si="53"/>
        <v>-15000000</v>
      </c>
      <c r="U108" s="88">
        <f t="shared" si="53"/>
        <v>-15000000</v>
      </c>
      <c r="V108" s="88">
        <f t="shared" si="53"/>
        <v>-15000000</v>
      </c>
      <c r="W108" s="88">
        <f t="shared" si="53"/>
        <v>-15000000</v>
      </c>
      <c r="X108" s="88">
        <f t="shared" si="53"/>
        <v>-15000000</v>
      </c>
      <c r="Y108" s="88">
        <f t="shared" si="53"/>
        <v>-15000000</v>
      </c>
      <c r="Z108" s="88">
        <f t="shared" si="53"/>
        <v>-15000000</v>
      </c>
      <c r="AA108" s="88">
        <f t="shared" si="53"/>
        <v>-15000000</v>
      </c>
      <c r="AE108" s="154" t="str">
        <f>B108</f>
        <v xml:space="preserve">PWD (Dept 28) Subtotal </v>
      </c>
      <c r="AF108" s="183"/>
      <c r="AG108" s="88">
        <f t="shared" ref="AG108:BE108" si="54">+AG10</f>
        <v>0</v>
      </c>
      <c r="AH108" s="88">
        <f t="shared" si="54"/>
        <v>0</v>
      </c>
      <c r="AI108" s="88">
        <f t="shared" si="54"/>
        <v>0</v>
      </c>
      <c r="AJ108" s="88">
        <f t="shared" si="54"/>
        <v>0</v>
      </c>
      <c r="AK108" s="88">
        <f t="shared" si="54"/>
        <v>0</v>
      </c>
      <c r="AL108" s="88">
        <f t="shared" si="54"/>
        <v>10000000</v>
      </c>
      <c r="AM108" s="88">
        <f t="shared" si="54"/>
        <v>10000000</v>
      </c>
      <c r="AN108" s="88">
        <f t="shared" si="54"/>
        <v>10000000</v>
      </c>
      <c r="AO108" s="88">
        <f t="shared" si="54"/>
        <v>10000000</v>
      </c>
      <c r="AP108" s="88">
        <f t="shared" si="54"/>
        <v>10000000</v>
      </c>
      <c r="AQ108" s="88">
        <f t="shared" si="54"/>
        <v>10000000</v>
      </c>
      <c r="AR108" s="88">
        <f t="shared" si="54"/>
        <v>10000000</v>
      </c>
      <c r="AS108" s="88">
        <f t="shared" si="54"/>
        <v>10000000</v>
      </c>
      <c r="AT108" s="88">
        <f t="shared" si="54"/>
        <v>10000000</v>
      </c>
      <c r="AU108" s="88">
        <f t="shared" si="54"/>
        <v>10000000</v>
      </c>
      <c r="AV108" s="88">
        <f t="shared" si="54"/>
        <v>-15000000</v>
      </c>
      <c r="AW108" s="88">
        <f t="shared" si="54"/>
        <v>-15000000</v>
      </c>
      <c r="AX108" s="88">
        <f t="shared" si="54"/>
        <v>-15000000</v>
      </c>
      <c r="AY108" s="88">
        <f t="shared" si="54"/>
        <v>-15000000</v>
      </c>
      <c r="AZ108" s="88">
        <f t="shared" si="54"/>
        <v>-15000000</v>
      </c>
      <c r="BA108" s="88">
        <f t="shared" si="54"/>
        <v>-15000000</v>
      </c>
      <c r="BB108" s="88">
        <f t="shared" si="54"/>
        <v>-15000000</v>
      </c>
      <c r="BC108" s="88">
        <f t="shared" si="54"/>
        <v>-15000000</v>
      </c>
      <c r="BD108" s="88">
        <f t="shared" si="54"/>
        <v>-15000000</v>
      </c>
      <c r="BE108" s="88">
        <f t="shared" si="54"/>
        <v>-15000000</v>
      </c>
    </row>
    <row r="109" spans="1:57" x14ac:dyDescent="0.35">
      <c r="A109" s="86"/>
      <c r="B109" s="65"/>
      <c r="C109" s="81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</row>
    <row r="110" spans="1:57" x14ac:dyDescent="0.35">
      <c r="A110" s="85">
        <f>MAX(A$6:A109)+1</f>
        <v>5</v>
      </c>
      <c r="B110" s="72" t="s">
        <v>266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E110" s="154" t="str">
        <f>B110</f>
        <v>OD Subtotal</v>
      </c>
      <c r="AF110" s="183"/>
      <c r="AG110" s="183"/>
      <c r="AH110" s="183"/>
      <c r="AI110" s="183"/>
      <c r="AJ110" s="183"/>
      <c r="AK110" s="183"/>
      <c r="AL110" s="183"/>
      <c r="AM110" s="183"/>
      <c r="AN110" s="183"/>
      <c r="AO110" s="183"/>
      <c r="AP110" s="183"/>
      <c r="AQ110" s="183"/>
      <c r="AR110" s="183"/>
      <c r="AS110" s="183"/>
      <c r="AT110" s="183"/>
      <c r="AU110" s="183"/>
      <c r="AV110" s="183"/>
      <c r="AW110" s="183"/>
      <c r="AX110" s="183"/>
      <c r="AY110" s="183"/>
      <c r="AZ110" s="183"/>
      <c r="BA110" s="183"/>
      <c r="BB110" s="183"/>
      <c r="BC110" s="183"/>
      <c r="BD110" s="183"/>
      <c r="BE110" s="183"/>
    </row>
    <row r="111" spans="1:57" x14ac:dyDescent="0.35">
      <c r="A111" s="87"/>
      <c r="C111" s="78"/>
    </row>
    <row r="112" spans="1:57" x14ac:dyDescent="0.35">
      <c r="A112" s="87"/>
      <c r="B112" t="s">
        <v>267</v>
      </c>
      <c r="C112" s="78">
        <f>+C108+C110-C12</f>
        <v>0</v>
      </c>
      <c r="D112" s="78">
        <f t="shared" ref="D112:AA112" si="55">+D108+D110-D12</f>
        <v>0</v>
      </c>
      <c r="E112" s="78">
        <f t="shared" si="55"/>
        <v>0</v>
      </c>
      <c r="F112" s="78">
        <f t="shared" si="55"/>
        <v>0</v>
      </c>
      <c r="G112" s="78">
        <f t="shared" si="55"/>
        <v>0</v>
      </c>
      <c r="H112" s="78">
        <f t="shared" si="55"/>
        <v>0</v>
      </c>
      <c r="I112" s="78">
        <f t="shared" si="55"/>
        <v>0</v>
      </c>
      <c r="J112" s="78">
        <f t="shared" si="55"/>
        <v>0</v>
      </c>
      <c r="K112" s="78">
        <f t="shared" si="55"/>
        <v>0</v>
      </c>
      <c r="L112" s="78">
        <f t="shared" si="55"/>
        <v>0</v>
      </c>
      <c r="M112" s="78">
        <f t="shared" si="55"/>
        <v>0</v>
      </c>
      <c r="N112" s="78">
        <f t="shared" si="55"/>
        <v>0</v>
      </c>
      <c r="O112" s="78">
        <f t="shared" si="55"/>
        <v>0</v>
      </c>
      <c r="P112" s="78">
        <f t="shared" si="55"/>
        <v>0</v>
      </c>
      <c r="Q112" s="78">
        <f t="shared" si="55"/>
        <v>0</v>
      </c>
      <c r="R112" s="78">
        <f t="shared" si="55"/>
        <v>0</v>
      </c>
      <c r="S112" s="78">
        <f t="shared" si="55"/>
        <v>0</v>
      </c>
      <c r="T112" s="78">
        <f t="shared" si="55"/>
        <v>0</v>
      </c>
      <c r="U112" s="78">
        <f t="shared" si="55"/>
        <v>0</v>
      </c>
      <c r="V112" s="78">
        <f t="shared" si="55"/>
        <v>0</v>
      </c>
      <c r="W112" s="78">
        <f t="shared" si="55"/>
        <v>0</v>
      </c>
      <c r="X112" s="78">
        <f t="shared" si="55"/>
        <v>0</v>
      </c>
      <c r="Y112" s="78">
        <f t="shared" si="55"/>
        <v>0</v>
      </c>
      <c r="Z112" s="78">
        <f t="shared" si="55"/>
        <v>0</v>
      </c>
      <c r="AA112" s="78">
        <f t="shared" si="55"/>
        <v>0</v>
      </c>
      <c r="AE112" t="str">
        <f>B112</f>
        <v xml:space="preserve">Check </v>
      </c>
      <c r="AG112" s="78">
        <f t="shared" ref="AG112:BE112" si="56">+AG108+AG110-AG12</f>
        <v>0</v>
      </c>
      <c r="AH112" s="78">
        <f t="shared" si="56"/>
        <v>0</v>
      </c>
      <c r="AI112" s="78">
        <f t="shared" si="56"/>
        <v>0</v>
      </c>
      <c r="AJ112" s="78">
        <f t="shared" si="56"/>
        <v>0</v>
      </c>
      <c r="AK112" s="78">
        <f t="shared" si="56"/>
        <v>0</v>
      </c>
      <c r="AL112" s="78">
        <f t="shared" si="56"/>
        <v>0</v>
      </c>
      <c r="AM112" s="78">
        <f t="shared" si="56"/>
        <v>0</v>
      </c>
      <c r="AN112" s="78">
        <f t="shared" si="56"/>
        <v>0</v>
      </c>
      <c r="AO112" s="78">
        <f t="shared" si="56"/>
        <v>0</v>
      </c>
      <c r="AP112" s="78">
        <f t="shared" si="56"/>
        <v>0</v>
      </c>
      <c r="AQ112" s="78">
        <f t="shared" si="56"/>
        <v>0</v>
      </c>
      <c r="AR112" s="78">
        <f t="shared" si="56"/>
        <v>0</v>
      </c>
      <c r="AS112" s="78">
        <f t="shared" si="56"/>
        <v>0</v>
      </c>
      <c r="AT112" s="78">
        <f t="shared" si="56"/>
        <v>0</v>
      </c>
      <c r="AU112" s="78">
        <f t="shared" si="56"/>
        <v>0</v>
      </c>
      <c r="AV112" s="78">
        <f t="shared" si="56"/>
        <v>0</v>
      </c>
      <c r="AW112" s="78">
        <f t="shared" si="56"/>
        <v>0</v>
      </c>
      <c r="AX112" s="78">
        <f t="shared" si="56"/>
        <v>0</v>
      </c>
      <c r="AY112" s="78">
        <f t="shared" si="56"/>
        <v>0</v>
      </c>
      <c r="AZ112" s="78">
        <f t="shared" si="56"/>
        <v>0</v>
      </c>
      <c r="BA112" s="78">
        <f t="shared" si="56"/>
        <v>0</v>
      </c>
      <c r="BB112" s="78">
        <f t="shared" si="56"/>
        <v>0</v>
      </c>
      <c r="BC112" s="78">
        <f t="shared" si="56"/>
        <v>0</v>
      </c>
      <c r="BD112" s="78">
        <f t="shared" si="56"/>
        <v>0</v>
      </c>
      <c r="BE112" s="78">
        <f t="shared" si="56"/>
        <v>0</v>
      </c>
    </row>
  </sheetData>
  <mergeCells count="1">
    <mergeCell ref="AC1:AE1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B15EA932-D346-4108-8769-7022F035AF65}">
          <x14:formula1>
            <xm:f>Assumptions!$B$6:$B$20</xm:f>
          </x14:formula1>
          <xm:sqref>AC6</xm:sqref>
        </x14:dataValidation>
        <x14:dataValidation type="list" allowBlank="1" showInputMessage="1" showErrorMessage="1" xr:uid="{1F85275B-9809-4245-A707-5A6B43D23CD9}">
          <x14:formula1>
            <xm:f>Assumptions!$E$27:$E$193</xm:f>
          </x14:formula1>
          <xm:sqref>AE10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E101"/>
  <sheetViews>
    <sheetView topLeftCell="A50" zoomScale="98" zoomScaleNormal="98" workbookViewId="0">
      <selection activeCell="A70" sqref="A70"/>
    </sheetView>
  </sheetViews>
  <sheetFormatPr defaultRowHeight="14.5" x14ac:dyDescent="0.35"/>
  <cols>
    <col min="1" max="1" width="9.1796875" style="43"/>
    <col min="2" max="2" width="28.81640625" bestFit="1" customWidth="1"/>
    <col min="3" max="7" width="15.453125" bestFit="1" customWidth="1"/>
    <col min="8" max="12" width="15.81640625" bestFit="1" customWidth="1"/>
    <col min="13" max="27" width="15.81640625" customWidth="1"/>
    <col min="28" max="30" width="12.54296875" bestFit="1" customWidth="1"/>
    <col min="31" max="31" width="30.26953125" bestFit="1" customWidth="1"/>
    <col min="32" max="35" width="12.54296875" bestFit="1" customWidth="1"/>
    <col min="36" max="42" width="14" customWidth="1"/>
    <col min="43" max="57" width="12.81640625" customWidth="1"/>
  </cols>
  <sheetData>
    <row r="1" spans="1:57" ht="19" thickTop="1" x14ac:dyDescent="0.45">
      <c r="A1" s="63" t="s">
        <v>145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AF2" t="s">
        <v>2</v>
      </c>
    </row>
    <row r="3" spans="1:57" ht="16.5" thickTop="1" x14ac:dyDescent="0.5">
      <c r="A3" s="53" t="s">
        <v>146</v>
      </c>
      <c r="B3" s="58" t="s">
        <v>51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48">
        <v>1</v>
      </c>
      <c r="B6" s="17" t="s">
        <v>20</v>
      </c>
      <c r="C6" s="17"/>
      <c r="D6" s="5">
        <v>0</v>
      </c>
      <c r="E6" s="5">
        <v>3.2500000000000001E-2</v>
      </c>
      <c r="F6" s="5">
        <v>0.03</v>
      </c>
      <c r="G6" s="112">
        <f>SUMIF(Assumptions!$B$6:$B$20,$AC$6,Assumptions!E$6:E$20)</f>
        <v>0.05</v>
      </c>
      <c r="H6" s="112">
        <f>SUMIF(Assumptions!$B$6:$B$20,$AC$6,Assumptions!F$6:F$20)</f>
        <v>3.5000000000000003E-2</v>
      </c>
      <c r="I6" s="112">
        <f>SUMIF(Assumptions!$B$6:$B$20,$AC$6,Assumptions!G$6:G$20)</f>
        <v>3.5000000000000003E-2</v>
      </c>
      <c r="J6" s="112">
        <f>SUMIF(Assumptions!$B$6:$B$20,$AC$6,Assumptions!H$6:H$20)</f>
        <v>3.5000000000000003E-2</v>
      </c>
      <c r="K6" s="112">
        <f>SUMIF(Assumptions!$B$6:$B$20,$AC$6,Assumptions!I$6:I$20)</f>
        <v>3.5000000000000003E-2</v>
      </c>
      <c r="L6" s="112">
        <f>SUMIF(Assumptions!$B$6:$B$20,$AC$6,Assumptions!J$6:J$20)</f>
        <v>3.5000000000000003E-2</v>
      </c>
      <c r="M6" s="112">
        <f>SUMIF(Assumptions!$B$6:$B$20,$AC$6,Assumptions!K$6:K$20)</f>
        <v>3.5000000000000003E-2</v>
      </c>
      <c r="N6" s="112">
        <f>SUMIF(Assumptions!$B$6:$B$20,$AC$6,Assumptions!L$6:L$20)</f>
        <v>3.5000000000000003E-2</v>
      </c>
      <c r="O6" s="112">
        <f>SUMIF(Assumptions!$B$6:$B$20,$AC$6,Assumptions!M$6:M$20)</f>
        <v>3.5000000000000003E-2</v>
      </c>
      <c r="P6" s="112">
        <f>SUMIF(Assumptions!$B$6:$B$20,$AC$6,Assumptions!N$6:N$20)</f>
        <v>3.5000000000000003E-2</v>
      </c>
      <c r="Q6" s="112">
        <f>SUMIF(Assumptions!$B$6:$B$20,$AC$6,Assumptions!O$6:O$20)</f>
        <v>3.5000000000000003E-2</v>
      </c>
      <c r="R6" s="112">
        <f>SUMIF(Assumptions!$B$6:$B$20,$AC$6,Assumptions!P$6:P$20)</f>
        <v>3.5000000000000003E-2</v>
      </c>
      <c r="S6" s="112">
        <f>SUMIF(Assumptions!$B$6:$B$20,$AC$6,Assumptions!Q$6:Q$20)</f>
        <v>3.5000000000000003E-2</v>
      </c>
      <c r="T6" s="112">
        <f>SUMIF(Assumptions!$B$6:$B$20,$AC$6,Assumptions!R$6:R$20)</f>
        <v>3.5000000000000003E-2</v>
      </c>
      <c r="U6" s="112">
        <f>SUMIF(Assumptions!$B$6:$B$20,$AC$6,Assumptions!S$6:S$20)</f>
        <v>3.5000000000000003E-2</v>
      </c>
      <c r="V6" s="112">
        <f>SUMIF(Assumptions!$B$6:$B$20,$AC$6,Assumptions!T$6:T$20)</f>
        <v>3.5000000000000003E-2</v>
      </c>
      <c r="W6" s="112">
        <f>SUMIF(Assumptions!$B$6:$B$20,$AC$6,Assumptions!U$6:U$20)</f>
        <v>3.5000000000000003E-2</v>
      </c>
      <c r="X6" s="112">
        <f>SUMIF(Assumptions!$B$6:$B$20,$AC$6,Assumptions!V$6:V$20)</f>
        <v>3.5000000000000003E-2</v>
      </c>
      <c r="Y6" s="112">
        <f>SUMIF(Assumptions!$B$6:$B$20,$AC$6,Assumptions!W$6:W$20)</f>
        <v>3.5000000000000003E-2</v>
      </c>
      <c r="Z6" s="112">
        <f>SUMIF(Assumptions!$B$6:$B$20,$AC$6,Assumptions!X$6:X$20)</f>
        <v>3.5000000000000003E-2</v>
      </c>
      <c r="AA6" s="112">
        <f>SUMIF(Assumptions!$B$6:$B$20,$AC$6,Assumptions!Y$6:Y$20)</f>
        <v>3.5000000000000003E-2</v>
      </c>
      <c r="AC6" s="172" t="s">
        <v>10</v>
      </c>
    </row>
    <row r="7" spans="1:57" x14ac:dyDescent="0.35">
      <c r="A7" s="50">
        <f>MAX(A$6:A6)+1</f>
        <v>2</v>
      </c>
      <c r="B7" s="24" t="s">
        <v>45</v>
      </c>
      <c r="C7" s="24"/>
      <c r="D7" s="5">
        <v>0</v>
      </c>
      <c r="E7" s="5">
        <v>7.7700000000000005E-2</v>
      </c>
      <c r="F7" s="5">
        <v>6.7000000000000004E-2</v>
      </c>
      <c r="G7" s="112">
        <f>SUMIF(Assumptions!$B$6:$B$20,$AC$7,Assumptions!E$6:E$20)</f>
        <v>3.3799999999999997E-2</v>
      </c>
      <c r="H7" s="112">
        <f>SUMIF(Assumptions!$B$6:$B$20,$AC$7,Assumptions!F$6:F$20)</f>
        <v>3.3799999999999997E-2</v>
      </c>
      <c r="I7" s="112">
        <f>SUMIF(Assumptions!$B$6:$B$20,$AC$7,Assumptions!G$6:G$20)</f>
        <v>4.1799999999999997E-2</v>
      </c>
      <c r="J7" s="112">
        <f>SUMIF(Assumptions!$B$6:$B$20,$AC$7,Assumptions!H$6:H$20)</f>
        <v>4.1799999999999997E-2</v>
      </c>
      <c r="K7" s="112">
        <f>SUMIF(Assumptions!$B$6:$B$20,$AC$7,Assumptions!I$6:I$20)</f>
        <v>4.1799999999999997E-2</v>
      </c>
      <c r="L7" s="112">
        <f>SUMIF(Assumptions!$B$6:$B$20,$AC$7,Assumptions!J$6:J$20)</f>
        <v>4.1799999999999997E-2</v>
      </c>
      <c r="M7" s="112">
        <f>SUMIF(Assumptions!$B$6:$B$20,$AC$7,Assumptions!K$6:K$20)</f>
        <v>4.1799999999999997E-2</v>
      </c>
      <c r="N7" s="112">
        <f>SUMIF(Assumptions!$B$6:$B$20,$AC$7,Assumptions!L$6:L$20)</f>
        <v>4.1799999999999997E-2</v>
      </c>
      <c r="O7" s="112">
        <f>SUMIF(Assumptions!$B$6:$B$20,$AC$7,Assumptions!M$6:M$20)</f>
        <v>4.1799999999999997E-2</v>
      </c>
      <c r="P7" s="112">
        <f>SUMIF(Assumptions!$B$6:$B$20,$AC$7,Assumptions!N$6:N$20)</f>
        <v>4.1799999999999997E-2</v>
      </c>
      <c r="Q7" s="112">
        <f>SUMIF(Assumptions!$B$6:$B$20,$AC$7,Assumptions!O$6:O$20)</f>
        <v>4.1799999999999997E-2</v>
      </c>
      <c r="R7" s="112">
        <f>SUMIF(Assumptions!$B$6:$B$20,$AC$7,Assumptions!P$6:P$20)</f>
        <v>4.1799999999999997E-2</v>
      </c>
      <c r="S7" s="112">
        <f>SUMIF(Assumptions!$B$6:$B$20,$AC$7,Assumptions!Q$6:Q$20)</f>
        <v>4.1799999999999997E-2</v>
      </c>
      <c r="T7" s="112">
        <f>SUMIF(Assumptions!$B$6:$B$20,$AC$7,Assumptions!R$6:R$20)</f>
        <v>4.1799999999999997E-2</v>
      </c>
      <c r="U7" s="112">
        <f>SUMIF(Assumptions!$B$6:$B$20,$AC$7,Assumptions!S$6:S$20)</f>
        <v>4.1799999999999997E-2</v>
      </c>
      <c r="V7" s="112">
        <f>SUMIF(Assumptions!$B$6:$B$20,$AC$7,Assumptions!T$6:T$20)</f>
        <v>4.1799999999999997E-2</v>
      </c>
      <c r="W7" s="112">
        <f>SUMIF(Assumptions!$B$6:$B$20,$AC$7,Assumptions!U$6:U$20)</f>
        <v>4.1799999999999997E-2</v>
      </c>
      <c r="X7" s="112">
        <f>SUMIF(Assumptions!$B$6:$B$20,$AC$7,Assumptions!V$6:V$20)</f>
        <v>4.1799999999999997E-2</v>
      </c>
      <c r="Y7" s="112">
        <f>SUMIF(Assumptions!$B$6:$B$20,$AC$7,Assumptions!W$6:W$20)</f>
        <v>4.1799999999999997E-2</v>
      </c>
      <c r="Z7" s="112">
        <f>SUMIF(Assumptions!$B$6:$B$20,$AC$7,Assumptions!X$6:X$20)</f>
        <v>4.1799999999999997E-2</v>
      </c>
      <c r="AA7" s="112">
        <f>SUMIF(Assumptions!$B$6:$B$20,$AC$7,Assumptions!Y$6:Y$20)</f>
        <v>4.1799999999999997E-2</v>
      </c>
      <c r="AC7" s="172" t="s">
        <v>46</v>
      </c>
    </row>
    <row r="8" spans="1:57" x14ac:dyDescent="0.35">
      <c r="A8" s="48">
        <f>MAX(A$6:A7)+1</f>
        <v>3</v>
      </c>
      <c r="B8" s="17" t="s">
        <v>73</v>
      </c>
      <c r="C8" s="17"/>
      <c r="D8" s="5">
        <v>0</v>
      </c>
      <c r="E8" s="5">
        <v>7.7700000000000005E-2</v>
      </c>
      <c r="F8" s="5">
        <v>6.7000000000000004E-2</v>
      </c>
      <c r="G8" s="112">
        <f>SUMIF(Assumptions!$B$6:$B$20,$AC$8,Assumptions!E$6:E$20)</f>
        <v>3.3799999999999997E-2</v>
      </c>
      <c r="H8" s="112">
        <f>SUMIF(Assumptions!$B$6:$B$20,$AC$8,Assumptions!F$6:F$20)</f>
        <v>3.3799999999999997E-2</v>
      </c>
      <c r="I8" s="112">
        <f>SUMIF(Assumptions!$B$6:$B$20,$AC$8,Assumptions!G$6:G$20)</f>
        <v>4.1799999999999997E-2</v>
      </c>
      <c r="J8" s="112">
        <f>SUMIF(Assumptions!$B$6:$B$20,$AC$8,Assumptions!H$6:H$20)</f>
        <v>4.1799999999999997E-2</v>
      </c>
      <c r="K8" s="112">
        <f>SUMIF(Assumptions!$B$6:$B$20,$AC$8,Assumptions!I$6:I$20)</f>
        <v>4.1799999999999997E-2</v>
      </c>
      <c r="L8" s="112">
        <f>SUMIF(Assumptions!$B$6:$B$20,$AC$8,Assumptions!J$6:J$20)</f>
        <v>4.1799999999999997E-2</v>
      </c>
      <c r="M8" s="112">
        <f>SUMIF(Assumptions!$B$6:$B$20,$AC$8,Assumptions!K$6:K$20)</f>
        <v>4.1799999999999997E-2</v>
      </c>
      <c r="N8" s="112">
        <f>SUMIF(Assumptions!$B$6:$B$20,$AC$8,Assumptions!L$6:L$20)</f>
        <v>4.1799999999999997E-2</v>
      </c>
      <c r="O8" s="112">
        <f>SUMIF(Assumptions!$B$6:$B$20,$AC$8,Assumptions!M$6:M$20)</f>
        <v>4.1799999999999997E-2</v>
      </c>
      <c r="P8" s="112">
        <f>SUMIF(Assumptions!$B$6:$B$20,$AC$8,Assumptions!N$6:N$20)</f>
        <v>4.1799999999999997E-2</v>
      </c>
      <c r="Q8" s="112">
        <f>SUMIF(Assumptions!$B$6:$B$20,$AC$8,Assumptions!O$6:O$20)</f>
        <v>4.1799999999999997E-2</v>
      </c>
      <c r="R8" s="112">
        <f>SUMIF(Assumptions!$B$6:$B$20,$AC$8,Assumptions!P$6:P$20)</f>
        <v>4.1799999999999997E-2</v>
      </c>
      <c r="S8" s="112">
        <f>SUMIF(Assumptions!$B$6:$B$20,$AC$8,Assumptions!Q$6:Q$20)</f>
        <v>4.1799999999999997E-2</v>
      </c>
      <c r="T8" s="112">
        <f>SUMIF(Assumptions!$B$6:$B$20,$AC$8,Assumptions!R$6:R$20)</f>
        <v>4.1799999999999997E-2</v>
      </c>
      <c r="U8" s="112">
        <f>SUMIF(Assumptions!$B$6:$B$20,$AC$8,Assumptions!S$6:S$20)</f>
        <v>4.1799999999999997E-2</v>
      </c>
      <c r="V8" s="112">
        <f>SUMIF(Assumptions!$B$6:$B$20,$AC$8,Assumptions!T$6:T$20)</f>
        <v>4.1799999999999997E-2</v>
      </c>
      <c r="W8" s="112">
        <f>SUMIF(Assumptions!$B$6:$B$20,$AC$8,Assumptions!U$6:U$20)</f>
        <v>4.1799999999999997E-2</v>
      </c>
      <c r="X8" s="112">
        <f>SUMIF(Assumptions!$B$6:$B$20,$AC$8,Assumptions!V$6:V$20)</f>
        <v>4.1799999999999997E-2</v>
      </c>
      <c r="Y8" s="112">
        <f>SUMIF(Assumptions!$B$6:$B$20,$AC$8,Assumptions!W$6:W$20)</f>
        <v>4.1799999999999997E-2</v>
      </c>
      <c r="Z8" s="112">
        <f>SUMIF(Assumptions!$B$6:$B$20,$AC$8,Assumptions!X$6:X$20)</f>
        <v>4.1799999999999997E-2</v>
      </c>
      <c r="AA8" s="112">
        <f>SUMIF(Assumptions!$B$6:$B$20,$AC$8,Assumptions!Y$6:Y$20)</f>
        <v>4.1799999999999997E-2</v>
      </c>
      <c r="AC8" s="172" t="s">
        <v>74</v>
      </c>
    </row>
    <row r="9" spans="1:57" x14ac:dyDescent="0.35">
      <c r="A9" s="50">
        <f>MAX(A$6:A8)+1</f>
        <v>4</v>
      </c>
      <c r="B9" s="24" t="s">
        <v>64</v>
      </c>
      <c r="C9" s="24"/>
      <c r="D9" s="5">
        <v>0</v>
      </c>
      <c r="E9" s="5">
        <v>0.1012</v>
      </c>
      <c r="F9" s="5">
        <v>9.4100000000000003E-2</v>
      </c>
      <c r="G9" s="112">
        <f>SUMIF(Assumptions!$B$6:$B$20,$AC$9,Assumptions!E$6:E$20)</f>
        <v>2.06E-2</v>
      </c>
      <c r="H9" s="112">
        <f>SUMIF(Assumptions!$B$6:$B$20,$AC$9,Assumptions!F$6:F$20)</f>
        <v>2.06E-2</v>
      </c>
      <c r="I9" s="112">
        <f>SUMIF(Assumptions!$B$6:$B$20,$AC$9,Assumptions!G$6:G$20)</f>
        <v>5.6399999999999999E-2</v>
      </c>
      <c r="J9" s="112">
        <f>SUMIF(Assumptions!$B$6:$B$20,$AC$9,Assumptions!H$6:H$20)</f>
        <v>5.6399999999999999E-2</v>
      </c>
      <c r="K9" s="112">
        <f>SUMIF(Assumptions!$B$6:$B$20,$AC$9,Assumptions!I$6:I$20)</f>
        <v>5.6399999999999999E-2</v>
      </c>
      <c r="L9" s="112">
        <f>SUMIF(Assumptions!$B$6:$B$20,$AC$9,Assumptions!J$6:J$20)</f>
        <v>5.6399999999999999E-2</v>
      </c>
      <c r="M9" s="112">
        <f>SUMIF(Assumptions!$B$6:$B$20,$AC$9,Assumptions!K$6:K$20)</f>
        <v>5.6399999999999999E-2</v>
      </c>
      <c r="N9" s="112">
        <f>SUMIF(Assumptions!$B$6:$B$20,$AC$9,Assumptions!L$6:L$20)</f>
        <v>5.6399999999999999E-2</v>
      </c>
      <c r="O9" s="112">
        <f>SUMIF(Assumptions!$B$6:$B$20,$AC$9,Assumptions!M$6:M$20)</f>
        <v>5.6399999999999999E-2</v>
      </c>
      <c r="P9" s="112">
        <f>SUMIF(Assumptions!$B$6:$B$20,$AC$9,Assumptions!N$6:N$20)</f>
        <v>5.6399999999999999E-2</v>
      </c>
      <c r="Q9" s="112">
        <f>SUMIF(Assumptions!$B$6:$B$20,$AC$9,Assumptions!O$6:O$20)</f>
        <v>5.6399999999999999E-2</v>
      </c>
      <c r="R9" s="112">
        <f>SUMIF(Assumptions!$B$6:$B$20,$AC$9,Assumptions!P$6:P$20)</f>
        <v>5.6399999999999999E-2</v>
      </c>
      <c r="S9" s="112">
        <f>SUMIF(Assumptions!$B$6:$B$20,$AC$9,Assumptions!Q$6:Q$20)</f>
        <v>5.6399999999999999E-2</v>
      </c>
      <c r="T9" s="112">
        <f>SUMIF(Assumptions!$B$6:$B$20,$AC$9,Assumptions!R$6:R$20)</f>
        <v>5.6399999999999999E-2</v>
      </c>
      <c r="U9" s="112">
        <f>SUMIF(Assumptions!$B$6:$B$20,$AC$9,Assumptions!S$6:S$20)</f>
        <v>5.6399999999999999E-2</v>
      </c>
      <c r="V9" s="112">
        <f>SUMIF(Assumptions!$B$6:$B$20,$AC$9,Assumptions!T$6:T$20)</f>
        <v>5.6399999999999999E-2</v>
      </c>
      <c r="W9" s="112">
        <f>SUMIF(Assumptions!$B$6:$B$20,$AC$9,Assumptions!U$6:U$20)</f>
        <v>5.6399999999999999E-2</v>
      </c>
      <c r="X9" s="112">
        <f>SUMIF(Assumptions!$B$6:$B$20,$AC$9,Assumptions!V$6:V$20)</f>
        <v>5.6399999999999999E-2</v>
      </c>
      <c r="Y9" s="112">
        <f>SUMIF(Assumptions!$B$6:$B$20,$AC$9,Assumptions!W$6:W$20)</f>
        <v>5.6399999999999999E-2</v>
      </c>
      <c r="Z9" s="112">
        <f>SUMIF(Assumptions!$B$6:$B$20,$AC$9,Assumptions!X$6:X$20)</f>
        <v>5.6399999999999999E-2</v>
      </c>
      <c r="AA9" s="112">
        <f>SUMIF(Assumptions!$B$6:$B$20,$AC$9,Assumptions!Y$6:Y$20)</f>
        <v>5.6399999999999999E-2</v>
      </c>
      <c r="AC9" s="172" t="s">
        <v>65</v>
      </c>
    </row>
    <row r="10" spans="1:57" x14ac:dyDescent="0.35">
      <c r="A10" s="48">
        <f>MAX(A$6:A9)+1</f>
        <v>5</v>
      </c>
      <c r="B10" s="17" t="s">
        <v>147</v>
      </c>
      <c r="C10" s="17"/>
      <c r="D10" s="73">
        <v>0</v>
      </c>
      <c r="E10" s="73">
        <f>+(1+D6)*(1+E6)-1</f>
        <v>3.2499999999999973E-2</v>
      </c>
      <c r="F10" s="73">
        <f>+(1+D6)*(1+E6)*(1+F6)-1</f>
        <v>6.3474999999999948E-2</v>
      </c>
      <c r="G10" s="73">
        <f>+(1+D6)*(1+E6)*(1+F6)*(1+G6)-1</f>
        <v>0.11664874999999997</v>
      </c>
      <c r="H10" s="73">
        <f>+(1+D6)*(1+E6)*(1+F6)*(1+G6)*(1+H6)-1</f>
        <v>0.15573145624999984</v>
      </c>
      <c r="I10" s="73">
        <f>+(1+D6)*(1+E6)*(1+F6)*(1+G6)*(1+H6)*(1+I6)-1</f>
        <v>0.19618205721874982</v>
      </c>
      <c r="J10" s="73">
        <f>+(1+D6)*(1+E6)*(1+F6)*(1+G6)*(1+H6)*(1+I6)*(1+J6)-1</f>
        <v>0.23804842922140601</v>
      </c>
      <c r="K10" s="73">
        <f>+(1+D6)*(1+E6)*(1+F6)*(1+G6)*(1+H6)*(1+I6)*(1+J6)*(1+K6)-1</f>
        <v>0.28138012424415515</v>
      </c>
      <c r="L10" s="73">
        <f>+(1+D6)*(1+E6)*(1+F6)*(1+G6)*(1+H6)*(1+I6)*(1+J6)*(1+K6)*(1+L6)-1</f>
        <v>0.3262284285927004</v>
      </c>
      <c r="M10" s="73">
        <f>+(1+D6)*(1+E6)*(1+F6)*(1+G6)*(1+H6)*(1+I6)*(1+J6)*(1+K6)*(1+L6)*(1+M6)-1</f>
        <v>0.3726464235934448</v>
      </c>
      <c r="N10" s="73">
        <f>+(1+D6)*(1+E6)*(1+F6)*(1+G6)*(1+H6)*(1+I6)*(1+J6)*(1+K6)*(1+L6)*(1+M6)*(1+N6)-1</f>
        <v>0.42068904841921517</v>
      </c>
      <c r="O10" s="73">
        <f>+(1+D6)*(1+E6)*(1+F6)*(1+G6)*(1+H6)*(1+I6)*(1+J6)*(1+K6)*(1+L6)*(1+M6)*(1+N6)*(1+O6)-1</f>
        <v>0.47041316511388764</v>
      </c>
      <c r="P10" s="73">
        <f>+(1+D6)*(1+E6)*(1+F6)*(1+G6)*(1+H6)*(1+I6)*(1+J6)*(1+K6)*(1+L6)*(1+M6)*(1+N6)*(1+O6)*(1+P6)-1</f>
        <v>0.52187762589287368</v>
      </c>
      <c r="Q10" s="73">
        <f>+(1+D6)*(1+E6)*(1+F6)*(1+G6)*(1+H6)*(1+I6)*(1+J6)*(1+K6)*(1+L6)*(1+M6)*(1+N6)*(1+O6)*(1+P6)*(1+Q6)-1</f>
        <v>0.57514334279912416</v>
      </c>
      <c r="R10" s="73">
        <f>+(1+D6)*(1+E6)*(1+F6)*(1+G6)*(1+H6)*(1+I6)*(1+J6)*(1+K6)*(1+L6)*(1+M6)*(1+N6)*(1+O6)*(1+P6)*(1+Q6)*(1+R6)-1</f>
        <v>0.63027335979709331</v>
      </c>
      <c r="S10" s="73">
        <f>+(1+D6)*(1+E6)*(1+F6)*(1+G6)*(1+H6)*(1+I6)*(1+J6)*(1+K6)*(1+L6)*(1+M6)*(1+N6)*(1+O6)*(1+P6)*(1+Q6)*(1+R6)*(1+S6)-1</f>
        <v>0.68733292738999152</v>
      </c>
      <c r="T10" s="73">
        <f>+(1+D6)*(1+E6)*(1+F6)*(1+G6)*(1+H6)*(1+I6)*(1+J6)*(1+K6)*(1+L6)*(1+M6)*(1+N6)*(1+O6)*(1+P6)*(1+Q6)*(1+R6)*(1+S6)*(1+T6)-1</f>
        <v>0.74638957984864107</v>
      </c>
      <c r="U10" s="73">
        <f>+(1+D6)*(1+E6)*(1+F6)*(1+G6)*(1+H6)*(1+I6)*(1+J6)*(1+K6)*(1+L6)*(1+M6)*(1+N6)*(1+O6)*(1+P6)*(1+Q6)*(1+R6)*(1+S6)*(1+T6)*(1+U6)-1</f>
        <v>0.80751321514334329</v>
      </c>
      <c r="V10" s="73">
        <f>+(1+D6)*(1+E6)*(1+F6)*(1+G6)*(1+H6)*(1+I6)*(1+J6)*(1+K6)*(1+L6)*(1+M6)*(1+N6)*(1+O6)*(1+P6)*(1+Q6)*(1+R6)*(1+S6)*(1+T6)*(1+U6)*(1+V6)-1</f>
        <v>0.87077617767336024</v>
      </c>
      <c r="W10" s="73">
        <f>+(1+D6)*(1+E6)*(1+F6)*(1+G6)*(1+H6)*(1+I6)*(1+J6)*(1+K6)*(1+L6)*(1+M6)*(1+N6)*(1+O6)*(1+P6)*(1+Q6)*(1+R6)*(1+S6)*(1+T6)*(1+U6)*(1+V6)*(1+W6)-1</f>
        <v>0.9362533438919276</v>
      </c>
      <c r="X10" s="73">
        <f>+(1+D6)*(1+E6)*(1+F6)*(1+G6)*(1+H6)*(1+I6)*(1+J6)*(1+K6)*(1+L6)*(1+M6)*(1+N6)*(1+O6)*(1+P6)*(1+Q6)*(1+R6)*(1+S6)*(1+T6)*(1+U6)*(1+V6)*(1+W6)*(1+X6)-1</f>
        <v>1.0040222109281447</v>
      </c>
      <c r="Y10" s="73">
        <f>+(1+D6)*(1+E6)*(1+F6)*(1+G6)*(1+H6)*(1+I6)*(1+J6)*(1+K6)*(1+L6)*(1+M6)*(1+N6)*(1+O6)*(1+P6)*(1+Q6)*(1+R6)*(1+S6)*(1+T6)*(1+U6)*(1+V6)*(1+W6)*(1+X6)*(1+Y6)-1</f>
        <v>1.0741629883106296</v>
      </c>
      <c r="Z10" s="73">
        <f>+(1+D6)*(1+E6)*(1+F6)*(1+G6)*(1+H6)*(1+I6)*(1+J6)*(1+K6)*(1+L6)*(1+M6)*(1+N6)*(1+O6)*(1+P6)*(1+Q6)*(1+R6)*(1+S6)*(1+T6)*(1+U6)*(1+V6)*(1+W6)*(1+X6)*(1+Y6)*(1+Z6)-1</f>
        <v>1.1467586929015017</v>
      </c>
      <c r="AA10" s="73">
        <f>+(1+D6)*(1+E6)*(1+F6)*(1+G6)*(1+H6)*(1+I6)*(1+J6)*(1+K6)*(1+L6)*(1+M6)*(1+N6)*(1+O6)*(1+P6)*(1+Q6)*(1+R6)*(1+S6)*(1+T6)*(1+U6)*(1+V6)*(1+W6)*(1+X6)*(1+Y6)*(1+Z6)*(1+AA6)-1</f>
        <v>1.221895247153054</v>
      </c>
    </row>
    <row r="11" spans="1:57" x14ac:dyDescent="0.35">
      <c r="A11" s="50">
        <f>MAX(A$6:A10)+1</f>
        <v>6</v>
      </c>
      <c r="B11" s="24" t="s">
        <v>148</v>
      </c>
      <c r="C11" s="24"/>
      <c r="D11" s="138">
        <v>0</v>
      </c>
      <c r="E11" s="138">
        <f t="shared" ref="E11:E13" si="32">+(1+D7)*(1+E7)-1</f>
        <v>7.7700000000000102E-2</v>
      </c>
      <c r="F11" s="138">
        <f t="shared" ref="F11:F13" si="33">+(1+D7)*(1+E7)*(1+F7)-1</f>
        <v>0.14990590000000004</v>
      </c>
      <c r="G11" s="138">
        <f t="shared" ref="G11:G13" si="34">+(1+D7)*(1+E7)*(1+F7)*(1+G7)-1</f>
        <v>0.18877271942000018</v>
      </c>
      <c r="H11" s="138">
        <f t="shared" ref="H11:H13" si="35">+(1+D7)*(1+E7)*(1+F7)*(1+G7)*(1+H7)-1</f>
        <v>0.22895323733639628</v>
      </c>
      <c r="I11" s="138">
        <f t="shared" ref="I11:I13" si="36">+(1+D7)*(1+E7)*(1+F7)*(1+G7)*(1+H7)*(1+I7)-1</f>
        <v>0.28032348265705775</v>
      </c>
      <c r="J11" s="138">
        <f t="shared" ref="J11:J13" si="37">+(1+D7)*(1+E7)*(1+F7)*(1+G7)*(1+H7)*(1+I7)*(1+J7)-1</f>
        <v>0.33384100423212293</v>
      </c>
      <c r="K11" s="138">
        <f t="shared" ref="K11:K13" si="38">+(1+D7)*(1+E7)*(1+F7)*(1+G7)*(1+H7)*(1+I7)*(1+J7)*(1+K7)-1</f>
        <v>0.38959555820902581</v>
      </c>
      <c r="L11" s="138">
        <f t="shared" ref="L11:L13" si="39">+(1+D7)*(1+E7)*(1+F7)*(1+G7)*(1+H7)*(1+I7)*(1+J7)*(1+K7)*(1+L7)-1</f>
        <v>0.44768065254216327</v>
      </c>
      <c r="M11" s="138">
        <f>+(1+D7)*(1+E7)*(1+F7)*(1+G7)*(1+H7)*(1+I7)*(1+J7)*(1+K7)*(1+L7)*(1+M7)-1</f>
        <v>0.50819370381842588</v>
      </c>
      <c r="N11" s="138">
        <f>+(1+D7)*(1+E7)*(1+F7)*(1+G7)*(1+H7)*(1+I7)*(1+J7)*(1+K7)*(1+L7)*(1+M7)*(1+N7)-1</f>
        <v>0.57123620063803626</v>
      </c>
      <c r="O11" s="138">
        <f>+(1+D7)*(1+E7)*(1+F7)*(1+G7)*(1+H7)*(1+I7)*(1+J7)*(1+K7)*(1+L7)*(1+M7)*(1+N7)*(1+O7)-1</f>
        <v>0.63691387382470621</v>
      </c>
      <c r="P11" s="138">
        <f>+(1+D7)*(1+E7)*(1+F7)*(1+G7)*(1+H7)*(1+I7)*(1+J7)*(1+K7)*(1+L7)*(1+M7)*(1+N7)*(1+O7)*(1+P7)-1</f>
        <v>0.70533687375057896</v>
      </c>
      <c r="Q11" s="138">
        <f>+(1+D7)*(1+E7)*(1+F7)*(1+G7)*(1+H7)*(1+I7)*(1+J7)*(1+K7)*(1+L7)*(1+M7)*(1+N7)*(1+O7)*(1+P7)*(1+Q7)-1</f>
        <v>0.77661995507335324</v>
      </c>
      <c r="R11" s="138">
        <f>+(1+D7)*(1+E7)*(1+F7)*(1+G7)*(1+H7)*(1+I7)*(1+J7)*(1+K7)*(1+L7)*(1+M7)*(1+N7)*(1+O7)*(1+P7)*(1+Q7)*(1+R7)-1</f>
        <v>0.85088266919541944</v>
      </c>
      <c r="S11" s="138">
        <f>+(1+D7)*(1+E7)*(1+F7)*(1+G7)*(1+H7)*(1+I7)*(1+J7)*(1+K7)*(1+L7)*(1+M7)*(1+N7)*(1+O7)*(1+P7)*(1+Q7)*(1+R7)*(1+S7)-1</f>
        <v>0.92824956476778797</v>
      </c>
      <c r="T11" s="138">
        <f>+(1+D7)*(1+E7)*(1+F7)*(1+G7)*(1+H7)*(1+I7)*(1+J7)*(1+K7)*(1+L7)*(1+M7)*(1+N7)*(1+O7)*(1+P7)*(1+Q7)*(1+R7)*(1+S7)*(1+T7)-1</f>
        <v>1.0088503965750815</v>
      </c>
      <c r="U11" s="138">
        <f>+(1+D7)*(1+E7)*(1+F7)*(1+G7)*(1+H7)*(1+I7)*(1+J7)*(1+K7)*(1+L7)*(1+M7)*(1+N7)*(1+O7)*(1+P7)*(1+Q7)*(1+R7)*(1+S7)*(1+T7)*(1+U7)-1</f>
        <v>1.0928203431519199</v>
      </c>
      <c r="V11" s="138">
        <f>+(1+D7)*(1+E7)*(1+F7)*(1+G7)*(1+H7)*(1+I7)*(1+J7)*(1+K7)*(1+L7)*(1+M7)*(1+N7)*(1+O7)*(1+P7)*(1+Q7)*(1+R7)*(1+S7)*(1+T7)*(1+U7)*(1+V7)-1</f>
        <v>1.1803002334956703</v>
      </c>
      <c r="W11" s="138">
        <f>+(1+D7)*(1+E7)*(1+F7)*(1+G7)*(1+H7)*(1+I7)*(1+J7)*(1+K7)*(1+L7)*(1+M7)*(1+N7)*(1+O7)*(1+P7)*(1+Q7)*(1+R7)*(1+S7)*(1+T7)*(1+U7)*(1+V7)*(1+W7)-1</f>
        <v>1.2714367832557896</v>
      </c>
      <c r="X11" s="138">
        <f>+(1+D7)*(1+E7)*(1+F7)*(1+G7)*(1+H7)*(1+I7)*(1+J7)*(1+K7)*(1+L7)*(1+M7)*(1+N7)*(1+O7)*(1+P7)*(1+Q7)*(1+R7)*(1+S7)*(1+T7)*(1+U7)*(1+V7)*(1+W7)*(1+X7)-1</f>
        <v>1.3663828407958816</v>
      </c>
      <c r="Y11" s="138">
        <f>+(1+D7)*(1+E7)*(1+F7)*(1+G7)*(1+H7)*(1+I7)*(1+J7)*(1+K7)*(1+L7)*(1+M7)*(1+N7)*(1+O7)*(1+P7)*(1+Q7)*(1+R7)*(1+S7)*(1+T7)*(1+U7)*(1+V7)*(1+W7)*(1+X7)*(1+Y7)-1</f>
        <v>1.4652976435411498</v>
      </c>
      <c r="Z11" s="138">
        <f>+(1+D7)*(1+E7)*(1+F7)*(1+G7)*(1+H7)*(1+I7)*(1+J7)*(1+K7)*(1+L7)*(1+M7)*(1+N7)*(1+O7)*(1+P7)*(1+Q7)*(1+R7)*(1+S7)*(1+T7)*(1+U7)*(1+V7)*(1+W7)*(1+X7)*(1+Y7)*(1+Z7)-1</f>
        <v>1.5683470850411698</v>
      </c>
      <c r="AA11" s="138">
        <f>+(1+D7)*(1+E7)*(1+F7)*(1+G7)*(1+H7)*(1+I7)*(1+J7)*(1+K7)*(1+L7)*(1+M7)*(1+N7)*(1+O7)*(1+P7)*(1+Q7)*(1+R7)*(1+S7)*(1+T7)*(1+U7)*(1+V7)*(1+W7)*(1+X7)*(1+Y7)*(1+Z7)*(1+AA7)-1</f>
        <v>1.6757039931958908</v>
      </c>
    </row>
    <row r="12" spans="1:57" x14ac:dyDescent="0.35">
      <c r="A12" s="48">
        <f>MAX(A$6:A11)+1</f>
        <v>7</v>
      </c>
      <c r="B12" s="17" t="s">
        <v>149</v>
      </c>
      <c r="C12" s="17"/>
      <c r="D12" s="49">
        <v>0</v>
      </c>
      <c r="E12" s="49">
        <f t="shared" si="32"/>
        <v>7.7700000000000102E-2</v>
      </c>
      <c r="F12" s="49">
        <f t="shared" si="33"/>
        <v>0.14990590000000004</v>
      </c>
      <c r="G12" s="49">
        <f t="shared" si="34"/>
        <v>0.18877271942000018</v>
      </c>
      <c r="H12" s="49">
        <f t="shared" si="35"/>
        <v>0.22895323733639628</v>
      </c>
      <c r="I12" s="49">
        <f t="shared" si="36"/>
        <v>0.28032348265705775</v>
      </c>
      <c r="J12" s="49">
        <f t="shared" si="37"/>
        <v>0.33384100423212293</v>
      </c>
      <c r="K12" s="49">
        <f t="shared" si="38"/>
        <v>0.38959555820902581</v>
      </c>
      <c r="L12" s="49">
        <f t="shared" si="39"/>
        <v>0.44768065254216327</v>
      </c>
      <c r="M12" s="49">
        <f>+(1+D8)*(1+E8)*(1+F8)*(1+G8)*(1+H8)*(1+I8)*(1+J8)*(1+K8)*(1+L8)*(1+M8)-1</f>
        <v>0.50819370381842588</v>
      </c>
      <c r="N12" s="49">
        <f>+(1+D8)*(1+E8)*(1+F8)*(1+G8)*(1+H8)*(1+I8)*(1+J8)*(1+K8)*(1+L8)*(1+M8)*(1+N8)-1</f>
        <v>0.57123620063803626</v>
      </c>
      <c r="O12" s="49">
        <f>+(1+D8)*(1+E8)*(1+F8)*(1+G8)*(1+H8)*(1+I8)*(1+J8)*(1+K8)*(1+L8)*(1+M8)*(1+N8)*(1+O8)-1</f>
        <v>0.63691387382470621</v>
      </c>
      <c r="P12" s="49">
        <f>+(1+D8)*(1+E8)*(1+F8)*(1+G8)*(1+H8)*(1+I8)*(1+J8)*(1+K8)*(1+L8)*(1+M8)*(1+N8)*(1+O8)*(1+P8)-1</f>
        <v>0.70533687375057896</v>
      </c>
      <c r="Q12" s="49">
        <f>+(1+D8)*(1+E8)*(1+F8)*(1+G8)*(1+H8)*(1+I8)*(1+J8)*(1+K8)*(1+L8)*(1+M8)*(1+N8)*(1+O8)*(1+P8)*(1+Q8)-1</f>
        <v>0.77661995507335324</v>
      </c>
      <c r="R12" s="49">
        <f>+(1+D8)*(1+E8)*(1+F8)*(1+G8)*(1+H8)*(1+I8)*(1+J8)*(1+K8)*(1+L8)*(1+M8)*(1+N8)*(1+O8)*(1+P8)*(1+Q8)*(1+R8)-1</f>
        <v>0.85088266919541944</v>
      </c>
      <c r="S12" s="49">
        <f>+(1+D8)*(1+E8)*(1+F8)*(1+G8)*(1+H8)*(1+I8)*(1+J8)*(1+K8)*(1+L8)*(1+M8)*(1+N8)*(1+O8)*(1+P8)*(1+Q8)*(1+R8)*(1+S8)-1</f>
        <v>0.92824956476778797</v>
      </c>
      <c r="T12" s="49">
        <f>+(1+D8)*(1+E8)*(1+F8)*(1+G8)*(1+H8)*(1+I8)*(1+J8)*(1+K8)*(1+L8)*(1+M8)*(1+N8)*(1+O8)*(1+P8)*(1+Q8)*(1+R8)*(1+S8)*(1+T8)-1</f>
        <v>1.0088503965750815</v>
      </c>
      <c r="U12" s="49">
        <f>+(1+D8)*(1+E8)*(1+F8)*(1+G8)*(1+H8)*(1+I8)*(1+J8)*(1+K8)*(1+L8)*(1+M8)*(1+N8)*(1+O8)*(1+P8)*(1+Q8)*(1+R8)*(1+S8)*(1+T8)*(1+U8)-1</f>
        <v>1.0928203431519199</v>
      </c>
      <c r="V12" s="49">
        <f>+(1+D8)*(1+E8)*(1+F8)*(1+G8)*(1+H8)*(1+I8)*(1+J8)*(1+K8)*(1+L8)*(1+M8)*(1+N8)*(1+O8)*(1+P8)*(1+Q8)*(1+R8)*(1+S8)*(1+T8)*(1+U8)*(1+V8)-1</f>
        <v>1.1803002334956703</v>
      </c>
      <c r="W12" s="49">
        <f>+(1+D8)*(1+E8)*(1+F8)*(1+G8)*(1+H8)*(1+I8)*(1+J8)*(1+K8)*(1+L8)*(1+M8)*(1+N8)*(1+O8)*(1+P8)*(1+Q8)*(1+R8)*(1+S8)*(1+T8)*(1+U8)*(1+V8)*(1+W8)-1</f>
        <v>1.2714367832557896</v>
      </c>
      <c r="X12" s="49">
        <f>+(1+D8)*(1+E8)*(1+F8)*(1+G8)*(1+H8)*(1+I8)*(1+J8)*(1+K8)*(1+L8)*(1+M8)*(1+N8)*(1+O8)*(1+P8)*(1+Q8)*(1+R8)*(1+S8)*(1+T8)*(1+U8)*(1+V8)*(1+W8)*(1+X8)-1</f>
        <v>1.3663828407958816</v>
      </c>
      <c r="Y12" s="49">
        <f>+(1+D8)*(1+E8)*(1+F8)*(1+G8)*(1+H8)*(1+I8)*(1+J8)*(1+K8)*(1+L8)*(1+M8)*(1+N8)*(1+O8)*(1+P8)*(1+Q8)*(1+R8)*(1+S8)*(1+T8)*(1+U8)*(1+V8)*(1+W8)*(1+X8)*(1+Y8)-1</f>
        <v>1.4652976435411498</v>
      </c>
      <c r="Z12" s="49">
        <f>+(1+D8)*(1+E8)*(1+F8)*(1+G8)*(1+H8)*(1+I8)*(1+J8)*(1+K8)*(1+L8)*(1+M8)*(1+N8)*(1+O8)*(1+P8)*(1+Q8)*(1+R8)*(1+S8)*(1+T8)*(1+U8)*(1+V8)*(1+W8)*(1+X8)*(1+Y8)*(1+Z8)-1</f>
        <v>1.5683470850411698</v>
      </c>
      <c r="AA12" s="49">
        <f>+(1+D8)*(1+E8)*(1+F8)*(1+G8)*(1+H8)*(1+I8)*(1+J8)*(1+K8)*(1+L8)*(1+M8)*(1+N8)*(1+O8)*(1+P8)*(1+Q8)*(1+R8)*(1+S8)*(1+T8)*(1+U8)*(1+V8)*(1+W8)*(1+X8)*(1+Y8)*(1+Z8)*(1+AA8)-1</f>
        <v>1.6757039931958908</v>
      </c>
    </row>
    <row r="13" spans="1:57" x14ac:dyDescent="0.35">
      <c r="A13" s="50">
        <f>MAX(A$6:A12)+1</f>
        <v>8</v>
      </c>
      <c r="B13" s="24" t="s">
        <v>150</v>
      </c>
      <c r="C13" s="24"/>
      <c r="D13" s="138">
        <v>0</v>
      </c>
      <c r="E13" s="138">
        <f t="shared" si="32"/>
        <v>0.10119999999999996</v>
      </c>
      <c r="F13" s="138">
        <f t="shared" si="33"/>
        <v>0.20482292000000002</v>
      </c>
      <c r="G13" s="138">
        <f t="shared" si="34"/>
        <v>0.22964227215199995</v>
      </c>
      <c r="H13" s="138">
        <f t="shared" si="35"/>
        <v>0.25497290295833119</v>
      </c>
      <c r="I13" s="138">
        <f t="shared" si="36"/>
        <v>0.32575337468518106</v>
      </c>
      <c r="J13" s="138">
        <f t="shared" si="37"/>
        <v>0.40052586501742526</v>
      </c>
      <c r="K13" s="138">
        <f t="shared" si="38"/>
        <v>0.47951552380440798</v>
      </c>
      <c r="L13" s="138">
        <f t="shared" si="39"/>
        <v>0.56296019934697661</v>
      </c>
      <c r="M13" s="138">
        <f>+(1+D9)*(1+E9)*(1+F9)*(1+G9)*(1+H9)*(1+I9)*(1+J9)*(1+K9)*(1+L9)*(1+M9)-1</f>
        <v>0.65111115459014601</v>
      </c>
      <c r="N13" s="138">
        <f>+(1+D9)*(1+E9)*(1+F9)*(1+G9)*(1+H9)*(1+I9)*(1+J9)*(1+K9)*(1+L9)*(1+M9)*(1+N9)-1</f>
        <v>0.74423382370903024</v>
      </c>
      <c r="O13" s="138">
        <f>+(1+D9)*(1+E9)*(1+F9)*(1+G9)*(1+H9)*(1+I9)*(1+J9)*(1+K9)*(1+L9)*(1+M9)*(1+N9)*(1+O9)-1</f>
        <v>0.84260861136621945</v>
      </c>
      <c r="P13" s="138">
        <f>+(1+D9)*(1+E9)*(1+F9)*(1+G9)*(1+H9)*(1+I9)*(1+J9)*(1+K9)*(1+L9)*(1+M9)*(1+N9)*(1+O9)*(1+P9)-1</f>
        <v>0.94653173704727434</v>
      </c>
      <c r="Q13" s="138">
        <f>+(1+D9)*(1+E9)*(1+F9)*(1+G9)*(1+H9)*(1+I9)*(1+J9)*(1+K9)*(1+L9)*(1+M9)*(1+N9)*(1+O9)*(1+P9)*(1+Q9)-1</f>
        <v>1.0563161270167405</v>
      </c>
      <c r="R13" s="138">
        <f>+(1+D9)*(1+E9)*(1+F9)*(1+G9)*(1+H9)*(1+I9)*(1+J9)*(1+K9)*(1+L9)*(1+M9)*(1+N9)*(1+O9)*(1+P9)*(1+Q9)*(1+R9)-1</f>
        <v>1.1722923565804848</v>
      </c>
      <c r="S13" s="138">
        <f>+(1+D9)*(1+E9)*(1+F9)*(1+G9)*(1+H9)*(1+I9)*(1+J9)*(1+K9)*(1+L9)*(1+M9)*(1+N9)*(1+O9)*(1+P9)*(1+Q9)*(1+R9)*(1+S9)-1</f>
        <v>1.294809645491624</v>
      </c>
      <c r="T13" s="138">
        <f>+(1+D9)*(1+E9)*(1+F9)*(1+G9)*(1+H9)*(1+I9)*(1+J9)*(1+K9)*(1+L9)*(1+M9)*(1+N9)*(1+O9)*(1+P9)*(1+Q9)*(1+R9)*(1+S9)*(1+T9)-1</f>
        <v>1.4242369094973517</v>
      </c>
      <c r="U13" s="138">
        <f>+(1+D9)*(1+E9)*(1+F9)*(1+G9)*(1+H9)*(1+I9)*(1+J9)*(1+K9)*(1+L9)*(1+M9)*(1+N9)*(1+O9)*(1+P9)*(1+Q9)*(1+R9)*(1+S9)*(1+T9)*(1+U9)-1</f>
        <v>1.5609638711930023</v>
      </c>
      <c r="V13" s="138">
        <f>+(1+D9)*(1+E9)*(1+F9)*(1+G9)*(1+H9)*(1+I9)*(1+J9)*(1+K9)*(1+L9)*(1+M9)*(1+N9)*(1+O9)*(1+P9)*(1+Q9)*(1+R9)*(1+S9)*(1+T9)*(1+U9)*(1+V9)-1</f>
        <v>1.7054022335282877</v>
      </c>
      <c r="W13" s="138">
        <f>+(1+D9)*(1+E9)*(1+F9)*(1+G9)*(1+H9)*(1+I9)*(1+J9)*(1+K9)*(1+L9)*(1+M9)*(1+N9)*(1+O9)*(1+P9)*(1+Q9)*(1+R9)*(1+S9)*(1+T9)*(1+U9)*(1+V9)*(1+W9)-1</f>
        <v>1.8579869194992833</v>
      </c>
      <c r="X13" s="138">
        <f>+(1+D9)*(1+E9)*(1+F9)*(1+G9)*(1+H9)*(1+I9)*(1+J9)*(1+K9)*(1+L9)*(1+M9)*(1+N9)*(1+O9)*(1+P9)*(1+Q9)*(1+R9)*(1+S9)*(1+T9)*(1+U9)*(1+V9)*(1+W9)*(1+X9)-1</f>
        <v>2.019177381759043</v>
      </c>
      <c r="Y13" s="138">
        <f>+(1+D9)*(1+E9)*(1+F9)*(1+G9)*(1+H9)*(1+I9)*(1+J9)*(1+K9)*(1+L9)*(1+M9)*(1+N9)*(1+O9)*(1+P9)*(1+Q9)*(1+R9)*(1+S9)*(1+T9)*(1+U9)*(1+V9)*(1+W9)*(1+X9)*(1+Y9)-1</f>
        <v>2.1894589860902531</v>
      </c>
      <c r="Z13" s="138">
        <f>+(1+D9)*(1+E9)*(1+F9)*(1+G9)*(1+H9)*(1+I9)*(1+J9)*(1+K9)*(1+L9)*(1+M9)*(1+N9)*(1+O9)*(1+P9)*(1+Q9)*(1+R9)*(1+S9)*(1+T9)*(1+U9)*(1+V9)*(1+W9)*(1+X9)*(1+Y9)*(1+Z9)-1</f>
        <v>2.3693444729057433</v>
      </c>
      <c r="AA13" s="138">
        <f>+(1+D9)*(1+E9)*(1+F9)*(1+G9)*(1+H9)*(1+I9)*(1+J9)*(1+K9)*(1+L9)*(1+M9)*(1+N9)*(1+O9)*(1+P9)*(1+Q9)*(1+R9)*(1+S9)*(1+T9)*(1+U9)*(1+V9)*(1+W9)*(1+X9)*(1+Y9)*(1+Z9)*(1+AA9)-1</f>
        <v>2.5593755011776271</v>
      </c>
    </row>
    <row r="14" spans="1:57" x14ac:dyDescent="0.35">
      <c r="A14" s="48"/>
      <c r="B14" s="17"/>
      <c r="C14" s="17"/>
      <c r="D14" s="17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</row>
    <row r="15" spans="1:57" ht="15.5" x14ac:dyDescent="0.35">
      <c r="A15" s="91"/>
      <c r="B15" s="92" t="s">
        <v>11</v>
      </c>
      <c r="C15" s="92"/>
      <c r="D15" s="92"/>
      <c r="E15" s="93"/>
      <c r="F15" s="93"/>
      <c r="G15" s="93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</row>
    <row r="16" spans="1:57" ht="15.5" x14ac:dyDescent="0.35">
      <c r="A16" s="1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  <row r="17" spans="1:57" x14ac:dyDescent="0.35">
      <c r="A17" s="48"/>
      <c r="B17" s="28" t="s">
        <v>51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57" x14ac:dyDescent="0.35">
      <c r="A18" s="46">
        <f>MAX(A$6:A17)+1</f>
        <v>9</v>
      </c>
      <c r="B18" s="71" t="s">
        <v>26</v>
      </c>
      <c r="C18" s="19"/>
      <c r="D18" s="13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57" ht="16.5" customHeight="1" x14ac:dyDescent="0.35">
      <c r="A19" s="48">
        <f>MAX(A$6:A18)+1</f>
        <v>10</v>
      </c>
      <c r="B19" s="72" t="s">
        <v>151</v>
      </c>
      <c r="C19" s="17"/>
      <c r="D19" s="13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57" x14ac:dyDescent="0.35">
      <c r="A20" s="46">
        <f>MAX(A$6:A19)+1</f>
        <v>11</v>
      </c>
      <c r="B20" s="71" t="s">
        <v>152</v>
      </c>
      <c r="C20" s="19"/>
      <c r="D20" s="13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57" x14ac:dyDescent="0.35">
      <c r="A21" s="48">
        <f>MAX(A$6:A20)+1</f>
        <v>12</v>
      </c>
      <c r="B21" s="72" t="s">
        <v>153</v>
      </c>
      <c r="C21" s="17"/>
      <c r="D21" s="13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57" x14ac:dyDescent="0.35">
      <c r="A22" s="55"/>
      <c r="B22" s="3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</row>
    <row r="23" spans="1:57" s="4" customFormat="1" x14ac:dyDescent="0.35">
      <c r="A23" s="56">
        <f>MAX(A$6:A22)+1</f>
        <v>13</v>
      </c>
      <c r="B23" s="29" t="s">
        <v>154</v>
      </c>
      <c r="C23" s="33"/>
      <c r="D23" s="33">
        <f t="shared" ref="D23:L23" si="40">SUM(D18:D22)</f>
        <v>0</v>
      </c>
      <c r="E23" s="33">
        <f t="shared" si="40"/>
        <v>0</v>
      </c>
      <c r="F23" s="33">
        <f t="shared" si="40"/>
        <v>0</v>
      </c>
      <c r="G23" s="33">
        <f t="shared" si="40"/>
        <v>0</v>
      </c>
      <c r="H23" s="33">
        <f t="shared" si="40"/>
        <v>0</v>
      </c>
      <c r="I23" s="33">
        <f t="shared" si="40"/>
        <v>0</v>
      </c>
      <c r="J23" s="33">
        <f t="shared" si="40"/>
        <v>0</v>
      </c>
      <c r="K23" s="33">
        <f t="shared" si="40"/>
        <v>0</v>
      </c>
      <c r="L23" s="33">
        <f t="shared" si="40"/>
        <v>0</v>
      </c>
      <c r="M23" s="33">
        <f t="shared" ref="M23:AA23" si="41">SUM(M18:M22)</f>
        <v>0</v>
      </c>
      <c r="N23" s="33">
        <f t="shared" si="41"/>
        <v>0</v>
      </c>
      <c r="O23" s="33">
        <f t="shared" si="41"/>
        <v>0</v>
      </c>
      <c r="P23" s="33">
        <f t="shared" si="41"/>
        <v>0</v>
      </c>
      <c r="Q23" s="33">
        <f t="shared" si="41"/>
        <v>0</v>
      </c>
      <c r="R23" s="33">
        <f t="shared" si="41"/>
        <v>0</v>
      </c>
      <c r="S23" s="33">
        <f t="shared" si="41"/>
        <v>0</v>
      </c>
      <c r="T23" s="33">
        <f t="shared" si="41"/>
        <v>0</v>
      </c>
      <c r="U23" s="33">
        <f t="shared" si="41"/>
        <v>0</v>
      </c>
      <c r="V23" s="33">
        <f t="shared" si="41"/>
        <v>0</v>
      </c>
      <c r="W23" s="33">
        <f t="shared" si="41"/>
        <v>0</v>
      </c>
      <c r="X23" s="33">
        <f t="shared" si="41"/>
        <v>0</v>
      </c>
      <c r="Y23" s="33">
        <f t="shared" si="41"/>
        <v>0</v>
      </c>
      <c r="Z23" s="33">
        <f t="shared" si="41"/>
        <v>0</v>
      </c>
      <c r="AA23" s="33">
        <f t="shared" si="41"/>
        <v>0</v>
      </c>
    </row>
    <row r="24" spans="1:57" x14ac:dyDescent="0.35">
      <c r="A24" s="55"/>
      <c r="B24" s="3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</row>
    <row r="25" spans="1:57" ht="15.5" x14ac:dyDescent="0.35">
      <c r="A25" s="10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</row>
    <row r="26" spans="1:57" x14ac:dyDescent="0.35">
      <c r="A26" s="48"/>
      <c r="B26" s="17" t="s">
        <v>76</v>
      </c>
      <c r="C26" s="17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57" x14ac:dyDescent="0.35">
      <c r="A27" s="46">
        <f>MAX(A$6:A26)+1</f>
        <v>14</v>
      </c>
      <c r="B27" s="107" t="s">
        <v>26</v>
      </c>
      <c r="C27" s="19"/>
      <c r="D27" s="140">
        <f>+D18*(1+D$10)</f>
        <v>0</v>
      </c>
      <c r="E27" s="140">
        <f t="shared" ref="E27:L27" si="42">+E18*(1+E$10)</f>
        <v>0</v>
      </c>
      <c r="F27" s="140">
        <f t="shared" si="42"/>
        <v>0</v>
      </c>
      <c r="G27" s="140">
        <f t="shared" si="42"/>
        <v>0</v>
      </c>
      <c r="H27" s="140">
        <f t="shared" si="42"/>
        <v>0</v>
      </c>
      <c r="I27" s="140">
        <f t="shared" si="42"/>
        <v>0</v>
      </c>
      <c r="J27" s="140">
        <f t="shared" si="42"/>
        <v>0</v>
      </c>
      <c r="K27" s="140">
        <f t="shared" si="42"/>
        <v>0</v>
      </c>
      <c r="L27" s="140">
        <f t="shared" si="42"/>
        <v>0</v>
      </c>
      <c r="M27" s="140">
        <f t="shared" ref="M27:AA27" si="43">+M18*(1+M$10)</f>
        <v>0</v>
      </c>
      <c r="N27" s="140">
        <f t="shared" si="43"/>
        <v>0</v>
      </c>
      <c r="O27" s="140">
        <f t="shared" si="43"/>
        <v>0</v>
      </c>
      <c r="P27" s="140">
        <f t="shared" si="43"/>
        <v>0</v>
      </c>
      <c r="Q27" s="140">
        <f t="shared" si="43"/>
        <v>0</v>
      </c>
      <c r="R27" s="140">
        <f t="shared" si="43"/>
        <v>0</v>
      </c>
      <c r="S27" s="140">
        <f t="shared" si="43"/>
        <v>0</v>
      </c>
      <c r="T27" s="140">
        <f t="shared" si="43"/>
        <v>0</v>
      </c>
      <c r="U27" s="140">
        <f t="shared" si="43"/>
        <v>0</v>
      </c>
      <c r="V27" s="140">
        <f t="shared" si="43"/>
        <v>0</v>
      </c>
      <c r="W27" s="140">
        <f t="shared" si="43"/>
        <v>0</v>
      </c>
      <c r="X27" s="140">
        <f t="shared" si="43"/>
        <v>0</v>
      </c>
      <c r="Y27" s="140">
        <f t="shared" si="43"/>
        <v>0</v>
      </c>
      <c r="Z27" s="140">
        <f t="shared" si="43"/>
        <v>0</v>
      </c>
      <c r="AA27" s="140">
        <f t="shared" si="43"/>
        <v>0</v>
      </c>
      <c r="AE27" s="172" t="s">
        <v>88</v>
      </c>
      <c r="AF27" s="173">
        <f>SUMIF(Assumptions!$E$27:$E$193,AE27,Assumptions!$D$27:$D$193)</f>
        <v>0.95239917402446805</v>
      </c>
      <c r="AG27" s="105">
        <f t="shared" ref="AG27:AP29" si="44">+C27*$AF27</f>
        <v>0</v>
      </c>
      <c r="AH27" s="105">
        <f t="shared" si="44"/>
        <v>0</v>
      </c>
      <c r="AI27" s="105">
        <f t="shared" si="44"/>
        <v>0</v>
      </c>
      <c r="AJ27" s="105">
        <f t="shared" si="44"/>
        <v>0</v>
      </c>
      <c r="AK27" s="105">
        <f t="shared" si="44"/>
        <v>0</v>
      </c>
      <c r="AL27" s="105">
        <f t="shared" si="44"/>
        <v>0</v>
      </c>
      <c r="AM27" s="105">
        <f t="shared" si="44"/>
        <v>0</v>
      </c>
      <c r="AN27" s="105">
        <f t="shared" si="44"/>
        <v>0</v>
      </c>
      <c r="AO27" s="105">
        <f t="shared" si="44"/>
        <v>0</v>
      </c>
      <c r="AP27" s="105">
        <f t="shared" si="44"/>
        <v>0</v>
      </c>
      <c r="AQ27" s="105">
        <f t="shared" ref="AQ27:BC30" si="45">+M27*$AF27</f>
        <v>0</v>
      </c>
      <c r="AR27" s="105">
        <f t="shared" si="45"/>
        <v>0</v>
      </c>
      <c r="AS27" s="105">
        <f t="shared" si="45"/>
        <v>0</v>
      </c>
      <c r="AT27" s="105">
        <f t="shared" si="45"/>
        <v>0</v>
      </c>
      <c r="AU27" s="105">
        <f t="shared" si="45"/>
        <v>0</v>
      </c>
      <c r="AV27" s="105">
        <f t="shared" si="45"/>
        <v>0</v>
      </c>
      <c r="AW27" s="105">
        <f t="shared" si="45"/>
        <v>0</v>
      </c>
      <c r="AX27" s="105">
        <f t="shared" si="45"/>
        <v>0</v>
      </c>
      <c r="AY27" s="105">
        <f t="shared" si="45"/>
        <v>0</v>
      </c>
      <c r="AZ27" s="105">
        <f t="shared" si="45"/>
        <v>0</v>
      </c>
      <c r="BA27" s="105">
        <f t="shared" si="45"/>
        <v>0</v>
      </c>
      <c r="BB27" s="105">
        <f t="shared" si="45"/>
        <v>0</v>
      </c>
      <c r="BC27" s="105">
        <f t="shared" si="45"/>
        <v>0</v>
      </c>
      <c r="BD27" s="105">
        <f>+Z27*$AF27</f>
        <v>0</v>
      </c>
      <c r="BE27" s="105">
        <f t="shared" ref="BE27:BE30" si="46">+AA27*$AF27</f>
        <v>0</v>
      </c>
    </row>
    <row r="28" spans="1:57" x14ac:dyDescent="0.35">
      <c r="A28" s="48">
        <f>MAX(A$6:A27)+1</f>
        <v>15</v>
      </c>
      <c r="B28" s="17" t="s">
        <v>151</v>
      </c>
      <c r="C28" s="17"/>
      <c r="D28" s="14">
        <f t="shared" ref="D28:L30" si="47">+D19*(1+D$10)</f>
        <v>0</v>
      </c>
      <c r="E28" s="14">
        <f t="shared" si="47"/>
        <v>0</v>
      </c>
      <c r="F28" s="14">
        <f t="shared" si="47"/>
        <v>0</v>
      </c>
      <c r="G28" s="14">
        <f t="shared" si="47"/>
        <v>0</v>
      </c>
      <c r="H28" s="14">
        <f t="shared" si="47"/>
        <v>0</v>
      </c>
      <c r="I28" s="14">
        <f t="shared" si="47"/>
        <v>0</v>
      </c>
      <c r="J28" s="14">
        <f t="shared" si="47"/>
        <v>0</v>
      </c>
      <c r="K28" s="14">
        <f t="shared" si="47"/>
        <v>0</v>
      </c>
      <c r="L28" s="14">
        <f t="shared" si="47"/>
        <v>0</v>
      </c>
      <c r="M28" s="14">
        <f t="shared" ref="M28:AA28" si="48">+M19*(1+M$10)</f>
        <v>0</v>
      </c>
      <c r="N28" s="14">
        <f t="shared" si="48"/>
        <v>0</v>
      </c>
      <c r="O28" s="14">
        <f t="shared" si="48"/>
        <v>0</v>
      </c>
      <c r="P28" s="14">
        <f t="shared" si="48"/>
        <v>0</v>
      </c>
      <c r="Q28" s="14">
        <f t="shared" si="48"/>
        <v>0</v>
      </c>
      <c r="R28" s="14">
        <f t="shared" si="48"/>
        <v>0</v>
      </c>
      <c r="S28" s="14">
        <f t="shared" si="48"/>
        <v>0</v>
      </c>
      <c r="T28" s="14">
        <f t="shared" si="48"/>
        <v>0</v>
      </c>
      <c r="U28" s="14">
        <f t="shared" si="48"/>
        <v>0</v>
      </c>
      <c r="V28" s="14">
        <f t="shared" si="48"/>
        <v>0</v>
      </c>
      <c r="W28" s="14">
        <f t="shared" si="48"/>
        <v>0</v>
      </c>
      <c r="X28" s="14">
        <f t="shared" si="48"/>
        <v>0</v>
      </c>
      <c r="Y28" s="14">
        <f t="shared" si="48"/>
        <v>0</v>
      </c>
      <c r="Z28" s="14">
        <f t="shared" si="48"/>
        <v>0</v>
      </c>
      <c r="AA28" s="14">
        <f t="shared" si="48"/>
        <v>0</v>
      </c>
      <c r="AE28" s="172" t="s">
        <v>56</v>
      </c>
      <c r="AF28" s="173">
        <f>SUMIF(Assumptions!$E$27:$E$193,AE28,Assumptions!$D$27:$D$193)</f>
        <v>0.88797731223605458</v>
      </c>
      <c r="AG28" s="105">
        <f t="shared" si="44"/>
        <v>0</v>
      </c>
      <c r="AH28" s="105">
        <f t="shared" si="44"/>
        <v>0</v>
      </c>
      <c r="AI28" s="105">
        <f t="shared" si="44"/>
        <v>0</v>
      </c>
      <c r="AJ28" s="105">
        <f t="shared" si="44"/>
        <v>0</v>
      </c>
      <c r="AK28" s="105">
        <f t="shared" si="44"/>
        <v>0</v>
      </c>
      <c r="AL28" s="105">
        <f t="shared" si="44"/>
        <v>0</v>
      </c>
      <c r="AM28" s="105">
        <f t="shared" si="44"/>
        <v>0</v>
      </c>
      <c r="AN28" s="105">
        <f t="shared" si="44"/>
        <v>0</v>
      </c>
      <c r="AO28" s="105">
        <f t="shared" si="44"/>
        <v>0</v>
      </c>
      <c r="AP28" s="105">
        <f t="shared" si="44"/>
        <v>0</v>
      </c>
      <c r="AQ28" s="105">
        <f t="shared" si="45"/>
        <v>0</v>
      </c>
      <c r="AR28" s="105">
        <f t="shared" si="45"/>
        <v>0</v>
      </c>
      <c r="AS28" s="105">
        <f t="shared" si="45"/>
        <v>0</v>
      </c>
      <c r="AT28" s="105">
        <f t="shared" si="45"/>
        <v>0</v>
      </c>
      <c r="AU28" s="105">
        <f t="shared" si="45"/>
        <v>0</v>
      </c>
      <c r="AV28" s="105">
        <f t="shared" si="45"/>
        <v>0</v>
      </c>
      <c r="AW28" s="105">
        <f t="shared" si="45"/>
        <v>0</v>
      </c>
      <c r="AX28" s="105">
        <f t="shared" si="45"/>
        <v>0</v>
      </c>
      <c r="AY28" s="105">
        <f t="shared" si="45"/>
        <v>0</v>
      </c>
      <c r="AZ28" s="105">
        <f t="shared" si="45"/>
        <v>0</v>
      </c>
      <c r="BA28" s="105">
        <f t="shared" si="45"/>
        <v>0</v>
      </c>
      <c r="BB28" s="105">
        <f t="shared" si="45"/>
        <v>0</v>
      </c>
      <c r="BC28" s="105">
        <f t="shared" si="45"/>
        <v>0</v>
      </c>
      <c r="BD28" s="105">
        <f>+Z28*$AF28</f>
        <v>0</v>
      </c>
      <c r="BE28" s="105">
        <f t="shared" si="46"/>
        <v>0</v>
      </c>
    </row>
    <row r="29" spans="1:57" x14ac:dyDescent="0.35">
      <c r="A29" s="46">
        <f>MAX(A$6:A28)+1</f>
        <v>16</v>
      </c>
      <c r="B29" s="107" t="s">
        <v>152</v>
      </c>
      <c r="C29" s="19"/>
      <c r="D29" s="140">
        <f t="shared" si="47"/>
        <v>0</v>
      </c>
      <c r="E29" s="140">
        <f t="shared" si="47"/>
        <v>0</v>
      </c>
      <c r="F29" s="140">
        <f t="shared" si="47"/>
        <v>0</v>
      </c>
      <c r="G29" s="140">
        <f t="shared" si="47"/>
        <v>0</v>
      </c>
      <c r="H29" s="140">
        <f t="shared" si="47"/>
        <v>0</v>
      </c>
      <c r="I29" s="140">
        <f t="shared" si="47"/>
        <v>0</v>
      </c>
      <c r="J29" s="140">
        <f t="shared" si="47"/>
        <v>0</v>
      </c>
      <c r="K29" s="140">
        <f t="shared" si="47"/>
        <v>0</v>
      </c>
      <c r="L29" s="140">
        <f t="shared" si="47"/>
        <v>0</v>
      </c>
      <c r="M29" s="140">
        <f t="shared" ref="M29:AA29" si="49">+M20*(1+M$10)</f>
        <v>0</v>
      </c>
      <c r="N29" s="140">
        <f t="shared" si="49"/>
        <v>0</v>
      </c>
      <c r="O29" s="140">
        <f t="shared" si="49"/>
        <v>0</v>
      </c>
      <c r="P29" s="140">
        <f t="shared" si="49"/>
        <v>0</v>
      </c>
      <c r="Q29" s="140">
        <f t="shared" si="49"/>
        <v>0</v>
      </c>
      <c r="R29" s="140">
        <f t="shared" si="49"/>
        <v>0</v>
      </c>
      <c r="S29" s="140">
        <f t="shared" si="49"/>
        <v>0</v>
      </c>
      <c r="T29" s="140">
        <f t="shared" si="49"/>
        <v>0</v>
      </c>
      <c r="U29" s="140">
        <f t="shared" si="49"/>
        <v>0</v>
      </c>
      <c r="V29" s="140">
        <f t="shared" si="49"/>
        <v>0</v>
      </c>
      <c r="W29" s="140">
        <f t="shared" si="49"/>
        <v>0</v>
      </c>
      <c r="X29" s="140">
        <f t="shared" si="49"/>
        <v>0</v>
      </c>
      <c r="Y29" s="140">
        <f t="shared" si="49"/>
        <v>0</v>
      </c>
      <c r="Z29" s="140">
        <f t="shared" si="49"/>
        <v>0</v>
      </c>
      <c r="AA29" s="140">
        <f t="shared" si="49"/>
        <v>0</v>
      </c>
      <c r="AE29" s="172" t="s">
        <v>77</v>
      </c>
      <c r="AF29" s="173">
        <f>SUMIF(Assumptions!$E$27:$E$193,AE29,Assumptions!$D$27:$D$193)</f>
        <v>0.82757808642827901</v>
      </c>
      <c r="AG29" s="105">
        <f t="shared" si="44"/>
        <v>0</v>
      </c>
      <c r="AH29" s="105">
        <f t="shared" si="44"/>
        <v>0</v>
      </c>
      <c r="AI29" s="105">
        <f t="shared" si="44"/>
        <v>0</v>
      </c>
      <c r="AJ29" s="105">
        <f t="shared" si="44"/>
        <v>0</v>
      </c>
      <c r="AK29" s="105">
        <f t="shared" si="44"/>
        <v>0</v>
      </c>
      <c r="AL29" s="105">
        <f t="shared" si="44"/>
        <v>0</v>
      </c>
      <c r="AM29" s="105">
        <f t="shared" si="44"/>
        <v>0</v>
      </c>
      <c r="AN29" s="105">
        <f t="shared" si="44"/>
        <v>0</v>
      </c>
      <c r="AO29" s="105">
        <f t="shared" si="44"/>
        <v>0</v>
      </c>
      <c r="AP29" s="105">
        <f t="shared" si="44"/>
        <v>0</v>
      </c>
      <c r="AQ29" s="105">
        <f t="shared" si="45"/>
        <v>0</v>
      </c>
      <c r="AR29" s="105">
        <f t="shared" si="45"/>
        <v>0</v>
      </c>
      <c r="AS29" s="105">
        <f t="shared" si="45"/>
        <v>0</v>
      </c>
      <c r="AT29" s="105">
        <f t="shared" si="45"/>
        <v>0</v>
      </c>
      <c r="AU29" s="105">
        <f t="shared" si="45"/>
        <v>0</v>
      </c>
      <c r="AV29" s="105">
        <f t="shared" si="45"/>
        <v>0</v>
      </c>
      <c r="AW29" s="105">
        <f t="shared" si="45"/>
        <v>0</v>
      </c>
      <c r="AX29" s="105">
        <f t="shared" si="45"/>
        <v>0</v>
      </c>
      <c r="AY29" s="105">
        <f t="shared" si="45"/>
        <v>0</v>
      </c>
      <c r="AZ29" s="105">
        <f t="shared" si="45"/>
        <v>0</v>
      </c>
      <c r="BA29" s="105">
        <f t="shared" si="45"/>
        <v>0</v>
      </c>
      <c r="BB29" s="105">
        <f t="shared" si="45"/>
        <v>0</v>
      </c>
      <c r="BC29" s="105">
        <f t="shared" si="45"/>
        <v>0</v>
      </c>
      <c r="BD29" s="105">
        <f>+Z29*$AF29</f>
        <v>0</v>
      </c>
      <c r="BE29" s="105">
        <f t="shared" si="46"/>
        <v>0</v>
      </c>
    </row>
    <row r="30" spans="1:57" x14ac:dyDescent="0.35">
      <c r="A30" s="48">
        <f>MAX(A$6:A29)+1</f>
        <v>17</v>
      </c>
      <c r="B30" s="17" t="s">
        <v>153</v>
      </c>
      <c r="C30" s="17"/>
      <c r="D30" s="14">
        <f t="shared" si="47"/>
        <v>0</v>
      </c>
      <c r="E30" s="14">
        <f t="shared" si="47"/>
        <v>0</v>
      </c>
      <c r="F30" s="14">
        <f t="shared" si="47"/>
        <v>0</v>
      </c>
      <c r="G30" s="14">
        <f t="shared" si="47"/>
        <v>0</v>
      </c>
      <c r="H30" s="14">
        <f t="shared" si="47"/>
        <v>0</v>
      </c>
      <c r="I30" s="14">
        <f t="shared" si="47"/>
        <v>0</v>
      </c>
      <c r="J30" s="14">
        <f t="shared" si="47"/>
        <v>0</v>
      </c>
      <c r="K30" s="14">
        <f t="shared" si="47"/>
        <v>0</v>
      </c>
      <c r="L30" s="14">
        <f t="shared" si="47"/>
        <v>0</v>
      </c>
      <c r="M30" s="14">
        <f t="shared" ref="M30:AA30" si="50">+M21*(1+M$10)</f>
        <v>0</v>
      </c>
      <c r="N30" s="14">
        <f t="shared" si="50"/>
        <v>0</v>
      </c>
      <c r="O30" s="14">
        <f t="shared" si="50"/>
        <v>0</v>
      </c>
      <c r="P30" s="14">
        <f t="shared" si="50"/>
        <v>0</v>
      </c>
      <c r="Q30" s="14">
        <f t="shared" si="50"/>
        <v>0</v>
      </c>
      <c r="R30" s="14">
        <f t="shared" si="50"/>
        <v>0</v>
      </c>
      <c r="S30" s="14">
        <f t="shared" si="50"/>
        <v>0</v>
      </c>
      <c r="T30" s="14">
        <f t="shared" si="50"/>
        <v>0</v>
      </c>
      <c r="U30" s="14">
        <f t="shared" si="50"/>
        <v>0</v>
      </c>
      <c r="V30" s="14">
        <f t="shared" si="50"/>
        <v>0</v>
      </c>
      <c r="W30" s="14">
        <f t="shared" si="50"/>
        <v>0</v>
      </c>
      <c r="X30" s="14">
        <f t="shared" si="50"/>
        <v>0</v>
      </c>
      <c r="Y30" s="14">
        <f t="shared" si="50"/>
        <v>0</v>
      </c>
      <c r="Z30" s="14">
        <f t="shared" si="50"/>
        <v>0</v>
      </c>
      <c r="AA30" s="14">
        <f t="shared" si="50"/>
        <v>0</v>
      </c>
      <c r="AE30" s="172" t="s">
        <v>68</v>
      </c>
      <c r="AF30" s="173">
        <f>SUMIF(Assumptions!$E$27:$E$193,AE30,Assumptions!$D$27:$D$193)</f>
        <v>0.736273304978734</v>
      </c>
      <c r="AG30" s="105">
        <f>+C30*$AF30</f>
        <v>0</v>
      </c>
      <c r="AH30" s="105">
        <f>+D30*$AF30</f>
        <v>0</v>
      </c>
      <c r="AI30" s="105">
        <f t="shared" ref="AI30" si="51">+E30*$AF30</f>
        <v>0</v>
      </c>
      <c r="AJ30" s="105">
        <f t="shared" ref="AJ30" si="52">+F30*$AF30</f>
        <v>0</v>
      </c>
      <c r="AK30" s="105">
        <f t="shared" ref="AK30" si="53">+G30*$AF30</f>
        <v>0</v>
      </c>
      <c r="AL30" s="105">
        <f t="shared" ref="AL30" si="54">+H30*$AF30</f>
        <v>0</v>
      </c>
      <c r="AM30" s="105">
        <f t="shared" ref="AM30" si="55">+I30*$AF30</f>
        <v>0</v>
      </c>
      <c r="AN30" s="105">
        <f t="shared" ref="AN30" si="56">+J30*$AF30</f>
        <v>0</v>
      </c>
      <c r="AO30" s="105">
        <f t="shared" ref="AO30" si="57">+K30*$AF30</f>
        <v>0</v>
      </c>
      <c r="AP30" s="105">
        <f t="shared" ref="AP30" si="58">+L30*$AF30</f>
        <v>0</v>
      </c>
      <c r="AQ30" s="105">
        <f t="shared" si="45"/>
        <v>0</v>
      </c>
      <c r="AR30" s="105">
        <f t="shared" si="45"/>
        <v>0</v>
      </c>
      <c r="AS30" s="105">
        <f t="shared" si="45"/>
        <v>0</v>
      </c>
      <c r="AT30" s="105">
        <f t="shared" si="45"/>
        <v>0</v>
      </c>
      <c r="AU30" s="105">
        <f t="shared" si="45"/>
        <v>0</v>
      </c>
      <c r="AV30" s="105">
        <f t="shared" si="45"/>
        <v>0</v>
      </c>
      <c r="AW30" s="105">
        <f t="shared" si="45"/>
        <v>0</v>
      </c>
      <c r="AX30" s="105">
        <f t="shared" si="45"/>
        <v>0</v>
      </c>
      <c r="AY30" s="105">
        <f t="shared" si="45"/>
        <v>0</v>
      </c>
      <c r="AZ30" s="105">
        <f t="shared" si="45"/>
        <v>0</v>
      </c>
      <c r="BA30" s="105">
        <f t="shared" si="45"/>
        <v>0</v>
      </c>
      <c r="BB30" s="105">
        <f t="shared" si="45"/>
        <v>0</v>
      </c>
      <c r="BC30" s="105">
        <f t="shared" si="45"/>
        <v>0</v>
      </c>
      <c r="BD30" s="105">
        <f t="shared" ref="BD30" si="59">+Z30*$AF30</f>
        <v>0</v>
      </c>
      <c r="BE30" s="105">
        <f t="shared" si="46"/>
        <v>0</v>
      </c>
    </row>
    <row r="31" spans="1:57" x14ac:dyDescent="0.35">
      <c r="A31" s="55"/>
      <c r="B31" s="3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 spans="1:57" s="4" customFormat="1" x14ac:dyDescent="0.35">
      <c r="A32" s="56">
        <f>MAX(A$6:A31)+1</f>
        <v>18</v>
      </c>
      <c r="B32" s="29" t="s">
        <v>155</v>
      </c>
      <c r="C32" s="33"/>
      <c r="D32" s="33">
        <f>SUM(D26:D31)</f>
        <v>0</v>
      </c>
      <c r="E32" s="33">
        <f>SUM(E26:E31)</f>
        <v>0</v>
      </c>
      <c r="F32" s="33">
        <f t="shared" ref="F32:L32" si="60">SUM(F26:F31)</f>
        <v>0</v>
      </c>
      <c r="G32" s="33">
        <f t="shared" si="60"/>
        <v>0</v>
      </c>
      <c r="H32" s="33">
        <f t="shared" si="60"/>
        <v>0</v>
      </c>
      <c r="I32" s="33">
        <f t="shared" si="60"/>
        <v>0</v>
      </c>
      <c r="J32" s="33">
        <f t="shared" si="60"/>
        <v>0</v>
      </c>
      <c r="K32" s="33">
        <f t="shared" si="60"/>
        <v>0</v>
      </c>
      <c r="L32" s="33">
        <f t="shared" si="60"/>
        <v>0</v>
      </c>
      <c r="M32" s="33">
        <f t="shared" ref="M32:AA32" si="61">SUM(M26:M31)</f>
        <v>0</v>
      </c>
      <c r="N32" s="33">
        <f t="shared" si="61"/>
        <v>0</v>
      </c>
      <c r="O32" s="33">
        <f t="shared" si="61"/>
        <v>0</v>
      </c>
      <c r="P32" s="33">
        <f t="shared" si="61"/>
        <v>0</v>
      </c>
      <c r="Q32" s="33">
        <f t="shared" si="61"/>
        <v>0</v>
      </c>
      <c r="R32" s="33">
        <f t="shared" si="61"/>
        <v>0</v>
      </c>
      <c r="S32" s="33">
        <f t="shared" si="61"/>
        <v>0</v>
      </c>
      <c r="T32" s="33">
        <f t="shared" si="61"/>
        <v>0</v>
      </c>
      <c r="U32" s="33">
        <f t="shared" si="61"/>
        <v>0</v>
      </c>
      <c r="V32" s="33">
        <f t="shared" si="61"/>
        <v>0</v>
      </c>
      <c r="W32" s="33">
        <f t="shared" si="61"/>
        <v>0</v>
      </c>
      <c r="X32" s="33">
        <f t="shared" si="61"/>
        <v>0</v>
      </c>
      <c r="Y32" s="33">
        <f t="shared" si="61"/>
        <v>0</v>
      </c>
      <c r="Z32" s="33">
        <f t="shared" si="61"/>
        <v>0</v>
      </c>
      <c r="AA32" s="33">
        <f t="shared" si="61"/>
        <v>0</v>
      </c>
      <c r="AG32" s="35">
        <f>SUM(AG27:AG30)</f>
        <v>0</v>
      </c>
      <c r="AH32" s="35">
        <f t="shared" ref="AH32:AP32" si="62">SUM(AH27:AH30)</f>
        <v>0</v>
      </c>
      <c r="AI32" s="35">
        <f t="shared" si="62"/>
        <v>0</v>
      </c>
      <c r="AJ32" s="35">
        <f t="shared" si="62"/>
        <v>0</v>
      </c>
      <c r="AK32" s="35">
        <f t="shared" si="62"/>
        <v>0</v>
      </c>
      <c r="AL32" s="35">
        <f t="shared" si="62"/>
        <v>0</v>
      </c>
      <c r="AM32" s="35">
        <f t="shared" si="62"/>
        <v>0</v>
      </c>
      <c r="AN32" s="35">
        <f t="shared" si="62"/>
        <v>0</v>
      </c>
      <c r="AO32" s="35">
        <f t="shared" si="62"/>
        <v>0</v>
      </c>
      <c r="AP32" s="35">
        <f t="shared" si="62"/>
        <v>0</v>
      </c>
      <c r="AQ32" s="35">
        <f t="shared" ref="AQ32:BD32" si="63">SUM(AQ27:AQ30)</f>
        <v>0</v>
      </c>
      <c r="AR32" s="35">
        <f t="shared" si="63"/>
        <v>0</v>
      </c>
      <c r="AS32" s="35">
        <f t="shared" si="63"/>
        <v>0</v>
      </c>
      <c r="AT32" s="35">
        <f t="shared" si="63"/>
        <v>0</v>
      </c>
      <c r="AU32" s="35">
        <f t="shared" si="63"/>
        <v>0</v>
      </c>
      <c r="AV32" s="35">
        <f t="shared" si="63"/>
        <v>0</v>
      </c>
      <c r="AW32" s="35">
        <f t="shared" si="63"/>
        <v>0</v>
      </c>
      <c r="AX32" s="35">
        <f t="shared" si="63"/>
        <v>0</v>
      </c>
      <c r="AY32" s="35">
        <f t="shared" si="63"/>
        <v>0</v>
      </c>
      <c r="AZ32" s="35">
        <f t="shared" si="63"/>
        <v>0</v>
      </c>
      <c r="BA32" s="35">
        <f t="shared" si="63"/>
        <v>0</v>
      </c>
      <c r="BB32" s="35">
        <f t="shared" si="63"/>
        <v>0</v>
      </c>
      <c r="BC32" s="35">
        <f t="shared" si="63"/>
        <v>0</v>
      </c>
      <c r="BD32" s="35">
        <f t="shared" si="63"/>
        <v>0</v>
      </c>
      <c r="BE32" s="35">
        <f t="shared" ref="BE32" si="64">SUM(BE27:BE30)</f>
        <v>0</v>
      </c>
    </row>
    <row r="33" spans="1:27" ht="14.15" customHeight="1" x14ac:dyDescent="0.35">
      <c r="A33" s="55"/>
      <c r="B33" s="3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</row>
    <row r="34" spans="1:27" s="4" customFormat="1" x14ac:dyDescent="0.35">
      <c r="A34" s="56">
        <f>MAX(A$6:A33)+1</f>
        <v>19</v>
      </c>
      <c r="B34" s="29" t="s">
        <v>15</v>
      </c>
      <c r="C34" s="33"/>
      <c r="D34" s="33">
        <f>SUM(D32)</f>
        <v>0</v>
      </c>
      <c r="E34" s="33">
        <f>SUM(E32)</f>
        <v>0</v>
      </c>
      <c r="F34" s="33">
        <f t="shared" ref="F34:L34" si="65">SUM(F32)</f>
        <v>0</v>
      </c>
      <c r="G34" s="33">
        <f t="shared" si="65"/>
        <v>0</v>
      </c>
      <c r="H34" s="33">
        <f t="shared" si="65"/>
        <v>0</v>
      </c>
      <c r="I34" s="33">
        <f t="shared" si="65"/>
        <v>0</v>
      </c>
      <c r="J34" s="33">
        <f t="shared" si="65"/>
        <v>0</v>
      </c>
      <c r="K34" s="33">
        <f t="shared" si="65"/>
        <v>0</v>
      </c>
      <c r="L34" s="33">
        <f t="shared" si="65"/>
        <v>0</v>
      </c>
      <c r="M34" s="33">
        <f t="shared" ref="M34:AA34" si="66">SUM(M32)</f>
        <v>0</v>
      </c>
      <c r="N34" s="33">
        <f t="shared" si="66"/>
        <v>0</v>
      </c>
      <c r="O34" s="33">
        <f t="shared" si="66"/>
        <v>0</v>
      </c>
      <c r="P34" s="33">
        <f t="shared" si="66"/>
        <v>0</v>
      </c>
      <c r="Q34" s="33">
        <f t="shared" si="66"/>
        <v>0</v>
      </c>
      <c r="R34" s="33">
        <f t="shared" si="66"/>
        <v>0</v>
      </c>
      <c r="S34" s="33">
        <f t="shared" si="66"/>
        <v>0</v>
      </c>
      <c r="T34" s="33">
        <f t="shared" si="66"/>
        <v>0</v>
      </c>
      <c r="U34" s="33">
        <f t="shared" si="66"/>
        <v>0</v>
      </c>
      <c r="V34" s="33">
        <f t="shared" si="66"/>
        <v>0</v>
      </c>
      <c r="W34" s="33">
        <f t="shared" si="66"/>
        <v>0</v>
      </c>
      <c r="X34" s="33">
        <f t="shared" si="66"/>
        <v>0</v>
      </c>
      <c r="Y34" s="33">
        <f t="shared" si="66"/>
        <v>0</v>
      </c>
      <c r="Z34" s="33">
        <f t="shared" si="66"/>
        <v>0</v>
      </c>
      <c r="AA34" s="33">
        <f t="shared" si="66"/>
        <v>0</v>
      </c>
    </row>
    <row r="35" spans="1:27" x14ac:dyDescent="0.35">
      <c r="A35" s="55"/>
      <c r="B35" s="3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</row>
    <row r="37" spans="1:27" x14ac:dyDescent="0.35">
      <c r="A37" t="s">
        <v>16</v>
      </c>
    </row>
    <row r="97" spans="1:57" x14ac:dyDescent="0.35">
      <c r="A97" s="85">
        <f>MAX(A$6:A96)+1</f>
        <v>20</v>
      </c>
      <c r="B97" s="72" t="s">
        <v>265</v>
      </c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E97" s="154" t="str">
        <f>B97</f>
        <v xml:space="preserve">PWD (Dept 28) Subtotal </v>
      </c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  <c r="BB97" s="183"/>
      <c r="BC97" s="183"/>
      <c r="BD97" s="183"/>
      <c r="BE97" s="183"/>
    </row>
    <row r="98" spans="1:57" x14ac:dyDescent="0.35">
      <c r="A98" s="86"/>
      <c r="B98" s="65"/>
      <c r="C98" s="81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</row>
    <row r="99" spans="1:57" x14ac:dyDescent="0.35">
      <c r="A99" s="85">
        <f>MAX(A$6:A98)+1</f>
        <v>21</v>
      </c>
      <c r="B99" s="72" t="s">
        <v>266</v>
      </c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E99" s="154" t="str">
        <f>B99</f>
        <v>OD Subtotal</v>
      </c>
      <c r="AF99" s="183"/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  <c r="BB99" s="183"/>
      <c r="BC99" s="183"/>
      <c r="BD99" s="183"/>
      <c r="BE99" s="183"/>
    </row>
    <row r="100" spans="1:57" x14ac:dyDescent="0.35">
      <c r="A100" s="87"/>
      <c r="C100" s="78"/>
    </row>
    <row r="101" spans="1:57" x14ac:dyDescent="0.35">
      <c r="A101" s="87"/>
      <c r="B101" t="s">
        <v>267</v>
      </c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E101" t="str">
        <f>B101</f>
        <v xml:space="preserve">Check </v>
      </c>
    </row>
  </sheetData>
  <mergeCells count="1">
    <mergeCell ref="AC1:AE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18C384A2-ADFE-488A-870A-C39BB742DAD7}">
          <x14:formula1>
            <xm:f>Assumptions!$B$6:$B$20</xm:f>
          </x14:formula1>
          <xm:sqref>AC6:AC9</xm:sqref>
        </x14:dataValidation>
        <x14:dataValidation type="list" allowBlank="1" showInputMessage="1" showErrorMessage="1" xr:uid="{55892DC2-972F-46EE-99CE-F65AA697B71F}">
          <x14:formula1>
            <xm:f>Assumptions!$E$27:$E$193</xm:f>
          </x14:formula1>
          <xm:sqref>AE27:AE30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9C939-3F5C-4260-B175-09AC611CEEFC}">
  <sheetPr codeName="Sheet9"/>
  <dimension ref="A1:BE112"/>
  <sheetViews>
    <sheetView showGridLines="0" workbookViewId="0">
      <selection activeCell="B24" sqref="B24"/>
    </sheetView>
  </sheetViews>
  <sheetFormatPr defaultColWidth="8.7265625" defaultRowHeight="14.5" x14ac:dyDescent="0.35"/>
  <cols>
    <col min="1" max="1" width="10.54296875" customWidth="1"/>
    <col min="2" max="2" width="30.54296875" customWidth="1"/>
    <col min="3" max="29" width="12.54296875" customWidth="1"/>
    <col min="30" max="30" width="20.7265625" customWidth="1"/>
    <col min="31" max="32" width="12.54296875" customWidth="1"/>
    <col min="33" max="33" width="5.7265625" bestFit="1" customWidth="1"/>
    <col min="34" max="34" width="11.7265625" bestFit="1" customWidth="1"/>
    <col min="35" max="38" width="12.1796875" bestFit="1" customWidth="1"/>
    <col min="39" max="42" width="12.453125" customWidth="1"/>
    <col min="43" max="57" width="12.81640625" customWidth="1"/>
  </cols>
  <sheetData>
    <row r="1" spans="1:57" ht="19" thickTop="1" x14ac:dyDescent="0.45">
      <c r="A1" s="12" t="s">
        <v>279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B2" s="45"/>
      <c r="AF2" t="s">
        <v>2</v>
      </c>
    </row>
    <row r="3" spans="1:57" ht="16.5" thickTop="1" x14ac:dyDescent="0.5">
      <c r="A3" s="22" t="s">
        <v>3</v>
      </c>
      <c r="B3" s="23" t="s">
        <v>72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50">
        <v>1</v>
      </c>
      <c r="B6" s="32" t="s">
        <v>129</v>
      </c>
      <c r="C6" s="5"/>
      <c r="D6" s="5">
        <v>0</v>
      </c>
      <c r="E6" s="5">
        <v>0</v>
      </c>
      <c r="F6" s="108">
        <v>0</v>
      </c>
      <c r="G6" s="112">
        <f>SUMIF(Assumptions!$B$6:$B$20,$AC$6,Assumptions!E$6:E$20)</f>
        <v>6.6000000000000003E-2</v>
      </c>
      <c r="H6" s="112">
        <f>SUMIF(Assumptions!$B$6:$B$20,$AC$6,Assumptions!F$6:F$20)</f>
        <v>2.5999999999999999E-2</v>
      </c>
      <c r="I6" s="112">
        <f>SUMIF(Assumptions!$B$6:$B$20,$AC$6,Assumptions!G$6:G$20)</f>
        <v>2.3E-2</v>
      </c>
      <c r="J6" s="112">
        <f>SUMIF(Assumptions!$B$6:$B$20,$AC$6,Assumptions!H$6:H$20)</f>
        <v>2.5000000000000001E-2</v>
      </c>
      <c r="K6" s="112">
        <f>SUMIF(Assumptions!$B$6:$B$20,$AC$6,Assumptions!I$6:I$20)</f>
        <v>3.1E-2</v>
      </c>
      <c r="L6" s="112">
        <f>SUMIF(Assumptions!$B$6:$B$20,$AC$6,Assumptions!J$6:J$20)</f>
        <v>2.5000000000000001E-2</v>
      </c>
      <c r="M6" s="112">
        <f>SUMIF(Assumptions!$B$6:$B$20,$AC$6,Assumptions!K$6:K$20)</f>
        <v>3.1E-2</v>
      </c>
      <c r="N6" s="112">
        <f>SUMIF(Assumptions!$B$6:$B$20,$AC$6,Assumptions!L$6:L$20)</f>
        <v>3.1E-2</v>
      </c>
      <c r="O6" s="112">
        <f>SUMIF(Assumptions!$B$6:$B$20,$AC$6,Assumptions!M$6:M$20)</f>
        <v>3.1E-2</v>
      </c>
      <c r="P6" s="112">
        <f>SUMIF(Assumptions!$B$6:$B$20,$AC$6,Assumptions!N$6:N$20)</f>
        <v>3.1E-2</v>
      </c>
      <c r="Q6" s="112">
        <f>SUMIF(Assumptions!$B$6:$B$20,$AC$6,Assumptions!O$6:O$20)</f>
        <v>3.1E-2</v>
      </c>
      <c r="R6" s="112">
        <f>SUMIF(Assumptions!$B$6:$B$20,$AC$6,Assumptions!P$6:P$20)</f>
        <v>3.1E-2</v>
      </c>
      <c r="S6" s="112">
        <f>SUMIF(Assumptions!$B$6:$B$20,$AC$6,Assumptions!Q$6:Q$20)</f>
        <v>3.1E-2</v>
      </c>
      <c r="T6" s="112">
        <f>SUMIF(Assumptions!$B$6:$B$20,$AC$6,Assumptions!R$6:R$20)</f>
        <v>3.1E-2</v>
      </c>
      <c r="U6" s="112">
        <f>SUMIF(Assumptions!$B$6:$B$20,$AC$6,Assumptions!S$6:S$20)</f>
        <v>3.1E-2</v>
      </c>
      <c r="V6" s="112">
        <f>SUMIF(Assumptions!$B$6:$B$20,$AC$6,Assumptions!T$6:T$20)</f>
        <v>3.1E-2</v>
      </c>
      <c r="W6" s="112">
        <f>SUMIF(Assumptions!$B$6:$B$20,$AC$6,Assumptions!U$6:U$20)</f>
        <v>3.1E-2</v>
      </c>
      <c r="X6" s="112">
        <f>SUMIF(Assumptions!$B$6:$B$20,$AC$6,Assumptions!V$6:V$20)</f>
        <v>3.1E-2</v>
      </c>
      <c r="Y6" s="112">
        <f>SUMIF(Assumptions!$B$6:$B$20,$AC$6,Assumptions!W$6:W$20)</f>
        <v>3.1E-2</v>
      </c>
      <c r="Z6" s="112">
        <f>SUMIF(Assumptions!$B$6:$B$20,$AC$6,Assumptions!X$6:X$20)</f>
        <v>3.1E-2</v>
      </c>
      <c r="AA6" s="112">
        <f>SUMIF(Assumptions!$B$6:$B$20,$AC$6,Assumptions!Y$6:Y$20)</f>
        <v>3.1E-2</v>
      </c>
      <c r="AC6" s="172" t="s">
        <v>130</v>
      </c>
    </row>
    <row r="7" spans="1:57" x14ac:dyDescent="0.35">
      <c r="A7" s="57">
        <f>MAX(A4:A$6)+1</f>
        <v>2</v>
      </c>
      <c r="B7" s="17" t="s">
        <v>131</v>
      </c>
      <c r="C7" s="5"/>
      <c r="D7" s="5">
        <v>0</v>
      </c>
      <c r="E7" s="5">
        <v>0</v>
      </c>
      <c r="F7" s="108">
        <v>0</v>
      </c>
      <c r="G7" s="112">
        <f>SUMIF(Assumptions!$B$6:$B$20,$AC$7,Assumptions!E$6:E$20)</f>
        <v>1.7000000000000001E-2</v>
      </c>
      <c r="H7" s="112">
        <f>SUMIF(Assumptions!$B$6:$B$20,$AC$7,Assumptions!F$6:F$20)</f>
        <v>4.7E-2</v>
      </c>
      <c r="I7" s="112">
        <f>SUMIF(Assumptions!$B$6:$B$20,$AC$7,Assumptions!G$6:G$20)</f>
        <v>0.03</v>
      </c>
      <c r="J7" s="112">
        <f>SUMIF(Assumptions!$B$6:$B$20,$AC$7,Assumptions!H$6:H$20)</f>
        <v>2.1999999999999999E-2</v>
      </c>
      <c r="K7" s="112">
        <f>SUMIF(Assumptions!$B$6:$B$20,$AC$7,Assumptions!I$6:I$20)</f>
        <v>2.1000000000000001E-2</v>
      </c>
      <c r="L7" s="112">
        <f>SUMIF(Assumptions!$B$6:$B$20,$AC$7,Assumptions!J$6:J$20)</f>
        <v>2.1999999999999999E-2</v>
      </c>
      <c r="M7" s="112">
        <f>SUMIF(Assumptions!$B$6:$B$20,$AC$7,Assumptions!K$6:K$20)</f>
        <v>2.1000000000000001E-2</v>
      </c>
      <c r="N7" s="112">
        <f>SUMIF(Assumptions!$B$6:$B$20,$AC$7,Assumptions!L$6:L$20)</f>
        <v>2.1000000000000001E-2</v>
      </c>
      <c r="O7" s="112">
        <f>SUMIF(Assumptions!$B$6:$B$20,$AC$7,Assumptions!M$6:M$20)</f>
        <v>2.1000000000000001E-2</v>
      </c>
      <c r="P7" s="112">
        <f>SUMIF(Assumptions!$B$6:$B$20,$AC$7,Assumptions!N$6:N$20)</f>
        <v>2.1000000000000001E-2</v>
      </c>
      <c r="Q7" s="112">
        <f>SUMIF(Assumptions!$B$6:$B$20,$AC$7,Assumptions!O$6:O$20)</f>
        <v>2.1000000000000001E-2</v>
      </c>
      <c r="R7" s="112">
        <f>SUMIF(Assumptions!$B$6:$B$20,$AC$7,Assumptions!P$6:P$20)</f>
        <v>2.1000000000000001E-2</v>
      </c>
      <c r="S7" s="112">
        <f>SUMIF(Assumptions!$B$6:$B$20,$AC$7,Assumptions!Q$6:Q$20)</f>
        <v>2.1000000000000001E-2</v>
      </c>
      <c r="T7" s="112">
        <f>SUMIF(Assumptions!$B$6:$B$20,$AC$7,Assumptions!R$6:R$20)</f>
        <v>2.1000000000000001E-2</v>
      </c>
      <c r="U7" s="112">
        <f>SUMIF(Assumptions!$B$6:$B$20,$AC$7,Assumptions!S$6:S$20)</f>
        <v>2.1000000000000001E-2</v>
      </c>
      <c r="V7" s="112">
        <f>SUMIF(Assumptions!$B$6:$B$20,$AC$7,Assumptions!T$6:T$20)</f>
        <v>2.1000000000000001E-2</v>
      </c>
      <c r="W7" s="112">
        <f>SUMIF(Assumptions!$B$6:$B$20,$AC$7,Assumptions!U$6:U$20)</f>
        <v>2.1000000000000001E-2</v>
      </c>
      <c r="X7" s="112">
        <f>SUMIF(Assumptions!$B$6:$B$20,$AC$7,Assumptions!V$6:V$20)</f>
        <v>2.1000000000000001E-2</v>
      </c>
      <c r="Y7" s="112">
        <f>SUMIF(Assumptions!$B$6:$B$20,$AC$7,Assumptions!W$6:W$20)</f>
        <v>2.1000000000000001E-2</v>
      </c>
      <c r="Z7" s="112">
        <f>SUMIF(Assumptions!$B$6:$B$20,$AC$7,Assumptions!X$6:X$20)</f>
        <v>2.1000000000000001E-2</v>
      </c>
      <c r="AA7" s="112">
        <f>SUMIF(Assumptions!$B$6:$B$20,$AC$7,Assumptions!Y$6:Y$20)</f>
        <v>2.1000000000000001E-2</v>
      </c>
      <c r="AC7" s="172" t="s">
        <v>132</v>
      </c>
    </row>
    <row r="8" spans="1:57" x14ac:dyDescent="0.35">
      <c r="A8" s="50">
        <f>MAX(A5:A$7)+1</f>
        <v>3</v>
      </c>
      <c r="B8" s="148" t="s">
        <v>133</v>
      </c>
      <c r="C8" s="5"/>
      <c r="D8" s="5">
        <v>0</v>
      </c>
      <c r="E8" s="5">
        <v>0</v>
      </c>
      <c r="F8" s="108">
        <v>0.2382</v>
      </c>
      <c r="G8" s="112">
        <f>SUMIF(Assumptions!$B$6:$B$20,$AC$8,Assumptions!E$6:E$20)</f>
        <v>0</v>
      </c>
      <c r="H8" s="112">
        <f>SUMIF(Assumptions!$B$6:$B$20,$AC$8,Assumptions!F$6:F$20)</f>
        <v>0</v>
      </c>
      <c r="I8" s="112">
        <f>SUMIF(Assumptions!$B$6:$B$20,$AC$8,Assumptions!G$6:G$20)</f>
        <v>3.9300000000000002E-2</v>
      </c>
      <c r="J8" s="112">
        <f>SUMIF(Assumptions!$B$6:$B$20,$AC$8,Assumptions!H$6:H$20)</f>
        <v>3.9300000000000002E-2</v>
      </c>
      <c r="K8" s="112">
        <f>SUMIF(Assumptions!$B$6:$B$20,$AC$8,Assumptions!I$6:I$20)</f>
        <v>3.9300000000000002E-2</v>
      </c>
      <c r="L8" s="112">
        <f>SUMIF(Assumptions!$B$6:$B$20,$AC$8,Assumptions!J$6:J$20)</f>
        <v>3.9300000000000002E-2</v>
      </c>
      <c r="M8" s="112">
        <f>SUMIF(Assumptions!$B$6:$B$20,$AC$8,Assumptions!K$6:K$20)</f>
        <v>3.9300000000000002E-2</v>
      </c>
      <c r="N8" s="112">
        <f>SUMIF(Assumptions!$B$6:$B$20,$AC$8,Assumptions!L$6:L$20)</f>
        <v>3.9300000000000002E-2</v>
      </c>
      <c r="O8" s="112">
        <f>SUMIF(Assumptions!$B$6:$B$20,$AC$8,Assumptions!M$6:M$20)</f>
        <v>3.9300000000000002E-2</v>
      </c>
      <c r="P8" s="112">
        <f>SUMIF(Assumptions!$B$6:$B$20,$AC$8,Assumptions!N$6:N$20)</f>
        <v>3.9300000000000002E-2</v>
      </c>
      <c r="Q8" s="112">
        <f>SUMIF(Assumptions!$B$6:$B$20,$AC$8,Assumptions!O$6:O$20)</f>
        <v>3.9300000000000002E-2</v>
      </c>
      <c r="R8" s="112">
        <f>SUMIF(Assumptions!$B$6:$B$20,$AC$8,Assumptions!P$6:P$20)</f>
        <v>3.9300000000000002E-2</v>
      </c>
      <c r="S8" s="112">
        <f>SUMIF(Assumptions!$B$6:$B$20,$AC$8,Assumptions!Q$6:Q$20)</f>
        <v>3.9300000000000002E-2</v>
      </c>
      <c r="T8" s="112">
        <f>SUMIF(Assumptions!$B$6:$B$20,$AC$8,Assumptions!R$6:R$20)</f>
        <v>3.9300000000000002E-2</v>
      </c>
      <c r="U8" s="112">
        <f>SUMIF(Assumptions!$B$6:$B$20,$AC$8,Assumptions!S$6:S$20)</f>
        <v>3.9300000000000002E-2</v>
      </c>
      <c r="V8" s="112">
        <f>SUMIF(Assumptions!$B$6:$B$20,$AC$8,Assumptions!T$6:T$20)</f>
        <v>3.9300000000000002E-2</v>
      </c>
      <c r="W8" s="112">
        <f>SUMIF(Assumptions!$B$6:$B$20,$AC$8,Assumptions!U$6:U$20)</f>
        <v>3.9300000000000002E-2</v>
      </c>
      <c r="X8" s="112">
        <f>SUMIF(Assumptions!$B$6:$B$20,$AC$8,Assumptions!V$6:V$20)</f>
        <v>3.9300000000000002E-2</v>
      </c>
      <c r="Y8" s="112">
        <f>SUMIF(Assumptions!$B$6:$B$20,$AC$8,Assumptions!W$6:W$20)</f>
        <v>3.9300000000000002E-2</v>
      </c>
      <c r="Z8" s="112">
        <f>SUMIF(Assumptions!$B$6:$B$20,$AC$8,Assumptions!X$6:X$20)</f>
        <v>3.9300000000000002E-2</v>
      </c>
      <c r="AA8" s="112">
        <f>SUMIF(Assumptions!$B$6:$B$20,$AC$8,Assumptions!Y$6:Y$20)</f>
        <v>3.9300000000000002E-2</v>
      </c>
      <c r="AC8" s="172" t="s">
        <v>134</v>
      </c>
    </row>
    <row r="9" spans="1:57" x14ac:dyDescent="0.35">
      <c r="A9" s="57">
        <f>MAX(A$6:A8)+1</f>
        <v>4</v>
      </c>
      <c r="B9" s="17" t="s">
        <v>135</v>
      </c>
      <c r="C9" s="73"/>
      <c r="D9" s="73">
        <f>+D6</f>
        <v>0</v>
      </c>
      <c r="E9" s="73">
        <f>+(1+D6)*(1+E6)-1</f>
        <v>0</v>
      </c>
      <c r="F9" s="73">
        <f>+(1+D6)*(1+E6)*(1+F6)-1</f>
        <v>0</v>
      </c>
      <c r="G9" s="73">
        <f>+(1+D6)*(1+E6)*(1+F6)*(1+G6)-1</f>
        <v>6.6000000000000059E-2</v>
      </c>
      <c r="H9" s="73">
        <f>+(1+D6)*(1+E6)*(1+F6)*(1+G6)*(1+H6)-1</f>
        <v>9.3716000000000133E-2</v>
      </c>
      <c r="I9" s="73">
        <f>+(1+D6)*(1+E6)*(1+F6)*(1+G6)*(1+H6)*(1+I6)-1</f>
        <v>0.11887146800000004</v>
      </c>
      <c r="J9" s="73">
        <f>+(1+D6)*(1+E6)*(1+F6)*(1+G6)*(1+H6)*(1+I6)*(1+J6)-1</f>
        <v>0.14684325470000004</v>
      </c>
      <c r="K9" s="73">
        <f>+(1+D6)*(1+E6)*(1+F6)*(1+G6)*(1+H6)*(1+I6)*(1+J6)*(1+K6)-1</f>
        <v>0.18239539559569984</v>
      </c>
      <c r="L9" s="73">
        <f>+(1+D6)*(1+E6)*(1+F6)*(1+G6)*(1+H6)*(1+I6)*(1+J6)*(1+K6)*(1+L6)-1</f>
        <v>0.2119552804855922</v>
      </c>
      <c r="M9" s="73">
        <f>+(1+D6)*(1+E6)*(1+F6)*(1+G6)*(1+H6)*(1+I6)*(1+J6)*(1+K6)*(1+L6)*(1+M6)-1</f>
        <v>0.24952589418064552</v>
      </c>
      <c r="N9" s="73">
        <f>+(1+D6)*(1+E6)*(1+F6)*(1+G6)*(1+H6)*(1+I6)*(1+J6)*(1+K6)*(1+L6)*(1+M6)*(1+N6)-1</f>
        <v>0.28826119690024554</v>
      </c>
      <c r="O9" s="73">
        <f>+(1+D6)*(1+E6)*(1+F6)*(1+G6)*(1+H6)*(1+I6)*(1+J6)*(1+K6)*(1+L6)*(1+M6)*(1+N6)*(1+O6)-1</f>
        <v>0.3281972940041531</v>
      </c>
      <c r="P9" s="73">
        <f>+(1+D6)*(1+E6)*(1+F6)*(1+G6)*(1+H6)*(1+I6)*(1+J6)*(1+K6)*(1+L6)*(1+M6)*(1+N6)*(1+O6)*(1+P6)-1</f>
        <v>0.36937141011828167</v>
      </c>
      <c r="Q9" s="73">
        <f>+(1+D6)*(1+E6)*(1+F6)*(1+G6)*(1+H6)*(1+I6)*(1+J6)*(1+K6)*(1+L6)*(1+M6)*(1+N6)*(1+O6)*(1+P6)*(1+Q6)-1</f>
        <v>0.41182192383194827</v>
      </c>
      <c r="R9" s="73">
        <f>+(1+D6)*(1+E6)*(1+F6)*(1+G6)*(1+H6)*(1+I6)*(1+J6)*(1+K6)*(1+L6)*(1+M6)*(1+N6)*(1+O6)*(1+P6)*(1+Q6)*(1+R6)-1</f>
        <v>0.45558840347073848</v>
      </c>
      <c r="S9" s="73">
        <f>+(1+D6)*(1+E6)*(1+F6)*(1+G6)*(1+H6)*(1+I6)*(1+J6)*(1+K6)*(1+L6)*(1+M6)*(1+N6)*(1+O6)*(1+P6)*(1+Q6)*(1+R6)*(1+S6)-1</f>
        <v>0.50071164397833123</v>
      </c>
      <c r="T9" s="73">
        <f>+(1+D6)*(1+E6)*(1+F6)*(1+G6)*(1+H6)*(1+I6)*(1+J6)*(1+K6)*(1+L6)*(1+M6)*(1+N6)*(1+O6)*(1+P6)*(1+Q6)*(1+R6)*(1+S6)*(1+T6)-1</f>
        <v>0.54723370494165935</v>
      </c>
      <c r="U9" s="73">
        <f>+(1+D6)*(1+E6)*(1+F6)*(1+G6)*(1+H6)*(1+I6)*(1+J6)*(1+K6)*(1+L6)*(1+M6)*(1+N6)*(1+O6)*(1+P6)*(1+Q6)*(1+R6)*(1+S6)*(1+T6)*(1+U6)-1</f>
        <v>0.59519794979485074</v>
      </c>
      <c r="V9" s="73">
        <f>+(1+D6)*(1+E6)*(1+F6)*(1+G6)*(1+H6)*(1+I6)*(1+J6)*(1+K6)*(1+L6)*(1+M6)*(1+N6)*(1+O6)*(1+P6)*(1+Q6)*(1+R6)*(1+S6)*(1+T6)*(1+U6)*(1+V6)-1</f>
        <v>0.64464908623849104</v>
      </c>
      <c r="W9" s="73">
        <f>+(1+D6)*(1+E6)*(1+F6)*(1+G6)*(1+H6)*(1+I6)*(1+J6)*(1+K6)*(1+L6)*(1+M6)*(1+N6)*(1+O6)*(1+P6)*(1+Q6)*(1+R6)*(1+S6)*(1+T6)*(1+U6)*(1+V6)*(1+W6)-1</f>
        <v>0.6956332079118841</v>
      </c>
      <c r="X9" s="73">
        <f>+(1+D6)*(1+E6)*(1+F6)*(1+G6)*(1+H6)*(1+I6)*(1+J6)*(1+K6)*(1+L6)*(1+M6)*(1+N6)*(1+O6)*(1+P6)*(1+Q6)*(1+R6)*(1+S6)*(1+T6)*(1+U6)*(1+V6)*(1+W6)*(1+X6)-1</f>
        <v>0.74819783735715228</v>
      </c>
      <c r="Y9" s="73">
        <f>+(1+D6)*(1+E6)*(1+F6)*(1+G6)*(1+H6)*(1+I6)*(1+J6)*(1+K6)*(1+L6)*(1+M6)*(1+N6)*(1+O6)*(1+P6)*(1+Q6)*(1+R6)*(1+S6)*(1+T6)*(1+U6)*(1+V6)*(1+W6)*(1+X6)*(1+Y6)-1</f>
        <v>0.8023919703152238</v>
      </c>
      <c r="Z9" s="73">
        <f>+(1+D6)*(1+E6)*(1+F6)*(1+G6)*(1+H6)*(1+I6)*(1+J6)*(1+K6)*(1+L6)*(1+M6)*(1+N6)*(1+O6)*(1+P6)*(1+Q6)*(1+R6)*(1+S6)*(1+T6)*(1+U6)*(1+V6)*(1+W6)*(1+X6)*(1+Y6)*(1+Z6)-1</f>
        <v>0.85826612139499558</v>
      </c>
      <c r="AA9" s="73">
        <f>+(1+D6)*(1+E6)*(1+F6)*(1+G6)*(1+H6)*(1+I6)*(1+J6)*(1+K6)*(1+L6)*(1+M6)*(1+N6)*(1+O6)*(1+P6)*(1+Q6)*(1+R6)*(1+S6)*(1+T6)*(1+U6)*(1+V6)*(1+W6)*(1+X6)*(1+Y6)*(1+Z6)*(1+AA6)-1</f>
        <v>0.91587237115824038</v>
      </c>
    </row>
    <row r="10" spans="1:57" x14ac:dyDescent="0.35">
      <c r="A10" s="50">
        <f>MAX(A$6:A9)+1</f>
        <v>5</v>
      </c>
      <c r="B10" s="148" t="s">
        <v>136</v>
      </c>
      <c r="C10" s="19"/>
      <c r="D10" s="47">
        <f t="shared" ref="D10:D11" si="32">+D7</f>
        <v>0</v>
      </c>
      <c r="E10" s="47">
        <f t="shared" ref="E10:E11" si="33">+(1+D7)*(1+E7)-1</f>
        <v>0</v>
      </c>
      <c r="F10" s="47">
        <f t="shared" ref="F10:F11" si="34">+(1+D7)*(1+E7)*(1+F7)-1</f>
        <v>0</v>
      </c>
      <c r="G10" s="47">
        <f t="shared" ref="G10:G11" si="35">+(1+D7)*(1+E7)*(1+F7)*(1+G7)-1</f>
        <v>1.6999999999999904E-2</v>
      </c>
      <c r="H10" s="47">
        <f t="shared" ref="H10:H11" si="36">+(1+D7)*(1+E7)*(1+F7)*(1+G7)*(1+H7)-1</f>
        <v>6.4798999999999829E-2</v>
      </c>
      <c r="I10" s="47">
        <f t="shared" ref="I10:I11" si="37">+(1+D7)*(1+E7)*(1+F7)*(1+G7)*(1+H7)*(1+I7)-1</f>
        <v>9.6742969999999762E-2</v>
      </c>
      <c r="J10" s="47">
        <f t="shared" ref="J10:J11" si="38">+(1+D7)*(1+E7)*(1+F7)*(1+G7)*(1+H7)*(1+I7)*(1+J7)-1</f>
        <v>0.12087131533999984</v>
      </c>
      <c r="K10" s="47">
        <f t="shared" ref="K10:K11" si="39">+(1+D7)*(1+E7)*(1+F7)*(1+G7)*(1+H7)*(1+I7)*(1+J7)*(1+K7)-1</f>
        <v>0.14440961296213972</v>
      </c>
      <c r="L10" s="47">
        <f t="shared" ref="L10:L11" si="40">+(1+D7)*(1+E7)*(1+F7)*(1+G7)*(1+H7)*(1+I7)*(1+J7)*(1+K7)*(1+L7)-1</f>
        <v>0.16958662444730677</v>
      </c>
      <c r="M10" s="47">
        <f t="shared" ref="M10:M11" si="41">+(1+D7)*(1+E7)*(1+F7)*(1+G7)*(1+H7)*(1+I7)*(1+J7)*(1+K7)*(1+L7)*(1+M7)-1</f>
        <v>0.19414794356070009</v>
      </c>
      <c r="N10" s="47">
        <f t="shared" ref="N10:N11" si="42">+(1+D7)*(1+E7)*(1+F7)*(1+G7)*(1+H7)*(1+I7)*(1+J7)*(1+K7)*(1+L7)*(1+M7)*(1+N7)-1</f>
        <v>0.21922505037547468</v>
      </c>
      <c r="O10" s="47">
        <f t="shared" ref="O10:O11" si="43">+(1+D7)*(1+E7)*(1+F7)*(1+G7)*(1+H7)*(1+I7)*(1+J7)*(1+K7)*(1+L7)*(1+M7)*(1+N7)*(1+O7)-1</f>
        <v>0.24482877643335943</v>
      </c>
      <c r="P10" s="47">
        <f t="shared" ref="P10:P11" si="44">+(1+D7)*(1+E7)*(1+F7)*(1+G7)*(1+H7)*(1+I7)*(1+J7)*(1+K7)*(1+L7)*(1+M7)*(1+N7)*(1+O7)*(1+P7)-1</f>
        <v>0.27097018073845991</v>
      </c>
      <c r="Q10" s="47">
        <f t="shared" ref="Q10:Q11" si="45">+(1+D7)*(1+E7)*(1+F7)*(1+G7)*(1+H7)*(1+I7)*(1+J7)*(1+K7)*(1+L7)*(1+M7)*(1+N7)*(1+O7)*(1+P7)*(1+Q7)-1</f>
        <v>0.29766055453396745</v>
      </c>
      <c r="R10" s="47">
        <f t="shared" ref="R10:R11" si="46">+(1+D7)*(1+E7)*(1+F7)*(1+G7)*(1+H7)*(1+I7)*(1+J7)*(1+K7)*(1+L7)*(1+M7)*(1+N7)*(1+O7)*(1+P7)*(1+Q7)*(1+R7)-1</f>
        <v>0.32491142617918056</v>
      </c>
      <c r="S10" s="47">
        <f t="shared" ref="S10:S11" si="47">+(1+D7)*(1+E7)*(1+F7)*(1+G7)*(1+H7)*(1+I7)*(1+J7)*(1+K7)*(1+L7)*(1+M7)*(1+N7)*(1+O7)*(1+P7)*(1+Q7)*(1+R7)*(1+S7)-1</f>
        <v>0.35273456612894316</v>
      </c>
      <c r="T10" s="47">
        <f t="shared" ref="T10:T11" si="48">+(1+D7)*(1+E7)*(1+F7)*(1+G7)*(1+H7)*(1+I7)*(1+J7)*(1+K7)*(1+L7)*(1+M7)*(1+N7)*(1+O7)*(1+P7)*(1+Q7)*(1+R7)*(1+S7)*(1+T7)-1</f>
        <v>0.38114199201765087</v>
      </c>
      <c r="U10" s="47">
        <f t="shared" ref="U10:U11" si="49">+(1+D7)*(1+E7)*(1+F7)*(1+G7)*(1+H7)*(1+I7)*(1+J7)*(1+K7)*(1+L7)*(1+M7)*(1+N7)*(1+O7)*(1+P7)*(1+Q7)*(1+R7)*(1+S7)*(1+T7)*(1+U7)-1</f>
        <v>0.41014597385002149</v>
      </c>
      <c r="V10" s="47">
        <f t="shared" ref="V10:V11" si="50">+(1+D7)*(1+E7)*(1+F7)*(1+G7)*(1+H7)*(1+I7)*(1+J7)*(1+K7)*(1+L7)*(1+M7)*(1+N7)*(1+O7)*(1+P7)*(1+Q7)*(1+R7)*(1+S7)*(1+T7)*(1+U7)*(1+V7)-1</f>
        <v>0.4397590393008719</v>
      </c>
      <c r="W10" s="47">
        <f t="shared" ref="W10:W11" si="51">+(1+D7)*(1+E7)*(1+F7)*(1+G7)*(1+H7)*(1+I7)*(1+J7)*(1+K7)*(1+L7)*(1+M7)*(1+N7)*(1+O7)*(1+P7)*(1+Q7)*(1+R7)*(1+S7)*(1+T7)*(1+U7)*(1+V7)*(1+W7)-1</f>
        <v>0.46999397912619001</v>
      </c>
      <c r="X10" s="47">
        <f t="shared" ref="X10:X11" si="52">+(1+D7)*(1+E7)*(1+F7)*(1+G7)*(1+H7)*(1+I7)*(1+J7)*(1+K7)*(1+L7)*(1+M7)*(1+N7)*(1+O7)*(1+P7)*(1+Q7)*(1+R7)*(1+S7)*(1+T7)*(1+U7)*(1+V7)*(1+W7)*(1+X7)-1</f>
        <v>0.50086385268783995</v>
      </c>
      <c r="Y10" s="47">
        <f t="shared" ref="Y10:Y11" si="53">+(1+D7)*(1+E7)*(1+F7)*(1+G7)*(1+H7)*(1+I7)*(1+J7)*(1+K7)*(1+L7)*(1+M7)*(1+N7)*(1+O7)*(1+P7)*(1+Q7)*(1+R7)*(1+S7)*(1+T7)*(1+U7)*(1+V7)*(1+W7)*(1+X7)*(1+Y7)-1</f>
        <v>0.5323819935942844</v>
      </c>
      <c r="Z10" s="47">
        <f t="shared" ref="Z10:Z11" si="54">+(1+D7)*(1+E7)*(1+F7)*(1+G7)*(1+H7)*(1+I7)*(1+J7)*(1+K7)*(1+L7)*(1+M7)*(1+N7)*(1+O7)*(1+P7)*(1+Q7)*(1+R7)*(1+S7)*(1+T7)*(1+U7)*(1+V7)*(1+W7)*(1+X7)*(1+Y7)*(1+Z7)-1</f>
        <v>0.56456201545976414</v>
      </c>
      <c r="AA10" s="47">
        <f t="shared" ref="AA10:AA11" si="55">+(1+D7)*(1+E7)*(1+F7)*(1+G7)*(1+H7)*(1+I7)*(1+J7)*(1+K7)*(1+L7)*(1+M7)*(1+N7)*(1+O7)*(1+P7)*(1+Q7)*(1+R7)*(1+S7)*(1+T7)*(1+U7)*(1+V7)*(1+W7)*(1+X7)*(1+Y7)*(1+Z7)*(1+AA7)-1</f>
        <v>0.59741781778441894</v>
      </c>
    </row>
    <row r="11" spans="1:57" x14ac:dyDescent="0.35">
      <c r="A11" s="57">
        <f>MAX(A$6:A10)+1</f>
        <v>6</v>
      </c>
      <c r="B11" s="17" t="s">
        <v>137</v>
      </c>
      <c r="C11" s="152"/>
      <c r="D11" s="152">
        <f t="shared" si="32"/>
        <v>0</v>
      </c>
      <c r="E11" s="152">
        <f t="shared" si="33"/>
        <v>0</v>
      </c>
      <c r="F11" s="152">
        <f t="shared" si="34"/>
        <v>0.23819999999999997</v>
      </c>
      <c r="G11" s="152">
        <f t="shared" si="35"/>
        <v>0.23819999999999997</v>
      </c>
      <c r="H11" s="152">
        <f t="shared" si="36"/>
        <v>0.23819999999999997</v>
      </c>
      <c r="I11" s="152">
        <f t="shared" si="37"/>
        <v>0.28686125999999978</v>
      </c>
      <c r="J11" s="152">
        <f t="shared" si="38"/>
        <v>0.33743490751799965</v>
      </c>
      <c r="K11" s="152">
        <f t="shared" si="39"/>
        <v>0.38999609938345681</v>
      </c>
      <c r="L11" s="152">
        <f t="shared" si="40"/>
        <v>0.44462294608922659</v>
      </c>
      <c r="M11" s="152">
        <f t="shared" si="41"/>
        <v>0.50139662787053307</v>
      </c>
      <c r="N11" s="152">
        <f t="shared" si="42"/>
        <v>0.56040151534584481</v>
      </c>
      <c r="O11" s="152">
        <f t="shared" si="43"/>
        <v>0.62172529489893624</v>
      </c>
      <c r="P11" s="152">
        <f t="shared" si="44"/>
        <v>0.68545909898846435</v>
      </c>
      <c r="Q11" s="152">
        <f t="shared" si="45"/>
        <v>0.75169764157871088</v>
      </c>
      <c r="R11" s="152">
        <f t="shared" si="46"/>
        <v>0.82053935889275409</v>
      </c>
      <c r="S11" s="152">
        <f t="shared" si="47"/>
        <v>0.89208655569723905</v>
      </c>
      <c r="T11" s="152">
        <f t="shared" si="48"/>
        <v>0.96644555733614035</v>
      </c>
      <c r="U11" s="152">
        <f t="shared" si="49"/>
        <v>1.0437268677394504</v>
      </c>
      <c r="V11" s="152">
        <f t="shared" si="50"/>
        <v>1.1240453336416105</v>
      </c>
      <c r="W11" s="152">
        <f t="shared" si="51"/>
        <v>1.2075203152537255</v>
      </c>
      <c r="X11" s="152">
        <f t="shared" si="52"/>
        <v>1.2942758636431968</v>
      </c>
      <c r="Y11" s="152">
        <f t="shared" si="53"/>
        <v>1.3844409050843742</v>
      </c>
      <c r="Z11" s="152">
        <f t="shared" si="54"/>
        <v>1.47814943265419</v>
      </c>
      <c r="AA11" s="152">
        <f t="shared" si="55"/>
        <v>1.5755407053574992</v>
      </c>
    </row>
    <row r="12" spans="1:57" ht="15.5" x14ac:dyDescent="0.35">
      <c r="A12" s="10"/>
      <c r="B12" s="31" t="s">
        <v>51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spans="1:57" x14ac:dyDescent="0.35">
      <c r="A13" s="46"/>
      <c r="B13" s="19" t="s">
        <v>138</v>
      </c>
      <c r="C13" s="19"/>
      <c r="D13" s="19"/>
      <c r="E13" s="19"/>
      <c r="F13" s="100"/>
      <c r="G13" s="100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57" x14ac:dyDescent="0.35">
      <c r="A14" s="48">
        <f>MAX(A$6:A13)+1</f>
        <v>7</v>
      </c>
      <c r="B14" s="62" t="s">
        <v>139</v>
      </c>
      <c r="C14" s="6"/>
      <c r="D14" s="6"/>
      <c r="E14" s="6"/>
      <c r="F14" s="113">
        <f>E14</f>
        <v>0</v>
      </c>
      <c r="G14" s="113">
        <f t="shared" ref="G14:AA16" si="56">F14</f>
        <v>0</v>
      </c>
      <c r="H14" s="113">
        <f t="shared" si="56"/>
        <v>0</v>
      </c>
      <c r="I14" s="113">
        <f t="shared" si="56"/>
        <v>0</v>
      </c>
      <c r="J14" s="113">
        <f t="shared" si="56"/>
        <v>0</v>
      </c>
      <c r="K14" s="113">
        <f t="shared" si="56"/>
        <v>0</v>
      </c>
      <c r="L14" s="113">
        <f t="shared" si="56"/>
        <v>0</v>
      </c>
      <c r="M14" s="113">
        <f t="shared" si="56"/>
        <v>0</v>
      </c>
      <c r="N14" s="113">
        <f t="shared" si="56"/>
        <v>0</v>
      </c>
      <c r="O14" s="113">
        <f t="shared" si="56"/>
        <v>0</v>
      </c>
      <c r="P14" s="113">
        <f t="shared" si="56"/>
        <v>0</v>
      </c>
      <c r="Q14" s="113">
        <f t="shared" si="56"/>
        <v>0</v>
      </c>
      <c r="R14" s="113">
        <f t="shared" si="56"/>
        <v>0</v>
      </c>
      <c r="S14" s="113">
        <f t="shared" si="56"/>
        <v>0</v>
      </c>
      <c r="T14" s="113">
        <f t="shared" si="56"/>
        <v>0</v>
      </c>
      <c r="U14" s="113">
        <f t="shared" si="56"/>
        <v>0</v>
      </c>
      <c r="V14" s="113">
        <f t="shared" si="56"/>
        <v>0</v>
      </c>
      <c r="W14" s="113">
        <f t="shared" si="56"/>
        <v>0</v>
      </c>
      <c r="X14" s="113">
        <f t="shared" si="56"/>
        <v>0</v>
      </c>
      <c r="Y14" s="113">
        <f t="shared" si="56"/>
        <v>0</v>
      </c>
      <c r="Z14" s="113">
        <f t="shared" si="56"/>
        <v>0</v>
      </c>
      <c r="AA14" s="113">
        <f t="shared" si="56"/>
        <v>0</v>
      </c>
      <c r="AB14" s="1"/>
      <c r="AC14" s="1"/>
      <c r="AD14" s="1"/>
      <c r="AE14" s="1"/>
    </row>
    <row r="15" spans="1:57" x14ac:dyDescent="0.35">
      <c r="A15" s="50">
        <f>MAX(A$6:A14)+1</f>
        <v>8</v>
      </c>
      <c r="B15" s="148" t="s">
        <v>132</v>
      </c>
      <c r="C15" s="6"/>
      <c r="D15" s="6"/>
      <c r="E15" s="6"/>
      <c r="F15" s="113">
        <f t="shared" ref="F15:U16" si="57">E15</f>
        <v>0</v>
      </c>
      <c r="G15" s="113">
        <f t="shared" si="57"/>
        <v>0</v>
      </c>
      <c r="H15" s="113">
        <f t="shared" si="57"/>
        <v>0</v>
      </c>
      <c r="I15" s="113">
        <f t="shared" si="57"/>
        <v>0</v>
      </c>
      <c r="J15" s="113">
        <f t="shared" si="57"/>
        <v>0</v>
      </c>
      <c r="K15" s="113">
        <f t="shared" si="57"/>
        <v>0</v>
      </c>
      <c r="L15" s="113">
        <f t="shared" si="57"/>
        <v>0</v>
      </c>
      <c r="M15" s="113">
        <f t="shared" si="57"/>
        <v>0</v>
      </c>
      <c r="N15" s="113">
        <f t="shared" si="57"/>
        <v>0</v>
      </c>
      <c r="O15" s="113">
        <f t="shared" si="57"/>
        <v>0</v>
      </c>
      <c r="P15" s="113">
        <f t="shared" si="57"/>
        <v>0</v>
      </c>
      <c r="Q15" s="113">
        <f t="shared" si="57"/>
        <v>0</v>
      </c>
      <c r="R15" s="113">
        <f t="shared" si="57"/>
        <v>0</v>
      </c>
      <c r="S15" s="113">
        <f t="shared" si="57"/>
        <v>0</v>
      </c>
      <c r="T15" s="113">
        <f t="shared" si="57"/>
        <v>0</v>
      </c>
      <c r="U15" s="113">
        <f t="shared" si="57"/>
        <v>0</v>
      </c>
      <c r="V15" s="113">
        <f t="shared" si="56"/>
        <v>0</v>
      </c>
      <c r="W15" s="113">
        <f t="shared" si="56"/>
        <v>0</v>
      </c>
      <c r="X15" s="113">
        <f t="shared" si="56"/>
        <v>0</v>
      </c>
      <c r="Y15" s="113">
        <f t="shared" si="56"/>
        <v>0</v>
      </c>
      <c r="Z15" s="113">
        <f t="shared" si="56"/>
        <v>0</v>
      </c>
      <c r="AA15" s="113">
        <f t="shared" si="56"/>
        <v>0</v>
      </c>
      <c r="AB15" s="1"/>
      <c r="AC15" s="1"/>
      <c r="AD15" s="1"/>
      <c r="AE15" s="1"/>
    </row>
    <row r="16" spans="1:57" x14ac:dyDescent="0.35">
      <c r="A16" s="48">
        <f>MAX(A$6:A15)+1</f>
        <v>9</v>
      </c>
      <c r="B16" s="153" t="s">
        <v>134</v>
      </c>
      <c r="C16" s="6"/>
      <c r="D16" s="6"/>
      <c r="E16" s="6"/>
      <c r="F16" s="113">
        <f t="shared" si="57"/>
        <v>0</v>
      </c>
      <c r="G16" s="113">
        <f t="shared" si="56"/>
        <v>0</v>
      </c>
      <c r="H16" s="113">
        <f t="shared" si="56"/>
        <v>0</v>
      </c>
      <c r="I16" s="113">
        <f t="shared" si="56"/>
        <v>0</v>
      </c>
      <c r="J16" s="113">
        <f t="shared" si="56"/>
        <v>0</v>
      </c>
      <c r="K16" s="113">
        <f t="shared" si="56"/>
        <v>0</v>
      </c>
      <c r="L16" s="113">
        <f t="shared" si="56"/>
        <v>0</v>
      </c>
      <c r="M16" s="113">
        <f t="shared" si="56"/>
        <v>0</v>
      </c>
      <c r="N16" s="113">
        <f t="shared" si="56"/>
        <v>0</v>
      </c>
      <c r="O16" s="113">
        <f t="shared" si="56"/>
        <v>0</v>
      </c>
      <c r="P16" s="113">
        <f t="shared" si="56"/>
        <v>0</v>
      </c>
      <c r="Q16" s="113">
        <f t="shared" si="56"/>
        <v>0</v>
      </c>
      <c r="R16" s="113">
        <f t="shared" si="56"/>
        <v>0</v>
      </c>
      <c r="S16" s="113">
        <f t="shared" si="56"/>
        <v>0</v>
      </c>
      <c r="T16" s="113">
        <f t="shared" si="56"/>
        <v>0</v>
      </c>
      <c r="U16" s="113">
        <f t="shared" si="56"/>
        <v>0</v>
      </c>
      <c r="V16" s="113">
        <f t="shared" si="56"/>
        <v>0</v>
      </c>
      <c r="W16" s="113">
        <f t="shared" si="56"/>
        <v>0</v>
      </c>
      <c r="X16" s="113">
        <f t="shared" si="56"/>
        <v>0</v>
      </c>
      <c r="Y16" s="113">
        <f t="shared" si="56"/>
        <v>0</v>
      </c>
      <c r="Z16" s="113">
        <f t="shared" si="56"/>
        <v>0</v>
      </c>
      <c r="AA16" s="113">
        <f t="shared" si="56"/>
        <v>0</v>
      </c>
      <c r="AB16" s="1"/>
      <c r="AC16" s="1"/>
      <c r="AD16" s="1"/>
      <c r="AE16" s="1"/>
    </row>
    <row r="17" spans="1:57" x14ac:dyDescent="0.35">
      <c r="A17" s="158">
        <f>MAX(A$6:A16)+1</f>
        <v>10</v>
      </c>
      <c r="B17" s="154" t="s">
        <v>25</v>
      </c>
      <c r="C17" s="20">
        <f t="shared" ref="C17:H17" si="58">SUM(C14:C14)</f>
        <v>0</v>
      </c>
      <c r="D17" s="20">
        <f t="shared" si="58"/>
        <v>0</v>
      </c>
      <c r="E17" s="20">
        <f t="shared" si="58"/>
        <v>0</v>
      </c>
      <c r="F17" s="20">
        <f t="shared" si="58"/>
        <v>0</v>
      </c>
      <c r="G17" s="20">
        <f t="shared" si="58"/>
        <v>0</v>
      </c>
      <c r="H17" s="20">
        <f t="shared" si="58"/>
        <v>0</v>
      </c>
      <c r="I17" s="20">
        <f t="shared" ref="I17:L17" si="59">SUM(I14:I14)</f>
        <v>0</v>
      </c>
      <c r="J17" s="20">
        <f t="shared" si="59"/>
        <v>0</v>
      </c>
      <c r="K17" s="20">
        <f t="shared" si="59"/>
        <v>0</v>
      </c>
      <c r="L17" s="20">
        <f t="shared" si="59"/>
        <v>0</v>
      </c>
      <c r="M17" s="20">
        <f t="shared" ref="M17:AA17" si="60">SUM(M14:M14)</f>
        <v>0</v>
      </c>
      <c r="N17" s="20">
        <f t="shared" si="60"/>
        <v>0</v>
      </c>
      <c r="O17" s="20">
        <f t="shared" si="60"/>
        <v>0</v>
      </c>
      <c r="P17" s="20">
        <f t="shared" si="60"/>
        <v>0</v>
      </c>
      <c r="Q17" s="20">
        <f t="shared" si="60"/>
        <v>0</v>
      </c>
      <c r="R17" s="20">
        <f t="shared" si="60"/>
        <v>0</v>
      </c>
      <c r="S17" s="20">
        <f t="shared" si="60"/>
        <v>0</v>
      </c>
      <c r="T17" s="20">
        <f t="shared" si="60"/>
        <v>0</v>
      </c>
      <c r="U17" s="20">
        <f t="shared" si="60"/>
        <v>0</v>
      </c>
      <c r="V17" s="20">
        <f t="shared" si="60"/>
        <v>0</v>
      </c>
      <c r="W17" s="20">
        <f t="shared" si="60"/>
        <v>0</v>
      </c>
      <c r="X17" s="20">
        <f t="shared" si="60"/>
        <v>0</v>
      </c>
      <c r="Y17" s="20">
        <f t="shared" si="60"/>
        <v>0</v>
      </c>
      <c r="Z17" s="20">
        <f t="shared" si="60"/>
        <v>0</v>
      </c>
      <c r="AA17" s="20">
        <f t="shared" si="60"/>
        <v>0</v>
      </c>
    </row>
    <row r="18" spans="1:57" x14ac:dyDescent="0.35">
      <c r="A18" s="48" t="s">
        <v>75</v>
      </c>
      <c r="B18" s="17"/>
      <c r="C18" s="17"/>
      <c r="D18" s="17"/>
      <c r="E18" s="17"/>
      <c r="F18" s="18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57" x14ac:dyDescent="0.35">
      <c r="A19" s="50"/>
      <c r="B19" s="148" t="s">
        <v>76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</row>
    <row r="20" spans="1:57" x14ac:dyDescent="0.35">
      <c r="A20" s="48">
        <f>MAX(A$6:A19)+1</f>
        <v>11</v>
      </c>
      <c r="B20" s="153" t="s">
        <v>139</v>
      </c>
      <c r="C20" s="17"/>
      <c r="D20" s="14">
        <f>+D14*(1+D$9)</f>
        <v>0</v>
      </c>
      <c r="E20" s="14">
        <f t="shared" ref="E20:AA20" si="61">+E14*(1+E$9)</f>
        <v>0</v>
      </c>
      <c r="F20" s="14">
        <f t="shared" si="61"/>
        <v>0</v>
      </c>
      <c r="G20" s="14">
        <f t="shared" si="61"/>
        <v>0</v>
      </c>
      <c r="H20" s="14">
        <f t="shared" si="61"/>
        <v>0</v>
      </c>
      <c r="I20" s="14">
        <f t="shared" si="61"/>
        <v>0</v>
      </c>
      <c r="J20" s="14">
        <f t="shared" si="61"/>
        <v>0</v>
      </c>
      <c r="K20" s="14">
        <f t="shared" si="61"/>
        <v>0</v>
      </c>
      <c r="L20" s="14">
        <f t="shared" si="61"/>
        <v>0</v>
      </c>
      <c r="M20" s="14">
        <f t="shared" si="61"/>
        <v>0</v>
      </c>
      <c r="N20" s="14">
        <f t="shared" si="61"/>
        <v>0</v>
      </c>
      <c r="O20" s="14">
        <f t="shared" si="61"/>
        <v>0</v>
      </c>
      <c r="P20" s="14">
        <f t="shared" si="61"/>
        <v>0</v>
      </c>
      <c r="Q20" s="14">
        <f t="shared" si="61"/>
        <v>0</v>
      </c>
      <c r="R20" s="14">
        <f t="shared" si="61"/>
        <v>0</v>
      </c>
      <c r="S20" s="14">
        <f t="shared" si="61"/>
        <v>0</v>
      </c>
      <c r="T20" s="14">
        <f t="shared" si="61"/>
        <v>0</v>
      </c>
      <c r="U20" s="14">
        <f t="shared" si="61"/>
        <v>0</v>
      </c>
      <c r="V20" s="14">
        <f t="shared" si="61"/>
        <v>0</v>
      </c>
      <c r="W20" s="14">
        <f t="shared" si="61"/>
        <v>0</v>
      </c>
      <c r="X20" s="14">
        <f t="shared" si="61"/>
        <v>0</v>
      </c>
      <c r="Y20" s="14">
        <f t="shared" si="61"/>
        <v>0</v>
      </c>
      <c r="Z20" s="14">
        <f t="shared" si="61"/>
        <v>0</v>
      </c>
      <c r="AA20" s="14">
        <f t="shared" si="61"/>
        <v>0</v>
      </c>
    </row>
    <row r="21" spans="1:57" x14ac:dyDescent="0.35">
      <c r="A21" s="46">
        <f>MAX(A$6:A20)+1</f>
        <v>12</v>
      </c>
      <c r="B21" s="19" t="s">
        <v>132</v>
      </c>
      <c r="C21" s="155"/>
      <c r="D21" s="156">
        <f>+D15*(1+D$10)</f>
        <v>0</v>
      </c>
      <c r="E21" s="156">
        <f t="shared" ref="E21:AA21" si="62">+E15*(1+E$10)</f>
        <v>0</v>
      </c>
      <c r="F21" s="156">
        <f t="shared" si="62"/>
        <v>0</v>
      </c>
      <c r="G21" s="156">
        <f t="shared" si="62"/>
        <v>0</v>
      </c>
      <c r="H21" s="156">
        <f t="shared" si="62"/>
        <v>0</v>
      </c>
      <c r="I21" s="156">
        <f t="shared" si="62"/>
        <v>0</v>
      </c>
      <c r="J21" s="156">
        <f t="shared" si="62"/>
        <v>0</v>
      </c>
      <c r="K21" s="156">
        <f t="shared" si="62"/>
        <v>0</v>
      </c>
      <c r="L21" s="156">
        <f t="shared" si="62"/>
        <v>0</v>
      </c>
      <c r="M21" s="156">
        <f t="shared" si="62"/>
        <v>0</v>
      </c>
      <c r="N21" s="156">
        <f t="shared" si="62"/>
        <v>0</v>
      </c>
      <c r="O21" s="156">
        <f t="shared" si="62"/>
        <v>0</v>
      </c>
      <c r="P21" s="156">
        <f t="shared" si="62"/>
        <v>0</v>
      </c>
      <c r="Q21" s="156">
        <f t="shared" si="62"/>
        <v>0</v>
      </c>
      <c r="R21" s="156">
        <f t="shared" si="62"/>
        <v>0</v>
      </c>
      <c r="S21" s="156">
        <f t="shared" si="62"/>
        <v>0</v>
      </c>
      <c r="T21" s="156">
        <f t="shared" si="62"/>
        <v>0</v>
      </c>
      <c r="U21" s="156">
        <f t="shared" si="62"/>
        <v>0</v>
      </c>
      <c r="V21" s="156">
        <f t="shared" si="62"/>
        <v>0</v>
      </c>
      <c r="W21" s="156">
        <f t="shared" si="62"/>
        <v>0</v>
      </c>
      <c r="X21" s="156">
        <f t="shared" si="62"/>
        <v>0</v>
      </c>
      <c r="Y21" s="156">
        <f t="shared" si="62"/>
        <v>0</v>
      </c>
      <c r="Z21" s="156">
        <f t="shared" si="62"/>
        <v>0</v>
      </c>
      <c r="AA21" s="156">
        <f t="shared" si="62"/>
        <v>0</v>
      </c>
      <c r="AD21" s="172" t="s">
        <v>140</v>
      </c>
      <c r="AF21" s="173">
        <f>SUMIF(Assumptions!$E$27:$E$193,AD21,Assumptions!$D$27:$D$193)</f>
        <v>0.83630639553749397</v>
      </c>
      <c r="AH21" s="105">
        <f>+D20*$AF21</f>
        <v>0</v>
      </c>
      <c r="AI21" s="105">
        <f t="shared" ref="AI21:BE23" si="63">+E20*$AF21</f>
        <v>0</v>
      </c>
      <c r="AJ21" s="105">
        <f t="shared" si="63"/>
        <v>0</v>
      </c>
      <c r="AK21" s="105">
        <f t="shared" si="63"/>
        <v>0</v>
      </c>
      <c r="AL21" s="105">
        <f t="shared" si="63"/>
        <v>0</v>
      </c>
      <c r="AM21" s="105">
        <f t="shared" si="63"/>
        <v>0</v>
      </c>
      <c r="AN21" s="105">
        <f t="shared" si="63"/>
        <v>0</v>
      </c>
      <c r="AO21" s="105">
        <f t="shared" si="63"/>
        <v>0</v>
      </c>
      <c r="AP21" s="105">
        <f t="shared" si="63"/>
        <v>0</v>
      </c>
      <c r="AQ21" s="105">
        <f t="shared" si="63"/>
        <v>0</v>
      </c>
      <c r="AR21" s="105">
        <f t="shared" si="63"/>
        <v>0</v>
      </c>
      <c r="AS21" s="105">
        <f t="shared" si="63"/>
        <v>0</v>
      </c>
      <c r="AT21" s="105">
        <f t="shared" si="63"/>
        <v>0</v>
      </c>
      <c r="AU21" s="105">
        <f t="shared" si="63"/>
        <v>0</v>
      </c>
      <c r="AV21" s="105">
        <f t="shared" si="63"/>
        <v>0</v>
      </c>
      <c r="AW21" s="105">
        <f t="shared" si="63"/>
        <v>0</v>
      </c>
      <c r="AX21" s="105">
        <f t="shared" si="63"/>
        <v>0</v>
      </c>
      <c r="AY21" s="105">
        <f t="shared" si="63"/>
        <v>0</v>
      </c>
      <c r="AZ21" s="105">
        <f t="shared" si="63"/>
        <v>0</v>
      </c>
      <c r="BA21" s="105">
        <f t="shared" si="63"/>
        <v>0</v>
      </c>
      <c r="BB21" s="105">
        <f t="shared" si="63"/>
        <v>0</v>
      </c>
      <c r="BC21" s="105">
        <f t="shared" si="63"/>
        <v>0</v>
      </c>
      <c r="BD21" s="105">
        <f t="shared" si="63"/>
        <v>0</v>
      </c>
      <c r="BE21" s="105">
        <f t="shared" si="63"/>
        <v>0</v>
      </c>
    </row>
    <row r="22" spans="1:57" x14ac:dyDescent="0.35">
      <c r="A22" s="48">
        <v>12</v>
      </c>
      <c r="B22" s="17" t="s">
        <v>134</v>
      </c>
      <c r="C22" s="17"/>
      <c r="D22" s="14">
        <f>+D16*(1+D$11)</f>
        <v>0</v>
      </c>
      <c r="E22" s="14">
        <f t="shared" ref="E22:AA22" si="64">+E16*(1+E$11)</f>
        <v>0</v>
      </c>
      <c r="F22" s="14">
        <f t="shared" si="64"/>
        <v>0</v>
      </c>
      <c r="G22" s="14">
        <f t="shared" si="64"/>
        <v>0</v>
      </c>
      <c r="H22" s="14">
        <f t="shared" si="64"/>
        <v>0</v>
      </c>
      <c r="I22" s="14">
        <f t="shared" si="64"/>
        <v>0</v>
      </c>
      <c r="J22" s="14">
        <f t="shared" si="64"/>
        <v>0</v>
      </c>
      <c r="K22" s="14">
        <f t="shared" si="64"/>
        <v>0</v>
      </c>
      <c r="L22" s="14">
        <f t="shared" si="64"/>
        <v>0</v>
      </c>
      <c r="M22" s="14">
        <f t="shared" si="64"/>
        <v>0</v>
      </c>
      <c r="N22" s="14">
        <f t="shared" si="64"/>
        <v>0</v>
      </c>
      <c r="O22" s="14">
        <f t="shared" si="64"/>
        <v>0</v>
      </c>
      <c r="P22" s="14">
        <f t="shared" si="64"/>
        <v>0</v>
      </c>
      <c r="Q22" s="14">
        <f t="shared" si="64"/>
        <v>0</v>
      </c>
      <c r="R22" s="14">
        <f t="shared" si="64"/>
        <v>0</v>
      </c>
      <c r="S22" s="14">
        <f t="shared" si="64"/>
        <v>0</v>
      </c>
      <c r="T22" s="14">
        <f t="shared" si="64"/>
        <v>0</v>
      </c>
      <c r="U22" s="14">
        <f t="shared" si="64"/>
        <v>0</v>
      </c>
      <c r="V22" s="14">
        <f t="shared" si="64"/>
        <v>0</v>
      </c>
      <c r="W22" s="14">
        <f t="shared" si="64"/>
        <v>0</v>
      </c>
      <c r="X22" s="14">
        <f t="shared" si="64"/>
        <v>0</v>
      </c>
      <c r="Y22" s="14">
        <f t="shared" si="64"/>
        <v>0</v>
      </c>
      <c r="Z22" s="14">
        <f t="shared" si="64"/>
        <v>0</v>
      </c>
      <c r="AA22" s="14">
        <f t="shared" si="64"/>
        <v>0</v>
      </c>
      <c r="AD22" s="172" t="s">
        <v>141</v>
      </c>
      <c r="AF22" s="173">
        <f>SUMIF(Assumptions!$E$27:$E$193,AD22,Assumptions!$D$27:$D$193)</f>
        <v>0.70119690657867606</v>
      </c>
      <c r="AH22" s="105">
        <f>+D21*$AF22</f>
        <v>0</v>
      </c>
      <c r="AI22" s="105">
        <f t="shared" si="63"/>
        <v>0</v>
      </c>
      <c r="AJ22" s="105">
        <f t="shared" si="63"/>
        <v>0</v>
      </c>
      <c r="AK22" s="105">
        <f t="shared" si="63"/>
        <v>0</v>
      </c>
      <c r="AL22" s="105">
        <f t="shared" si="63"/>
        <v>0</v>
      </c>
      <c r="AM22" s="105">
        <f t="shared" si="63"/>
        <v>0</v>
      </c>
      <c r="AN22" s="105">
        <f t="shared" si="63"/>
        <v>0</v>
      </c>
      <c r="AO22" s="105">
        <f t="shared" si="63"/>
        <v>0</v>
      </c>
      <c r="AP22" s="105">
        <f t="shared" si="63"/>
        <v>0</v>
      </c>
      <c r="AQ22" s="105">
        <f t="shared" si="63"/>
        <v>0</v>
      </c>
      <c r="AR22" s="105">
        <f t="shared" si="63"/>
        <v>0</v>
      </c>
      <c r="AS22" s="105">
        <f t="shared" si="63"/>
        <v>0</v>
      </c>
      <c r="AT22" s="105">
        <f t="shared" si="63"/>
        <v>0</v>
      </c>
      <c r="AU22" s="105">
        <f t="shared" si="63"/>
        <v>0</v>
      </c>
      <c r="AV22" s="105">
        <f t="shared" si="63"/>
        <v>0</v>
      </c>
      <c r="AW22" s="105">
        <f t="shared" si="63"/>
        <v>0</v>
      </c>
      <c r="AX22" s="105">
        <f t="shared" si="63"/>
        <v>0</v>
      </c>
      <c r="AY22" s="105">
        <f t="shared" si="63"/>
        <v>0</v>
      </c>
      <c r="AZ22" s="105">
        <f t="shared" si="63"/>
        <v>0</v>
      </c>
      <c r="BA22" s="105">
        <f t="shared" si="63"/>
        <v>0</v>
      </c>
      <c r="BB22" s="105">
        <f t="shared" si="63"/>
        <v>0</v>
      </c>
      <c r="BC22" s="105">
        <f t="shared" si="63"/>
        <v>0</v>
      </c>
      <c r="BD22" s="105">
        <f t="shared" si="63"/>
        <v>0</v>
      </c>
      <c r="BE22" s="105">
        <f t="shared" si="63"/>
        <v>0</v>
      </c>
    </row>
    <row r="23" spans="1:57" x14ac:dyDescent="0.35">
      <c r="A23" s="157">
        <f>MAX(A$6:A22)+1</f>
        <v>13</v>
      </c>
      <c r="B23" s="34" t="s">
        <v>58</v>
      </c>
      <c r="C23" s="35">
        <f>SUM(C20:C22)</f>
        <v>0</v>
      </c>
      <c r="D23" s="35">
        <f>SUM(D20:D22)</f>
        <v>0</v>
      </c>
      <c r="E23" s="35">
        <f t="shared" ref="E23:AA23" si="65">SUM(E20:E22)</f>
        <v>0</v>
      </c>
      <c r="F23" s="35">
        <f t="shared" si="65"/>
        <v>0</v>
      </c>
      <c r="G23" s="35">
        <f t="shared" si="65"/>
        <v>0</v>
      </c>
      <c r="H23" s="35">
        <f t="shared" si="65"/>
        <v>0</v>
      </c>
      <c r="I23" s="35">
        <f t="shared" si="65"/>
        <v>0</v>
      </c>
      <c r="J23" s="35">
        <f t="shared" si="65"/>
        <v>0</v>
      </c>
      <c r="K23" s="35">
        <f t="shared" si="65"/>
        <v>0</v>
      </c>
      <c r="L23" s="35">
        <f t="shared" si="65"/>
        <v>0</v>
      </c>
      <c r="M23" s="35">
        <f t="shared" si="65"/>
        <v>0</v>
      </c>
      <c r="N23" s="35">
        <f t="shared" si="65"/>
        <v>0</v>
      </c>
      <c r="O23" s="35">
        <f t="shared" si="65"/>
        <v>0</v>
      </c>
      <c r="P23" s="35">
        <f t="shared" si="65"/>
        <v>0</v>
      </c>
      <c r="Q23" s="35">
        <f t="shared" si="65"/>
        <v>0</v>
      </c>
      <c r="R23" s="35">
        <f t="shared" si="65"/>
        <v>0</v>
      </c>
      <c r="S23" s="35">
        <f t="shared" si="65"/>
        <v>0</v>
      </c>
      <c r="T23" s="35">
        <f t="shared" si="65"/>
        <v>0</v>
      </c>
      <c r="U23" s="35">
        <f t="shared" si="65"/>
        <v>0</v>
      </c>
      <c r="V23" s="35">
        <f t="shared" si="65"/>
        <v>0</v>
      </c>
      <c r="W23" s="35">
        <f t="shared" si="65"/>
        <v>0</v>
      </c>
      <c r="X23" s="35">
        <f t="shared" si="65"/>
        <v>0</v>
      </c>
      <c r="Y23" s="35">
        <f t="shared" si="65"/>
        <v>0</v>
      </c>
      <c r="Z23" s="35">
        <f t="shared" si="65"/>
        <v>0</v>
      </c>
      <c r="AA23" s="35">
        <f t="shared" si="65"/>
        <v>0</v>
      </c>
      <c r="AD23" s="172" t="s">
        <v>142</v>
      </c>
      <c r="AF23" s="173">
        <f>SUMIF(Assumptions!$E$27:$E$193,AD23,Assumptions!$D$27:$D$193)</f>
        <v>1</v>
      </c>
      <c r="AH23" s="105">
        <f>+D22*$AF23</f>
        <v>0</v>
      </c>
      <c r="AI23" s="105">
        <f t="shared" si="63"/>
        <v>0</v>
      </c>
      <c r="AJ23" s="105">
        <f t="shared" si="63"/>
        <v>0</v>
      </c>
      <c r="AK23" s="105">
        <f t="shared" si="63"/>
        <v>0</v>
      </c>
      <c r="AL23" s="105">
        <f t="shared" si="63"/>
        <v>0</v>
      </c>
      <c r="AM23" s="105">
        <f t="shared" si="63"/>
        <v>0</v>
      </c>
      <c r="AN23" s="105">
        <f t="shared" si="63"/>
        <v>0</v>
      </c>
      <c r="AO23" s="105">
        <f t="shared" si="63"/>
        <v>0</v>
      </c>
      <c r="AP23" s="105">
        <f t="shared" si="63"/>
        <v>0</v>
      </c>
      <c r="AQ23" s="105">
        <f t="shared" si="63"/>
        <v>0</v>
      </c>
      <c r="AR23" s="105">
        <f t="shared" si="63"/>
        <v>0</v>
      </c>
      <c r="AS23" s="105">
        <f t="shared" si="63"/>
        <v>0</v>
      </c>
      <c r="AT23" s="105">
        <f t="shared" si="63"/>
        <v>0</v>
      </c>
      <c r="AU23" s="105">
        <f t="shared" si="63"/>
        <v>0</v>
      </c>
      <c r="AV23" s="105">
        <f t="shared" si="63"/>
        <v>0</v>
      </c>
      <c r="AW23" s="105">
        <f t="shared" si="63"/>
        <v>0</v>
      </c>
      <c r="AX23" s="105">
        <f t="shared" si="63"/>
        <v>0</v>
      </c>
      <c r="AY23" s="105">
        <f t="shared" si="63"/>
        <v>0</v>
      </c>
      <c r="AZ23" s="105">
        <f t="shared" si="63"/>
        <v>0</v>
      </c>
      <c r="BA23" s="105">
        <f t="shared" si="63"/>
        <v>0</v>
      </c>
      <c r="BB23" s="105">
        <f t="shared" si="63"/>
        <v>0</v>
      </c>
      <c r="BC23" s="105">
        <f t="shared" si="63"/>
        <v>0</v>
      </c>
      <c r="BD23" s="105">
        <f t="shared" si="63"/>
        <v>0</v>
      </c>
      <c r="BE23" s="105">
        <f t="shared" si="63"/>
        <v>0</v>
      </c>
    </row>
    <row r="24" spans="1:57" ht="15.5" x14ac:dyDescent="0.35">
      <c r="A24" s="10"/>
      <c r="B24" s="31" t="s">
        <v>143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</row>
    <row r="25" spans="1:57" x14ac:dyDescent="0.35">
      <c r="A25" s="46"/>
      <c r="B25" s="19" t="s">
        <v>89</v>
      </c>
      <c r="C25" s="19"/>
      <c r="D25" s="19"/>
      <c r="E25" s="19"/>
      <c r="F25" s="100"/>
      <c r="G25" s="100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</row>
    <row r="26" spans="1:57" x14ac:dyDescent="0.35">
      <c r="A26" s="48">
        <f>MAX(A$6:A25)+1</f>
        <v>14</v>
      </c>
      <c r="B26" s="62" t="s">
        <v>84</v>
      </c>
      <c r="C26" s="6">
        <v>0</v>
      </c>
      <c r="D26" s="113">
        <f>50200*0</f>
        <v>0</v>
      </c>
      <c r="E26" s="113">
        <f t="shared" ref="E26:AA26" si="66">50200*0</f>
        <v>0</v>
      </c>
      <c r="F26" s="113">
        <f t="shared" si="66"/>
        <v>0</v>
      </c>
      <c r="G26" s="113">
        <f t="shared" si="66"/>
        <v>0</v>
      </c>
      <c r="H26" s="113">
        <f t="shared" si="66"/>
        <v>0</v>
      </c>
      <c r="I26" s="113">
        <f t="shared" si="66"/>
        <v>0</v>
      </c>
      <c r="J26" s="113">
        <f t="shared" si="66"/>
        <v>0</v>
      </c>
      <c r="K26" s="113">
        <f t="shared" si="66"/>
        <v>0</v>
      </c>
      <c r="L26" s="113">
        <f t="shared" si="66"/>
        <v>0</v>
      </c>
      <c r="M26" s="113">
        <f t="shared" si="66"/>
        <v>0</v>
      </c>
      <c r="N26" s="113">
        <f t="shared" si="66"/>
        <v>0</v>
      </c>
      <c r="O26" s="113">
        <f t="shared" si="66"/>
        <v>0</v>
      </c>
      <c r="P26" s="113">
        <f t="shared" si="66"/>
        <v>0</v>
      </c>
      <c r="Q26" s="113">
        <f t="shared" si="66"/>
        <v>0</v>
      </c>
      <c r="R26" s="113">
        <f t="shared" si="66"/>
        <v>0</v>
      </c>
      <c r="S26" s="113">
        <f t="shared" si="66"/>
        <v>0</v>
      </c>
      <c r="T26" s="113">
        <f t="shared" si="66"/>
        <v>0</v>
      </c>
      <c r="U26" s="113">
        <f t="shared" si="66"/>
        <v>0</v>
      </c>
      <c r="V26" s="113">
        <f t="shared" si="66"/>
        <v>0</v>
      </c>
      <c r="W26" s="113">
        <f t="shared" si="66"/>
        <v>0</v>
      </c>
      <c r="X26" s="113">
        <f t="shared" si="66"/>
        <v>0</v>
      </c>
      <c r="Y26" s="113">
        <f t="shared" si="66"/>
        <v>0</v>
      </c>
      <c r="Z26" s="113">
        <f t="shared" si="66"/>
        <v>0</v>
      </c>
      <c r="AA26" s="113">
        <f t="shared" si="66"/>
        <v>0</v>
      </c>
      <c r="AB26" s="1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</row>
    <row r="27" spans="1:57" x14ac:dyDescent="0.35">
      <c r="A27" s="46"/>
      <c r="B27" s="19"/>
      <c r="C27" s="19"/>
      <c r="D27" s="19"/>
      <c r="E27" s="19"/>
      <c r="F27" s="19"/>
      <c r="G27" s="19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</row>
    <row r="28" spans="1:57" x14ac:dyDescent="0.35">
      <c r="A28" s="44">
        <f>MAX(A$6:A27)+1</f>
        <v>15</v>
      </c>
      <c r="B28" s="34" t="s">
        <v>76</v>
      </c>
      <c r="C28" s="35">
        <f t="shared" ref="C28:E28" si="67">+C26*(1+C$9)</f>
        <v>0</v>
      </c>
      <c r="D28" s="35">
        <f>+D26*(1+D$9)</f>
        <v>0</v>
      </c>
      <c r="E28" s="35">
        <f t="shared" si="67"/>
        <v>0</v>
      </c>
      <c r="F28" s="35">
        <f t="shared" ref="F28:L28" si="68">+F26*(1+F$9)</f>
        <v>0</v>
      </c>
      <c r="G28" s="35">
        <f t="shared" si="68"/>
        <v>0</v>
      </c>
      <c r="H28" s="35">
        <f t="shared" si="68"/>
        <v>0</v>
      </c>
      <c r="I28" s="35">
        <f t="shared" si="68"/>
        <v>0</v>
      </c>
      <c r="J28" s="35">
        <f t="shared" si="68"/>
        <v>0</v>
      </c>
      <c r="K28" s="35">
        <f t="shared" si="68"/>
        <v>0</v>
      </c>
      <c r="L28" s="35">
        <f t="shared" si="68"/>
        <v>0</v>
      </c>
      <c r="M28" s="35">
        <f t="shared" ref="M28:AA28" si="69">+M26*(1+M$9)</f>
        <v>0</v>
      </c>
      <c r="N28" s="35">
        <f t="shared" si="69"/>
        <v>0</v>
      </c>
      <c r="O28" s="35">
        <f t="shared" si="69"/>
        <v>0</v>
      </c>
      <c r="P28" s="35">
        <f t="shared" si="69"/>
        <v>0</v>
      </c>
      <c r="Q28" s="35">
        <f t="shared" si="69"/>
        <v>0</v>
      </c>
      <c r="R28" s="35">
        <f t="shared" si="69"/>
        <v>0</v>
      </c>
      <c r="S28" s="35">
        <f t="shared" si="69"/>
        <v>0</v>
      </c>
      <c r="T28" s="35">
        <f t="shared" si="69"/>
        <v>0</v>
      </c>
      <c r="U28" s="35">
        <f t="shared" si="69"/>
        <v>0</v>
      </c>
      <c r="V28" s="35">
        <f t="shared" si="69"/>
        <v>0</v>
      </c>
      <c r="W28" s="35">
        <f t="shared" si="69"/>
        <v>0</v>
      </c>
      <c r="X28" s="35">
        <f t="shared" si="69"/>
        <v>0</v>
      </c>
      <c r="Y28" s="35">
        <f t="shared" si="69"/>
        <v>0</v>
      </c>
      <c r="Z28" s="35">
        <f t="shared" si="69"/>
        <v>0</v>
      </c>
      <c r="AA28" s="35">
        <f t="shared" si="69"/>
        <v>0</v>
      </c>
      <c r="AD28" s="172" t="s">
        <v>88</v>
      </c>
      <c r="AF28" s="173">
        <f>SUMIF(Assumptions!$E$27:$E$193,AD28,Assumptions!$D$27:$D$193)</f>
        <v>0.95239917402446805</v>
      </c>
      <c r="AH28" s="105">
        <f t="shared" ref="AH28:AP28" si="70">+D28*$AF28</f>
        <v>0</v>
      </c>
      <c r="AI28" s="105">
        <f>+E28*$AF28</f>
        <v>0</v>
      </c>
      <c r="AJ28" s="105">
        <f t="shared" si="70"/>
        <v>0</v>
      </c>
      <c r="AK28" s="105">
        <f t="shared" si="70"/>
        <v>0</v>
      </c>
      <c r="AL28" s="105">
        <f t="shared" si="70"/>
        <v>0</v>
      </c>
      <c r="AM28" s="105">
        <f t="shared" si="70"/>
        <v>0</v>
      </c>
      <c r="AN28" s="105">
        <f t="shared" si="70"/>
        <v>0</v>
      </c>
      <c r="AO28" s="105">
        <f t="shared" si="70"/>
        <v>0</v>
      </c>
      <c r="AP28" s="105">
        <f t="shared" si="70"/>
        <v>0</v>
      </c>
      <c r="AQ28" s="105">
        <f t="shared" ref="AQ28:BB28" si="71">+M28*$AF28</f>
        <v>0</v>
      </c>
      <c r="AR28" s="105">
        <f t="shared" si="71"/>
        <v>0</v>
      </c>
      <c r="AS28" s="105">
        <f t="shared" si="71"/>
        <v>0</v>
      </c>
      <c r="AT28" s="105">
        <f t="shared" si="71"/>
        <v>0</v>
      </c>
      <c r="AU28" s="105">
        <f t="shared" si="71"/>
        <v>0</v>
      </c>
      <c r="AV28" s="105">
        <f t="shared" si="71"/>
        <v>0</v>
      </c>
      <c r="AW28" s="105">
        <f t="shared" si="71"/>
        <v>0</v>
      </c>
      <c r="AX28" s="105">
        <f t="shared" si="71"/>
        <v>0</v>
      </c>
      <c r="AY28" s="105">
        <f t="shared" si="71"/>
        <v>0</v>
      </c>
      <c r="AZ28" s="105">
        <f t="shared" si="71"/>
        <v>0</v>
      </c>
      <c r="BA28" s="105">
        <f t="shared" si="71"/>
        <v>0</v>
      </c>
      <c r="BB28" s="105">
        <f t="shared" si="71"/>
        <v>0</v>
      </c>
      <c r="BC28" s="105">
        <f>+Y28*$AF28</f>
        <v>0</v>
      </c>
      <c r="BD28" s="105">
        <f t="shared" ref="BD28" si="72">+Z28*$AF28</f>
        <v>0</v>
      </c>
      <c r="BE28" s="105">
        <f t="shared" ref="BE28" si="73">+AA28*$AF28</f>
        <v>0</v>
      </c>
    </row>
    <row r="29" spans="1:57" x14ac:dyDescent="0.35">
      <c r="A29" s="46"/>
      <c r="B29" s="19"/>
      <c r="C29" s="19"/>
      <c r="D29" s="19"/>
      <c r="E29" s="19"/>
      <c r="F29" s="19"/>
      <c r="G29" s="19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1:57" x14ac:dyDescent="0.35">
      <c r="A30" s="44">
        <f>MAX(A$6:A29)+1</f>
        <v>16</v>
      </c>
      <c r="B30" s="29" t="s">
        <v>15</v>
      </c>
      <c r="C30" s="35">
        <f t="shared" ref="C30:H30" si="74">+C28+C23</f>
        <v>0</v>
      </c>
      <c r="D30" s="35">
        <f t="shared" si="74"/>
        <v>0</v>
      </c>
      <c r="E30" s="35">
        <f t="shared" si="74"/>
        <v>0</v>
      </c>
      <c r="F30" s="35">
        <f t="shared" si="74"/>
        <v>0</v>
      </c>
      <c r="G30" s="35">
        <f t="shared" si="74"/>
        <v>0</v>
      </c>
      <c r="H30" s="35">
        <f t="shared" si="74"/>
        <v>0</v>
      </c>
      <c r="I30" s="35">
        <f t="shared" ref="I30:L30" si="75">+I28+I23</f>
        <v>0</v>
      </c>
      <c r="J30" s="35">
        <f t="shared" si="75"/>
        <v>0</v>
      </c>
      <c r="K30" s="35">
        <f t="shared" si="75"/>
        <v>0</v>
      </c>
      <c r="L30" s="35">
        <f t="shared" si="75"/>
        <v>0</v>
      </c>
      <c r="M30" s="35">
        <f t="shared" ref="M30:AA30" si="76">+M28+M23</f>
        <v>0</v>
      </c>
      <c r="N30" s="35">
        <f t="shared" si="76"/>
        <v>0</v>
      </c>
      <c r="O30" s="35">
        <f t="shared" si="76"/>
        <v>0</v>
      </c>
      <c r="P30" s="35">
        <f t="shared" si="76"/>
        <v>0</v>
      </c>
      <c r="Q30" s="35">
        <f t="shared" si="76"/>
        <v>0</v>
      </c>
      <c r="R30" s="35">
        <f t="shared" si="76"/>
        <v>0</v>
      </c>
      <c r="S30" s="35">
        <f t="shared" si="76"/>
        <v>0</v>
      </c>
      <c r="T30" s="35">
        <f t="shared" si="76"/>
        <v>0</v>
      </c>
      <c r="U30" s="35">
        <f t="shared" si="76"/>
        <v>0</v>
      </c>
      <c r="V30" s="35">
        <f t="shared" si="76"/>
        <v>0</v>
      </c>
      <c r="W30" s="35">
        <f t="shared" si="76"/>
        <v>0</v>
      </c>
      <c r="X30" s="35">
        <f t="shared" si="76"/>
        <v>0</v>
      </c>
      <c r="Y30" s="35">
        <f t="shared" si="76"/>
        <v>0</v>
      </c>
      <c r="Z30" s="35">
        <f t="shared" si="76"/>
        <v>0</v>
      </c>
      <c r="AA30" s="35">
        <f t="shared" si="76"/>
        <v>0</v>
      </c>
      <c r="AG30" s="35">
        <f>+AG21+AG22+AG28+AG23</f>
        <v>0</v>
      </c>
      <c r="AH30" s="35">
        <f t="shared" ref="AH30:BE30" si="77">+AH21+AH22+AH28+AH23</f>
        <v>0</v>
      </c>
      <c r="AI30" s="35">
        <f>+AI21+AI22+AI28+AI23</f>
        <v>0</v>
      </c>
      <c r="AJ30" s="35">
        <f t="shared" si="77"/>
        <v>0</v>
      </c>
      <c r="AK30" s="35">
        <f t="shared" si="77"/>
        <v>0</v>
      </c>
      <c r="AL30" s="35">
        <f t="shared" si="77"/>
        <v>0</v>
      </c>
      <c r="AM30" s="35">
        <f t="shared" si="77"/>
        <v>0</v>
      </c>
      <c r="AN30" s="35">
        <f t="shared" si="77"/>
        <v>0</v>
      </c>
      <c r="AO30" s="35">
        <f t="shared" si="77"/>
        <v>0</v>
      </c>
      <c r="AP30" s="35">
        <f t="shared" si="77"/>
        <v>0</v>
      </c>
      <c r="AQ30" s="35">
        <f t="shared" si="77"/>
        <v>0</v>
      </c>
      <c r="AR30" s="35">
        <f t="shared" si="77"/>
        <v>0</v>
      </c>
      <c r="AS30" s="35">
        <f t="shared" si="77"/>
        <v>0</v>
      </c>
      <c r="AT30" s="35">
        <f t="shared" si="77"/>
        <v>0</v>
      </c>
      <c r="AU30" s="35">
        <f t="shared" si="77"/>
        <v>0</v>
      </c>
      <c r="AV30" s="35">
        <f t="shared" si="77"/>
        <v>0</v>
      </c>
      <c r="AW30" s="35">
        <f t="shared" si="77"/>
        <v>0</v>
      </c>
      <c r="AX30" s="35">
        <f t="shared" si="77"/>
        <v>0</v>
      </c>
      <c r="AY30" s="35">
        <f t="shared" si="77"/>
        <v>0</v>
      </c>
      <c r="AZ30" s="35">
        <f t="shared" si="77"/>
        <v>0</v>
      </c>
      <c r="BA30" s="35">
        <f t="shared" si="77"/>
        <v>0</v>
      </c>
      <c r="BB30" s="35">
        <f t="shared" si="77"/>
        <v>0</v>
      </c>
      <c r="BC30" s="35">
        <f t="shared" si="77"/>
        <v>0</v>
      </c>
      <c r="BD30" s="35">
        <f t="shared" si="77"/>
        <v>0</v>
      </c>
      <c r="BE30" s="35">
        <f t="shared" si="77"/>
        <v>0</v>
      </c>
    </row>
    <row r="31" spans="1:57" x14ac:dyDescent="0.35">
      <c r="A31" s="46"/>
      <c r="B31" s="19"/>
      <c r="C31" s="19"/>
      <c r="D31" s="19"/>
      <c r="E31" s="19"/>
      <c r="F31" s="19"/>
      <c r="G31" s="19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1:57" ht="15.5" x14ac:dyDescent="0.35">
      <c r="A32" s="130"/>
      <c r="B32" s="129" t="s">
        <v>108</v>
      </c>
      <c r="C32" s="128" t="s">
        <v>144</v>
      </c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6"/>
      <c r="AC32" s="126"/>
      <c r="AD32" s="126"/>
      <c r="AE32" s="126"/>
      <c r="AF32" s="127" t="s">
        <v>144</v>
      </c>
      <c r="AG32" s="127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  <c r="AW32" s="126"/>
      <c r="AX32" s="126"/>
      <c r="AY32" s="126"/>
      <c r="AZ32" s="126"/>
      <c r="BA32" s="126"/>
      <c r="BB32" s="126"/>
      <c r="BC32" s="126"/>
      <c r="BD32" s="126"/>
      <c r="BE32" s="126"/>
    </row>
    <row r="33" spans="1:57" ht="15.5" x14ac:dyDescent="0.35">
      <c r="A33" s="10"/>
      <c r="B33" s="31" t="s">
        <v>109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57" x14ac:dyDescent="0.35">
      <c r="A34" s="48">
        <f>MAX(A$6:A33)+1</f>
        <v>17</v>
      </c>
      <c r="B34" s="17" t="s">
        <v>110</v>
      </c>
      <c r="C34" s="49">
        <f>+'Pension &amp; Fringes Ratio'!E12</f>
        <v>0.39900412395768614</v>
      </c>
      <c r="D34" s="49">
        <f>+'Pension &amp; Fringes Ratio'!F12</f>
        <v>0.39633307386195543</v>
      </c>
      <c r="E34" s="49">
        <f>+'Pension &amp; Fringes Ratio'!G12</f>
        <v>0.39185814936231089</v>
      </c>
      <c r="F34" s="49">
        <f>+'Pension &amp; Fringes Ratio'!H12</f>
        <v>0.43116127604766247</v>
      </c>
      <c r="G34" s="49">
        <f>+'Pension &amp; Fringes Ratio'!I12</f>
        <v>0.42910812711410212</v>
      </c>
      <c r="H34" s="49">
        <f>+'Pension &amp; Fringes Ratio'!J12</f>
        <v>0.4274497382170428</v>
      </c>
      <c r="I34" s="49">
        <f>+'Pension &amp; Fringes Ratio'!K12</f>
        <v>0.43327296653478231</v>
      </c>
      <c r="J34" s="49">
        <f>+'Pension &amp; Fringes Ratio'!L12</f>
        <v>0.43917552578902419</v>
      </c>
      <c r="K34" s="49">
        <f>+'Pension &amp; Fringes Ratio'!M12</f>
        <v>0.44278228131482777</v>
      </c>
      <c r="L34" s="49">
        <f>+'Pension &amp; Fringes Ratio'!N12</f>
        <v>0.44641865753818644</v>
      </c>
      <c r="M34" s="49">
        <f>+'Pension &amp; Fringes Ratio'!O12</f>
        <v>0.45008489772086729</v>
      </c>
      <c r="N34" s="49">
        <f>+'Pension &amp; Fringes Ratio'!P12</f>
        <v>0.45378124712243978</v>
      </c>
      <c r="O34" s="49">
        <f>+'Pension &amp; Fringes Ratio'!Q12</f>
        <v>0.45750795301668201</v>
      </c>
      <c r="P34" s="49">
        <f>+'Pension &amp; Fringes Ratio'!R12</f>
        <v>0.4612652647081234</v>
      </c>
      <c r="Q34" s="49">
        <f>+'Pension &amp; Fringes Ratio'!S12</f>
        <v>0.46505343354872158</v>
      </c>
      <c r="R34" s="49">
        <f>+'Pension &amp; Fringes Ratio'!T12</f>
        <v>0.46887271295467731</v>
      </c>
      <c r="S34" s="49">
        <f>+'Pension &amp; Fringes Ratio'!U12</f>
        <v>0.47272335842338736</v>
      </c>
      <c r="T34" s="49">
        <f>+'Pension &amp; Fringes Ratio'!V12</f>
        <v>0.47660562755053598</v>
      </c>
      <c r="U34" s="49">
        <f>+'Pension &amp; Fringes Ratio'!W12</f>
        <v>0.48051978004732793</v>
      </c>
      <c r="V34" s="49">
        <f>+'Pension &amp; Fringes Ratio'!X12</f>
        <v>0.48446607775786166</v>
      </c>
      <c r="W34" s="49">
        <f>+'Pension &amp; Fringes Ratio'!Y12</f>
        <v>0.48844478467664604</v>
      </c>
      <c r="X34" s="49">
        <f>+'Pension &amp; Fringes Ratio'!Z12</f>
        <v>0.4924561669662611</v>
      </c>
      <c r="Y34" s="49">
        <f>+'Pension &amp; Fringes Ratio'!AA12</f>
        <v>0.49650049297516274</v>
      </c>
      <c r="Z34" s="49">
        <f>+'Pension &amp; Fringes Ratio'!AB12</f>
        <v>0.50057803325563521</v>
      </c>
      <c r="AA34" s="49">
        <f>+'Pension &amp; Fringes Ratio'!AC12</f>
        <v>0.50468906058188934</v>
      </c>
    </row>
    <row r="35" spans="1:57" x14ac:dyDescent="0.35">
      <c r="A35" s="46">
        <f>MAX(A$6:A34)+1</f>
        <v>18</v>
      </c>
      <c r="B35" s="19" t="s">
        <v>111</v>
      </c>
      <c r="C35" s="47">
        <f>+'Pension &amp; Fringes Ratio'!E13</f>
        <v>0.37252820581911578</v>
      </c>
      <c r="D35" s="47">
        <f>+'Pension &amp; Fringes Ratio'!F13</f>
        <v>0.35141484958703101</v>
      </c>
      <c r="E35" s="47">
        <f>+'Pension &amp; Fringes Ratio'!G13</f>
        <v>0.33967084730467317</v>
      </c>
      <c r="F35" s="47">
        <f>+'Pension &amp; Fringes Ratio'!H13</f>
        <v>0.32297321114521454</v>
      </c>
      <c r="G35" s="47">
        <f>+'Pension &amp; Fringes Ratio'!I13</f>
        <v>0.31300718062987648</v>
      </c>
      <c r="H35" s="47">
        <f>+'Pension &amp; Fringes Ratio'!J13</f>
        <v>0.30242239674384203</v>
      </c>
      <c r="I35" s="47">
        <f>+'Pension &amp; Fringes Ratio'!K13</f>
        <v>0.29219555240950928</v>
      </c>
      <c r="J35" s="47">
        <f>+'Pension &amp; Fringes Ratio'!L13</f>
        <v>0.28231454339083017</v>
      </c>
      <c r="K35" s="47">
        <f>+'Pension &amp; Fringes Ratio'!M13</f>
        <v>0.27276767477374897</v>
      </c>
      <c r="L35" s="47">
        <f>+'Pension &amp; Fringes Ratio'!N13</f>
        <v>0.26354364712439521</v>
      </c>
      <c r="M35" s="47">
        <f>+'Pension &amp; Fringes Ratio'!O13</f>
        <v>0.25463154311535774</v>
      </c>
      <c r="N35" s="47">
        <f>+'Pension &amp; Fringes Ratio'!P13</f>
        <v>0.24602081460421041</v>
      </c>
      <c r="O35" s="47">
        <f>+'Pension &amp; Fringes Ratio'!Q13</f>
        <v>0.23770127014899553</v>
      </c>
      <c r="P35" s="47">
        <f>+'Pension &amp; Fringes Ratio'!R13</f>
        <v>0.22966306294588937</v>
      </c>
      <c r="Q35" s="47">
        <f>+'Pension &amp; Fringes Ratio'!S13</f>
        <v>0.22189667917477238</v>
      </c>
      <c r="R35" s="47">
        <f>+'Pension &amp; Fringes Ratio'!T13</f>
        <v>0.21439292673891053</v>
      </c>
      <c r="S35" s="47">
        <f>+'Pension &amp; Fringes Ratio'!U13</f>
        <v>0.20714292438542084</v>
      </c>
      <c r="T35" s="47">
        <f>+'Pension &amp; Fringes Ratio'!V13</f>
        <v>0.20013809119364331</v>
      </c>
      <c r="U35" s="47">
        <f>+'Pension &amp; Fringes Ratio'!W13</f>
        <v>0.19337013641897904</v>
      </c>
      <c r="V35" s="47">
        <f>+'Pension &amp; Fringes Ratio'!X13</f>
        <v>0.18683104968017303</v>
      </c>
      <c r="W35" s="47">
        <f>+'Pension &amp; Fringes Ratio'!Y13</f>
        <v>0.18051309147842806</v>
      </c>
      <c r="X35" s="47">
        <f>+'Pension &amp; Fringes Ratio'!Z13</f>
        <v>0.17440878403712859</v>
      </c>
      <c r="Y35" s="47">
        <f>+'Pension &amp; Fringes Ratio'!AA13</f>
        <v>0.16851090245133196</v>
      </c>
      <c r="Z35" s="47">
        <f>+'Pension &amp; Fringes Ratio'!AB13</f>
        <v>0.16281246613655262</v>
      </c>
      <c r="AA35" s="47">
        <f>+'Pension &amp; Fringes Ratio'!AC13</f>
        <v>0.15730673056671751</v>
      </c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</row>
    <row r="36" spans="1:57" x14ac:dyDescent="0.35">
      <c r="A36" s="48">
        <f>MAX(A$6:A35)+1</f>
        <v>19</v>
      </c>
      <c r="B36" s="17" t="s">
        <v>112</v>
      </c>
      <c r="C36" s="49">
        <f>+'Pension &amp; Fringes Ratio'!E14</f>
        <v>5.3957484317269488E-2</v>
      </c>
      <c r="D36" s="49">
        <f>+'Pension &amp; Fringes Ratio'!F14</f>
        <v>6.5608284873243702E-2</v>
      </c>
      <c r="E36" s="49">
        <f>+'Pension &amp; Fringes Ratio'!G14</f>
        <v>7.0152811671216717E-2</v>
      </c>
      <c r="F36" s="49">
        <f>+'Pension &amp; Fringes Ratio'!H14</f>
        <v>6.7370354151241443E-2</v>
      </c>
      <c r="G36" s="49">
        <f>+'Pension &amp; Fringes Ratio'!I14</f>
        <v>6.416224204880136E-2</v>
      </c>
      <c r="H36" s="49">
        <f>+'Pension &amp; Fringes Ratio'!J14</f>
        <v>6.2476166350071236E-2</v>
      </c>
      <c r="I36" s="49">
        <f>+'Pension &amp; Fringes Ratio'!K14</f>
        <v>6.0362771672245706E-2</v>
      </c>
      <c r="J36" s="49">
        <f>+'Pension &amp; Fringes Ratio'!L14</f>
        <v>5.832086724942772E-2</v>
      </c>
      <c r="K36" s="49">
        <f>+'Pension &amp; Fringes Ratio'!M14</f>
        <v>5.6348034765429288E-2</v>
      </c>
      <c r="L36" s="49">
        <f>+'Pension &amp; Fringes Ratio'!N14</f>
        <v>5.4441937708962725E-2</v>
      </c>
      <c r="M36" s="49">
        <f>+'Pension &amp; Fringes Ratio'!O14</f>
        <v>5.260031860640875E-2</v>
      </c>
      <c r="N36" s="49">
        <f>+'Pension &amp; Fringes Ratio'!P14</f>
        <v>5.0820996348192364E-2</v>
      </c>
      <c r="O36" s="49">
        <f>+'Pension &amp; Fringes Ratio'!Q14</f>
        <v>4.9101863605599892E-2</v>
      </c>
      <c r="P36" s="49">
        <f>+'Pension &amp; Fringes Ratio'!R14</f>
        <v>4.7440884334978041E-2</v>
      </c>
      <c r="Q36" s="49">
        <f>+'Pension &amp; Fringes Ratio'!S14</f>
        <v>4.5836091366358821E-2</v>
      </c>
      <c r="R36" s="49">
        <f>+'Pension &amp; Fringes Ratio'!T14</f>
        <v>4.4285584073654592E-2</v>
      </c>
      <c r="S36" s="49">
        <f>+'Pension &amp; Fringes Ratio'!U14</f>
        <v>4.2787526123664037E-2</v>
      </c>
      <c r="T36" s="49">
        <f>+'Pension &amp; Fringes Ratio'!V14</f>
        <v>4.1340143301222827E-2</v>
      </c>
      <c r="U36" s="49">
        <f>+'Pension &amp; Fringes Ratio'!W14</f>
        <v>3.9941721407923514E-2</v>
      </c>
      <c r="V36" s="49">
        <f>+'Pension &amp; Fringes Ratio'!X14</f>
        <v>3.8590604231915807E-2</v>
      </c>
      <c r="W36" s="49">
        <f>+'Pension &amp; Fringes Ratio'!Y14</f>
        <v>3.7285191586382875E-2</v>
      </c>
      <c r="X36" s="49">
        <f>+'Pension &amp; Fringes Ratio'!Z14</f>
        <v>3.6023937414370495E-2</v>
      </c>
      <c r="Y36" s="49">
        <f>+'Pension &amp; Fringes Ratio'!AA14</f>
        <v>3.4805347957724608E-2</v>
      </c>
      <c r="Z36" s="49">
        <f>+'Pension &amp; Fringes Ratio'!AB14</f>
        <v>3.3628355514709773E-2</v>
      </c>
      <c r="AA36" s="49">
        <f>+'Pension &amp; Fringes Ratio'!AC14</f>
        <v>3.249116474851186E-2</v>
      </c>
    </row>
    <row r="37" spans="1:57" x14ac:dyDescent="0.35">
      <c r="A37" s="46">
        <f>MAX(A$6:A36)+1</f>
        <v>20</v>
      </c>
      <c r="B37" s="19" t="s">
        <v>113</v>
      </c>
      <c r="C37" s="101">
        <f t="shared" ref="C37" si="78">SUM(C34:C36)</f>
        <v>0.82548981409407141</v>
      </c>
      <c r="D37" s="101">
        <f t="shared" ref="D37:L37" si="79">SUM(D34:D36)</f>
        <v>0.8133562083222301</v>
      </c>
      <c r="E37" s="101">
        <f t="shared" si="79"/>
        <v>0.80168180833820069</v>
      </c>
      <c r="F37" s="101">
        <f t="shared" si="79"/>
        <v>0.8215048413441185</v>
      </c>
      <c r="G37" s="101">
        <f t="shared" si="79"/>
        <v>0.80627754979277999</v>
      </c>
      <c r="H37" s="101">
        <f t="shared" si="79"/>
        <v>0.79234830131095602</v>
      </c>
      <c r="I37" s="101">
        <f t="shared" si="79"/>
        <v>0.78583129061653723</v>
      </c>
      <c r="J37" s="101">
        <f t="shared" si="79"/>
        <v>0.77981093642928212</v>
      </c>
      <c r="K37" s="101">
        <f t="shared" si="79"/>
        <v>0.77189799085400601</v>
      </c>
      <c r="L37" s="101">
        <f t="shared" si="79"/>
        <v>0.76440424237154436</v>
      </c>
      <c r="M37" s="101">
        <f t="shared" ref="M37:AA37" si="80">SUM(M34:M36)</f>
        <v>0.75731675944263377</v>
      </c>
      <c r="N37" s="101">
        <f t="shared" si="80"/>
        <v>0.75062305807484253</v>
      </c>
      <c r="O37" s="101">
        <f t="shared" si="80"/>
        <v>0.74431108677127744</v>
      </c>
      <c r="P37" s="101">
        <f t="shared" si="80"/>
        <v>0.73836921198899086</v>
      </c>
      <c r="Q37" s="101">
        <f t="shared" si="80"/>
        <v>0.73278620408985273</v>
      </c>
      <c r="R37" s="101">
        <f t="shared" si="80"/>
        <v>0.72755122376724246</v>
      </c>
      <c r="S37" s="101">
        <f t="shared" si="80"/>
        <v>0.72265380893247222</v>
      </c>
      <c r="T37" s="101">
        <f t="shared" si="80"/>
        <v>0.71808386204540209</v>
      </c>
      <c r="U37" s="101">
        <f t="shared" si="80"/>
        <v>0.71383163787423054</v>
      </c>
      <c r="V37" s="101">
        <f t="shared" si="80"/>
        <v>0.70988773166995056</v>
      </c>
      <c r="W37" s="101">
        <f t="shared" si="80"/>
        <v>0.70624306774145695</v>
      </c>
      <c r="X37" s="101">
        <f t="shared" si="80"/>
        <v>0.7028888884177602</v>
      </c>
      <c r="Y37" s="101">
        <f t="shared" si="80"/>
        <v>0.69981674338421929</v>
      </c>
      <c r="Z37" s="101">
        <f t="shared" si="80"/>
        <v>0.69701885490689763</v>
      </c>
      <c r="AA37" s="101">
        <f t="shared" si="80"/>
        <v>0.69448695589711873</v>
      </c>
    </row>
    <row r="38" spans="1:57" x14ac:dyDescent="0.35">
      <c r="A38" s="48">
        <f>MAX(A$6:A37)+1</f>
        <v>21</v>
      </c>
      <c r="B38" s="17" t="s">
        <v>114</v>
      </c>
      <c r="C38" s="17"/>
      <c r="D38" s="51">
        <f>ROUND(+D$30*D34,-3)</f>
        <v>0</v>
      </c>
      <c r="E38" s="51">
        <f t="shared" ref="E38:H40" si="81">ROUND(+E$30*E34,-3)</f>
        <v>0</v>
      </c>
      <c r="F38" s="51">
        <f t="shared" si="81"/>
        <v>0</v>
      </c>
      <c r="G38" s="51">
        <f t="shared" si="81"/>
        <v>0</v>
      </c>
      <c r="H38" s="51">
        <f t="shared" si="81"/>
        <v>0</v>
      </c>
      <c r="I38" s="51">
        <f t="shared" ref="I38:L38" si="82">ROUND(+I$30*I34,-3)</f>
        <v>0</v>
      </c>
      <c r="J38" s="51">
        <f t="shared" si="82"/>
        <v>0</v>
      </c>
      <c r="K38" s="51">
        <f t="shared" si="82"/>
        <v>0</v>
      </c>
      <c r="L38" s="51">
        <f t="shared" si="82"/>
        <v>0</v>
      </c>
      <c r="M38" s="51">
        <f t="shared" ref="M38:AA38" si="83">ROUND(+M$30*M34,-3)</f>
        <v>0</v>
      </c>
      <c r="N38" s="51">
        <f t="shared" si="83"/>
        <v>0</v>
      </c>
      <c r="O38" s="51">
        <f t="shared" si="83"/>
        <v>0</v>
      </c>
      <c r="P38" s="51">
        <f t="shared" si="83"/>
        <v>0</v>
      </c>
      <c r="Q38" s="51">
        <f t="shared" si="83"/>
        <v>0</v>
      </c>
      <c r="R38" s="51">
        <f t="shared" si="83"/>
        <v>0</v>
      </c>
      <c r="S38" s="51">
        <f t="shared" si="83"/>
        <v>0</v>
      </c>
      <c r="T38" s="51">
        <f t="shared" si="83"/>
        <v>0</v>
      </c>
      <c r="U38" s="51">
        <f t="shared" si="83"/>
        <v>0</v>
      </c>
      <c r="V38" s="51">
        <f t="shared" si="83"/>
        <v>0</v>
      </c>
      <c r="W38" s="51">
        <f t="shared" si="83"/>
        <v>0</v>
      </c>
      <c r="X38" s="51">
        <f t="shared" si="83"/>
        <v>0</v>
      </c>
      <c r="Y38" s="51">
        <f t="shared" si="83"/>
        <v>0</v>
      </c>
      <c r="Z38" s="51">
        <f t="shared" si="83"/>
        <v>0</v>
      </c>
      <c r="AA38" s="51">
        <f t="shared" si="83"/>
        <v>0</v>
      </c>
      <c r="AB38" s="1"/>
      <c r="AC38" s="1"/>
      <c r="AD38" s="1"/>
      <c r="AE38" s="1"/>
      <c r="AF38" s="5">
        <v>1</v>
      </c>
      <c r="AH38" s="105">
        <f t="shared" ref="AH38:AL40" si="84">+D38*$AF38</f>
        <v>0</v>
      </c>
      <c r="AI38" s="105">
        <f t="shared" si="84"/>
        <v>0</v>
      </c>
      <c r="AJ38" s="105">
        <f t="shared" si="84"/>
        <v>0</v>
      </c>
      <c r="AK38" s="105">
        <f t="shared" si="84"/>
        <v>0</v>
      </c>
      <c r="AL38" s="105">
        <f t="shared" si="84"/>
        <v>0</v>
      </c>
      <c r="AM38" s="105">
        <f t="shared" ref="AM38:AM40" si="85">+I38*$AF38</f>
        <v>0</v>
      </c>
      <c r="AN38" s="105">
        <f t="shared" ref="AN38:AN40" si="86">+J38*$AF38</f>
        <v>0</v>
      </c>
      <c r="AO38" s="105">
        <f t="shared" ref="AO38:AO40" si="87">+K38*$AF38</f>
        <v>0</v>
      </c>
      <c r="AP38" s="105">
        <f t="shared" ref="AP38:AP40" si="88">+L38*$AF38</f>
        <v>0</v>
      </c>
      <c r="AQ38" s="105">
        <f t="shared" ref="AQ38:AQ40" si="89">+M38*$AF38</f>
        <v>0</v>
      </c>
      <c r="AR38" s="105">
        <f t="shared" ref="AR38:AR40" si="90">+N38*$AF38</f>
        <v>0</v>
      </c>
      <c r="AS38" s="105">
        <f t="shared" ref="AS38:AS40" si="91">+O38*$AF38</f>
        <v>0</v>
      </c>
      <c r="AT38" s="105">
        <f t="shared" ref="AT38:AT40" si="92">+P38*$AF38</f>
        <v>0</v>
      </c>
      <c r="AU38" s="105">
        <f t="shared" ref="AU38:AU40" si="93">+Q38*$AF38</f>
        <v>0</v>
      </c>
      <c r="AV38" s="105">
        <f t="shared" ref="AV38:AV40" si="94">+R38*$AF38</f>
        <v>0</v>
      </c>
      <c r="AW38" s="105">
        <f t="shared" ref="AW38:AW40" si="95">+S38*$AF38</f>
        <v>0</v>
      </c>
      <c r="AX38" s="105">
        <f t="shared" ref="AX38:AX40" si="96">+T38*$AF38</f>
        <v>0</v>
      </c>
      <c r="AY38" s="105">
        <f t="shared" ref="AY38:AY40" si="97">+U38*$AF38</f>
        <v>0</v>
      </c>
      <c r="AZ38" s="105">
        <f t="shared" ref="AZ38:AZ40" si="98">+V38*$AF38</f>
        <v>0</v>
      </c>
      <c r="BA38" s="105">
        <f t="shared" ref="BA38:BA40" si="99">+W38*$AF38</f>
        <v>0</v>
      </c>
      <c r="BB38" s="105">
        <f t="shared" ref="BB38:BB40" si="100">+X38*$AF38</f>
        <v>0</v>
      </c>
      <c r="BC38" s="105">
        <f t="shared" ref="BC38:BC40" si="101">+Y38*$AF38</f>
        <v>0</v>
      </c>
      <c r="BD38" s="105">
        <f t="shared" ref="BD38:BD40" si="102">+Z38*$AF38</f>
        <v>0</v>
      </c>
      <c r="BE38" s="105">
        <f t="shared" ref="BE38:BE40" si="103">+AA38*$AF38</f>
        <v>0</v>
      </c>
    </row>
    <row r="39" spans="1:57" x14ac:dyDescent="0.35">
      <c r="A39" s="46">
        <f>MAX(A$6:A38)+1</f>
        <v>22</v>
      </c>
      <c r="B39" s="19" t="s">
        <v>116</v>
      </c>
      <c r="C39" s="19"/>
      <c r="D39" s="52">
        <f>ROUND(+D$30*D35,-3)</f>
        <v>0</v>
      </c>
      <c r="E39" s="52">
        <f t="shared" si="81"/>
        <v>0</v>
      </c>
      <c r="F39" s="52">
        <f t="shared" si="81"/>
        <v>0</v>
      </c>
      <c r="G39" s="52">
        <f t="shared" si="81"/>
        <v>0</v>
      </c>
      <c r="H39" s="52">
        <f t="shared" si="81"/>
        <v>0</v>
      </c>
      <c r="I39" s="52">
        <f t="shared" ref="I39:L39" si="104">ROUND(+I$30*I35,-3)</f>
        <v>0</v>
      </c>
      <c r="J39" s="52">
        <f t="shared" si="104"/>
        <v>0</v>
      </c>
      <c r="K39" s="52">
        <f t="shared" si="104"/>
        <v>0</v>
      </c>
      <c r="L39" s="52">
        <f t="shared" si="104"/>
        <v>0</v>
      </c>
      <c r="M39" s="52">
        <f t="shared" ref="M39:AA39" si="105">ROUND(+M$30*M35,-3)</f>
        <v>0</v>
      </c>
      <c r="N39" s="52">
        <f t="shared" si="105"/>
        <v>0</v>
      </c>
      <c r="O39" s="52">
        <f t="shared" si="105"/>
        <v>0</v>
      </c>
      <c r="P39" s="52">
        <f t="shared" si="105"/>
        <v>0</v>
      </c>
      <c r="Q39" s="52">
        <f t="shared" si="105"/>
        <v>0</v>
      </c>
      <c r="R39" s="52">
        <f t="shared" si="105"/>
        <v>0</v>
      </c>
      <c r="S39" s="52">
        <f t="shared" si="105"/>
        <v>0</v>
      </c>
      <c r="T39" s="52">
        <f t="shared" si="105"/>
        <v>0</v>
      </c>
      <c r="U39" s="52">
        <f t="shared" si="105"/>
        <v>0</v>
      </c>
      <c r="V39" s="52">
        <f t="shared" si="105"/>
        <v>0</v>
      </c>
      <c r="W39" s="52">
        <f t="shared" si="105"/>
        <v>0</v>
      </c>
      <c r="X39" s="52">
        <f t="shared" si="105"/>
        <v>0</v>
      </c>
      <c r="Y39" s="52">
        <f t="shared" si="105"/>
        <v>0</v>
      </c>
      <c r="Z39" s="52">
        <f t="shared" si="105"/>
        <v>0</v>
      </c>
      <c r="AA39" s="52">
        <f t="shared" si="105"/>
        <v>0</v>
      </c>
      <c r="AB39" s="2"/>
      <c r="AC39" s="2"/>
      <c r="AD39" s="2"/>
      <c r="AE39" s="2"/>
      <c r="AF39" s="5">
        <v>1</v>
      </c>
      <c r="AH39" s="105">
        <f t="shared" si="84"/>
        <v>0</v>
      </c>
      <c r="AI39" s="105">
        <f t="shared" si="84"/>
        <v>0</v>
      </c>
      <c r="AJ39" s="105">
        <f t="shared" si="84"/>
        <v>0</v>
      </c>
      <c r="AK39" s="105">
        <f t="shared" si="84"/>
        <v>0</v>
      </c>
      <c r="AL39" s="105">
        <f t="shared" si="84"/>
        <v>0</v>
      </c>
      <c r="AM39" s="105">
        <f t="shared" si="85"/>
        <v>0</v>
      </c>
      <c r="AN39" s="105">
        <f t="shared" si="86"/>
        <v>0</v>
      </c>
      <c r="AO39" s="105">
        <f t="shared" si="87"/>
        <v>0</v>
      </c>
      <c r="AP39" s="105">
        <f t="shared" si="88"/>
        <v>0</v>
      </c>
      <c r="AQ39" s="105">
        <f t="shared" si="89"/>
        <v>0</v>
      </c>
      <c r="AR39" s="105">
        <f t="shared" si="90"/>
        <v>0</v>
      </c>
      <c r="AS39" s="105">
        <f t="shared" si="91"/>
        <v>0</v>
      </c>
      <c r="AT39" s="105">
        <f t="shared" si="92"/>
        <v>0</v>
      </c>
      <c r="AU39" s="105">
        <f t="shared" si="93"/>
        <v>0</v>
      </c>
      <c r="AV39" s="105">
        <f t="shared" si="94"/>
        <v>0</v>
      </c>
      <c r="AW39" s="105">
        <f t="shared" si="95"/>
        <v>0</v>
      </c>
      <c r="AX39" s="105">
        <f t="shared" si="96"/>
        <v>0</v>
      </c>
      <c r="AY39" s="105">
        <f t="shared" si="97"/>
        <v>0</v>
      </c>
      <c r="AZ39" s="105">
        <f t="shared" si="98"/>
        <v>0</v>
      </c>
      <c r="BA39" s="105">
        <f t="shared" si="99"/>
        <v>0</v>
      </c>
      <c r="BB39" s="105">
        <f t="shared" si="100"/>
        <v>0</v>
      </c>
      <c r="BC39" s="105">
        <f t="shared" si="101"/>
        <v>0</v>
      </c>
      <c r="BD39" s="105">
        <f t="shared" si="102"/>
        <v>0</v>
      </c>
      <c r="BE39" s="105">
        <f t="shared" si="103"/>
        <v>0</v>
      </c>
    </row>
    <row r="40" spans="1:57" x14ac:dyDescent="0.35">
      <c r="A40" s="48">
        <f>MAX(A$6:A39)+1</f>
        <v>23</v>
      </c>
      <c r="B40" s="17" t="s">
        <v>118</v>
      </c>
      <c r="C40" s="17"/>
      <c r="D40" s="51">
        <f>ROUND(+D$30*D36,-3)</f>
        <v>0</v>
      </c>
      <c r="E40" s="51">
        <f t="shared" si="81"/>
        <v>0</v>
      </c>
      <c r="F40" s="51">
        <f t="shared" si="81"/>
        <v>0</v>
      </c>
      <c r="G40" s="51">
        <f t="shared" si="81"/>
        <v>0</v>
      </c>
      <c r="H40" s="51">
        <f t="shared" si="81"/>
        <v>0</v>
      </c>
      <c r="I40" s="51">
        <f t="shared" ref="I40:L40" si="106">ROUND(+I$30*I36,-3)</f>
        <v>0</v>
      </c>
      <c r="J40" s="51">
        <f t="shared" si="106"/>
        <v>0</v>
      </c>
      <c r="K40" s="51">
        <f t="shared" si="106"/>
        <v>0</v>
      </c>
      <c r="L40" s="51">
        <f t="shared" si="106"/>
        <v>0</v>
      </c>
      <c r="M40" s="51">
        <f t="shared" ref="M40:AA40" si="107">ROUND(+M$30*M36,-3)</f>
        <v>0</v>
      </c>
      <c r="N40" s="51">
        <f t="shared" si="107"/>
        <v>0</v>
      </c>
      <c r="O40" s="51">
        <f t="shared" si="107"/>
        <v>0</v>
      </c>
      <c r="P40" s="51">
        <f t="shared" si="107"/>
        <v>0</v>
      </c>
      <c r="Q40" s="51">
        <f t="shared" si="107"/>
        <v>0</v>
      </c>
      <c r="R40" s="51">
        <f t="shared" si="107"/>
        <v>0</v>
      </c>
      <c r="S40" s="51">
        <f t="shared" si="107"/>
        <v>0</v>
      </c>
      <c r="T40" s="51">
        <f t="shared" si="107"/>
        <v>0</v>
      </c>
      <c r="U40" s="51">
        <f t="shared" si="107"/>
        <v>0</v>
      </c>
      <c r="V40" s="51">
        <f t="shared" si="107"/>
        <v>0</v>
      </c>
      <c r="W40" s="51">
        <f t="shared" si="107"/>
        <v>0</v>
      </c>
      <c r="X40" s="51">
        <f t="shared" si="107"/>
        <v>0</v>
      </c>
      <c r="Y40" s="51">
        <f t="shared" si="107"/>
        <v>0</v>
      </c>
      <c r="Z40" s="51">
        <f t="shared" si="107"/>
        <v>0</v>
      </c>
      <c r="AA40" s="51">
        <f t="shared" si="107"/>
        <v>0</v>
      </c>
      <c r="AB40" s="2"/>
      <c r="AC40" s="2"/>
      <c r="AD40" s="2"/>
      <c r="AE40" s="2"/>
      <c r="AF40" s="5">
        <v>1</v>
      </c>
      <c r="AH40" s="105">
        <f t="shared" si="84"/>
        <v>0</v>
      </c>
      <c r="AI40" s="105">
        <f t="shared" si="84"/>
        <v>0</v>
      </c>
      <c r="AJ40" s="105">
        <f t="shared" si="84"/>
        <v>0</v>
      </c>
      <c r="AK40" s="105">
        <f t="shared" si="84"/>
        <v>0</v>
      </c>
      <c r="AL40" s="105">
        <f t="shared" si="84"/>
        <v>0</v>
      </c>
      <c r="AM40" s="105">
        <f t="shared" si="85"/>
        <v>0</v>
      </c>
      <c r="AN40" s="105">
        <f t="shared" si="86"/>
        <v>0</v>
      </c>
      <c r="AO40" s="105">
        <f t="shared" si="87"/>
        <v>0</v>
      </c>
      <c r="AP40" s="105">
        <f t="shared" si="88"/>
        <v>0</v>
      </c>
      <c r="AQ40" s="105">
        <f t="shared" si="89"/>
        <v>0</v>
      </c>
      <c r="AR40" s="105">
        <f t="shared" si="90"/>
        <v>0</v>
      </c>
      <c r="AS40" s="105">
        <f t="shared" si="91"/>
        <v>0</v>
      </c>
      <c r="AT40" s="105">
        <f t="shared" si="92"/>
        <v>0</v>
      </c>
      <c r="AU40" s="105">
        <f t="shared" si="93"/>
        <v>0</v>
      </c>
      <c r="AV40" s="105">
        <f t="shared" si="94"/>
        <v>0</v>
      </c>
      <c r="AW40" s="105">
        <f t="shared" si="95"/>
        <v>0</v>
      </c>
      <c r="AX40" s="105">
        <f t="shared" si="96"/>
        <v>0</v>
      </c>
      <c r="AY40" s="105">
        <f t="shared" si="97"/>
        <v>0</v>
      </c>
      <c r="AZ40" s="105">
        <f t="shared" si="98"/>
        <v>0</v>
      </c>
      <c r="BA40" s="105">
        <f t="shared" si="99"/>
        <v>0</v>
      </c>
      <c r="BB40" s="105">
        <f t="shared" si="100"/>
        <v>0</v>
      </c>
      <c r="BC40" s="105">
        <f t="shared" si="101"/>
        <v>0</v>
      </c>
      <c r="BD40" s="105">
        <f t="shared" si="102"/>
        <v>0</v>
      </c>
      <c r="BE40" s="105">
        <f t="shared" si="103"/>
        <v>0</v>
      </c>
    </row>
    <row r="41" spans="1:57" x14ac:dyDescent="0.35">
      <c r="A41" s="46"/>
      <c r="B41" s="19"/>
      <c r="C41" s="19"/>
      <c r="D41" s="19"/>
      <c r="E41" s="19"/>
      <c r="F41" s="19"/>
      <c r="G41" s="19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</row>
    <row r="42" spans="1:57" x14ac:dyDescent="0.35">
      <c r="A42" s="48">
        <f>MAX(A$6:A41)+1</f>
        <v>24</v>
      </c>
      <c r="B42" s="34" t="s">
        <v>32</v>
      </c>
      <c r="C42" s="35"/>
      <c r="D42" s="35">
        <f t="shared" ref="D42:L42" si="108">SUM(D38:D41)</f>
        <v>0</v>
      </c>
      <c r="E42" s="35">
        <f t="shared" si="108"/>
        <v>0</v>
      </c>
      <c r="F42" s="35">
        <f t="shared" si="108"/>
        <v>0</v>
      </c>
      <c r="G42" s="35">
        <f t="shared" si="108"/>
        <v>0</v>
      </c>
      <c r="H42" s="35">
        <f t="shared" si="108"/>
        <v>0</v>
      </c>
      <c r="I42" s="35">
        <f t="shared" si="108"/>
        <v>0</v>
      </c>
      <c r="J42" s="35">
        <f t="shared" si="108"/>
        <v>0</v>
      </c>
      <c r="K42" s="35">
        <f t="shared" si="108"/>
        <v>0</v>
      </c>
      <c r="L42" s="35">
        <f t="shared" si="108"/>
        <v>0</v>
      </c>
      <c r="M42" s="35">
        <f t="shared" ref="M42:AA42" si="109">SUM(M38:M41)</f>
        <v>0</v>
      </c>
      <c r="N42" s="35">
        <f t="shared" si="109"/>
        <v>0</v>
      </c>
      <c r="O42" s="35">
        <f t="shared" si="109"/>
        <v>0</v>
      </c>
      <c r="P42" s="35">
        <f t="shared" si="109"/>
        <v>0</v>
      </c>
      <c r="Q42" s="35">
        <f t="shared" si="109"/>
        <v>0</v>
      </c>
      <c r="R42" s="35">
        <f t="shared" si="109"/>
        <v>0</v>
      </c>
      <c r="S42" s="35">
        <f t="shared" si="109"/>
        <v>0</v>
      </c>
      <c r="T42" s="35">
        <f t="shared" si="109"/>
        <v>0</v>
      </c>
      <c r="U42" s="35">
        <f t="shared" si="109"/>
        <v>0</v>
      </c>
      <c r="V42" s="35">
        <f t="shared" si="109"/>
        <v>0</v>
      </c>
      <c r="W42" s="35">
        <f t="shared" si="109"/>
        <v>0</v>
      </c>
      <c r="X42" s="35">
        <f t="shared" si="109"/>
        <v>0</v>
      </c>
      <c r="Y42" s="35">
        <f t="shared" si="109"/>
        <v>0</v>
      </c>
      <c r="Z42" s="35">
        <f t="shared" si="109"/>
        <v>0</v>
      </c>
      <c r="AA42" s="35">
        <f t="shared" si="109"/>
        <v>0</v>
      </c>
      <c r="AG42" s="35"/>
      <c r="AH42" s="35">
        <f>SUM(AH38:AH41)</f>
        <v>0</v>
      </c>
      <c r="AI42" s="35">
        <f>SUM(AI38:AI41)</f>
        <v>0</v>
      </c>
      <c r="AJ42" s="35">
        <f>SUM(AJ38:AJ41)</f>
        <v>0</v>
      </c>
      <c r="AK42" s="35">
        <f>SUM(AK38:AK41)</f>
        <v>0</v>
      </c>
      <c r="AL42" s="35">
        <f>SUM(AL38:AL41)</f>
        <v>0</v>
      </c>
      <c r="AM42" s="35">
        <f t="shared" ref="AM42:AP42" si="110">SUM(AM38:AM41)</f>
        <v>0</v>
      </c>
      <c r="AN42" s="35">
        <f t="shared" si="110"/>
        <v>0</v>
      </c>
      <c r="AO42" s="35">
        <f t="shared" si="110"/>
        <v>0</v>
      </c>
      <c r="AP42" s="35">
        <f t="shared" si="110"/>
        <v>0</v>
      </c>
      <c r="AQ42" s="35">
        <f t="shared" ref="AQ42:BC42" si="111">SUM(AQ38:AQ41)</f>
        <v>0</v>
      </c>
      <c r="AR42" s="35">
        <f t="shared" si="111"/>
        <v>0</v>
      </c>
      <c r="AS42" s="35">
        <f t="shared" si="111"/>
        <v>0</v>
      </c>
      <c r="AT42" s="35">
        <f t="shared" si="111"/>
        <v>0</v>
      </c>
      <c r="AU42" s="35">
        <f t="shared" si="111"/>
        <v>0</v>
      </c>
      <c r="AV42" s="35">
        <f t="shared" si="111"/>
        <v>0</v>
      </c>
      <c r="AW42" s="35">
        <f t="shared" si="111"/>
        <v>0</v>
      </c>
      <c r="AX42" s="35">
        <f t="shared" si="111"/>
        <v>0</v>
      </c>
      <c r="AY42" s="35">
        <f t="shared" si="111"/>
        <v>0</v>
      </c>
      <c r="AZ42" s="35">
        <f t="shared" si="111"/>
        <v>0</v>
      </c>
      <c r="BA42" s="35">
        <f t="shared" si="111"/>
        <v>0</v>
      </c>
      <c r="BB42" s="35">
        <f t="shared" si="111"/>
        <v>0</v>
      </c>
      <c r="BC42" s="35">
        <f t="shared" si="111"/>
        <v>0</v>
      </c>
      <c r="BD42" s="35">
        <f t="shared" ref="BD42:BE42" si="112">SUM(BD38:BD41)</f>
        <v>0</v>
      </c>
      <c r="BE42" s="35">
        <f t="shared" si="112"/>
        <v>0</v>
      </c>
    </row>
    <row r="43" spans="1:57" x14ac:dyDescent="0.35">
      <c r="A43" s="46"/>
      <c r="B43" s="19"/>
      <c r="C43" s="19"/>
      <c r="D43" s="19"/>
      <c r="E43" s="19"/>
      <c r="F43" s="19"/>
      <c r="G43" s="19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G43" s="19"/>
      <c r="AH43" s="19"/>
      <c r="AI43" s="19"/>
      <c r="AJ43" s="19"/>
      <c r="AK43" s="19"/>
      <c r="AL43" s="47"/>
      <c r="AM43" s="19"/>
      <c r="AN43" s="19"/>
      <c r="AO43" s="47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</row>
    <row r="44" spans="1:57" x14ac:dyDescent="0.35">
      <c r="A44" s="48">
        <f>MAX(A$6:A43)+1</f>
        <v>25</v>
      </c>
      <c r="B44" s="34" t="s">
        <v>59</v>
      </c>
      <c r="C44" s="35"/>
      <c r="D44" s="35">
        <f>+D42+D30</f>
        <v>0</v>
      </c>
      <c r="E44" s="35">
        <f>+E42+E30</f>
        <v>0</v>
      </c>
      <c r="F44" s="35">
        <f>+F42+F30</f>
        <v>0</v>
      </c>
      <c r="G44" s="35">
        <f>+G42+G30</f>
        <v>0</v>
      </c>
      <c r="H44" s="35">
        <f t="shared" ref="H44:I44" si="113">+H42+H30</f>
        <v>0</v>
      </c>
      <c r="I44" s="35">
        <f t="shared" si="113"/>
        <v>0</v>
      </c>
      <c r="J44" s="35">
        <f t="shared" ref="J44:L44" si="114">+J42+J30</f>
        <v>0</v>
      </c>
      <c r="K44" s="35">
        <f t="shared" si="114"/>
        <v>0</v>
      </c>
      <c r="L44" s="35">
        <f t="shared" si="114"/>
        <v>0</v>
      </c>
      <c r="M44" s="35">
        <f t="shared" ref="M44:AA44" si="115">+M42+M30</f>
        <v>0</v>
      </c>
      <c r="N44" s="35">
        <f t="shared" si="115"/>
        <v>0</v>
      </c>
      <c r="O44" s="35">
        <f t="shared" si="115"/>
        <v>0</v>
      </c>
      <c r="P44" s="35">
        <f t="shared" si="115"/>
        <v>0</v>
      </c>
      <c r="Q44" s="35">
        <f t="shared" si="115"/>
        <v>0</v>
      </c>
      <c r="R44" s="35">
        <f t="shared" si="115"/>
        <v>0</v>
      </c>
      <c r="S44" s="35">
        <f t="shared" si="115"/>
        <v>0</v>
      </c>
      <c r="T44" s="35">
        <f t="shared" si="115"/>
        <v>0</v>
      </c>
      <c r="U44" s="35">
        <f t="shared" si="115"/>
        <v>0</v>
      </c>
      <c r="V44" s="35">
        <f t="shared" si="115"/>
        <v>0</v>
      </c>
      <c r="W44" s="35">
        <f t="shared" si="115"/>
        <v>0</v>
      </c>
      <c r="X44" s="35">
        <f t="shared" si="115"/>
        <v>0</v>
      </c>
      <c r="Y44" s="35">
        <f t="shared" si="115"/>
        <v>0</v>
      </c>
      <c r="Z44" s="35">
        <f t="shared" si="115"/>
        <v>0</v>
      </c>
      <c r="AA44" s="35">
        <f t="shared" si="115"/>
        <v>0</v>
      </c>
      <c r="AG44" s="35"/>
      <c r="AH44" s="35">
        <f>+AH42+AH30</f>
        <v>0</v>
      </c>
      <c r="AI44" s="35">
        <f>+AI42+AI30</f>
        <v>0</v>
      </c>
      <c r="AJ44" s="35">
        <f>+AJ42+AJ30</f>
        <v>0</v>
      </c>
      <c r="AK44" s="35">
        <f>+AK42+AK30</f>
        <v>0</v>
      </c>
      <c r="AL44" s="35">
        <f t="shared" ref="AL44:AN44" si="116">+AL42+AL30</f>
        <v>0</v>
      </c>
      <c r="AM44" s="35">
        <f t="shared" si="116"/>
        <v>0</v>
      </c>
      <c r="AN44" s="35">
        <f t="shared" si="116"/>
        <v>0</v>
      </c>
      <c r="AO44" s="35">
        <f t="shared" ref="AO44:AP44" si="117">+AO42+AO30</f>
        <v>0</v>
      </c>
      <c r="AP44" s="35">
        <f t="shared" si="117"/>
        <v>0</v>
      </c>
      <c r="AQ44" s="35">
        <f t="shared" ref="AQ44:BC44" si="118">+AQ42+AQ30</f>
        <v>0</v>
      </c>
      <c r="AR44" s="35">
        <f t="shared" si="118"/>
        <v>0</v>
      </c>
      <c r="AS44" s="35">
        <f t="shared" si="118"/>
        <v>0</v>
      </c>
      <c r="AT44" s="35">
        <f t="shared" si="118"/>
        <v>0</v>
      </c>
      <c r="AU44" s="35">
        <f t="shared" si="118"/>
        <v>0</v>
      </c>
      <c r="AV44" s="35">
        <f t="shared" si="118"/>
        <v>0</v>
      </c>
      <c r="AW44" s="35">
        <f t="shared" si="118"/>
        <v>0</v>
      </c>
      <c r="AX44" s="35">
        <f t="shared" si="118"/>
        <v>0</v>
      </c>
      <c r="AY44" s="35">
        <f t="shared" si="118"/>
        <v>0</v>
      </c>
      <c r="AZ44" s="35">
        <f t="shared" si="118"/>
        <v>0</v>
      </c>
      <c r="BA44" s="35">
        <f t="shared" si="118"/>
        <v>0</v>
      </c>
      <c r="BB44" s="35">
        <f t="shared" si="118"/>
        <v>0</v>
      </c>
      <c r="BC44" s="35">
        <f t="shared" si="118"/>
        <v>0</v>
      </c>
      <c r="BD44" s="35">
        <f t="shared" ref="BD44:BE44" si="119">+BD42+BD30</f>
        <v>0</v>
      </c>
      <c r="BE44" s="35">
        <f t="shared" si="119"/>
        <v>0</v>
      </c>
    </row>
    <row r="45" spans="1:57" x14ac:dyDescent="0.35">
      <c r="A45" s="26"/>
      <c r="B45" s="25"/>
      <c r="C45" s="25"/>
      <c r="D45" s="25"/>
      <c r="E45" s="25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</row>
    <row r="46" spans="1:57" x14ac:dyDescent="0.35">
      <c r="A46" t="s">
        <v>60</v>
      </c>
    </row>
    <row r="80" spans="1:1" x14ac:dyDescent="0.35">
      <c r="A80" t="s">
        <v>41</v>
      </c>
    </row>
    <row r="81" spans="1:27" x14ac:dyDescent="0.35">
      <c r="C81" s="5">
        <f t="shared" ref="C81:AA81" si="120">+C6</f>
        <v>0</v>
      </c>
      <c r="D81" s="5">
        <f t="shared" si="120"/>
        <v>0</v>
      </c>
      <c r="E81" s="5">
        <f t="shared" si="120"/>
        <v>0</v>
      </c>
      <c r="F81" s="5">
        <f t="shared" si="120"/>
        <v>0</v>
      </c>
      <c r="G81" s="5">
        <f t="shared" si="120"/>
        <v>6.6000000000000003E-2</v>
      </c>
      <c r="H81" s="5">
        <f t="shared" si="120"/>
        <v>2.5999999999999999E-2</v>
      </c>
      <c r="I81" s="5">
        <f t="shared" si="120"/>
        <v>2.3E-2</v>
      </c>
      <c r="J81" s="5">
        <f t="shared" si="120"/>
        <v>2.5000000000000001E-2</v>
      </c>
      <c r="K81" s="5">
        <f t="shared" si="120"/>
        <v>3.1E-2</v>
      </c>
      <c r="L81" s="5">
        <f t="shared" si="120"/>
        <v>2.5000000000000001E-2</v>
      </c>
      <c r="M81" s="5">
        <f t="shared" si="120"/>
        <v>3.1E-2</v>
      </c>
      <c r="N81" s="5">
        <f t="shared" si="120"/>
        <v>3.1E-2</v>
      </c>
      <c r="O81" s="5">
        <f t="shared" si="120"/>
        <v>3.1E-2</v>
      </c>
      <c r="P81" s="5">
        <f t="shared" si="120"/>
        <v>3.1E-2</v>
      </c>
      <c r="Q81" s="5">
        <f t="shared" si="120"/>
        <v>3.1E-2</v>
      </c>
      <c r="R81" s="5">
        <f t="shared" si="120"/>
        <v>3.1E-2</v>
      </c>
      <c r="S81" s="5">
        <f t="shared" si="120"/>
        <v>3.1E-2</v>
      </c>
      <c r="T81" s="5">
        <f t="shared" si="120"/>
        <v>3.1E-2</v>
      </c>
      <c r="U81" s="5">
        <f t="shared" si="120"/>
        <v>3.1E-2</v>
      </c>
      <c r="V81" s="5">
        <f t="shared" si="120"/>
        <v>3.1E-2</v>
      </c>
      <c r="W81" s="5">
        <f t="shared" si="120"/>
        <v>3.1E-2</v>
      </c>
      <c r="X81" s="5">
        <f t="shared" si="120"/>
        <v>3.1E-2</v>
      </c>
      <c r="Y81" s="5">
        <f t="shared" si="120"/>
        <v>3.1E-2</v>
      </c>
      <c r="Z81" s="5">
        <f t="shared" si="120"/>
        <v>3.1E-2</v>
      </c>
      <c r="AA81" s="5">
        <f t="shared" si="120"/>
        <v>3.1E-2</v>
      </c>
    </row>
    <row r="82" spans="1:27" x14ac:dyDescent="0.35">
      <c r="C82" s="73">
        <f>+C81</f>
        <v>0</v>
      </c>
      <c r="D82" s="73">
        <f t="shared" ref="D82:AA82" si="121">+((1+C82)*(1+D81))-1</f>
        <v>0</v>
      </c>
      <c r="E82" s="73">
        <f t="shared" si="121"/>
        <v>0</v>
      </c>
      <c r="F82" s="73">
        <f t="shared" si="121"/>
        <v>0</v>
      </c>
      <c r="G82" s="73">
        <f t="shared" si="121"/>
        <v>6.6000000000000059E-2</v>
      </c>
      <c r="H82" s="73">
        <f t="shared" si="121"/>
        <v>9.3716000000000133E-2</v>
      </c>
      <c r="I82" s="73">
        <f t="shared" si="121"/>
        <v>0.11887146800000004</v>
      </c>
      <c r="J82" s="73">
        <f t="shared" si="121"/>
        <v>0.14684325470000004</v>
      </c>
      <c r="K82" s="73">
        <f t="shared" si="121"/>
        <v>0.18239539559569984</v>
      </c>
      <c r="L82" s="73">
        <f t="shared" si="121"/>
        <v>0.2119552804855922</v>
      </c>
      <c r="M82" s="73">
        <f t="shared" si="121"/>
        <v>0.24952589418064552</v>
      </c>
      <c r="N82" s="73">
        <f t="shared" si="121"/>
        <v>0.28826119690024554</v>
      </c>
      <c r="O82" s="73">
        <f t="shared" si="121"/>
        <v>0.3281972940041531</v>
      </c>
      <c r="P82" s="73">
        <f t="shared" si="121"/>
        <v>0.36937141011828167</v>
      </c>
      <c r="Q82" s="73">
        <f t="shared" si="121"/>
        <v>0.41182192383194827</v>
      </c>
      <c r="R82" s="73">
        <f t="shared" si="121"/>
        <v>0.45558840347073848</v>
      </c>
      <c r="S82" s="73">
        <f t="shared" si="121"/>
        <v>0.50071164397833123</v>
      </c>
      <c r="T82" s="73">
        <f t="shared" si="121"/>
        <v>0.54723370494165935</v>
      </c>
      <c r="U82" s="73">
        <f t="shared" si="121"/>
        <v>0.59519794979485074</v>
      </c>
      <c r="V82" s="73">
        <f t="shared" si="121"/>
        <v>0.64464908623849104</v>
      </c>
      <c r="W82" s="73">
        <f t="shared" si="121"/>
        <v>0.6956332079118841</v>
      </c>
      <c r="X82" s="73">
        <f t="shared" si="121"/>
        <v>0.74819783735715228</v>
      </c>
      <c r="Y82" s="73">
        <f t="shared" si="121"/>
        <v>0.8023919703152238</v>
      </c>
      <c r="Z82" s="73">
        <f t="shared" si="121"/>
        <v>0.85826612139499558</v>
      </c>
      <c r="AA82" s="73">
        <f t="shared" si="121"/>
        <v>0.91587237115824038</v>
      </c>
    </row>
    <row r="84" spans="1:27" x14ac:dyDescent="0.35">
      <c r="A84" t="s">
        <v>42</v>
      </c>
      <c r="D84" s="144">
        <f t="shared" ref="D84:AA84" si="122">+D82-D9</f>
        <v>0</v>
      </c>
      <c r="E84" s="144">
        <f t="shared" si="122"/>
        <v>0</v>
      </c>
      <c r="F84" s="144">
        <f t="shared" si="122"/>
        <v>0</v>
      </c>
      <c r="G84" s="144">
        <f t="shared" si="122"/>
        <v>0</v>
      </c>
      <c r="H84" s="144">
        <f t="shared" si="122"/>
        <v>0</v>
      </c>
      <c r="I84" s="144">
        <f t="shared" si="122"/>
        <v>0</v>
      </c>
      <c r="J84" s="144">
        <f t="shared" si="122"/>
        <v>0</v>
      </c>
      <c r="K84" s="144">
        <f t="shared" si="122"/>
        <v>0</v>
      </c>
      <c r="L84" s="144">
        <f t="shared" si="122"/>
        <v>0</v>
      </c>
      <c r="M84" s="144">
        <f t="shared" si="122"/>
        <v>0</v>
      </c>
      <c r="N84" s="144">
        <f t="shared" si="122"/>
        <v>0</v>
      </c>
      <c r="O84" s="144">
        <f t="shared" si="122"/>
        <v>0</v>
      </c>
      <c r="P84" s="144">
        <f t="shared" si="122"/>
        <v>0</v>
      </c>
      <c r="Q84" s="144">
        <f t="shared" si="122"/>
        <v>0</v>
      </c>
      <c r="R84" s="144">
        <f t="shared" si="122"/>
        <v>0</v>
      </c>
      <c r="S84" s="144">
        <f t="shared" si="122"/>
        <v>0</v>
      </c>
      <c r="T84" s="144">
        <f t="shared" si="122"/>
        <v>0</v>
      </c>
      <c r="U84" s="144">
        <f t="shared" si="122"/>
        <v>0</v>
      </c>
      <c r="V84" s="144">
        <f t="shared" si="122"/>
        <v>0</v>
      </c>
      <c r="W84" s="144">
        <f t="shared" si="122"/>
        <v>0</v>
      </c>
      <c r="X84" s="144">
        <f t="shared" si="122"/>
        <v>0</v>
      </c>
      <c r="Y84" s="144">
        <f t="shared" si="122"/>
        <v>0</v>
      </c>
      <c r="Z84" s="144">
        <f t="shared" si="122"/>
        <v>0</v>
      </c>
      <c r="AA84" s="144">
        <f t="shared" si="122"/>
        <v>0</v>
      </c>
    </row>
    <row r="108" spans="1:57" x14ac:dyDescent="0.35">
      <c r="A108" s="85">
        <f>MAX(A$6:A107)+1</f>
        <v>26</v>
      </c>
      <c r="B108" s="72" t="s">
        <v>265</v>
      </c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E108" s="154" t="str">
        <f>B108</f>
        <v xml:space="preserve">PWD (Dept 28) Subtotal </v>
      </c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  <c r="AY108" s="183"/>
      <c r="AZ108" s="183"/>
      <c r="BA108" s="183"/>
      <c r="BB108" s="183"/>
      <c r="BC108" s="183"/>
      <c r="BD108" s="183"/>
      <c r="BE108" s="183"/>
    </row>
    <row r="109" spans="1:57" x14ac:dyDescent="0.35">
      <c r="A109" s="86"/>
      <c r="B109" s="65"/>
      <c r="C109" s="81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</row>
    <row r="110" spans="1:57" x14ac:dyDescent="0.35">
      <c r="A110" s="85">
        <f>MAX(A$6:A109)+1</f>
        <v>27</v>
      </c>
      <c r="B110" s="72" t="s">
        <v>266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E110" s="154" t="str">
        <f>B110</f>
        <v>OD Subtotal</v>
      </c>
      <c r="AF110" s="183"/>
      <c r="AG110" s="183"/>
      <c r="AH110" s="183"/>
      <c r="AI110" s="183"/>
      <c r="AJ110" s="183"/>
      <c r="AK110" s="183"/>
      <c r="AL110" s="183"/>
      <c r="AM110" s="183"/>
      <c r="AN110" s="183"/>
      <c r="AO110" s="183"/>
      <c r="AP110" s="183"/>
      <c r="AQ110" s="183"/>
      <c r="AR110" s="183"/>
      <c r="AS110" s="183"/>
      <c r="AT110" s="183"/>
      <c r="AU110" s="183"/>
      <c r="AV110" s="183"/>
      <c r="AW110" s="183"/>
      <c r="AX110" s="183"/>
      <c r="AY110" s="183"/>
      <c r="AZ110" s="183"/>
      <c r="BA110" s="183"/>
      <c r="BB110" s="183"/>
      <c r="BC110" s="183"/>
      <c r="BD110" s="183"/>
      <c r="BE110" s="183"/>
    </row>
    <row r="111" spans="1:57" x14ac:dyDescent="0.35">
      <c r="A111" s="87"/>
      <c r="C111" s="78"/>
    </row>
    <row r="112" spans="1:57" x14ac:dyDescent="0.35">
      <c r="A112" s="87"/>
      <c r="B112" t="s">
        <v>267</v>
      </c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E112" t="str">
        <f>B112</f>
        <v xml:space="preserve">Check </v>
      </c>
    </row>
  </sheetData>
  <mergeCells count="1">
    <mergeCell ref="AC1:AE1"/>
  </mergeCells>
  <phoneticPr fontId="112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2F0079-0925-4162-8D45-F065C6E05819}">
          <x14:formula1>
            <xm:f>Assumptions!$B$6:$B$20</xm:f>
          </x14:formula1>
          <xm:sqref>AC6:AC8</xm:sqref>
        </x14:dataValidation>
        <x14:dataValidation type="list" allowBlank="1" showInputMessage="1" showErrorMessage="1" xr:uid="{3BDF3FF7-266A-4A82-8652-16B917CA60E3}">
          <x14:formula1>
            <xm:f>Assumptions!$E$27:$E$193</xm:f>
          </x14:formula1>
          <xm:sqref>AD21:AD23 AD28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AL33"/>
  <sheetViews>
    <sheetView workbookViewId="0"/>
  </sheetViews>
  <sheetFormatPr defaultRowHeight="14.5" x14ac:dyDescent="0.35"/>
  <cols>
    <col min="1" max="2" width="10.54296875" style="3" customWidth="1"/>
    <col min="3" max="3" width="30.54296875" customWidth="1"/>
    <col min="4" max="36" width="15.54296875" customWidth="1"/>
  </cols>
  <sheetData>
    <row r="1" spans="1:38" ht="19.5" thickTop="1" thickBot="1" x14ac:dyDescent="0.4">
      <c r="A1" s="63" t="s">
        <v>162</v>
      </c>
      <c r="B1" s="63"/>
      <c r="C1" s="63"/>
      <c r="D1" s="63"/>
      <c r="E1" s="63"/>
      <c r="F1" s="63"/>
      <c r="G1" s="63"/>
      <c r="H1" s="63"/>
      <c r="I1" s="63"/>
      <c r="J1" s="63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</row>
    <row r="2" spans="1:38" ht="16.5" thickTop="1" x14ac:dyDescent="0.5">
      <c r="A2" s="53" t="s">
        <v>163</v>
      </c>
      <c r="B2" s="58" t="s">
        <v>164</v>
      </c>
      <c r="C2" s="58" t="s">
        <v>18</v>
      </c>
      <c r="D2" s="58"/>
      <c r="E2" s="23">
        <v>2022</v>
      </c>
      <c r="F2" s="23">
        <f t="shared" ref="F2:N2" si="0">+E2+1</f>
        <v>2023</v>
      </c>
      <c r="G2" s="23">
        <f t="shared" si="0"/>
        <v>2024</v>
      </c>
      <c r="H2" s="23">
        <f t="shared" si="0"/>
        <v>2025</v>
      </c>
      <c r="I2" s="23">
        <f t="shared" si="0"/>
        <v>2026</v>
      </c>
      <c r="J2" s="23">
        <f t="shared" si="0"/>
        <v>2027</v>
      </c>
      <c r="K2" s="23">
        <f t="shared" si="0"/>
        <v>2028</v>
      </c>
      <c r="L2" s="23">
        <f t="shared" si="0"/>
        <v>2029</v>
      </c>
      <c r="M2" s="23">
        <f t="shared" si="0"/>
        <v>2030</v>
      </c>
      <c r="N2" s="23">
        <f t="shared" si="0"/>
        <v>2031</v>
      </c>
      <c r="O2" s="23">
        <f t="shared" ref="O2" si="1">+N2+1</f>
        <v>2032</v>
      </c>
      <c r="P2" s="23">
        <f t="shared" ref="P2" si="2">+O2+1</f>
        <v>2033</v>
      </c>
      <c r="Q2" s="23">
        <f t="shared" ref="Q2" si="3">+P2+1</f>
        <v>2034</v>
      </c>
      <c r="R2" s="23">
        <f t="shared" ref="R2" si="4">+Q2+1</f>
        <v>2035</v>
      </c>
      <c r="S2" s="23">
        <f t="shared" ref="S2" si="5">+R2+1</f>
        <v>2036</v>
      </c>
      <c r="T2" s="23">
        <f t="shared" ref="T2" si="6">+S2+1</f>
        <v>2037</v>
      </c>
      <c r="U2" s="23">
        <f t="shared" ref="U2" si="7">+T2+1</f>
        <v>2038</v>
      </c>
      <c r="V2" s="23">
        <f t="shared" ref="V2" si="8">+U2+1</f>
        <v>2039</v>
      </c>
      <c r="W2" s="23">
        <f t="shared" ref="W2" si="9">+V2+1</f>
        <v>2040</v>
      </c>
      <c r="X2" s="23">
        <f t="shared" ref="X2" si="10">+W2+1</f>
        <v>2041</v>
      </c>
      <c r="Y2" s="23">
        <f t="shared" ref="Y2" si="11">+X2+1</f>
        <v>2042</v>
      </c>
      <c r="Z2" s="23">
        <f t="shared" ref="Z2" si="12">+Y2+1</f>
        <v>2043</v>
      </c>
      <c r="AA2" s="23">
        <f t="shared" ref="AA2" si="13">+Z2+1</f>
        <v>2044</v>
      </c>
      <c r="AB2" s="23">
        <f t="shared" ref="AB2" si="14">+AA2+1</f>
        <v>2045</v>
      </c>
      <c r="AC2" s="23">
        <f t="shared" ref="AC2" si="15">+AB2+1</f>
        <v>2046</v>
      </c>
    </row>
    <row r="3" spans="1:38" ht="15.5" x14ac:dyDescent="0.35">
      <c r="A3" s="10"/>
      <c r="B3" s="31" t="s">
        <v>165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38" x14ac:dyDescent="0.35">
      <c r="A4" s="13">
        <v>1</v>
      </c>
      <c r="B4" s="67">
        <v>100</v>
      </c>
      <c r="C4" s="62" t="s">
        <v>166</v>
      </c>
      <c r="D4" s="27"/>
      <c r="E4" s="27">
        <v>158297211</v>
      </c>
      <c r="F4" s="27">
        <v>164531956</v>
      </c>
      <c r="G4" s="27">
        <v>179054648</v>
      </c>
      <c r="H4" s="27">
        <v>184327485.82740185</v>
      </c>
      <c r="I4" s="27">
        <v>193543860.11877197</v>
      </c>
      <c r="J4" s="27">
        <v>200317895.22292897</v>
      </c>
      <c r="K4" s="27">
        <v>207329021.55573145</v>
      </c>
      <c r="L4" s="27">
        <v>214585537.31018206</v>
      </c>
      <c r="M4" s="27">
        <v>222096031.11603844</v>
      </c>
      <c r="N4" s="27">
        <v>229869392.20509973</v>
      </c>
      <c r="O4" s="141">
        <v>237914820.93227819</v>
      </c>
      <c r="P4" s="141">
        <v>246241839.66490787</v>
      </c>
      <c r="Q4" s="141">
        <v>254860304.05317968</v>
      </c>
      <c r="R4" s="141">
        <v>263780414.695041</v>
      </c>
      <c r="S4" s="141">
        <v>273012729.20936739</v>
      </c>
      <c r="T4" s="141">
        <v>282568174.73169523</v>
      </c>
      <c r="U4" s="141">
        <v>292458060.84730452</v>
      </c>
      <c r="V4" s="141">
        <v>302694092.97696018</v>
      </c>
      <c r="W4" s="141">
        <v>313288386.23115379</v>
      </c>
      <c r="X4" s="141">
        <v>324253479.74924409</v>
      </c>
      <c r="Y4" s="141">
        <v>335602351.54046762</v>
      </c>
      <c r="Z4" s="141">
        <v>347348433.84438396</v>
      </c>
      <c r="AA4" s="141">
        <v>359505629.0289374</v>
      </c>
      <c r="AB4" s="141">
        <v>372088326.04495019</v>
      </c>
      <c r="AC4" s="141">
        <v>385111417.45652342</v>
      </c>
    </row>
    <row r="5" spans="1:38" x14ac:dyDescent="0.35">
      <c r="A5" s="15">
        <f>MAX(A4)+1</f>
        <v>2</v>
      </c>
      <c r="B5" s="21" t="s">
        <v>167</v>
      </c>
      <c r="C5" s="68" t="s">
        <v>110</v>
      </c>
      <c r="D5" s="21"/>
      <c r="E5" s="64">
        <v>63161240</v>
      </c>
      <c r="F5" s="64">
        <v>65209455.869999997</v>
      </c>
      <c r="G5" s="64">
        <v>70164023</v>
      </c>
      <c r="H5" s="64">
        <v>79474874</v>
      </c>
      <c r="I5" s="64">
        <v>83051243.329999998</v>
      </c>
      <c r="J5" s="64">
        <v>85625831.873229995</v>
      </c>
      <c r="K5" s="64">
        <v>89830060.218205586</v>
      </c>
      <c r="L5" s="64">
        <v>94240716.174919471</v>
      </c>
      <c r="M5" s="64">
        <v>98340187.328528479</v>
      </c>
      <c r="N5" s="64">
        <v>102617985.47731948</v>
      </c>
      <c r="O5" s="142">
        <v>107081867.84558289</v>
      </c>
      <c r="P5" s="142">
        <v>111739929.09686576</v>
      </c>
      <c r="Q5" s="142">
        <v>116600616.01257943</v>
      </c>
      <c r="R5" s="142">
        <v>121672742.80912665</v>
      </c>
      <c r="S5" s="142">
        <v>126965507.12132366</v>
      </c>
      <c r="T5" s="142">
        <v>132488506.68110125</v>
      </c>
      <c r="U5" s="142">
        <v>138251756.72172916</v>
      </c>
      <c r="V5" s="142">
        <v>144265708.13912439</v>
      </c>
      <c r="W5" s="142">
        <v>150541266.44317633</v>
      </c>
      <c r="X5" s="142">
        <v>157089811.53345451</v>
      </c>
      <c r="Y5" s="142">
        <v>163923218.33515978</v>
      </c>
      <c r="Z5" s="142">
        <v>171053878.33273923</v>
      </c>
      <c r="AA5" s="142">
        <v>178494722.04021341</v>
      </c>
      <c r="AB5" s="142">
        <v>186259242.44896272</v>
      </c>
      <c r="AC5" s="142">
        <v>194361519.49549261</v>
      </c>
    </row>
    <row r="6" spans="1:38" x14ac:dyDescent="0.35">
      <c r="A6" s="13">
        <f>MAX(A$5:A5)+1</f>
        <v>3</v>
      </c>
      <c r="B6" s="67">
        <v>191</v>
      </c>
      <c r="C6" s="62" t="s">
        <v>111</v>
      </c>
      <c r="D6" s="27"/>
      <c r="E6" s="27">
        <v>58970176</v>
      </c>
      <c r="F6" s="27">
        <v>57818972.57</v>
      </c>
      <c r="G6" s="27">
        <v>60819644</v>
      </c>
      <c r="H6" s="27">
        <v>59532840</v>
      </c>
      <c r="I6" s="27">
        <v>60580617.984000005</v>
      </c>
      <c r="J6" s="27">
        <v>60580617.984000005</v>
      </c>
      <c r="K6" s="27">
        <v>60580617.984000005</v>
      </c>
      <c r="L6" s="27">
        <v>60580617.984000005</v>
      </c>
      <c r="M6" s="27">
        <v>60580617.984000005</v>
      </c>
      <c r="N6" s="27">
        <v>60580617.984000005</v>
      </c>
      <c r="O6" s="141">
        <v>60580617.984000005</v>
      </c>
      <c r="P6" s="141">
        <v>60580617.984000005</v>
      </c>
      <c r="Q6" s="141">
        <v>60580617.984000005</v>
      </c>
      <c r="R6" s="141">
        <v>60580617.984000005</v>
      </c>
      <c r="S6" s="141">
        <v>60580617.984000005</v>
      </c>
      <c r="T6" s="141">
        <v>60580617.984000005</v>
      </c>
      <c r="U6" s="141">
        <v>60580617.984000005</v>
      </c>
      <c r="V6" s="141">
        <v>60580617.984000005</v>
      </c>
      <c r="W6" s="141">
        <v>60580617.984000005</v>
      </c>
      <c r="X6" s="141">
        <v>60580617.984000005</v>
      </c>
      <c r="Y6" s="141">
        <v>60580617.984000005</v>
      </c>
      <c r="Z6" s="141">
        <v>60580617.984000005</v>
      </c>
      <c r="AA6" s="141">
        <v>60580617.984000005</v>
      </c>
      <c r="AB6" s="141">
        <v>60580617.984000005</v>
      </c>
      <c r="AC6" s="141">
        <v>60580617.984000005</v>
      </c>
    </row>
    <row r="7" spans="1:38" x14ac:dyDescent="0.35">
      <c r="A7" s="15">
        <f>MAX(A$5:A6)+1</f>
        <v>4</v>
      </c>
      <c r="B7" s="21">
        <v>190</v>
      </c>
      <c r="C7" s="68" t="s">
        <v>112</v>
      </c>
      <c r="D7" s="21"/>
      <c r="E7" s="64">
        <v>8541319.2799999993</v>
      </c>
      <c r="F7" s="64">
        <v>10794659.439999999</v>
      </c>
      <c r="G7" s="64">
        <v>12561187</v>
      </c>
      <c r="H7" s="64">
        <v>12418208</v>
      </c>
      <c r="I7" s="64">
        <v>12418208</v>
      </c>
      <c r="J7" s="64">
        <v>12515094.14484385</v>
      </c>
      <c r="K7" s="64">
        <v>12514954.389198726</v>
      </c>
      <c r="L7" s="64">
        <v>12514814.635114247</v>
      </c>
      <c r="M7" s="64">
        <v>12514674.882590398</v>
      </c>
      <c r="N7" s="64">
        <v>12514535.131627161</v>
      </c>
      <c r="O7" s="142">
        <v>12514395.382224519</v>
      </c>
      <c r="P7" s="142">
        <v>12514255.634382453</v>
      </c>
      <c r="Q7" s="142">
        <v>12514115.888100946</v>
      </c>
      <c r="R7" s="142">
        <v>12513976.143379983</v>
      </c>
      <c r="S7" s="142">
        <v>12513836.400219543</v>
      </c>
      <c r="T7" s="142">
        <v>12513696.658619611</v>
      </c>
      <c r="U7" s="142">
        <v>12513556.918580169</v>
      </c>
      <c r="V7" s="142">
        <v>12513417.180101199</v>
      </c>
      <c r="W7" s="142">
        <v>12513277.443182684</v>
      </c>
      <c r="X7" s="142">
        <v>12513137.707824606</v>
      </c>
      <c r="Y7" s="142">
        <v>12512997.97402695</v>
      </c>
      <c r="Z7" s="142">
        <v>12512858.241789697</v>
      </c>
      <c r="AA7" s="142">
        <v>12512718.511112828</v>
      </c>
      <c r="AB7" s="142">
        <v>12512718.511112828</v>
      </c>
      <c r="AC7" s="142">
        <v>12512718.511112828</v>
      </c>
    </row>
    <row r="8" spans="1:38" x14ac:dyDescent="0.35">
      <c r="A8" s="13"/>
      <c r="B8" s="67"/>
      <c r="C8" s="62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38" s="4" customFormat="1" x14ac:dyDescent="0.35">
      <c r="A9" s="36">
        <f>MAX(A$5:A8)+1</f>
        <v>5</v>
      </c>
      <c r="B9" s="37"/>
      <c r="C9" s="65" t="s">
        <v>113</v>
      </c>
      <c r="D9" s="37"/>
      <c r="E9" s="66">
        <f t="shared" ref="E9:N9" si="16">SUM(E4:E8)</f>
        <v>288969946.27999997</v>
      </c>
      <c r="F9" s="66">
        <f t="shared" si="16"/>
        <v>298355043.88</v>
      </c>
      <c r="G9" s="66">
        <f t="shared" si="16"/>
        <v>322599502</v>
      </c>
      <c r="H9" s="66">
        <f t="shared" si="16"/>
        <v>335753407.82740188</v>
      </c>
      <c r="I9" s="66">
        <f t="shared" si="16"/>
        <v>349593929.43277198</v>
      </c>
      <c r="J9" s="66">
        <f t="shared" si="16"/>
        <v>359039439.22500288</v>
      </c>
      <c r="K9" s="66">
        <f t="shared" si="16"/>
        <v>370254654.14713579</v>
      </c>
      <c r="L9" s="66">
        <f t="shared" si="16"/>
        <v>381921686.1042158</v>
      </c>
      <c r="M9" s="66">
        <f t="shared" si="16"/>
        <v>393531511.31115735</v>
      </c>
      <c r="N9" s="66">
        <f t="shared" si="16"/>
        <v>405582530.79804635</v>
      </c>
      <c r="O9" s="66">
        <f t="shared" ref="O9:AC9" si="17">SUM(O4:O8)</f>
        <v>418091702.14408559</v>
      </c>
      <c r="P9" s="66">
        <f t="shared" si="17"/>
        <v>431076642.3801561</v>
      </c>
      <c r="Q9" s="66">
        <f t="shared" si="17"/>
        <v>444555653.93786007</v>
      </c>
      <c r="R9" s="66">
        <f t="shared" si="17"/>
        <v>458547751.63154769</v>
      </c>
      <c r="S9" s="66">
        <f t="shared" si="17"/>
        <v>473072690.71491063</v>
      </c>
      <c r="T9" s="66">
        <f t="shared" si="17"/>
        <v>488150996.05541611</v>
      </c>
      <c r="U9" s="66">
        <f t="shared" si="17"/>
        <v>503803992.47161388</v>
      </c>
      <c r="V9" s="66">
        <f t="shared" si="17"/>
        <v>520053836.28018582</v>
      </c>
      <c r="W9" s="66">
        <f t="shared" si="17"/>
        <v>536923548.10151279</v>
      </c>
      <c r="X9" s="66">
        <f t="shared" si="17"/>
        <v>554437046.97452319</v>
      </c>
      <c r="Y9" s="66">
        <f t="shared" si="17"/>
        <v>572619185.83365428</v>
      </c>
      <c r="Z9" s="66">
        <f t="shared" si="17"/>
        <v>591495788.40291286</v>
      </c>
      <c r="AA9" s="66">
        <f t="shared" si="17"/>
        <v>611093687.56426358</v>
      </c>
      <c r="AB9" s="66">
        <f t="shared" si="17"/>
        <v>631440904.98902571</v>
      </c>
      <c r="AC9" s="66">
        <f t="shared" si="17"/>
        <v>652566273.44712877</v>
      </c>
    </row>
    <row r="10" spans="1:38" s="4" customFormat="1" x14ac:dyDescent="0.35">
      <c r="A10" s="13"/>
      <c r="B10" s="67"/>
      <c r="C10" s="16"/>
      <c r="D10" s="27"/>
      <c r="E10" s="27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/>
      <c r="AE10"/>
      <c r="AF10"/>
      <c r="AG10"/>
      <c r="AH10"/>
      <c r="AI10"/>
      <c r="AJ10"/>
      <c r="AK10"/>
      <c r="AL10"/>
    </row>
    <row r="11" spans="1:38" ht="15.5" x14ac:dyDescent="0.35">
      <c r="A11" s="10"/>
      <c r="B11" s="31" t="s">
        <v>168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</row>
    <row r="12" spans="1:38" x14ac:dyDescent="0.35">
      <c r="A12" s="48">
        <f>MAX(A$5:A11)+1</f>
        <v>6</v>
      </c>
      <c r="B12" s="28"/>
      <c r="C12" s="28" t="s">
        <v>169</v>
      </c>
      <c r="D12" s="59"/>
      <c r="E12" s="59">
        <f>+E5/E4</f>
        <v>0.39900412395768614</v>
      </c>
      <c r="F12" s="59">
        <f t="shared" ref="F12:N12" si="18">+F5/F4</f>
        <v>0.39633307386195543</v>
      </c>
      <c r="G12" s="59">
        <f t="shared" si="18"/>
        <v>0.39185814936231089</v>
      </c>
      <c r="H12" s="59">
        <f t="shared" si="18"/>
        <v>0.43116127604766247</v>
      </c>
      <c r="I12" s="59">
        <f t="shared" si="18"/>
        <v>0.42910812711410212</v>
      </c>
      <c r="J12" s="59">
        <f t="shared" si="18"/>
        <v>0.4274497382170428</v>
      </c>
      <c r="K12" s="59">
        <f t="shared" si="18"/>
        <v>0.43327296653478231</v>
      </c>
      <c r="L12" s="59">
        <f t="shared" si="18"/>
        <v>0.43917552578902419</v>
      </c>
      <c r="M12" s="59">
        <f t="shared" si="18"/>
        <v>0.44278228131482777</v>
      </c>
      <c r="N12" s="59">
        <f t="shared" si="18"/>
        <v>0.44641865753818644</v>
      </c>
      <c r="O12" s="59">
        <f t="shared" ref="O12:AC12" si="19">+O5/O4</f>
        <v>0.45008489772086729</v>
      </c>
      <c r="P12" s="59">
        <f t="shared" si="19"/>
        <v>0.45378124712243978</v>
      </c>
      <c r="Q12" s="59">
        <f t="shared" si="19"/>
        <v>0.45750795301668201</v>
      </c>
      <c r="R12" s="59">
        <f t="shared" si="19"/>
        <v>0.4612652647081234</v>
      </c>
      <c r="S12" s="59">
        <f t="shared" si="19"/>
        <v>0.46505343354872158</v>
      </c>
      <c r="T12" s="59">
        <f t="shared" si="19"/>
        <v>0.46887271295467731</v>
      </c>
      <c r="U12" s="59">
        <f t="shared" si="19"/>
        <v>0.47272335842338736</v>
      </c>
      <c r="V12" s="59">
        <f t="shared" si="19"/>
        <v>0.47660562755053598</v>
      </c>
      <c r="W12" s="59">
        <f t="shared" si="19"/>
        <v>0.48051978004732793</v>
      </c>
      <c r="X12" s="59">
        <f t="shared" si="19"/>
        <v>0.48446607775786166</v>
      </c>
      <c r="Y12" s="59">
        <f t="shared" si="19"/>
        <v>0.48844478467664604</v>
      </c>
      <c r="Z12" s="59">
        <f t="shared" si="19"/>
        <v>0.4924561669662611</v>
      </c>
      <c r="AA12" s="59">
        <f t="shared" si="19"/>
        <v>0.49650049297516274</v>
      </c>
      <c r="AB12" s="59">
        <f t="shared" si="19"/>
        <v>0.50057803325563521</v>
      </c>
      <c r="AC12" s="59">
        <f t="shared" si="19"/>
        <v>0.50468906058188934</v>
      </c>
    </row>
    <row r="13" spans="1:38" x14ac:dyDescent="0.35">
      <c r="A13" s="46">
        <f>MAX(A$5:A12)+1</f>
        <v>7</v>
      </c>
      <c r="B13" s="60"/>
      <c r="C13" s="60" t="s">
        <v>170</v>
      </c>
      <c r="D13" s="61"/>
      <c r="E13" s="61">
        <f>+E6/E4</f>
        <v>0.37252820581911578</v>
      </c>
      <c r="F13" s="61">
        <f t="shared" ref="F13:N13" si="20">+F6/F4</f>
        <v>0.35141484958703101</v>
      </c>
      <c r="G13" s="61">
        <f t="shared" si="20"/>
        <v>0.33967084730467317</v>
      </c>
      <c r="H13" s="61">
        <f t="shared" si="20"/>
        <v>0.32297321114521454</v>
      </c>
      <c r="I13" s="61">
        <f t="shared" si="20"/>
        <v>0.31300718062987648</v>
      </c>
      <c r="J13" s="61">
        <f t="shared" si="20"/>
        <v>0.30242239674384203</v>
      </c>
      <c r="K13" s="61">
        <f t="shared" si="20"/>
        <v>0.29219555240950928</v>
      </c>
      <c r="L13" s="61">
        <f t="shared" si="20"/>
        <v>0.28231454339083017</v>
      </c>
      <c r="M13" s="61">
        <f t="shared" si="20"/>
        <v>0.27276767477374897</v>
      </c>
      <c r="N13" s="61">
        <f t="shared" si="20"/>
        <v>0.26354364712439521</v>
      </c>
      <c r="O13" s="61">
        <f t="shared" ref="O13:AC13" si="21">+O6/O4</f>
        <v>0.25463154311535774</v>
      </c>
      <c r="P13" s="61">
        <f t="shared" si="21"/>
        <v>0.24602081460421041</v>
      </c>
      <c r="Q13" s="61">
        <f t="shared" si="21"/>
        <v>0.23770127014899553</v>
      </c>
      <c r="R13" s="61">
        <f t="shared" si="21"/>
        <v>0.22966306294588937</v>
      </c>
      <c r="S13" s="61">
        <f t="shared" si="21"/>
        <v>0.22189667917477238</v>
      </c>
      <c r="T13" s="61">
        <f t="shared" si="21"/>
        <v>0.21439292673891053</v>
      </c>
      <c r="U13" s="61">
        <f t="shared" si="21"/>
        <v>0.20714292438542084</v>
      </c>
      <c r="V13" s="61">
        <f t="shared" si="21"/>
        <v>0.20013809119364331</v>
      </c>
      <c r="W13" s="61">
        <f t="shared" si="21"/>
        <v>0.19337013641897904</v>
      </c>
      <c r="X13" s="61">
        <f t="shared" si="21"/>
        <v>0.18683104968017303</v>
      </c>
      <c r="Y13" s="61">
        <f t="shared" si="21"/>
        <v>0.18051309147842806</v>
      </c>
      <c r="Z13" s="61">
        <f t="shared" si="21"/>
        <v>0.17440878403712859</v>
      </c>
      <c r="AA13" s="61">
        <f t="shared" si="21"/>
        <v>0.16851090245133196</v>
      </c>
      <c r="AB13" s="61">
        <f t="shared" si="21"/>
        <v>0.16281246613655262</v>
      </c>
      <c r="AC13" s="61">
        <f t="shared" si="21"/>
        <v>0.15730673056671751</v>
      </c>
    </row>
    <row r="14" spans="1:38" x14ac:dyDescent="0.35">
      <c r="A14" s="48">
        <f>MAX(A$5:A13)+1</f>
        <v>8</v>
      </c>
      <c r="B14" s="28"/>
      <c r="C14" s="28" t="s">
        <v>171</v>
      </c>
      <c r="D14" s="59"/>
      <c r="E14" s="59">
        <f>+E7/E4</f>
        <v>5.3957484317269488E-2</v>
      </c>
      <c r="F14" s="59">
        <f t="shared" ref="F14:N14" si="22">+F7/F4</f>
        <v>6.5608284873243702E-2</v>
      </c>
      <c r="G14" s="59">
        <f t="shared" si="22"/>
        <v>7.0152811671216717E-2</v>
      </c>
      <c r="H14" s="59">
        <f t="shared" si="22"/>
        <v>6.7370354151241443E-2</v>
      </c>
      <c r="I14" s="59">
        <f t="shared" si="22"/>
        <v>6.416224204880136E-2</v>
      </c>
      <c r="J14" s="59">
        <f t="shared" si="22"/>
        <v>6.2476166350071236E-2</v>
      </c>
      <c r="K14" s="59">
        <f t="shared" si="22"/>
        <v>6.0362771672245706E-2</v>
      </c>
      <c r="L14" s="59">
        <f t="shared" si="22"/>
        <v>5.832086724942772E-2</v>
      </c>
      <c r="M14" s="59">
        <f t="shared" si="22"/>
        <v>5.6348034765429288E-2</v>
      </c>
      <c r="N14" s="59">
        <f t="shared" si="22"/>
        <v>5.4441937708962725E-2</v>
      </c>
      <c r="O14" s="59">
        <f t="shared" ref="O14:AC14" si="23">+O7/O4</f>
        <v>5.260031860640875E-2</v>
      </c>
      <c r="P14" s="59">
        <f t="shared" si="23"/>
        <v>5.0820996348192364E-2</v>
      </c>
      <c r="Q14" s="59">
        <f t="shared" si="23"/>
        <v>4.9101863605599892E-2</v>
      </c>
      <c r="R14" s="59">
        <f t="shared" si="23"/>
        <v>4.7440884334978041E-2</v>
      </c>
      <c r="S14" s="59">
        <f t="shared" si="23"/>
        <v>4.5836091366358821E-2</v>
      </c>
      <c r="T14" s="59">
        <f t="shared" si="23"/>
        <v>4.4285584073654592E-2</v>
      </c>
      <c r="U14" s="59">
        <f t="shared" si="23"/>
        <v>4.2787526123664037E-2</v>
      </c>
      <c r="V14" s="59">
        <f t="shared" si="23"/>
        <v>4.1340143301222827E-2</v>
      </c>
      <c r="W14" s="59">
        <f t="shared" si="23"/>
        <v>3.9941721407923514E-2</v>
      </c>
      <c r="X14" s="59">
        <f t="shared" si="23"/>
        <v>3.8590604231915807E-2</v>
      </c>
      <c r="Y14" s="59">
        <f t="shared" si="23"/>
        <v>3.7285191586382875E-2</v>
      </c>
      <c r="Z14" s="59">
        <f t="shared" si="23"/>
        <v>3.6023937414370495E-2</v>
      </c>
      <c r="AA14" s="59">
        <f t="shared" si="23"/>
        <v>3.4805347957724608E-2</v>
      </c>
      <c r="AB14" s="59">
        <f t="shared" si="23"/>
        <v>3.3628355514709773E-2</v>
      </c>
      <c r="AC14" s="59">
        <f t="shared" si="23"/>
        <v>3.249116474851186E-2</v>
      </c>
    </row>
    <row r="15" spans="1:38" x14ac:dyDescent="0.35">
      <c r="A15" s="55"/>
      <c r="B15" s="32"/>
      <c r="C15" s="42"/>
      <c r="D15" s="42"/>
      <c r="E15" s="61">
        <f>SUM(E12:E14)</f>
        <v>0.82548981409407141</v>
      </c>
      <c r="F15" s="61">
        <f t="shared" ref="F15:N15" si="24">SUM(F12:F14)</f>
        <v>0.8133562083222301</v>
      </c>
      <c r="G15" s="61">
        <f t="shared" si="24"/>
        <v>0.80168180833820069</v>
      </c>
      <c r="H15" s="61">
        <f t="shared" si="24"/>
        <v>0.8215048413441185</v>
      </c>
      <c r="I15" s="61">
        <f t="shared" si="24"/>
        <v>0.80627754979277999</v>
      </c>
      <c r="J15" s="61">
        <f t="shared" si="24"/>
        <v>0.79234830131095602</v>
      </c>
      <c r="K15" s="61">
        <f t="shared" si="24"/>
        <v>0.78583129061653723</v>
      </c>
      <c r="L15" s="61">
        <f t="shared" si="24"/>
        <v>0.77981093642928212</v>
      </c>
      <c r="M15" s="61">
        <f t="shared" si="24"/>
        <v>0.77189799085400601</v>
      </c>
      <c r="N15" s="61">
        <f t="shared" si="24"/>
        <v>0.76440424237154436</v>
      </c>
      <c r="O15" s="61">
        <f t="shared" ref="O15:AC15" si="25">SUM(O12:O14)</f>
        <v>0.75731675944263377</v>
      </c>
      <c r="P15" s="61">
        <f t="shared" si="25"/>
        <v>0.75062305807484253</v>
      </c>
      <c r="Q15" s="61">
        <f t="shared" si="25"/>
        <v>0.74431108677127744</v>
      </c>
      <c r="R15" s="61">
        <f t="shared" si="25"/>
        <v>0.73836921198899086</v>
      </c>
      <c r="S15" s="61">
        <f t="shared" si="25"/>
        <v>0.73278620408985273</v>
      </c>
      <c r="T15" s="61">
        <f t="shared" si="25"/>
        <v>0.72755122376724246</v>
      </c>
      <c r="U15" s="61">
        <f t="shared" si="25"/>
        <v>0.72265380893247222</v>
      </c>
      <c r="V15" s="61">
        <f t="shared" si="25"/>
        <v>0.71808386204540209</v>
      </c>
      <c r="W15" s="61">
        <f t="shared" si="25"/>
        <v>0.71383163787423054</v>
      </c>
      <c r="X15" s="61">
        <f t="shared" si="25"/>
        <v>0.70988773166995056</v>
      </c>
      <c r="Y15" s="61">
        <f t="shared" si="25"/>
        <v>0.70624306774145695</v>
      </c>
      <c r="Z15" s="61">
        <f t="shared" si="25"/>
        <v>0.7028888884177602</v>
      </c>
      <c r="AA15" s="61">
        <f t="shared" si="25"/>
        <v>0.69981674338421929</v>
      </c>
      <c r="AB15" s="61">
        <f t="shared" si="25"/>
        <v>0.69701885490689763</v>
      </c>
      <c r="AC15" s="61">
        <f t="shared" si="25"/>
        <v>0.69448695589711873</v>
      </c>
    </row>
    <row r="16" spans="1:38" ht="15.5" x14ac:dyDescent="0.35">
      <c r="A16" s="10"/>
      <c r="B16" s="31" t="s">
        <v>172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29" x14ac:dyDescent="0.35">
      <c r="A17" s="115">
        <f>MAX(A$5:A16)+1</f>
        <v>9</v>
      </c>
      <c r="B17" s="28"/>
      <c r="C17" s="28" t="s">
        <v>173</v>
      </c>
      <c r="D17" s="28"/>
      <c r="E17" s="59">
        <f>+E4/E9</f>
        <v>0.54779818122198953</v>
      </c>
      <c r="F17" s="59">
        <f t="shared" ref="F17:N17" si="26">+F4/F9</f>
        <v>0.55146363158578149</v>
      </c>
      <c r="G17" s="59">
        <f t="shared" si="26"/>
        <v>0.55503696344825726</v>
      </c>
      <c r="H17" s="59">
        <f t="shared" si="26"/>
        <v>0.5489966193348591</v>
      </c>
      <c r="I17" s="59">
        <f t="shared" si="26"/>
        <v>0.55362477384205</v>
      </c>
      <c r="J17" s="59">
        <f t="shared" si="26"/>
        <v>0.55792727299073608</v>
      </c>
      <c r="K17" s="59">
        <f t="shared" si="26"/>
        <v>0.55996330966670527</v>
      </c>
      <c r="L17" s="59">
        <f t="shared" si="26"/>
        <v>0.56185743077084038</v>
      </c>
      <c r="M17" s="59">
        <f t="shared" si="26"/>
        <v>0.56436657480379415</v>
      </c>
      <c r="N17" s="59">
        <f t="shared" si="26"/>
        <v>0.56676354317528455</v>
      </c>
      <c r="O17" s="59">
        <f t="shared" ref="O17:AC17" si="27">+O4/O9</f>
        <v>0.56904937292988034</v>
      </c>
      <c r="P17" s="59">
        <f t="shared" si="27"/>
        <v>0.57122519630222302</v>
      </c>
      <c r="Q17" s="59">
        <f t="shared" si="27"/>
        <v>0.57329223415703989</v>
      </c>
      <c r="R17" s="59">
        <f t="shared" si="27"/>
        <v>0.57525178949518407</v>
      </c>
      <c r="S17" s="59">
        <f t="shared" si="27"/>
        <v>0.57710524105035255</v>
      </c>
      <c r="T17" s="59">
        <f t="shared" si="27"/>
        <v>0.57885403699886617</v>
      </c>
      <c r="U17" s="59">
        <f t="shared" si="27"/>
        <v>0.58049968880265013</v>
      </c>
      <c r="V17" s="59">
        <f t="shared" si="27"/>
        <v>0.582043765203339</v>
      </c>
      <c r="W17" s="59">
        <f t="shared" si="27"/>
        <v>0.58348788638326277</v>
      </c>
      <c r="X17" s="59">
        <f t="shared" si="27"/>
        <v>0.58483371830696551</v>
      </c>
      <c r="Y17" s="59">
        <f t="shared" si="27"/>
        <v>0.5860829672548904</v>
      </c>
      <c r="Z17" s="59">
        <f t="shared" si="27"/>
        <v>0.58723737455891822</v>
      </c>
      <c r="AA17" s="59">
        <f t="shared" si="27"/>
        <v>0.58829871154761559</v>
      </c>
      <c r="AB17" s="59">
        <f t="shared" si="27"/>
        <v>0.58926864431029691</v>
      </c>
      <c r="AC17" s="59">
        <f t="shared" si="27"/>
        <v>0.59014912833635025</v>
      </c>
    </row>
    <row r="18" spans="1:29" x14ac:dyDescent="0.35">
      <c r="A18" s="116">
        <f>MAX(A$5:A17)+1</f>
        <v>10</v>
      </c>
      <c r="B18" s="60"/>
      <c r="C18" s="60" t="s">
        <v>174</v>
      </c>
      <c r="D18" s="60"/>
      <c r="E18" s="61">
        <f>+E5/E9</f>
        <v>0.21857373340409372</v>
      </c>
      <c r="F18" s="61">
        <f t="shared" ref="F18:N18" si="28">+F5/F9</f>
        <v>0.21856327622946972</v>
      </c>
      <c r="G18" s="61">
        <f t="shared" si="28"/>
        <v>0.21749575732451068</v>
      </c>
      <c r="H18" s="61">
        <f t="shared" si="28"/>
        <v>0.23670608293827067</v>
      </c>
      <c r="I18" s="61">
        <f t="shared" si="28"/>
        <v>0.2375648898273304</v>
      </c>
      <c r="J18" s="61">
        <f t="shared" si="28"/>
        <v>0.23848586678403869</v>
      </c>
      <c r="K18" s="61">
        <f t="shared" si="28"/>
        <v>0.2426169643299283</v>
      </c>
      <c r="L18" s="61">
        <f t="shared" si="28"/>
        <v>0.24675403257725409</v>
      </c>
      <c r="M18" s="61">
        <f t="shared" si="28"/>
        <v>0.24989151948945937</v>
      </c>
      <c r="N18" s="61">
        <f t="shared" si="28"/>
        <v>0.25301382008589651</v>
      </c>
      <c r="O18" s="61">
        <f t="shared" ref="O18:AC18" si="29">+O5/O9</f>
        <v>0.25612052881326886</v>
      </c>
      <c r="P18" s="61">
        <f t="shared" si="29"/>
        <v>0.25921128196578325</v>
      </c>
      <c r="Q18" s="61">
        <f t="shared" si="29"/>
        <v>0.26228575652954766</v>
      </c>
      <c r="R18" s="61">
        <f t="shared" si="29"/>
        <v>0.26534366895531775</v>
      </c>
      <c r="S18" s="61">
        <f t="shared" si="29"/>
        <v>0.26838477386942911</v>
      </c>
      <c r="T18" s="61">
        <f t="shared" si="29"/>
        <v>0.27140886273242559</v>
      </c>
      <c r="U18" s="61">
        <f t="shared" si="29"/>
        <v>0.27441576245451998</v>
      </c>
      <c r="V18" s="61">
        <f t="shared" si="29"/>
        <v>0.27740533397661421</v>
      </c>
      <c r="W18" s="61">
        <f t="shared" si="29"/>
        <v>0.28037747082516568</v>
      </c>
      <c r="X18" s="61">
        <f t="shared" si="29"/>
        <v>0.28333209764872169</v>
      </c>
      <c r="Y18" s="61">
        <f t="shared" si="29"/>
        <v>0.28626916874346475</v>
      </c>
      <c r="Z18" s="61">
        <f t="shared" si="29"/>
        <v>0.28918866657461539</v>
      </c>
      <c r="AA18" s="61">
        <f t="shared" si="29"/>
        <v>0.29209060030004419</v>
      </c>
      <c r="AB18" s="61">
        <f t="shared" si="29"/>
        <v>0.29497493902806288</v>
      </c>
      <c r="AC18" s="61">
        <f t="shared" si="29"/>
        <v>0.29784180918329345</v>
      </c>
    </row>
    <row r="19" spans="1:29" x14ac:dyDescent="0.35">
      <c r="A19" s="115">
        <f>MAX(A$5:A18)+1</f>
        <v>11</v>
      </c>
      <c r="B19" s="28"/>
      <c r="C19" s="28" t="s">
        <v>175</v>
      </c>
      <c r="D19" s="28"/>
      <c r="E19" s="59">
        <f>+E6/E9</f>
        <v>0.2040702736016026</v>
      </c>
      <c r="F19" s="59">
        <f t="shared" ref="F19:N19" si="30">+F6/F9</f>
        <v>0.19379250914643528</v>
      </c>
      <c r="G19" s="59">
        <f t="shared" si="30"/>
        <v>0.18852987565988244</v>
      </c>
      <c r="H19" s="59">
        <f t="shared" si="30"/>
        <v>0.17731120105444642</v>
      </c>
      <c r="I19" s="59">
        <f t="shared" si="30"/>
        <v>0.17328852958715305</v>
      </c>
      <c r="J19" s="59">
        <f t="shared" si="30"/>
        <v>0.16872970310661425</v>
      </c>
      <c r="K19" s="59">
        <f t="shared" si="30"/>
        <v>0.16361878859712004</v>
      </c>
      <c r="L19" s="59">
        <f t="shared" si="30"/>
        <v>0.1586205240188148</v>
      </c>
      <c r="M19" s="59">
        <f t="shared" si="30"/>
        <v>0.153940958329256</v>
      </c>
      <c r="N19" s="59">
        <f t="shared" si="30"/>
        <v>0.14936693122555914</v>
      </c>
      <c r="O19" s="59">
        <f t="shared" ref="O19:AC19" si="31">+O6/O9</f>
        <v>0.14489791993796208</v>
      </c>
      <c r="P19" s="59">
        <f t="shared" si="31"/>
        <v>0.14053328811672292</v>
      </c>
      <c r="Q19" s="59">
        <f t="shared" si="31"/>
        <v>0.13627229222568374</v>
      </c>
      <c r="R19" s="59">
        <f t="shared" si="31"/>
        <v>0.13211408794056795</v>
      </c>
      <c r="S19" s="59">
        <f t="shared" si="31"/>
        <v>0.12805773652342978</v>
      </c>
      <c r="T19" s="59">
        <f t="shared" si="31"/>
        <v>0.12410221114682053</v>
      </c>
      <c r="U19" s="59">
        <f t="shared" si="31"/>
        <v>0.12024640314340766</v>
      </c>
      <c r="V19" s="59">
        <f t="shared" si="31"/>
        <v>0.11648912815895739</v>
      </c>
      <c r="W19" s="59">
        <f t="shared" si="31"/>
        <v>0.11282913218875326</v>
      </c>
      <c r="X19" s="59">
        <f t="shared" si="31"/>
        <v>0.10926509747964899</v>
      </c>
      <c r="Y19" s="59">
        <f t="shared" si="31"/>
        <v>0.1057956482820306</v>
      </c>
      <c r="Z19" s="59">
        <f t="shared" si="31"/>
        <v>0.10241935643797674</v>
      </c>
      <c r="AA19" s="59">
        <f t="shared" si="31"/>
        <v>9.9134746793844528E-2</v>
      </c>
      <c r="AB19" s="59">
        <f t="shared" si="31"/>
        <v>9.5940281197102489E-2</v>
      </c>
      <c r="AC19" s="59">
        <f t="shared" si="31"/>
        <v>9.2834429925389442E-2</v>
      </c>
    </row>
    <row r="20" spans="1:29" x14ac:dyDescent="0.35">
      <c r="A20" s="15">
        <f>MAX(A$5:A19)+1</f>
        <v>12</v>
      </c>
      <c r="B20" s="32"/>
      <c r="C20" s="60" t="s">
        <v>176</v>
      </c>
      <c r="D20" s="42"/>
      <c r="E20" s="117">
        <f>+E7/E9</f>
        <v>2.9557811772314251E-2</v>
      </c>
      <c r="F20" s="117">
        <f t="shared" ref="F20:N20" si="32">+F7/F9</f>
        <v>3.6180583038313473E-2</v>
      </c>
      <c r="G20" s="117">
        <f t="shared" si="32"/>
        <v>3.8937403567349586E-2</v>
      </c>
      <c r="H20" s="117">
        <f t="shared" si="32"/>
        <v>3.6986096672423745E-2</v>
      </c>
      <c r="I20" s="117">
        <f t="shared" si="32"/>
        <v>3.5521806743466527E-2</v>
      </c>
      <c r="J20" s="117">
        <f t="shared" si="32"/>
        <v>3.4857157118610829E-2</v>
      </c>
      <c r="K20" s="117">
        <f t="shared" si="32"/>
        <v>3.3800937406246345E-2</v>
      </c>
      <c r="L20" s="117">
        <f t="shared" si="32"/>
        <v>3.2768012633090704E-2</v>
      </c>
      <c r="M20" s="117">
        <f t="shared" si="32"/>
        <v>3.1800947377490438E-2</v>
      </c>
      <c r="N20" s="117">
        <f t="shared" si="32"/>
        <v>3.0855705513259848E-2</v>
      </c>
      <c r="O20" s="117">
        <f t="shared" ref="O20:AC20" si="33">+O7/O9</f>
        <v>2.9932178318888815E-2</v>
      </c>
      <c r="P20" s="117">
        <f t="shared" si="33"/>
        <v>2.9030233615270743E-2</v>
      </c>
      <c r="Q20" s="117">
        <f t="shared" si="33"/>
        <v>2.814971708772861E-2</v>
      </c>
      <c r="R20" s="117">
        <f t="shared" si="33"/>
        <v>2.7290453608930162E-2</v>
      </c>
      <c r="S20" s="117">
        <f t="shared" si="33"/>
        <v>2.6452248556788491E-2</v>
      </c>
      <c r="T20" s="117">
        <f t="shared" si="33"/>
        <v>2.5634889121887657E-2</v>
      </c>
      <c r="U20" s="117">
        <f t="shared" si="33"/>
        <v>2.4838145599422233E-2</v>
      </c>
      <c r="V20" s="117">
        <f t="shared" si="33"/>
        <v>2.4061772661089324E-2</v>
      </c>
      <c r="W20" s="117">
        <f t="shared" si="33"/>
        <v>2.3305510602818404E-2</v>
      </c>
      <c r="X20" s="117">
        <f t="shared" si="33"/>
        <v>2.2569086564663842E-2</v>
      </c>
      <c r="Y20" s="117">
        <f t="shared" si="33"/>
        <v>2.1852215719614348E-2</v>
      </c>
      <c r="Z20" s="117">
        <f t="shared" si="33"/>
        <v>2.1154602428489711E-2</v>
      </c>
      <c r="AA20" s="117">
        <f t="shared" si="33"/>
        <v>2.0475941358495821E-2</v>
      </c>
      <c r="AB20" s="117">
        <f t="shared" si="33"/>
        <v>1.9816135464537723E-2</v>
      </c>
      <c r="AC20" s="117">
        <f t="shared" si="33"/>
        <v>1.9174632554967024E-2</v>
      </c>
    </row>
    <row r="21" spans="1:29" ht="15.5" x14ac:dyDescent="0.35">
      <c r="A21" s="1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</row>
    <row r="22" spans="1:29" ht="15" thickBot="1" x14ac:dyDescent="0.4">
      <c r="A22" s="38"/>
      <c r="B22" s="38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6.5" thickTop="1" x14ac:dyDescent="0.35">
      <c r="A23" s="53"/>
      <c r="B23" s="70" t="s">
        <v>156</v>
      </c>
      <c r="C23" s="70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</row>
    <row r="24" spans="1:29" ht="15.5" x14ac:dyDescent="0.35">
      <c r="A24" s="10"/>
      <c r="B24" s="31" t="s">
        <v>26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</row>
    <row r="25" spans="1:29" x14ac:dyDescent="0.35">
      <c r="A25" s="13">
        <f>MAX(A$5:A24)+1</f>
        <v>13</v>
      </c>
      <c r="B25" s="67"/>
      <c r="C25" s="62" t="s">
        <v>177</v>
      </c>
      <c r="D25" s="27"/>
      <c r="E25" s="27">
        <v>135511669</v>
      </c>
      <c r="F25" s="27">
        <v>141029775</v>
      </c>
      <c r="G25" s="27">
        <v>153376089</v>
      </c>
      <c r="H25" s="27">
        <v>158829854.30819824</v>
      </c>
      <c r="I25" s="27">
        <v>166771347.02360818</v>
      </c>
      <c r="J25" s="27">
        <v>172608344.16943446</v>
      </c>
      <c r="K25" s="27">
        <v>178649636.21536463</v>
      </c>
      <c r="L25" s="27">
        <v>184902373.48290241</v>
      </c>
      <c r="M25" s="27">
        <v>191373956.554804</v>
      </c>
      <c r="N25" s="27">
        <v>198072045.0342221</v>
      </c>
      <c r="O25" s="141">
        <v>205004566.61041984</v>
      </c>
      <c r="P25" s="141">
        <v>212179726.4417845</v>
      </c>
      <c r="Q25" s="141">
        <v>219606016.86724699</v>
      </c>
      <c r="R25" s="141">
        <v>227292227.45760065</v>
      </c>
      <c r="S25" s="141">
        <v>235247455.41861665</v>
      </c>
      <c r="T25" s="141">
        <v>243481116.3582682</v>
      </c>
      <c r="U25" s="141">
        <v>252002955.43080756</v>
      </c>
      <c r="V25" s="141">
        <v>260823058.87088579</v>
      </c>
      <c r="W25" s="141">
        <v>269951865.9313668</v>
      </c>
      <c r="X25" s="141">
        <v>279400181.23896456</v>
      </c>
      <c r="Y25" s="141">
        <v>289179187.58232832</v>
      </c>
      <c r="Z25" s="141">
        <v>299300459.14770979</v>
      </c>
      <c r="AA25" s="141">
        <v>309775975.21787965</v>
      </c>
      <c r="AB25" s="141">
        <v>320618134.35050541</v>
      </c>
      <c r="AC25" s="141">
        <v>331839769.05277312</v>
      </c>
    </row>
    <row r="26" spans="1:29" x14ac:dyDescent="0.35">
      <c r="A26" s="15">
        <f>MAX(A$5:A25)+1</f>
        <v>14</v>
      </c>
      <c r="B26" s="21"/>
      <c r="C26" s="68" t="s">
        <v>178</v>
      </c>
      <c r="D26" s="21"/>
      <c r="E26" s="64">
        <v>22785542</v>
      </c>
      <c r="F26" s="64">
        <v>23502181</v>
      </c>
      <c r="G26" s="64">
        <v>25678559</v>
      </c>
      <c r="H26" s="64">
        <v>25497631.5192036</v>
      </c>
      <c r="I26" s="64">
        <v>26772513.095163777</v>
      </c>
      <c r="J26" s="64">
        <v>27709551.053494506</v>
      </c>
      <c r="K26" s="64">
        <v>28679385.340366814</v>
      </c>
      <c r="L26" s="64">
        <v>29683163.82727965</v>
      </c>
      <c r="M26" s="64">
        <v>30722074.561234433</v>
      </c>
      <c r="N26" s="64">
        <v>31797347.170877635</v>
      </c>
      <c r="O26" s="142">
        <v>32910254.321858354</v>
      </c>
      <c r="P26" s="142">
        <v>34062113.223123387</v>
      </c>
      <c r="Q26" s="142">
        <v>35254287.185932703</v>
      </c>
      <c r="R26" s="142">
        <v>36488187.237440348</v>
      </c>
      <c r="S26" s="142">
        <v>37765273.790750757</v>
      </c>
      <c r="T26" s="142">
        <v>39087058.373427033</v>
      </c>
      <c r="U26" s="142">
        <v>40455105.416496977</v>
      </c>
      <c r="V26" s="142">
        <v>41871034.106074363</v>
      </c>
      <c r="W26" s="142">
        <v>43336520.299786963</v>
      </c>
      <c r="X26" s="142">
        <v>44853298.510279506</v>
      </c>
      <c r="Y26" s="142">
        <v>46423163.958139285</v>
      </c>
      <c r="Z26" s="142">
        <v>48047974.696674161</v>
      </c>
      <c r="AA26" s="142">
        <v>49729653.811057754</v>
      </c>
      <c r="AB26" s="142">
        <v>51470191.694444761</v>
      </c>
      <c r="AC26" s="142">
        <v>53271648.40375033</v>
      </c>
    </row>
    <row r="27" spans="1:29" x14ac:dyDescent="0.35">
      <c r="A27" s="13"/>
      <c r="B27" s="67"/>
      <c r="C27" s="62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</row>
    <row r="28" spans="1:29" s="4" customFormat="1" x14ac:dyDescent="0.35">
      <c r="A28" s="36">
        <f>MAX(A$5:A27)+1</f>
        <v>15</v>
      </c>
      <c r="B28" s="37"/>
      <c r="C28" s="69" t="s">
        <v>113</v>
      </c>
      <c r="D28" s="37"/>
      <c r="E28" s="66">
        <f t="shared" ref="E28:J28" si="34">SUM(E25:E27)</f>
        <v>158297211</v>
      </c>
      <c r="F28" s="66">
        <f t="shared" si="34"/>
        <v>164531956</v>
      </c>
      <c r="G28" s="66">
        <f t="shared" si="34"/>
        <v>179054648</v>
      </c>
      <c r="H28" s="66">
        <f t="shared" si="34"/>
        <v>184327485.82740185</v>
      </c>
      <c r="I28" s="66">
        <f t="shared" si="34"/>
        <v>193543860.11877197</v>
      </c>
      <c r="J28" s="66">
        <f t="shared" si="34"/>
        <v>200317895.22292897</v>
      </c>
      <c r="K28" s="66">
        <f t="shared" ref="K28:N28" si="35">SUM(K25:K27)</f>
        <v>207329021.55573145</v>
      </c>
      <c r="L28" s="66">
        <f t="shared" si="35"/>
        <v>214585537.31018206</v>
      </c>
      <c r="M28" s="66">
        <f t="shared" si="35"/>
        <v>222096031.11603844</v>
      </c>
      <c r="N28" s="66">
        <f t="shared" si="35"/>
        <v>229869392.20509973</v>
      </c>
      <c r="O28" s="66">
        <f t="shared" ref="O28:AC28" si="36">SUM(O25:O27)</f>
        <v>237914820.93227819</v>
      </c>
      <c r="P28" s="66">
        <f t="shared" si="36"/>
        <v>246241839.66490787</v>
      </c>
      <c r="Q28" s="66">
        <f t="shared" si="36"/>
        <v>254860304.05317968</v>
      </c>
      <c r="R28" s="66">
        <f t="shared" si="36"/>
        <v>263780414.695041</v>
      </c>
      <c r="S28" s="66">
        <f t="shared" si="36"/>
        <v>273012729.20936739</v>
      </c>
      <c r="T28" s="66">
        <f t="shared" si="36"/>
        <v>282568174.73169523</v>
      </c>
      <c r="U28" s="66">
        <f t="shared" si="36"/>
        <v>292458060.84730452</v>
      </c>
      <c r="V28" s="66">
        <f t="shared" si="36"/>
        <v>302694092.97696018</v>
      </c>
      <c r="W28" s="66">
        <f t="shared" si="36"/>
        <v>313288386.23115379</v>
      </c>
      <c r="X28" s="66">
        <f t="shared" si="36"/>
        <v>324253479.74924409</v>
      </c>
      <c r="Y28" s="66">
        <f t="shared" si="36"/>
        <v>335602351.54046762</v>
      </c>
      <c r="Z28" s="66">
        <f t="shared" si="36"/>
        <v>347348433.84438396</v>
      </c>
      <c r="AA28" s="66">
        <f t="shared" si="36"/>
        <v>359505629.0289374</v>
      </c>
      <c r="AB28" s="66">
        <f t="shared" si="36"/>
        <v>372088326.04495019</v>
      </c>
      <c r="AC28" s="66">
        <f t="shared" si="36"/>
        <v>385111417.45652342</v>
      </c>
    </row>
    <row r="29" spans="1:29" x14ac:dyDescent="0.35">
      <c r="A29" s="13"/>
      <c r="B29" s="67"/>
      <c r="C29" s="62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</row>
    <row r="30" spans="1:29" s="4" customFormat="1" x14ac:dyDescent="0.35">
      <c r="A30" s="36">
        <f>MAX(A$5:A29)+1</f>
        <v>16</v>
      </c>
      <c r="B30" s="37"/>
      <c r="C30" s="69" t="s">
        <v>42</v>
      </c>
      <c r="D30" s="37"/>
      <c r="E30" s="66">
        <f>+E4-E28</f>
        <v>0</v>
      </c>
      <c r="F30" s="66">
        <f t="shared" ref="F30:N30" si="37">+F4-F28</f>
        <v>0</v>
      </c>
      <c r="G30" s="66">
        <f t="shared" si="37"/>
        <v>0</v>
      </c>
      <c r="H30" s="66">
        <f t="shared" si="37"/>
        <v>0</v>
      </c>
      <c r="I30" s="66">
        <f t="shared" si="37"/>
        <v>0</v>
      </c>
      <c r="J30" s="66">
        <f t="shared" si="37"/>
        <v>0</v>
      </c>
      <c r="K30" s="66">
        <f t="shared" si="37"/>
        <v>0</v>
      </c>
      <c r="L30" s="66">
        <f t="shared" si="37"/>
        <v>0</v>
      </c>
      <c r="M30" s="66">
        <f t="shared" si="37"/>
        <v>0</v>
      </c>
      <c r="N30" s="66">
        <f t="shared" si="37"/>
        <v>0</v>
      </c>
      <c r="O30" s="66">
        <f t="shared" ref="O30:AC30" si="38">+O4-O28</f>
        <v>0</v>
      </c>
      <c r="P30" s="66">
        <f t="shared" si="38"/>
        <v>0</v>
      </c>
      <c r="Q30" s="66">
        <f t="shared" si="38"/>
        <v>0</v>
      </c>
      <c r="R30" s="66">
        <f t="shared" si="38"/>
        <v>0</v>
      </c>
      <c r="S30" s="66">
        <f t="shared" si="38"/>
        <v>0</v>
      </c>
      <c r="T30" s="66">
        <f t="shared" si="38"/>
        <v>0</v>
      </c>
      <c r="U30" s="66">
        <f t="shared" si="38"/>
        <v>0</v>
      </c>
      <c r="V30" s="66">
        <f t="shared" si="38"/>
        <v>0</v>
      </c>
      <c r="W30" s="66">
        <f t="shared" si="38"/>
        <v>0</v>
      </c>
      <c r="X30" s="66">
        <f t="shared" si="38"/>
        <v>0</v>
      </c>
      <c r="Y30" s="66">
        <f t="shared" si="38"/>
        <v>0</v>
      </c>
      <c r="Z30" s="66">
        <f t="shared" si="38"/>
        <v>0</v>
      </c>
      <c r="AA30" s="66">
        <f t="shared" si="38"/>
        <v>0</v>
      </c>
      <c r="AB30" s="66">
        <f t="shared" si="38"/>
        <v>0</v>
      </c>
      <c r="AC30" s="66">
        <f t="shared" si="38"/>
        <v>0</v>
      </c>
    </row>
    <row r="31" spans="1:29" ht="15.5" x14ac:dyDescent="0.35">
      <c r="A31" s="1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3" spans="1:1" x14ac:dyDescent="0.35">
      <c r="A3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BE22"/>
  <sheetViews>
    <sheetView zoomScaleNormal="100" workbookViewId="0">
      <pane xSplit="2" ySplit="3" topLeftCell="K4" activePane="bottomRight" state="frozen"/>
      <selection pane="topRight" activeCell="C1" sqref="C1"/>
      <selection pane="bottomLeft" activeCell="A4" sqref="A4"/>
      <selection pane="bottomRight" activeCell="P16" sqref="P16"/>
    </sheetView>
  </sheetViews>
  <sheetFormatPr defaultRowHeight="14.5" x14ac:dyDescent="0.35"/>
  <cols>
    <col min="2" max="2" width="22" customWidth="1"/>
    <col min="3" max="18" width="12.54296875" customWidth="1"/>
    <col min="19" max="23" width="12.1796875" bestFit="1" customWidth="1"/>
    <col min="24" max="27" width="13.54296875" customWidth="1"/>
    <col min="36" max="36" width="11.54296875" bestFit="1" customWidth="1"/>
    <col min="37" max="44" width="12.54296875" bestFit="1" customWidth="1"/>
  </cols>
  <sheetData>
    <row r="1" spans="1:57" ht="19" thickTop="1" x14ac:dyDescent="0.35">
      <c r="A1" s="63" t="s">
        <v>179</v>
      </c>
      <c r="B1" s="63"/>
      <c r="C1" s="63"/>
      <c r="D1" s="63"/>
      <c r="E1" s="63"/>
      <c r="F1" s="63"/>
      <c r="G1" s="63"/>
      <c r="H1" s="63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</row>
    <row r="2" spans="1:57" ht="15" thickBot="1" x14ac:dyDescent="0.4">
      <c r="A2" t="s">
        <v>75</v>
      </c>
    </row>
    <row r="3" spans="1:57" ht="16.5" thickTop="1" x14ac:dyDescent="0.5">
      <c r="A3" s="53" t="s">
        <v>146</v>
      </c>
      <c r="B3" s="58" t="s">
        <v>18</v>
      </c>
      <c r="C3" s="23">
        <v>2022</v>
      </c>
      <c r="D3" s="23">
        <f t="shared" ref="D3:AA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si="0"/>
        <v>2032</v>
      </c>
      <c r="N3" s="23">
        <f t="shared" si="0"/>
        <v>2033</v>
      </c>
      <c r="O3" s="23">
        <f t="shared" si="0"/>
        <v>2034</v>
      </c>
      <c r="P3" s="23">
        <f t="shared" si="0"/>
        <v>2035</v>
      </c>
      <c r="Q3" s="23">
        <f t="shared" si="0"/>
        <v>2036</v>
      </c>
      <c r="R3" s="23">
        <f t="shared" si="0"/>
        <v>2037</v>
      </c>
      <c r="S3" s="23">
        <f t="shared" si="0"/>
        <v>2038</v>
      </c>
      <c r="T3" s="23">
        <f t="shared" si="0"/>
        <v>2039</v>
      </c>
      <c r="U3" s="23">
        <f t="shared" si="0"/>
        <v>2040</v>
      </c>
      <c r="V3" s="23">
        <f t="shared" si="0"/>
        <v>2041</v>
      </c>
      <c r="W3" s="23">
        <f t="shared" si="0"/>
        <v>2042</v>
      </c>
      <c r="X3" s="23">
        <f t="shared" si="0"/>
        <v>2043</v>
      </c>
      <c r="Y3" s="23">
        <f t="shared" si="0"/>
        <v>2044</v>
      </c>
      <c r="Z3" s="23">
        <f t="shared" si="0"/>
        <v>2045</v>
      </c>
      <c r="AA3" s="23">
        <f t="shared" si="0"/>
        <v>2046</v>
      </c>
      <c r="AG3" s="23">
        <f t="shared" ref="AG3:BE3" si="1">+C3</f>
        <v>2022</v>
      </c>
      <c r="AH3" s="23">
        <f t="shared" si="1"/>
        <v>2023</v>
      </c>
      <c r="AI3" s="23">
        <f t="shared" si="1"/>
        <v>2024</v>
      </c>
      <c r="AJ3" s="23">
        <f t="shared" si="1"/>
        <v>2025</v>
      </c>
      <c r="AK3" s="23">
        <f t="shared" si="1"/>
        <v>2026</v>
      </c>
      <c r="AL3" s="23">
        <f t="shared" si="1"/>
        <v>2027</v>
      </c>
      <c r="AM3" s="23">
        <f t="shared" si="1"/>
        <v>2028</v>
      </c>
      <c r="AN3" s="23">
        <f t="shared" si="1"/>
        <v>2029</v>
      </c>
      <c r="AO3" s="23">
        <f t="shared" si="1"/>
        <v>2030</v>
      </c>
      <c r="AP3" s="23">
        <f t="shared" si="1"/>
        <v>2031</v>
      </c>
      <c r="AQ3" s="23">
        <f t="shared" si="1"/>
        <v>2032</v>
      </c>
      <c r="AR3" s="23">
        <f t="shared" si="1"/>
        <v>2033</v>
      </c>
      <c r="AS3" s="23">
        <f t="shared" si="1"/>
        <v>2034</v>
      </c>
      <c r="AT3" s="23">
        <f t="shared" si="1"/>
        <v>2035</v>
      </c>
      <c r="AU3" s="23">
        <f t="shared" si="1"/>
        <v>2036</v>
      </c>
      <c r="AV3" s="23">
        <f t="shared" si="1"/>
        <v>2037</v>
      </c>
      <c r="AW3" s="23">
        <f t="shared" si="1"/>
        <v>2038</v>
      </c>
      <c r="AX3" s="23">
        <f t="shared" si="1"/>
        <v>2039</v>
      </c>
      <c r="AY3" s="23">
        <f t="shared" si="1"/>
        <v>2040</v>
      </c>
      <c r="AZ3" s="23">
        <f t="shared" si="1"/>
        <v>2041</v>
      </c>
      <c r="BA3" s="23">
        <f t="shared" si="1"/>
        <v>2042</v>
      </c>
      <c r="BB3" s="23">
        <f t="shared" si="1"/>
        <v>2043</v>
      </c>
      <c r="BC3" s="23">
        <f t="shared" si="1"/>
        <v>2044</v>
      </c>
      <c r="BD3" s="23">
        <f t="shared" si="1"/>
        <v>2045</v>
      </c>
      <c r="BE3" s="23">
        <f t="shared" si="1"/>
        <v>2046</v>
      </c>
    </row>
    <row r="4" spans="1:57" ht="15.5" x14ac:dyDescent="0.35">
      <c r="A4" s="10"/>
      <c r="B4" s="8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</row>
    <row r="5" spans="1:57" x14ac:dyDescent="0.35">
      <c r="A5" s="54">
        <v>1</v>
      </c>
      <c r="B5" s="16" t="s">
        <v>180</v>
      </c>
      <c r="C5" s="27">
        <f>'OM Adj 1'!C108+'OM Adj 2'!C108+'OM Adj 3'!C108+'OM Adj 4'!C108+'OM Adj 5'!C108+'OM Adj 6'!C101+'OM Adj 7'!C108+'OM Adj 8'!C103++'OM Adj 9'!C103+'OM Adj 10'!C97+'OM Adj 11'!C108</f>
        <v>0</v>
      </c>
      <c r="D5" s="27">
        <f>'OM Adj 1'!D108+'OM Adj 2'!D108+'OM Adj 3'!D108+'OM Adj 4'!D108+'OM Adj 5'!D108+'OM Adj 6'!D101+'OM Adj 7'!D108+'OM Adj 8'!D103++'OM Adj 9'!D103+'OM Adj 10'!D97+'OM Adj 11'!D108</f>
        <v>0</v>
      </c>
      <c r="E5" s="27">
        <f>'OM Adj 1'!E108+'OM Adj 2'!E108+'OM Adj 3'!E108+'OM Adj 4'!E108+'OM Adj 5'!E108+'OM Adj 6'!E101+'OM Adj 7'!E108+'OM Adj 8'!E103++'OM Adj 9'!E103+'OM Adj 10'!E97+'OM Adj 11'!E108</f>
        <v>0</v>
      </c>
      <c r="F5" s="27">
        <f>'OM Adj 1'!F108+'OM Adj 2'!F108+'OM Adj 3'!F108+'OM Adj 4'!F108+'OM Adj 5'!F108+'OM Adj 6'!F101+'OM Adj 7'!F108+'OM Adj 8'!F103++'OM Adj 9'!F103+'OM Adj 10'!F97+'OM Adj 11'!F108</f>
        <v>5722600</v>
      </c>
      <c r="G5" s="27">
        <f>'OM Adj 1'!G108+'OM Adj 2'!G108+'OM Adj 3'!G108+'OM Adj 4'!G108+'OM Adj 5'!G108+'OM Adj 6'!G101+'OM Adj 7'!G108+'OM Adj 8'!G103++'OM Adj 9'!G103+'OM Adj 10'!G97+'OM Adj 11'!G108</f>
        <v>24864037.970338985</v>
      </c>
      <c r="H5" s="27">
        <f>'OM Adj 1'!H108+'OM Adj 2'!H108+'OM Adj 3'!H108+'OM Adj 4'!H108+'OM Adj 5'!H108+'OM Adj 6'!H101+'OM Adj 7'!H108+'OM Adj 8'!H103++'OM Adj 9'!H103+'OM Adj 10'!H97+'OM Adj 11'!H108</f>
        <v>39904816.603813559</v>
      </c>
      <c r="I5" s="27">
        <f>'OM Adj 1'!I108+'OM Adj 2'!I108+'OM Adj 3'!I108+'OM Adj 4'!I108+'OM Adj 5'!I108+'OM Adj 6'!I101+'OM Adj 7'!I108+'OM Adj 8'!I103++'OM Adj 9'!I103+'OM Adj 10'!I97+'OM Adj 11'!I108</f>
        <v>43411409.807261437</v>
      </c>
      <c r="J5" s="27">
        <f>'OM Adj 1'!J108+'OM Adj 2'!J108+'OM Adj 3'!J108+'OM Adj 4'!J108+'OM Adj 5'!J108+'OM Adj 6'!J101+'OM Adj 7'!J108+'OM Adj 8'!J103++'OM Adj 9'!J103+'OM Adj 10'!J97+'OM Adj 11'!J108</f>
        <v>47205706.087031797</v>
      </c>
      <c r="K5" s="27">
        <f>'OM Adj 1'!K108+'OM Adj 2'!K108+'OM Adj 3'!K108+'OM Adj 4'!K108+'OM Adj 5'!K108+'OM Adj 6'!K101+'OM Adj 7'!K108+'OM Adj 8'!K103++'OM Adj 9'!K103+'OM Adj 10'!K97+'OM Adj 11'!K108</f>
        <v>51177508.258212581</v>
      </c>
      <c r="L5" s="27">
        <f>'OM Adj 1'!L108+'OM Adj 2'!L108+'OM Adj 3'!L108+'OM Adj 4'!L108+'OM Adj 5'!L108+'OM Adj 6'!L101+'OM Adj 7'!L108+'OM Adj 8'!L103++'OM Adj 9'!L103+'OM Adj 10'!L97+'OM Adj 11'!L108</f>
        <v>53077914.769260421</v>
      </c>
      <c r="M5" s="27">
        <f>'OM Adj 1'!M108+'OM Adj 2'!M108+'OM Adj 3'!M108+'OM Adj 4'!M108+'OM Adj 5'!M108+'OM Adj 6'!M101+'OM Adj 7'!M108+'OM Adj 8'!M103++'OM Adj 9'!M103+'OM Adj 10'!M97+'OM Adj 11'!M108</f>
        <v>54921286.960711986</v>
      </c>
      <c r="N5" s="27">
        <f>'OM Adj 1'!N108+'OM Adj 2'!N108+'OM Adj 3'!N108+'OM Adj 4'!N108+'OM Adj 5'!N108+'OM Adj 6'!N101+'OM Adj 7'!N108+'OM Adj 8'!N103++'OM Adj 9'!N103+'OM Adj 10'!N97+'OM Adj 11'!N108</f>
        <v>56931153.918763757</v>
      </c>
      <c r="O5" s="27">
        <f>'OM Adj 1'!O108+'OM Adj 2'!O108+'OM Adj 3'!O108+'OM Adj 4'!O108+'OM Adj 5'!O108+'OM Adj 6'!O101+'OM Adj 7'!O108+'OM Adj 8'!O103++'OM Adj 9'!O103+'OM Adj 10'!O97+'OM Adj 11'!O108</f>
        <v>58832312.133042954</v>
      </c>
      <c r="P5" s="27">
        <f>'OM Adj 1'!P108+'OM Adj 2'!P108+'OM Adj 3'!P108+'OM Adj 4'!P108+'OM Adj 5'!P108+'OM Adj 6'!P101+'OM Adj 7'!P108+'OM Adj 8'!P103++'OM Adj 9'!P103+'OM Adj 10'!P97+'OM Adj 11'!P108</f>
        <v>60812976.445799366</v>
      </c>
      <c r="Q5" s="27">
        <f>'OM Adj 1'!Q108+'OM Adj 2'!Q108+'OM Adj 3'!Q108+'OM Adj 4'!Q108+'OM Adj 5'!Q108+'OM Adj 6'!Q101+'OM Adj 7'!Q108+'OM Adj 8'!Q103++'OM Adj 9'!Q103+'OM Adj 10'!Q97+'OM Adj 11'!Q108</f>
        <v>62875391.794123933</v>
      </c>
      <c r="R5" s="27">
        <f>'OM Adj 1'!R108+'OM Adj 2'!R108+'OM Adj 3'!R108+'OM Adj 4'!R108+'OM Adj 5'!R108+'OM Adj 6'!R101+'OM Adj 7'!R108+'OM Adj 8'!R103++'OM Adj 9'!R103+'OM Adj 10'!R97+'OM Adj 11'!R108</f>
        <v>40023949.345016226</v>
      </c>
      <c r="S5" s="27">
        <f>'OM Adj 1'!S108+'OM Adj 2'!S108+'OM Adj 3'!S108+'OM Adj 4'!S108+'OM Adj 5'!S108+'OM Adj 6'!S101+'OM Adj 7'!S108+'OM Adj 8'!S103++'OM Adj 9'!S103+'OM Adj 10'!S97+'OM Adj 11'!S108</f>
        <v>42262193.318092205</v>
      </c>
      <c r="T5" s="27">
        <f>'OM Adj 1'!T108+'OM Adj 2'!T108+'OM Adj 3'!T108+'OM Adj 4'!T108+'OM Adj 5'!T108+'OM Adj 6'!T101+'OM Adj 7'!T108+'OM Adj 8'!T103++'OM Adj 9'!T103+'OM Adj 10'!T97+'OM Adj 11'!T108</f>
        <v>44594828.137494296</v>
      </c>
      <c r="U5" s="27">
        <f>'OM Adj 1'!U108+'OM Adj 2'!U108+'OM Adj 3'!U108+'OM Adj 4'!U108+'OM Adj 5'!U108+'OM Adj 6'!U101+'OM Adj 7'!U108+'OM Adj 8'!U103++'OM Adj 9'!U103+'OM Adj 10'!U97+'OM Adj 11'!U108</f>
        <v>47025725.929385774</v>
      </c>
      <c r="V5" s="27">
        <f>'OM Adj 1'!V108+'OM Adj 2'!V108+'OM Adj 3'!V108+'OM Adj 4'!V108+'OM Adj 5'!V108+'OM Adj 6'!V101+'OM Adj 7'!V108+'OM Adj 8'!V103++'OM Adj 9'!V103+'OM Adj 10'!V97+'OM Adj 11'!V108</f>
        <v>49557934.382247798</v>
      </c>
      <c r="W5" s="27">
        <f>'OM Adj 1'!W108+'OM Adj 2'!W108+'OM Adj 3'!W108+'OM Adj 4'!W108+'OM Adj 5'!W108+'OM Adj 6'!W101+'OM Adj 7'!W108+'OM Adj 8'!W103++'OM Adj 9'!W103+'OM Adj 10'!W97+'OM Adj 11'!W108</f>
        <v>52197684.98807925</v>
      </c>
      <c r="X5" s="27">
        <f>'OM Adj 1'!X108+'OM Adj 2'!X108+'OM Adj 3'!X108+'OM Adj 4'!X108+'OM Adj 5'!X108+'OM Adj 6'!X101+'OM Adj 7'!X108+'OM Adj 8'!X103++'OM Adj 9'!X103+'OM Adj 10'!X97+'OM Adj 11'!X108</f>
        <v>54948401.683526546</v>
      </c>
      <c r="Y5" s="27">
        <f>'OM Adj 1'!Y108+'OM Adj 2'!Y108+'OM Adj 3'!Y108+'OM Adj 4'!Y108+'OM Adj 5'!Y108+'OM Adj 6'!Y101+'OM Adj 7'!Y108+'OM Adj 8'!Y103++'OM Adj 9'!Y103+'OM Adj 10'!Y97+'OM Adj 11'!Y108</f>
        <v>57815709.910946459</v>
      </c>
      <c r="Z5" s="27">
        <f>'OM Adj 1'!Z108+'OM Adj 2'!Z108+'OM Adj 3'!Z108+'OM Adj 4'!Z108+'OM Adj 5'!Z108+'OM Adj 6'!Z101+'OM Adj 7'!Z108+'OM Adj 8'!Z103++'OM Adj 9'!Z103+'OM Adj 10'!Z97+'OM Adj 11'!Z108</f>
        <v>60803446.120432213</v>
      </c>
      <c r="AA5" s="27">
        <f>'OM Adj 1'!AA108+'OM Adj 2'!AA108+'OM Adj 3'!AA108+'OM Adj 4'!AA108+'OM Adj 5'!AA108+'OM Adj 6'!AA101+'OM Adj 7'!AA108+'OM Adj 8'!AA103++'OM Adj 9'!AA103+'OM Adj 10'!AA97+'OM Adj 11'!AA108</f>
        <v>63917667.734913625</v>
      </c>
      <c r="AG5" s="27">
        <f>'OM Adj 1'!AG108+'OM Adj 2'!AG108+'OM Adj 3'!AG108+'OM Adj 4'!AG108+'OM Adj 5'!AG108+'OM Adj 6'!AG101+'OM Adj 7'!AG108+'OM Adj 8'!AG103++'OM Adj 9'!AG103+'OM Adj 10'!AG97+'OM Adj 11'!AG108</f>
        <v>0</v>
      </c>
      <c r="AH5" s="27">
        <f>'OM Adj 1'!AH108+'OM Adj 2'!AH108+'OM Adj 3'!AH108+'OM Adj 4'!AH108+'OM Adj 5'!AH108+'OM Adj 6'!AH101+'OM Adj 7'!AH108+'OM Adj 8'!AH103++'OM Adj 9'!AH103+'OM Adj 10'!AH97+'OM Adj 11'!AH108</f>
        <v>0</v>
      </c>
      <c r="AI5" s="27">
        <f>'OM Adj 1'!AI108+'OM Adj 2'!AI108+'OM Adj 3'!AI108+'OM Adj 4'!AI108+'OM Adj 5'!AI108+'OM Adj 6'!AI101+'OM Adj 7'!AI108+'OM Adj 8'!AI103++'OM Adj 9'!AI103+'OM Adj 10'!AI97+'OM Adj 11'!AI108</f>
        <v>0</v>
      </c>
      <c r="AJ5" s="27">
        <f>'OM Adj 1'!AJ108+'OM Adj 2'!AJ108+'OM Adj 3'!AJ108+'OM Adj 4'!AJ108+'OM Adj 5'!AJ108+'OM Adj 6'!AJ101+'OM Adj 7'!AJ108+'OM Adj 8'!AJ103++'OM Adj 9'!AJ103+'OM Adj 10'!AJ97+'OM Adj 11'!AJ108</f>
        <v>5532514</v>
      </c>
      <c r="AK5" s="27">
        <f>'OM Adj 1'!AK108+'OM Adj 2'!AK108+'OM Adj 3'!AK108+'OM Adj 4'!AK108+'OM Adj 5'!AK108+'OM Adj 6'!AK101+'OM Adj 7'!AK108+'OM Adj 8'!AK103++'OM Adj 9'!AK103+'OM Adj 10'!AK97+'OM Adj 11'!AK108</f>
        <v>22301188.661685891</v>
      </c>
      <c r="AL5" s="27">
        <f>'OM Adj 1'!AL108+'OM Adj 2'!AL108+'OM Adj 3'!AL108+'OM Adj 4'!AL108+'OM Adj 5'!AL108+'OM Adj 6'!AL101+'OM Adj 7'!AL108+'OM Adj 8'!AL103++'OM Adj 9'!AL103+'OM Adj 10'!AL97+'OM Adj 11'!AL108</f>
        <v>36905347.221337557</v>
      </c>
      <c r="AM5" s="27">
        <f>'OM Adj 1'!AM108+'OM Adj 2'!AM108+'OM Adj 3'!AM108+'OM Adj 4'!AM108+'OM Adj 5'!AM108+'OM Adj 6'!AM101+'OM Adj 7'!AM108+'OM Adj 8'!AM103++'OM Adj 9'!AM103+'OM Adj 10'!AM97+'OM Adj 11'!AM108</f>
        <v>40036605.602729768</v>
      </c>
      <c r="AN5" s="27">
        <f>'OM Adj 1'!AN108+'OM Adj 2'!AN108+'OM Adj 3'!AN108+'OM Adj 4'!AN108+'OM Adj 5'!AN108+'OM Adj 6'!AN101+'OM Adj 7'!AN108+'OM Adj 8'!AN103++'OM Adj 9'!AN103+'OM Adj 10'!AN97+'OM Adj 11'!AN108</f>
        <v>43428769.30542884</v>
      </c>
      <c r="AO5" s="27">
        <f>'OM Adj 1'!AO108+'OM Adj 2'!AO108+'OM Adj 3'!AO108+'OM Adj 4'!AO108+'OM Adj 5'!AO108+'OM Adj 6'!AO101+'OM Adj 7'!AO108+'OM Adj 8'!AO103++'OM Adj 9'!AO103+'OM Adj 10'!AO97+'OM Adj 11'!AO108</f>
        <v>46976009.644318171</v>
      </c>
      <c r="AP5" s="27">
        <f>'OM Adj 1'!AP108+'OM Adj 2'!AP108+'OM Adj 3'!AP108+'OM Adj 4'!AP108+'OM Adj 5'!AP108+'OM Adj 6'!AP101+'OM Adj 7'!AP108+'OM Adj 8'!AP103++'OM Adj 9'!AP103+'OM Adj 10'!AP97+'OM Adj 11'!AP108</f>
        <v>48681759.496612087</v>
      </c>
      <c r="AQ5" s="27">
        <f>'OM Adj 1'!AQ108+'OM Adj 2'!AQ108+'OM Adj 3'!AQ108+'OM Adj 4'!AQ108+'OM Adj 5'!AQ108+'OM Adj 6'!AQ101+'OM Adj 7'!AQ108+'OM Adj 8'!AQ103++'OM Adj 9'!AQ103+'OM Adj 10'!AQ97+'OM Adj 11'!AQ108</f>
        <v>50328053.443144165</v>
      </c>
      <c r="AR5" s="27">
        <f>'OM Adj 1'!AR108+'OM Adj 2'!AR108+'OM Adj 3'!AR108+'OM Adj 4'!AR108+'OM Adj 5'!AR108+'OM Adj 6'!AR101+'OM Adj 7'!AR108+'OM Adj 8'!AR103++'OM Adj 9'!AR103+'OM Adj 10'!AR97+'OM Adj 11'!AR108</f>
        <v>52127642.643888429</v>
      </c>
      <c r="AS5" s="27">
        <f>'OM Adj 1'!AS108+'OM Adj 2'!AS108+'OM Adj 3'!AS108+'OM Adj 4'!AS108+'OM Adj 5'!AS108+'OM Adj 6'!AS101+'OM Adj 7'!AS108+'OM Adj 8'!AS103++'OM Adj 9'!AS103+'OM Adj 10'!AS97+'OM Adj 11'!AS108</f>
        <v>53817995.450163841</v>
      </c>
      <c r="AT5" s="27">
        <f>'OM Adj 1'!AT108+'OM Adj 2'!AT108+'OM Adj 3'!AT108+'OM Adj 4'!AT108+'OM Adj 5'!AT108+'OM Adj 6'!AT101+'OM Adj 7'!AT108+'OM Adj 8'!AT103++'OM Adj 9'!AT103+'OM Adj 10'!AT97+'OM Adj 11'!AT108</f>
        <v>55578187.256008156</v>
      </c>
      <c r="AU5" s="27">
        <f>'OM Adj 1'!AU108+'OM Adj 2'!AU108+'OM Adj 3'!AU108+'OM Adj 4'!AU108+'OM Adj 5'!AU108+'OM Adj 6'!AU101+'OM Adj 7'!AU108+'OM Adj 8'!AU103++'OM Adj 9'!AU103+'OM Adj 10'!AU97+'OM Adj 11'!AU108</f>
        <v>57410119.507783949</v>
      </c>
      <c r="AV5" s="27">
        <f>'OM Adj 1'!AV108+'OM Adj 2'!AV108+'OM Adj 3'!AV108+'OM Adj 4'!AV108+'OM Adj 5'!AV108+'OM Adj 6'!AV101+'OM Adj 7'!AV108+'OM Adj 8'!AV103++'OM Adj 9'!AV103+'OM Adj 10'!AV97+'OM Adj 11'!AV108</f>
        <v>34317713.366550155</v>
      </c>
      <c r="AW5" s="27">
        <f>'OM Adj 1'!AW108+'OM Adj 2'!AW108+'OM Adj 3'!AW108+'OM Adj 4'!AW108+'OM Adj 5'!AW108+'OM Adj 6'!AW101+'OM Adj 7'!AW108+'OM Adj 8'!AW103++'OM Adj 9'!AW103+'OM Adj 10'!AW97+'OM Adj 11'!AW108</f>
        <v>36303872.37110927</v>
      </c>
      <c r="AX5" s="27">
        <f>'OM Adj 1'!AX108+'OM Adj 2'!AX108+'OM Adj 3'!AX108+'OM Adj 4'!AX108+'OM Adj 5'!AX108+'OM Adj 6'!AX101+'OM Adj 7'!AX108+'OM Adj 8'!AX103++'OM Adj 9'!AX103+'OM Adj 10'!AX97+'OM Adj 11'!AX108</f>
        <v>38372592.36908403</v>
      </c>
      <c r="AY5" s="27">
        <f>'OM Adj 1'!AY108+'OM Adj 2'!AY108+'OM Adj 3'!AY108+'OM Adj 4'!AY108+'OM Adj 5'!AY108+'OM Adj 6'!AY101+'OM Adj 7'!AY108+'OM Adj 8'!AY103++'OM Adj 9'!AY103+'OM Adj 10'!AY97+'OM Adj 11'!AY108</f>
        <v>40527421.729118347</v>
      </c>
      <c r="AZ5" s="27">
        <f>'OM Adj 1'!AZ108+'OM Adj 2'!AZ108+'OM Adj 3'!AZ108+'OM Adj 4'!AZ108+'OM Adj 5'!AZ108+'OM Adj 6'!AZ101+'OM Adj 7'!AZ108+'OM Adj 8'!AZ103++'OM Adj 9'!AZ103+'OM Adj 10'!AZ97+'OM Adj 11'!AZ108</f>
        <v>42770886.847955912</v>
      </c>
      <c r="BA5" s="27">
        <f>'OM Adj 1'!BA108+'OM Adj 2'!BA108+'OM Adj 3'!BA108+'OM Adj 4'!BA108+'OM Adj 5'!BA108+'OM Adj 6'!BA101+'OM Adj 7'!BA108+'OM Adj 8'!BA103++'OM Adj 9'!BA103+'OM Adj 10'!BA97+'OM Adj 11'!BA108</f>
        <v>45108278.966842271</v>
      </c>
      <c r="BB5" s="27">
        <f>'OM Adj 1'!BB108+'OM Adj 2'!BB108+'OM Adj 3'!BB108+'OM Adj 4'!BB108+'OM Adj 5'!BB108+'OM Adj 6'!BB101+'OM Adj 7'!BB108+'OM Adj 8'!BB103++'OM Adj 9'!BB103+'OM Adj 10'!BB97+'OM Adj 11'!BB108</f>
        <v>47542621.312424064</v>
      </c>
      <c r="BC5" s="27">
        <f>'OM Adj 1'!BC108+'OM Adj 2'!BC108+'OM Adj 3'!BC108+'OM Adj 4'!BC108+'OM Adj 5'!BC108+'OM Adj 6'!BC101+'OM Adj 7'!BC108+'OM Adj 8'!BC103++'OM Adj 9'!BC103+'OM Adj 10'!BC97+'OM Adj 11'!BC108</f>
        <v>50078870.578085177</v>
      </c>
      <c r="BD5" s="27">
        <f>'OM Adj 1'!BD108+'OM Adj 2'!BD108+'OM Adj 3'!BD108+'OM Adj 4'!BD108+'OM Adj 5'!BD108+'OM Adj 6'!BD101+'OM Adj 7'!BD108+'OM Adj 8'!BD103++'OM Adj 9'!BD103+'OM Adj 10'!BD97+'OM Adj 11'!BD108</f>
        <v>52719987.762464397</v>
      </c>
      <c r="BE5" s="27">
        <f>'OM Adj 1'!BE108+'OM Adj 2'!BE108+'OM Adj 3'!BE108+'OM Adj 4'!BE108+'OM Adj 5'!BE108+'OM Adj 6'!BE101+'OM Adj 7'!BE108+'OM Adj 8'!BE103++'OM Adj 9'!BE103+'OM Adj 10'!BE97+'OM Adj 11'!BE108</f>
        <v>55471468.38274651</v>
      </c>
    </row>
    <row r="6" spans="1:57" x14ac:dyDescent="0.3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</row>
    <row r="7" spans="1:57" x14ac:dyDescent="0.35">
      <c r="A7" s="54">
        <v>2</v>
      </c>
      <c r="B7" s="16" t="s">
        <v>181</v>
      </c>
      <c r="C7" s="27">
        <f>'OM Adj 1'!C110+'OM Adj 2'!C110+'OM Adj 3'!C110+'OM Adj 4'!C110+'OM Adj 5'!C110+'OM Adj 6'!C103+'OM Adj 7'!C110+'OM Adj 8'!C105++'OM Adj 9'!C105+'OM Adj 10'!C99+'OM Adj 11'!C110</f>
        <v>0</v>
      </c>
      <c r="D7" s="27">
        <f>'OM Adj 1'!D110+'OM Adj 2'!D110+'OM Adj 3'!D110+'OM Adj 4'!D110+'OM Adj 5'!D110+'OM Adj 6'!D103+'OM Adj 7'!D110+'OM Adj 8'!D105++'OM Adj 9'!D105+'OM Adj 10'!D99+'OM Adj 11'!D110</f>
        <v>0</v>
      </c>
      <c r="E7" s="27">
        <f>'OM Adj 1'!E110+'OM Adj 2'!E110+'OM Adj 3'!E110+'OM Adj 4'!E110+'OM Adj 5'!E110+'OM Adj 6'!E103+'OM Adj 7'!E110+'OM Adj 8'!E105++'OM Adj 9'!E105+'OM Adj 10'!E99+'OM Adj 11'!E110</f>
        <v>0</v>
      </c>
      <c r="F7" s="27">
        <f>'OM Adj 1'!F110+'OM Adj 2'!F110+'OM Adj 3'!F110+'OM Adj 4'!F110+'OM Adj 5'!F110+'OM Adj 6'!F103+'OM Adj 7'!F110+'OM Adj 8'!F105++'OM Adj 9'!F105+'OM Adj 10'!F99+'OM Adj 11'!F110</f>
        <v>880400</v>
      </c>
      <c r="G7" s="27">
        <f>'OM Adj 1'!G110+'OM Adj 2'!G110+'OM Adj 3'!G110+'OM Adj 4'!G110+'OM Adj 5'!G110+'OM Adj 6'!G103+'OM Adj 7'!G110+'OM Adj 8'!G105++'OM Adj 9'!G105+'OM Adj 10'!G99+'OM Adj 11'!G110</f>
        <v>4412089.5</v>
      </c>
      <c r="H7" s="27">
        <f>'OM Adj 1'!H110+'OM Adj 2'!H110+'OM Adj 3'!H110+'OM Adj 4'!H110+'OM Adj 5'!H110+'OM Adj 6'!H103+'OM Adj 7'!H110+'OM Adj 8'!H105++'OM Adj 9'!H105+'OM Adj 10'!H99+'OM Adj 11'!H110</f>
        <v>7789615.75</v>
      </c>
      <c r="I7" s="27">
        <f>'OM Adj 1'!I110+'OM Adj 2'!I110+'OM Adj 3'!I110+'OM Adj 4'!I110+'OM Adj 5'!I110+'OM Adj 6'!I103+'OM Adj 7'!I110+'OM Adj 8'!I105++'OM Adj 9'!I105+'OM Adj 10'!I99+'OM Adj 11'!I110</f>
        <v>8111207.07149</v>
      </c>
      <c r="J7" s="27">
        <f>'OM Adj 1'!J110+'OM Adj 2'!J110+'OM Adj 3'!J110+'OM Adj 4'!J110+'OM Adj 5'!J110+'OM Adj 6'!J103+'OM Adj 7'!J110+'OM Adj 8'!J105++'OM Adj 9'!J105+'OM Adj 10'!J99+'OM Adj 11'!J110</f>
        <v>8507077.9776281826</v>
      </c>
      <c r="K7" s="27">
        <f>'OM Adj 1'!K110+'OM Adj 2'!K110+'OM Adj 3'!K110+'OM Adj 4'!K110+'OM Adj 5'!K110+'OM Adj 6'!K103+'OM Adj 7'!K110+'OM Adj 8'!K105++'OM Adj 9'!K105+'OM Adj 10'!K99+'OM Adj 11'!K110</f>
        <v>8870437.0334121864</v>
      </c>
      <c r="L7" s="27">
        <f>'OM Adj 1'!L110+'OM Adj 2'!L110+'OM Adj 3'!L110+'OM Adj 4'!L110+'OM Adj 5'!L110+'OM Adj 6'!L103+'OM Adj 7'!L110+'OM Adj 8'!L105++'OM Adj 9'!L105+'OM Adj 10'!L99+'OM Adj 11'!L110</f>
        <v>9332501.097599132</v>
      </c>
      <c r="M7" s="27">
        <f>'OM Adj 1'!M110+'OM Adj 2'!M110+'OM Adj 3'!M110+'OM Adj 4'!M110+'OM Adj 5'!M110+'OM Adj 6'!M103+'OM Adj 7'!M110+'OM Adj 8'!M105++'OM Adj 9'!M105+'OM Adj 10'!M99+'OM Adj 11'!M110</f>
        <v>9706495.6545357537</v>
      </c>
      <c r="N7" s="27">
        <f>'OM Adj 1'!N110+'OM Adj 2'!N110+'OM Adj 3'!N110+'OM Adj 4'!N110+'OM Adj 5'!N110+'OM Adj 6'!N103+'OM Adj 7'!N110+'OM Adj 8'!N105++'OM Adj 9'!N105+'OM Adj 10'!N99+'OM Adj 11'!N110</f>
        <v>10162655.15933932</v>
      </c>
      <c r="O7" s="27">
        <f>'OM Adj 1'!O110+'OM Adj 2'!O110+'OM Adj 3'!O110+'OM Adj 4'!O110+'OM Adj 5'!O110+'OM Adj 6'!O103+'OM Adj 7'!O110+'OM Adj 8'!O105++'OM Adj 9'!O105+'OM Adj 10'!O99+'OM Adj 11'!O110</f>
        <v>10491223.396969214</v>
      </c>
      <c r="P7" s="27">
        <f>'OM Adj 1'!P110+'OM Adj 2'!P110+'OM Adj 3'!P110+'OM Adj 4'!P110+'OM Adj 5'!P110+'OM Adj 6'!P103+'OM Adj 7'!P110+'OM Adj 8'!P105++'OM Adj 9'!P105+'OM Adj 10'!P99+'OM Adj 11'!P110</f>
        <v>10832453.855750971</v>
      </c>
      <c r="Q7" s="27">
        <f>'OM Adj 1'!Q110+'OM Adj 2'!Q110+'OM Adj 3'!Q110+'OM Adj 4'!Q110+'OM Adj 5'!Q110+'OM Adj 6'!Q103+'OM Adj 7'!Q110+'OM Adj 8'!Q105++'OM Adj 9'!Q105+'OM Adj 10'!Q99+'OM Adj 11'!Q110</f>
        <v>11187610.115937401</v>
      </c>
      <c r="R7" s="27">
        <f>'OM Adj 1'!R110+'OM Adj 2'!R110+'OM Adj 3'!R110+'OM Adj 4'!R110+'OM Adj 5'!R110+'OM Adj 6'!R103+'OM Adj 7'!R110+'OM Adj 8'!R105++'OM Adj 9'!R105+'OM Adj 10'!R99+'OM Adj 11'!R110</f>
        <v>11556966.253915187</v>
      </c>
      <c r="S7" s="27">
        <f>'OM Adj 1'!S110+'OM Adj 2'!S110+'OM Adj 3'!S110+'OM Adj 4'!S110+'OM Adj 5'!S110+'OM Adj 6'!S103+'OM Adj 7'!S110+'OM Adj 8'!S105++'OM Adj 9'!S105+'OM Adj 10'!S99+'OM Adj 11'!S110</f>
        <v>11941807.262690049</v>
      </c>
      <c r="T7" s="27">
        <f>'OM Adj 1'!T110+'OM Adj 2'!T110+'OM Adj 3'!T110+'OM Adj 4'!T110+'OM Adj 5'!T110+'OM Adj 6'!T103+'OM Adj 7'!T110+'OM Adj 8'!T105++'OM Adj 9'!T105+'OM Adj 10'!T99+'OM Adj 11'!T110</f>
        <v>12342429.489309341</v>
      </c>
      <c r="U7" s="27">
        <f>'OM Adj 1'!U110+'OM Adj 2'!U110+'OM Adj 3'!U110+'OM Adj 4'!U110+'OM Adj 5'!U110+'OM Adj 6'!U103+'OM Adj 7'!U110+'OM Adj 8'!U105++'OM Adj 9'!U105+'OM Adj 10'!U99+'OM Adj 11'!U110</f>
        <v>12759141.08990768</v>
      </c>
      <c r="V7" s="27">
        <f>'OM Adj 1'!V110+'OM Adj 2'!V110+'OM Adj 3'!V110+'OM Adj 4'!V110+'OM Adj 5'!V110+'OM Adj 6'!V103+'OM Adj 7'!V110+'OM Adj 8'!V105++'OM Adj 9'!V105+'OM Adj 10'!V99+'OM Adj 11'!V110</f>
        <v>13193262.503089111</v>
      </c>
      <c r="W7" s="27">
        <f>'OM Adj 1'!W110+'OM Adj 2'!W110+'OM Adj 3'!W110+'OM Adj 4'!W110+'OM Adj 5'!W110+'OM Adj 6'!W103+'OM Adj 7'!W110+'OM Adj 8'!W105++'OM Adj 9'!W105+'OM Adj 10'!W99+'OM Adj 11'!W110</f>
        <v>13645126.942388345</v>
      </c>
      <c r="X7" s="27">
        <f>'OM Adj 1'!X110+'OM Adj 2'!X110+'OM Adj 3'!X110+'OM Adj 4'!X110+'OM Adj 5'!X110+'OM Adj 6'!X103+'OM Adj 7'!X110+'OM Adj 8'!X105++'OM Adj 9'!X105+'OM Adj 10'!X99+'OM Adj 11'!X110</f>
        <v>14116080.908583736</v>
      </c>
      <c r="Y7" s="27">
        <f>'OM Adj 1'!Y110+'OM Adj 2'!Y110+'OM Adj 3'!Y110+'OM Adj 4'!Y110+'OM Adj 5'!Y110+'OM Adj 6'!Y103+'OM Adj 7'!Y110+'OM Adj 8'!Y105++'OM Adj 9'!Y105+'OM Adj 10'!Y99+'OM Adj 11'!Y110</f>
        <v>14605484.722666219</v>
      </c>
      <c r="Z7" s="27">
        <f>'OM Adj 1'!Z110+'OM Adj 2'!Z110+'OM Adj 3'!Z110+'OM Adj 4'!Z110+'OM Adj 5'!Z110+'OM Adj 6'!Z103+'OM Adj 7'!Z110+'OM Adj 8'!Z105++'OM Adj 9'!Z105+'OM Adj 10'!Z99+'OM Adj 11'!Z110</f>
        <v>15113713.080300983</v>
      </c>
      <c r="AA7" s="27">
        <f>'OM Adj 1'!AA110+'OM Adj 2'!AA110+'OM Adj 3'!AA110+'OM Adj 4'!AA110+'OM Adj 5'!AA110+'OM Adj 6'!AA103+'OM Adj 7'!AA110+'OM Adj 8'!AA105++'OM Adj 9'!AA105+'OM Adj 10'!AA99+'OM Adj 11'!AA110</f>
        <v>15643155.628652832</v>
      </c>
      <c r="AG7" s="27">
        <f>'OM Adj 1'!AG110+'OM Adj 2'!AG110+'OM Adj 3'!AG110+'OM Adj 4'!AG110+'OM Adj 5'!AG110+'OM Adj 6'!AG103+'OM Adj 7'!AG110+'OM Adj 8'!AG105++'OM Adj 9'!AG105+'OM Adj 10'!AG99+'OM Adj 11'!AG110</f>
        <v>0</v>
      </c>
      <c r="AH7" s="27">
        <f>'OM Adj 1'!AH110+'OM Adj 2'!AH110+'OM Adj 3'!AH110+'OM Adj 4'!AH110+'OM Adj 5'!AH110+'OM Adj 6'!AH103+'OM Adj 7'!AH110+'OM Adj 8'!AH105++'OM Adj 9'!AH105+'OM Adj 10'!AH99+'OM Adj 11'!AH110</f>
        <v>0</v>
      </c>
      <c r="AI7" s="27">
        <f>'OM Adj 1'!AI110+'OM Adj 2'!AI110+'OM Adj 3'!AI110+'OM Adj 4'!AI110+'OM Adj 5'!AI110+'OM Adj 6'!AI103+'OM Adj 7'!AI110+'OM Adj 8'!AI105++'OM Adj 9'!AI105+'OM Adj 10'!AI99+'OM Adj 11'!AI110</f>
        <v>0</v>
      </c>
      <c r="AJ7" s="27">
        <f>'OM Adj 1'!AJ110+'OM Adj 2'!AJ110+'OM Adj 3'!AJ110+'OM Adj 4'!AJ110+'OM Adj 5'!AJ110+'OM Adj 6'!AJ103+'OM Adj 7'!AJ110+'OM Adj 8'!AJ105++'OM Adj 9'!AJ105+'OM Adj 10'!AJ99+'OM Adj 11'!AJ110</f>
        <v>790989</v>
      </c>
      <c r="AK7" s="27">
        <f>'OM Adj 1'!AK110+'OM Adj 2'!AK110+'OM Adj 3'!AK110+'OM Adj 4'!AK110+'OM Adj 5'!AK110+'OM Adj 6'!AK103+'OM Adj 7'!AK110+'OM Adj 8'!AK105++'OM Adj 9'!AK105+'OM Adj 10'!AK99+'OM Adj 11'!AK110</f>
        <v>3916486.6160797263</v>
      </c>
      <c r="AL7" s="27">
        <f>'OM Adj 1'!AL110+'OM Adj 2'!AL110+'OM Adj 3'!AL110+'OM Adj 4'!AL110+'OM Adj 5'!AL110+'OM Adj 6'!AL103+'OM Adj 7'!AL110+'OM Adj 8'!AL105++'OM Adj 9'!AL105+'OM Adj 10'!AL99+'OM Adj 11'!AL110</f>
        <v>7177963.499364608</v>
      </c>
      <c r="AM7" s="27">
        <f>'OM Adj 1'!AM110+'OM Adj 2'!AM110+'OM Adj 3'!AM110+'OM Adj 4'!AM110+'OM Adj 5'!AM110+'OM Adj 6'!AM103+'OM Adj 7'!AM110+'OM Adj 8'!AM105++'OM Adj 9'!AM105+'OM Adj 10'!AM99+'OM Adj 11'!AM110</f>
        <v>7475953.0612068586</v>
      </c>
      <c r="AN7" s="27">
        <f>'OM Adj 1'!AN110+'OM Adj 2'!AN110+'OM Adj 3'!AN110+'OM Adj 4'!AN110+'OM Adj 5'!AN110+'OM Adj 6'!AN103+'OM Adj 7'!AN110+'OM Adj 8'!AN105++'OM Adj 9'!AN105+'OM Adj 10'!AN99+'OM Adj 11'!AN110</f>
        <v>7847408.6394690238</v>
      </c>
      <c r="AO7" s="27">
        <f>'OM Adj 1'!AO110+'OM Adj 2'!AO110+'OM Adj 3'!AO110+'OM Adj 4'!AO110+'OM Adj 5'!AO110+'OM Adj 6'!AO103+'OM Adj 7'!AO110+'OM Adj 8'!AO105++'OM Adj 9'!AO105+'OM Adj 10'!AO99+'OM Adj 11'!AO110</f>
        <v>8185047.0507841771</v>
      </c>
      <c r="AP7" s="27">
        <f>'OM Adj 1'!AP110+'OM Adj 2'!AP110+'OM Adj 3'!AP110+'OM Adj 4'!AP110+'OM Adj 5'!AP110+'OM Adj 6'!AP103+'OM Adj 7'!AP110+'OM Adj 8'!AP105++'OM Adj 9'!AP105+'OM Adj 10'!AP99+'OM Adj 11'!AP110</f>
        <v>8620394.0836467911</v>
      </c>
      <c r="AQ7" s="27">
        <f>'OM Adj 1'!AQ110+'OM Adj 2'!AQ110+'OM Adj 3'!AQ110+'OM Adj 4'!AQ110+'OM Adj 5'!AQ110+'OM Adj 6'!AQ103+'OM Adj 7'!AQ110+'OM Adj 8'!AQ105++'OM Adj 9'!AQ105+'OM Adj 10'!AQ99+'OM Adj 11'!AQ110</f>
        <v>8966712.7766319569</v>
      </c>
      <c r="AR7" s="27">
        <f>'OM Adj 1'!AR110+'OM Adj 2'!AR110+'OM Adj 3'!AR110+'OM Adj 4'!AR110+'OM Adj 5'!AR110+'OM Adj 6'!AR103+'OM Adj 7'!AR110+'OM Adj 8'!AR105++'OM Adj 9'!AR105+'OM Adj 10'!AR99+'OM Adj 11'!AR110</f>
        <v>9394243.7077820078</v>
      </c>
      <c r="AS7" s="27">
        <f>'OM Adj 1'!AS110+'OM Adj 2'!AS110+'OM Adj 3'!AS110+'OM Adj 4'!AS110+'OM Adj 5'!AS110+'OM Adj 6'!AS103+'OM Adj 7'!AS110+'OM Adj 8'!AS105++'OM Adj 9'!AS105+'OM Adj 10'!AS99+'OM Adj 11'!AS110</f>
        <v>9692844.2956111711</v>
      </c>
      <c r="AT7" s="27">
        <f>'OM Adj 1'!AT110+'OM Adj 2'!AT110+'OM Adj 3'!AT110+'OM Adj 4'!AT110+'OM Adj 5'!AT110+'OM Adj 6'!AT103+'OM Adj 7'!AT110+'OM Adj 8'!AT105++'OM Adj 9'!AT105+'OM Adj 10'!AT99+'OM Adj 11'!AT110</f>
        <v>10003074.112197127</v>
      </c>
      <c r="AU7" s="27">
        <f>'OM Adj 1'!AU110+'OM Adj 2'!AU110+'OM Adj 3'!AU110+'OM Adj 4'!AU110+'OM Adj 5'!AU110+'OM Adj 6'!AU103+'OM Adj 7'!AU110+'OM Adj 8'!AU105++'OM Adj 9'!AU105+'OM Adj 10'!AU99+'OM Adj 11'!AU110</f>
        <v>10326156.208847407</v>
      </c>
      <c r="AV7" s="27">
        <f>'OM Adj 1'!AV110+'OM Adj 2'!AV110+'OM Adj 3'!AV110+'OM Adj 4'!AV110+'OM Adj 5'!AV110+'OM Adj 6'!AV103+'OM Adj 7'!AV110+'OM Adj 8'!AV105++'OM Adj 9'!AV105+'OM Adj 10'!AV99+'OM Adj 11'!AV110</f>
        <v>10662089.454848282</v>
      </c>
      <c r="AW7" s="27">
        <f>'OM Adj 1'!AW110+'OM Adj 2'!AW110+'OM Adj 3'!AW110+'OM Adj 4'!AW110+'OM Adj 5'!AW110+'OM Adj 6'!AW103+'OM Adj 7'!AW110+'OM Adj 8'!AW105++'OM Adj 9'!AW105+'OM Adj 10'!AW99+'OM Adj 11'!AW110</f>
        <v>11012230.889824484</v>
      </c>
      <c r="AX7" s="27">
        <f>'OM Adj 1'!AX110+'OM Adj 2'!AX110+'OM Adj 3'!AX110+'OM Adj 4'!AX110+'OM Adj 5'!AX110+'OM Adj 6'!AX103+'OM Adj 7'!AX110+'OM Adj 8'!AX105++'OM Adj 9'!AX105+'OM Adj 10'!AX99+'OM Adj 11'!AX110</f>
        <v>11376714.090259412</v>
      </c>
      <c r="AY7" s="27">
        <f>'OM Adj 1'!AY110+'OM Adj 2'!AY110+'OM Adj 3'!AY110+'OM Adj 4'!AY110+'OM Adj 5'!AY110+'OM Adj 6'!AY103+'OM Adj 7'!AY110+'OM Adj 8'!AY105++'OM Adj 9'!AY105+'OM Adj 10'!AY99+'OM Adj 11'!AY110</f>
        <v>11755688.550747931</v>
      </c>
      <c r="AZ7" s="27">
        <f>'OM Adj 1'!AZ110+'OM Adj 2'!AZ110+'OM Adj 3'!AZ110+'OM Adj 4'!AZ110+'OM Adj 5'!AZ110+'OM Adj 6'!AZ103+'OM Adj 7'!AZ110+'OM Adj 8'!AZ105++'OM Adj 9'!AZ105+'OM Adj 10'!AZ99+'OM Adj 11'!AZ110</f>
        <v>12150762.080576919</v>
      </c>
      <c r="BA7" s="27">
        <f>'OM Adj 1'!BA110+'OM Adj 2'!BA110+'OM Adj 3'!BA110+'OM Adj 4'!BA110+'OM Adj 5'!BA110+'OM Adj 6'!BA103+'OM Adj 7'!BA110+'OM Adj 8'!BA105++'OM Adj 9'!BA105+'OM Adj 10'!BA99+'OM Adj 11'!BA110</f>
        <v>12561950.216253027</v>
      </c>
      <c r="BB7" s="27">
        <f>'OM Adj 1'!BB110+'OM Adj 2'!BB110+'OM Adj 3'!BB110+'OM Adj 4'!BB110+'OM Adj 5'!BB110+'OM Adj 6'!BB103+'OM Adj 7'!BB110+'OM Adj 8'!BB105++'OM Adj 9'!BB105+'OM Adj 10'!BB99+'OM Adj 11'!BB110</f>
        <v>12990695.650622178</v>
      </c>
      <c r="BC7" s="27">
        <f>'OM Adj 1'!BC110+'OM Adj 2'!BC110+'OM Adj 3'!BC110+'OM Adj 4'!BC110+'OM Adj 5'!BC110+'OM Adj 6'!BC103+'OM Adj 7'!BC110+'OM Adj 8'!BC105++'OM Adj 9'!BC105+'OM Adj 10'!BC99+'OM Adj 11'!BC110</f>
        <v>13436187.679251499</v>
      </c>
      <c r="BD7" s="27">
        <f>'OM Adj 1'!BD110+'OM Adj 2'!BD110+'OM Adj 3'!BD110+'OM Adj 4'!BD110+'OM Adj 5'!BD110+'OM Adj 6'!BD103+'OM Adj 7'!BD110+'OM Adj 8'!BD105++'OM Adj 9'!BD105+'OM Adj 10'!BD99+'OM Adj 11'!BD110</f>
        <v>13898972.664771695</v>
      </c>
      <c r="BE7" s="27">
        <f>'OM Adj 1'!BE110+'OM Adj 2'!BE110+'OM Adj 3'!BE110+'OM Adj 4'!BE110+'OM Adj 5'!BE110+'OM Adj 6'!BE103+'OM Adj 7'!BE110+'OM Adj 8'!BE105++'OM Adj 9'!BE105+'OM Adj 10'!BE99+'OM Adj 11'!BE110</f>
        <v>14381032.519906096</v>
      </c>
    </row>
    <row r="8" spans="1:57" x14ac:dyDescent="0.3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</row>
    <row r="9" spans="1:57" s="4" customFormat="1" x14ac:dyDescent="0.35">
      <c r="A9" s="56">
        <v>3</v>
      </c>
      <c r="B9" s="29" t="s">
        <v>159</v>
      </c>
      <c r="C9" s="33">
        <f t="shared" ref="C9" si="2">+C7+C5</f>
        <v>0</v>
      </c>
      <c r="D9" s="33">
        <f t="shared" ref="D9:AA9" si="3">+D7+D5</f>
        <v>0</v>
      </c>
      <c r="E9" s="33">
        <f t="shared" si="3"/>
        <v>0</v>
      </c>
      <c r="F9" s="33">
        <f t="shared" si="3"/>
        <v>6603000</v>
      </c>
      <c r="G9" s="33">
        <f t="shared" si="3"/>
        <v>29276127.470338985</v>
      </c>
      <c r="H9" s="33">
        <f t="shared" si="3"/>
        <v>47694432.353813559</v>
      </c>
      <c r="I9" s="33">
        <f t="shared" si="3"/>
        <v>51522616.878751434</v>
      </c>
      <c r="J9" s="33">
        <f t="shared" si="3"/>
        <v>55712784.064659983</v>
      </c>
      <c r="K9" s="33">
        <f t="shared" si="3"/>
        <v>60047945.29162477</v>
      </c>
      <c r="L9" s="33">
        <f t="shared" si="3"/>
        <v>62410415.866859555</v>
      </c>
      <c r="M9" s="33">
        <f t="shared" si="3"/>
        <v>64627782.615247741</v>
      </c>
      <c r="N9" s="33">
        <f t="shared" si="3"/>
        <v>67093809.07810308</v>
      </c>
      <c r="O9" s="33">
        <f t="shared" si="3"/>
        <v>69323535.530012161</v>
      </c>
      <c r="P9" s="33">
        <f t="shared" si="3"/>
        <v>71645430.301550329</v>
      </c>
      <c r="Q9" s="33">
        <f t="shared" si="3"/>
        <v>74063001.91006133</v>
      </c>
      <c r="R9" s="33">
        <f t="shared" si="3"/>
        <v>51580915.598931417</v>
      </c>
      <c r="S9" s="33">
        <f t="shared" si="3"/>
        <v>54204000.58078225</v>
      </c>
      <c r="T9" s="33">
        <f t="shared" si="3"/>
        <v>56937257.626803637</v>
      </c>
      <c r="U9" s="33">
        <f t="shared" si="3"/>
        <v>59784867.019293457</v>
      </c>
      <c r="V9" s="33">
        <f t="shared" si="3"/>
        <v>62751196.885336906</v>
      </c>
      <c r="W9" s="33">
        <f t="shared" si="3"/>
        <v>65842811.930467591</v>
      </c>
      <c r="X9" s="33">
        <f t="shared" si="3"/>
        <v>69064482.592110276</v>
      </c>
      <c r="Y9" s="33">
        <f t="shared" si="3"/>
        <v>72421194.633612677</v>
      </c>
      <c r="Z9" s="33">
        <f t="shared" si="3"/>
        <v>75917159.2007332</v>
      </c>
      <c r="AA9" s="33">
        <f t="shared" si="3"/>
        <v>79560823.363566458</v>
      </c>
      <c r="AG9" s="33">
        <f t="shared" ref="AG9:BE9" si="4">+AG7+AG5</f>
        <v>0</v>
      </c>
      <c r="AH9" s="33">
        <f t="shared" si="4"/>
        <v>0</v>
      </c>
      <c r="AI9" s="33">
        <f t="shared" si="4"/>
        <v>0</v>
      </c>
      <c r="AJ9" s="33">
        <f t="shared" si="4"/>
        <v>6323503</v>
      </c>
      <c r="AK9" s="33">
        <f t="shared" si="4"/>
        <v>26217675.277765617</v>
      </c>
      <c r="AL9" s="33">
        <f t="shared" si="4"/>
        <v>44083310.720702164</v>
      </c>
      <c r="AM9" s="33">
        <f t="shared" si="4"/>
        <v>47512558.66393663</v>
      </c>
      <c r="AN9" s="33">
        <f t="shared" si="4"/>
        <v>51276177.94489786</v>
      </c>
      <c r="AO9" s="33">
        <f t="shared" si="4"/>
        <v>55161056.695102349</v>
      </c>
      <c r="AP9" s="33">
        <f t="shared" si="4"/>
        <v>57302153.580258876</v>
      </c>
      <c r="AQ9" s="33">
        <f t="shared" si="4"/>
        <v>59294766.219776124</v>
      </c>
      <c r="AR9" s="33">
        <f t="shared" si="4"/>
        <v>61521886.351670437</v>
      </c>
      <c r="AS9" s="33">
        <f t="shared" si="4"/>
        <v>63510839.745775014</v>
      </c>
      <c r="AT9" s="33">
        <f t="shared" si="4"/>
        <v>65581261.368205279</v>
      </c>
      <c r="AU9" s="33">
        <f t="shared" si="4"/>
        <v>67736275.716631353</v>
      </c>
      <c r="AV9" s="33">
        <f t="shared" si="4"/>
        <v>44979802.821398437</v>
      </c>
      <c r="AW9" s="33">
        <f t="shared" si="4"/>
        <v>47316103.260933757</v>
      </c>
      <c r="AX9" s="33">
        <f t="shared" si="4"/>
        <v>49749306.459343441</v>
      </c>
      <c r="AY9" s="33">
        <f t="shared" si="4"/>
        <v>52283110.279866278</v>
      </c>
      <c r="AZ9" s="33">
        <f t="shared" si="4"/>
        <v>54921648.928532831</v>
      </c>
      <c r="BA9" s="33">
        <f t="shared" si="4"/>
        <v>57670229.183095299</v>
      </c>
      <c r="BB9" s="33">
        <f t="shared" si="4"/>
        <v>60533316.963046238</v>
      </c>
      <c r="BC9" s="33">
        <f t="shared" si="4"/>
        <v>63515058.257336676</v>
      </c>
      <c r="BD9" s="33">
        <f t="shared" si="4"/>
        <v>66618960.427236095</v>
      </c>
      <c r="BE9" s="33">
        <f t="shared" si="4"/>
        <v>69852500.902652606</v>
      </c>
    </row>
    <row r="10" spans="1:57" ht="15.5" x14ac:dyDescent="0.35">
      <c r="A10" s="1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</row>
    <row r="13" spans="1:57" x14ac:dyDescent="0.35">
      <c r="E13" s="1"/>
      <c r="F13" s="1"/>
      <c r="G13" s="1"/>
      <c r="H13" s="1"/>
      <c r="I13" s="1"/>
      <c r="J13" s="1"/>
      <c r="K13" s="1"/>
      <c r="L13" s="1"/>
    </row>
    <row r="14" spans="1:57" x14ac:dyDescent="0.35">
      <c r="E14" s="1"/>
      <c r="F14" s="1"/>
      <c r="G14" s="1"/>
      <c r="H14" s="1"/>
      <c r="I14" s="1"/>
      <c r="J14" s="1"/>
      <c r="K14" s="1"/>
      <c r="L14" s="1"/>
    </row>
    <row r="15" spans="1:57" x14ac:dyDescent="0.35">
      <c r="E15" s="1"/>
      <c r="F15" s="1"/>
      <c r="G15" s="1"/>
      <c r="H15" s="1"/>
      <c r="I15" s="1"/>
      <c r="J15" s="1"/>
      <c r="K15" s="1"/>
      <c r="L15" s="1"/>
    </row>
    <row r="16" spans="1:57" x14ac:dyDescent="0.35">
      <c r="E16" s="1"/>
      <c r="F16" s="1"/>
      <c r="G16" s="1"/>
      <c r="H16" s="1"/>
      <c r="I16" s="1"/>
      <c r="J16" s="1"/>
      <c r="K16" s="1"/>
      <c r="L16" s="1"/>
      <c r="U16" s="105"/>
      <c r="V16" s="105"/>
      <c r="W16" s="105"/>
      <c r="X16" s="105"/>
      <c r="Y16" s="105"/>
      <c r="Z16" s="105"/>
      <c r="AA16" s="105"/>
      <c r="AB16" s="105"/>
    </row>
    <row r="17" spans="5:22" x14ac:dyDescent="0.35">
      <c r="E17" s="1"/>
      <c r="F17" s="1"/>
      <c r="G17" s="1"/>
      <c r="H17" s="1"/>
      <c r="I17" s="1"/>
      <c r="J17" s="1"/>
      <c r="K17" s="1"/>
      <c r="L17" s="1"/>
      <c r="V17" s="1"/>
    </row>
    <row r="18" spans="5:22" x14ac:dyDescent="0.35">
      <c r="E18" s="1"/>
      <c r="F18" s="1"/>
      <c r="G18" s="1"/>
      <c r="H18" s="1"/>
      <c r="I18" s="1"/>
      <c r="J18" s="1"/>
      <c r="K18" s="1"/>
      <c r="L18" s="1"/>
    </row>
    <row r="19" spans="5:22" x14ac:dyDescent="0.35">
      <c r="E19" s="1"/>
      <c r="F19" s="1"/>
      <c r="G19" s="1"/>
      <c r="H19" s="1"/>
      <c r="I19" s="1"/>
      <c r="J19" s="1"/>
      <c r="K19" s="1"/>
      <c r="L19" s="1"/>
    </row>
    <row r="20" spans="5:22" x14ac:dyDescent="0.35">
      <c r="E20" s="1"/>
      <c r="F20" s="1"/>
      <c r="G20" s="1"/>
      <c r="H20" s="1"/>
      <c r="I20" s="1"/>
      <c r="J20" s="1"/>
      <c r="K20" s="1"/>
      <c r="L20" s="1"/>
    </row>
    <row r="21" spans="5:22" x14ac:dyDescent="0.35">
      <c r="E21" s="1"/>
      <c r="F21" s="1"/>
      <c r="G21" s="1"/>
      <c r="H21" s="1"/>
      <c r="I21" s="1"/>
      <c r="J21" s="1"/>
      <c r="K21" s="1"/>
      <c r="L21" s="1"/>
    </row>
    <row r="22" spans="5:22" x14ac:dyDescent="0.35">
      <c r="E22" s="1"/>
      <c r="F22" s="1"/>
      <c r="G22" s="1"/>
      <c r="H22" s="1"/>
      <c r="I22" s="1"/>
      <c r="J22" s="1"/>
      <c r="K22" s="1"/>
      <c r="L22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B6C73-7A0E-4046-8F5C-FAF5C050D717}">
  <dimension ref="A2:AL193"/>
  <sheetViews>
    <sheetView topLeftCell="A176" workbookViewId="0">
      <selection activeCell="N30" sqref="N30"/>
    </sheetView>
  </sheetViews>
  <sheetFormatPr defaultRowHeight="14.5" x14ac:dyDescent="0.35"/>
  <cols>
    <col min="1" max="1" width="34" bestFit="1" customWidth="1"/>
    <col min="2" max="2" width="41.7265625" customWidth="1"/>
    <col min="3" max="3" width="9.81640625" bestFit="1" customWidth="1"/>
  </cols>
  <sheetData>
    <row r="2" spans="1:38" ht="15" thickBot="1" x14ac:dyDescent="0.4"/>
    <row r="3" spans="1:38" s="12" customFormat="1" ht="19" thickTop="1" x14ac:dyDescent="0.45">
      <c r="A3" s="12" t="s">
        <v>182</v>
      </c>
      <c r="B3" s="170" t="s">
        <v>183</v>
      </c>
      <c r="C3" s="170"/>
    </row>
    <row r="4" spans="1:38" ht="15" thickBot="1" x14ac:dyDescent="0.4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</row>
    <row r="5" spans="1:38" ht="16.5" thickTop="1" x14ac:dyDescent="0.5">
      <c r="A5" s="160"/>
      <c r="B5" s="161"/>
      <c r="C5" s="160"/>
      <c r="D5" s="23">
        <v>2025</v>
      </c>
      <c r="E5" s="23">
        <v>2026</v>
      </c>
      <c r="F5" s="23">
        <v>2027</v>
      </c>
      <c r="G5" s="23">
        <v>2028</v>
      </c>
      <c r="H5" s="23">
        <v>2029</v>
      </c>
      <c r="I5" s="23">
        <v>2030</v>
      </c>
      <c r="J5" s="23">
        <v>2031</v>
      </c>
      <c r="K5" s="23">
        <v>2032</v>
      </c>
      <c r="L5" s="23">
        <v>2033</v>
      </c>
      <c r="M5" s="23">
        <v>2034</v>
      </c>
      <c r="N5" s="23">
        <v>2035</v>
      </c>
      <c r="O5" s="23">
        <v>2036</v>
      </c>
      <c r="P5" s="23">
        <v>2037</v>
      </c>
      <c r="Q5" s="23">
        <v>2038</v>
      </c>
      <c r="R5" s="23">
        <v>2039</v>
      </c>
      <c r="S5" s="23">
        <v>2040</v>
      </c>
      <c r="T5" s="23">
        <v>2041</v>
      </c>
      <c r="U5" s="23">
        <v>2042</v>
      </c>
      <c r="V5" s="23">
        <v>2043</v>
      </c>
      <c r="W5" s="23">
        <v>2044</v>
      </c>
      <c r="X5" s="23">
        <v>2045</v>
      </c>
      <c r="Y5" s="23">
        <v>2046</v>
      </c>
      <c r="Z5" s="23">
        <v>2047</v>
      </c>
      <c r="AA5" s="23">
        <v>2048</v>
      </c>
      <c r="AB5" s="23">
        <v>2049</v>
      </c>
      <c r="AC5" s="160"/>
      <c r="AD5" s="160"/>
      <c r="AE5" s="160"/>
      <c r="AF5" s="160"/>
      <c r="AG5" s="160"/>
      <c r="AH5" s="160"/>
      <c r="AI5" s="160"/>
      <c r="AJ5" s="160"/>
      <c r="AK5" s="160"/>
      <c r="AL5" s="160"/>
    </row>
    <row r="6" spans="1:38" x14ac:dyDescent="0.35">
      <c r="A6" s="160"/>
      <c r="B6" s="161" t="s">
        <v>184</v>
      </c>
      <c r="C6" s="160" t="s">
        <v>185</v>
      </c>
      <c r="D6" s="163">
        <v>0</v>
      </c>
      <c r="E6" s="163">
        <v>0</v>
      </c>
      <c r="F6" s="163">
        <v>0</v>
      </c>
      <c r="G6" s="163">
        <v>0</v>
      </c>
      <c r="H6" s="163">
        <v>0</v>
      </c>
      <c r="I6" s="163">
        <v>0</v>
      </c>
      <c r="J6" s="163">
        <v>0</v>
      </c>
      <c r="K6" s="163">
        <v>0</v>
      </c>
      <c r="L6" s="163">
        <v>0</v>
      </c>
      <c r="M6" s="163">
        <v>0</v>
      </c>
      <c r="N6" s="163">
        <v>0</v>
      </c>
      <c r="O6" s="163">
        <v>0</v>
      </c>
      <c r="P6" s="163">
        <v>0</v>
      </c>
      <c r="Q6" s="163">
        <v>0</v>
      </c>
      <c r="R6" s="163">
        <v>0</v>
      </c>
      <c r="S6" s="163">
        <v>0</v>
      </c>
      <c r="T6" s="163">
        <v>0</v>
      </c>
      <c r="U6" s="163">
        <v>0</v>
      </c>
      <c r="V6" s="163">
        <v>0</v>
      </c>
      <c r="W6" s="163">
        <v>0</v>
      </c>
      <c r="X6" s="163">
        <v>0</v>
      </c>
      <c r="Y6" s="163">
        <v>0</v>
      </c>
      <c r="Z6" s="163">
        <v>0</v>
      </c>
      <c r="AA6" s="163">
        <v>0</v>
      </c>
      <c r="AB6" s="163">
        <v>0</v>
      </c>
      <c r="AC6" s="160"/>
      <c r="AD6" s="160"/>
      <c r="AE6" s="160"/>
      <c r="AF6" s="160"/>
      <c r="AG6" s="160"/>
      <c r="AH6" s="160"/>
      <c r="AI6" s="160"/>
      <c r="AJ6" s="160"/>
      <c r="AK6" s="160"/>
      <c r="AL6" s="160"/>
    </row>
    <row r="7" spans="1:38" x14ac:dyDescent="0.35">
      <c r="A7" s="160"/>
      <c r="B7" s="161" t="s">
        <v>10</v>
      </c>
      <c r="C7" s="160" t="s">
        <v>185</v>
      </c>
      <c r="D7" s="163">
        <v>0.03</v>
      </c>
      <c r="E7" s="163">
        <v>0.05</v>
      </c>
      <c r="F7" s="163">
        <v>3.5000000000000003E-2</v>
      </c>
      <c r="G7" s="163">
        <v>3.5000000000000003E-2</v>
      </c>
      <c r="H7" s="163">
        <v>3.5000000000000003E-2</v>
      </c>
      <c r="I7" s="163">
        <v>3.5000000000000003E-2</v>
      </c>
      <c r="J7" s="163">
        <v>3.5000000000000003E-2</v>
      </c>
      <c r="K7" s="163">
        <v>3.5000000000000003E-2</v>
      </c>
      <c r="L7" s="163">
        <v>3.5000000000000003E-2</v>
      </c>
      <c r="M7" s="163">
        <v>3.5000000000000003E-2</v>
      </c>
      <c r="N7" s="163">
        <v>3.5000000000000003E-2</v>
      </c>
      <c r="O7" s="163">
        <v>3.5000000000000003E-2</v>
      </c>
      <c r="P7" s="163">
        <v>3.5000000000000003E-2</v>
      </c>
      <c r="Q7" s="163">
        <v>3.5000000000000003E-2</v>
      </c>
      <c r="R7" s="163">
        <v>3.5000000000000003E-2</v>
      </c>
      <c r="S7" s="163">
        <v>3.5000000000000003E-2</v>
      </c>
      <c r="T7" s="163">
        <v>3.5000000000000003E-2</v>
      </c>
      <c r="U7" s="163">
        <v>3.5000000000000003E-2</v>
      </c>
      <c r="V7" s="163">
        <v>3.5000000000000003E-2</v>
      </c>
      <c r="W7" s="163">
        <v>3.5000000000000003E-2</v>
      </c>
      <c r="X7" s="163">
        <v>3.5000000000000003E-2</v>
      </c>
      <c r="Y7" s="163">
        <v>3.5000000000000003E-2</v>
      </c>
      <c r="Z7" s="163">
        <v>3.5000000000000003E-2</v>
      </c>
      <c r="AA7" s="163">
        <v>3.5000000000000003E-2</v>
      </c>
      <c r="AB7" s="163">
        <v>3.5000000000000003E-2</v>
      </c>
      <c r="AC7" s="160"/>
      <c r="AD7" s="160"/>
      <c r="AE7" s="160"/>
      <c r="AF7" s="160"/>
      <c r="AG7" s="160"/>
      <c r="AH7" s="160"/>
      <c r="AI7" s="160"/>
      <c r="AJ7" s="160"/>
      <c r="AK7" s="160"/>
      <c r="AL7" s="160"/>
    </row>
    <row r="8" spans="1:38" x14ac:dyDescent="0.35">
      <c r="A8" s="160"/>
      <c r="B8" s="161" t="s">
        <v>186</v>
      </c>
      <c r="C8" s="160" t="s">
        <v>185</v>
      </c>
      <c r="D8" s="163">
        <v>4.5079343210832068E-2</v>
      </c>
      <c r="E8" s="163">
        <v>4.4999999999999998E-2</v>
      </c>
      <c r="F8" s="163">
        <v>3.1E-2</v>
      </c>
      <c r="G8" s="163">
        <v>4.9099999999999998E-2</v>
      </c>
      <c r="H8" s="163">
        <v>4.9099999999999998E-2</v>
      </c>
      <c r="I8" s="163">
        <v>4.3499999999999997E-2</v>
      </c>
      <c r="J8" s="163">
        <v>4.3499999999999997E-2</v>
      </c>
      <c r="K8" s="163">
        <v>4.3499999999999997E-2</v>
      </c>
      <c r="L8" s="163">
        <v>4.3499999999999997E-2</v>
      </c>
      <c r="M8" s="163">
        <v>4.3499999999999997E-2</v>
      </c>
      <c r="N8" s="163">
        <v>4.3499999999999997E-2</v>
      </c>
      <c r="O8" s="163">
        <v>4.3499999999999997E-2</v>
      </c>
      <c r="P8" s="163">
        <v>4.3499999999999997E-2</v>
      </c>
      <c r="Q8" s="163">
        <v>4.3499999999999997E-2</v>
      </c>
      <c r="R8" s="163">
        <v>4.3499999999999997E-2</v>
      </c>
      <c r="S8" s="163">
        <v>4.3499999999999997E-2</v>
      </c>
      <c r="T8" s="163">
        <v>4.3499999999999997E-2</v>
      </c>
      <c r="U8" s="163">
        <v>4.3499999999999997E-2</v>
      </c>
      <c r="V8" s="163">
        <v>4.3499999999999997E-2</v>
      </c>
      <c r="W8" s="163">
        <v>4.3499999999999997E-2</v>
      </c>
      <c r="X8" s="163">
        <v>4.3499999999999997E-2</v>
      </c>
      <c r="Y8" s="163">
        <v>4.3499999999999997E-2</v>
      </c>
      <c r="Z8" s="163">
        <v>4.3499999999999997E-2</v>
      </c>
      <c r="AA8" s="163">
        <v>4.3499999999999997E-2</v>
      </c>
      <c r="AB8" s="163">
        <v>4.3499999999999997E-2</v>
      </c>
      <c r="AC8" s="160"/>
      <c r="AD8" s="160"/>
      <c r="AE8" s="160"/>
      <c r="AF8" s="160"/>
      <c r="AG8" s="160"/>
      <c r="AH8" s="160"/>
      <c r="AI8" s="160"/>
      <c r="AJ8" s="160"/>
      <c r="AK8" s="160"/>
      <c r="AL8" s="160"/>
    </row>
    <row r="9" spans="1:38" x14ac:dyDescent="0.35">
      <c r="A9" s="160"/>
      <c r="B9" s="161" t="s">
        <v>111</v>
      </c>
      <c r="C9" s="160" t="s">
        <v>185</v>
      </c>
      <c r="D9" s="163">
        <v>1.6420361247948545E-3</v>
      </c>
      <c r="E9" s="163">
        <v>1.7600000000000001E-2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63">
        <v>0</v>
      </c>
      <c r="M9" s="163">
        <v>0</v>
      </c>
      <c r="N9" s="163">
        <v>0</v>
      </c>
      <c r="O9" s="163">
        <v>0</v>
      </c>
      <c r="P9" s="163">
        <v>0</v>
      </c>
      <c r="Q9" s="163">
        <v>0</v>
      </c>
      <c r="R9" s="163">
        <v>0</v>
      </c>
      <c r="S9" s="163">
        <v>0</v>
      </c>
      <c r="T9" s="163">
        <v>0</v>
      </c>
      <c r="U9" s="163">
        <v>0</v>
      </c>
      <c r="V9" s="163">
        <v>0</v>
      </c>
      <c r="W9" s="163">
        <v>0</v>
      </c>
      <c r="X9" s="163">
        <v>0</v>
      </c>
      <c r="Y9" s="163">
        <v>0</v>
      </c>
      <c r="Z9" s="163">
        <v>0</v>
      </c>
      <c r="AA9" s="163">
        <v>0</v>
      </c>
      <c r="AB9" s="163">
        <v>0</v>
      </c>
      <c r="AC9" s="160"/>
      <c r="AD9" s="160"/>
      <c r="AE9" s="160"/>
      <c r="AF9" s="160"/>
      <c r="AG9" s="160"/>
      <c r="AH9" s="160"/>
      <c r="AI9" s="160"/>
      <c r="AJ9" s="160"/>
      <c r="AK9" s="160"/>
      <c r="AL9" s="160"/>
    </row>
    <row r="10" spans="1:38" x14ac:dyDescent="0.35">
      <c r="A10" s="160"/>
      <c r="B10" s="161" t="s">
        <v>112</v>
      </c>
      <c r="C10" s="160" t="s">
        <v>185</v>
      </c>
      <c r="D10" s="163">
        <v>1.173633130724383E-5</v>
      </c>
      <c r="E10" s="163">
        <v>0</v>
      </c>
      <c r="F10" s="163">
        <v>7.8019425060242842E-3</v>
      </c>
      <c r="G10" s="163">
        <v>-1.1166967144426998E-5</v>
      </c>
      <c r="H10" s="163">
        <v>0.52807753535054691</v>
      </c>
      <c r="I10" s="163">
        <v>-0.99149635295111538</v>
      </c>
      <c r="J10" s="163">
        <v>0</v>
      </c>
      <c r="K10" s="163">
        <v>0</v>
      </c>
      <c r="L10" s="163">
        <v>3.193791650379918</v>
      </c>
      <c r="M10" s="163">
        <v>1.7229534972120484</v>
      </c>
      <c r="N10" s="163">
        <v>0.65073477523669232</v>
      </c>
      <c r="O10" s="163">
        <v>0</v>
      </c>
      <c r="P10" s="163">
        <v>0</v>
      </c>
      <c r="Q10" s="163">
        <v>0</v>
      </c>
      <c r="R10" s="163">
        <v>0</v>
      </c>
      <c r="S10" s="163">
        <v>0</v>
      </c>
      <c r="T10" s="163">
        <v>0</v>
      </c>
      <c r="U10" s="163">
        <v>0</v>
      </c>
      <c r="V10" s="163">
        <v>0</v>
      </c>
      <c r="W10" s="163">
        <v>0</v>
      </c>
      <c r="X10" s="163">
        <v>0</v>
      </c>
      <c r="Y10" s="163">
        <v>0</v>
      </c>
      <c r="Z10" s="163">
        <v>0</v>
      </c>
      <c r="AA10" s="163">
        <v>0</v>
      </c>
      <c r="AB10" s="163">
        <v>0</v>
      </c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</row>
    <row r="11" spans="1:38" x14ac:dyDescent="0.35">
      <c r="A11" s="160"/>
      <c r="B11" s="161" t="s">
        <v>187</v>
      </c>
      <c r="C11" s="160" t="s">
        <v>188</v>
      </c>
      <c r="D11" s="163">
        <v>6.3700000000000007E-2</v>
      </c>
      <c r="E11" s="163">
        <v>4.0300000000000002E-2</v>
      </c>
      <c r="F11" s="163">
        <v>4.0300000000000002E-2</v>
      </c>
      <c r="G11" s="163">
        <v>4.0300000000000002E-2</v>
      </c>
      <c r="H11" s="163">
        <v>4.0300000000000002E-2</v>
      </c>
      <c r="I11" s="163">
        <v>4.0300000000000002E-2</v>
      </c>
      <c r="J11" s="163">
        <v>4.0300000000000002E-2</v>
      </c>
      <c r="K11" s="163">
        <v>4.0300000000000002E-2</v>
      </c>
      <c r="L11" s="163">
        <v>4.0300000000000002E-2</v>
      </c>
      <c r="M11" s="163">
        <v>4.0300000000000002E-2</v>
      </c>
      <c r="N11" s="163">
        <v>4.0300000000000002E-2</v>
      </c>
      <c r="O11" s="163">
        <v>4.0300000000000002E-2</v>
      </c>
      <c r="P11" s="163">
        <v>4.0300000000000002E-2</v>
      </c>
      <c r="Q11" s="163">
        <v>4.0300000000000002E-2</v>
      </c>
      <c r="R11" s="163">
        <v>4.0300000000000002E-2</v>
      </c>
      <c r="S11" s="163">
        <v>4.0300000000000002E-2</v>
      </c>
      <c r="T11" s="163">
        <v>4.0300000000000002E-2</v>
      </c>
      <c r="U11" s="163">
        <v>4.0300000000000002E-2</v>
      </c>
      <c r="V11" s="163">
        <v>4.0300000000000002E-2</v>
      </c>
      <c r="W11" s="163">
        <v>4.0300000000000002E-2</v>
      </c>
      <c r="X11" s="163">
        <v>4.0300000000000002E-2</v>
      </c>
      <c r="Y11" s="163">
        <v>4.0300000000000002E-2</v>
      </c>
      <c r="Z11" s="163">
        <v>4.0300000000000002E-2</v>
      </c>
      <c r="AA11" s="163">
        <v>4.0300000000000002E-2</v>
      </c>
      <c r="AB11" s="163">
        <v>4.0300000000000002E-2</v>
      </c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</row>
    <row r="12" spans="1:38" x14ac:dyDescent="0.35">
      <c r="A12" s="160"/>
      <c r="B12" s="161" t="s">
        <v>189</v>
      </c>
      <c r="C12" s="160" t="s">
        <v>185</v>
      </c>
      <c r="D12" s="163">
        <v>2.5399999999999999E-2</v>
      </c>
      <c r="E12" s="163">
        <v>2.5999999999999999E-2</v>
      </c>
      <c r="F12" s="163">
        <v>2.5999999999999999E-2</v>
      </c>
      <c r="G12" s="163">
        <v>2.5999999999999999E-2</v>
      </c>
      <c r="H12" s="163">
        <v>2.5999999999999999E-2</v>
      </c>
      <c r="I12" s="163">
        <v>2.5999999999999999E-2</v>
      </c>
      <c r="J12" s="163">
        <v>2.5999999999999999E-2</v>
      </c>
      <c r="K12" s="163">
        <v>2.5999999999999999E-2</v>
      </c>
      <c r="L12" s="163">
        <v>2.5999999999999999E-2</v>
      </c>
      <c r="M12" s="163">
        <v>2.5999999999999999E-2</v>
      </c>
      <c r="N12" s="163">
        <v>2.5999999999999999E-2</v>
      </c>
      <c r="O12" s="163">
        <v>2.5999999999999999E-2</v>
      </c>
      <c r="P12" s="163">
        <v>2.5999999999999999E-2</v>
      </c>
      <c r="Q12" s="163">
        <v>2.5999999999999999E-2</v>
      </c>
      <c r="R12" s="163">
        <v>2.5999999999999999E-2</v>
      </c>
      <c r="S12" s="163">
        <v>2.5999999999999999E-2</v>
      </c>
      <c r="T12" s="163">
        <v>2.5999999999999999E-2</v>
      </c>
      <c r="U12" s="163">
        <v>2.5999999999999999E-2</v>
      </c>
      <c r="V12" s="163">
        <v>2.5999999999999999E-2</v>
      </c>
      <c r="W12" s="163">
        <v>2.5999999999999999E-2</v>
      </c>
      <c r="X12" s="163">
        <v>2.5999999999999999E-2</v>
      </c>
      <c r="Y12" s="163">
        <v>2.5999999999999999E-2</v>
      </c>
      <c r="Z12" s="163">
        <v>2.5999999999999999E-2</v>
      </c>
      <c r="AA12" s="163">
        <v>2.5999999999999999E-2</v>
      </c>
      <c r="AB12" s="163">
        <v>2.5999999999999999E-2</v>
      </c>
      <c r="AC12" s="160"/>
      <c r="AD12" s="160"/>
      <c r="AE12" s="160"/>
      <c r="AF12" s="160"/>
      <c r="AG12" s="160"/>
      <c r="AH12" s="160"/>
      <c r="AI12" s="160"/>
      <c r="AJ12" s="160"/>
      <c r="AK12" s="160"/>
      <c r="AL12" s="160"/>
    </row>
    <row r="13" spans="1:38" x14ac:dyDescent="0.35">
      <c r="A13" s="160"/>
      <c r="B13" s="161" t="s">
        <v>46</v>
      </c>
      <c r="C13" s="160" t="s">
        <v>185</v>
      </c>
      <c r="D13" s="163">
        <v>3.3799999999999997E-2</v>
      </c>
      <c r="E13" s="163">
        <v>3.3799999999999997E-2</v>
      </c>
      <c r="F13" s="163">
        <v>3.3799999999999997E-2</v>
      </c>
      <c r="G13" s="163">
        <v>4.1799999999999997E-2</v>
      </c>
      <c r="H13" s="163">
        <v>4.1799999999999997E-2</v>
      </c>
      <c r="I13" s="163">
        <v>4.1799999999999997E-2</v>
      </c>
      <c r="J13" s="163">
        <v>4.1799999999999997E-2</v>
      </c>
      <c r="K13" s="163">
        <v>4.1799999999999997E-2</v>
      </c>
      <c r="L13" s="163">
        <v>4.1799999999999997E-2</v>
      </c>
      <c r="M13" s="163">
        <v>4.1799999999999997E-2</v>
      </c>
      <c r="N13" s="163">
        <v>4.1799999999999997E-2</v>
      </c>
      <c r="O13" s="163">
        <v>4.1799999999999997E-2</v>
      </c>
      <c r="P13" s="163">
        <v>4.1799999999999997E-2</v>
      </c>
      <c r="Q13" s="163">
        <v>4.1799999999999997E-2</v>
      </c>
      <c r="R13" s="163">
        <v>4.1799999999999997E-2</v>
      </c>
      <c r="S13" s="163">
        <v>4.1799999999999997E-2</v>
      </c>
      <c r="T13" s="163">
        <v>4.1799999999999997E-2</v>
      </c>
      <c r="U13" s="163">
        <v>4.1799999999999997E-2</v>
      </c>
      <c r="V13" s="163">
        <v>4.1799999999999997E-2</v>
      </c>
      <c r="W13" s="163">
        <v>4.1799999999999997E-2</v>
      </c>
      <c r="X13" s="163">
        <v>4.1799999999999997E-2</v>
      </c>
      <c r="Y13" s="163">
        <v>4.1799999999999997E-2</v>
      </c>
      <c r="Z13" s="163">
        <v>4.1799999999999997E-2</v>
      </c>
      <c r="AA13" s="163">
        <v>4.1799999999999997E-2</v>
      </c>
      <c r="AB13" s="163">
        <v>4.1799999999999997E-2</v>
      </c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</row>
    <row r="14" spans="1:38" x14ac:dyDescent="0.35">
      <c r="A14" s="160"/>
      <c r="B14" s="161" t="s">
        <v>74</v>
      </c>
      <c r="C14" s="160" t="s">
        <v>185</v>
      </c>
      <c r="D14" s="163">
        <v>3.3799999999999997E-2</v>
      </c>
      <c r="E14" s="163">
        <v>3.3799999999999997E-2</v>
      </c>
      <c r="F14" s="163">
        <v>3.3799999999999997E-2</v>
      </c>
      <c r="G14" s="163">
        <v>4.1799999999999997E-2</v>
      </c>
      <c r="H14" s="163">
        <v>4.1799999999999997E-2</v>
      </c>
      <c r="I14" s="163">
        <v>4.1799999999999997E-2</v>
      </c>
      <c r="J14" s="163">
        <v>4.1799999999999997E-2</v>
      </c>
      <c r="K14" s="163">
        <v>4.1799999999999997E-2</v>
      </c>
      <c r="L14" s="163">
        <v>4.1799999999999997E-2</v>
      </c>
      <c r="M14" s="163">
        <v>4.1799999999999997E-2</v>
      </c>
      <c r="N14" s="163">
        <v>4.1799999999999997E-2</v>
      </c>
      <c r="O14" s="163">
        <v>4.1799999999999997E-2</v>
      </c>
      <c r="P14" s="163">
        <v>4.1799999999999997E-2</v>
      </c>
      <c r="Q14" s="163">
        <v>4.1799999999999997E-2</v>
      </c>
      <c r="R14" s="163">
        <v>4.1799999999999997E-2</v>
      </c>
      <c r="S14" s="163">
        <v>4.1799999999999997E-2</v>
      </c>
      <c r="T14" s="163">
        <v>4.1799999999999997E-2</v>
      </c>
      <c r="U14" s="163">
        <v>4.1799999999999997E-2</v>
      </c>
      <c r="V14" s="163">
        <v>4.1799999999999997E-2</v>
      </c>
      <c r="W14" s="163">
        <v>4.1799999999999997E-2</v>
      </c>
      <c r="X14" s="163">
        <v>4.1799999999999997E-2</v>
      </c>
      <c r="Y14" s="163">
        <v>4.1799999999999997E-2</v>
      </c>
      <c r="Z14" s="163">
        <v>4.1799999999999997E-2</v>
      </c>
      <c r="AA14" s="163">
        <v>4.1799999999999997E-2</v>
      </c>
      <c r="AB14" s="163">
        <v>4.1799999999999997E-2</v>
      </c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</row>
    <row r="15" spans="1:38" x14ac:dyDescent="0.35">
      <c r="A15" s="160"/>
      <c r="B15" s="161" t="s">
        <v>65</v>
      </c>
      <c r="C15" s="160" t="s">
        <v>185</v>
      </c>
      <c r="D15" s="163">
        <v>2.06E-2</v>
      </c>
      <c r="E15" s="163">
        <v>2.06E-2</v>
      </c>
      <c r="F15" s="163">
        <v>2.06E-2</v>
      </c>
      <c r="G15" s="163">
        <v>5.6399999999999999E-2</v>
      </c>
      <c r="H15" s="163">
        <v>5.6399999999999999E-2</v>
      </c>
      <c r="I15" s="163">
        <v>5.6399999999999999E-2</v>
      </c>
      <c r="J15" s="163">
        <v>5.6399999999999999E-2</v>
      </c>
      <c r="K15" s="163">
        <v>5.6399999999999999E-2</v>
      </c>
      <c r="L15" s="163">
        <v>5.6399999999999999E-2</v>
      </c>
      <c r="M15" s="163">
        <v>5.6399999999999999E-2</v>
      </c>
      <c r="N15" s="163">
        <v>5.6399999999999999E-2</v>
      </c>
      <c r="O15" s="163">
        <v>5.6399999999999999E-2</v>
      </c>
      <c r="P15" s="163">
        <v>5.6399999999999999E-2</v>
      </c>
      <c r="Q15" s="163">
        <v>5.6399999999999999E-2</v>
      </c>
      <c r="R15" s="163">
        <v>5.6399999999999999E-2</v>
      </c>
      <c r="S15" s="163">
        <v>5.6399999999999999E-2</v>
      </c>
      <c r="T15" s="163">
        <v>5.6399999999999999E-2</v>
      </c>
      <c r="U15" s="163">
        <v>5.6399999999999999E-2</v>
      </c>
      <c r="V15" s="163">
        <v>5.6399999999999999E-2</v>
      </c>
      <c r="W15" s="163">
        <v>5.6399999999999999E-2</v>
      </c>
      <c r="X15" s="163">
        <v>5.6399999999999999E-2</v>
      </c>
      <c r="Y15" s="163">
        <v>5.6399999999999999E-2</v>
      </c>
      <c r="Z15" s="163">
        <v>5.6399999999999999E-2</v>
      </c>
      <c r="AA15" s="163">
        <v>5.6399999999999999E-2</v>
      </c>
      <c r="AB15" s="163">
        <v>5.6399999999999999E-2</v>
      </c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</row>
    <row r="16" spans="1:38" x14ac:dyDescent="0.35">
      <c r="A16" s="160"/>
      <c r="B16" s="161" t="s">
        <v>130</v>
      </c>
      <c r="C16" s="160" t="s">
        <v>185</v>
      </c>
      <c r="D16" s="163">
        <v>7.5999999999999998E-2</v>
      </c>
      <c r="E16" s="163">
        <v>6.6000000000000003E-2</v>
      </c>
      <c r="F16" s="163">
        <v>2.5999999999999999E-2</v>
      </c>
      <c r="G16" s="163">
        <v>2.3E-2</v>
      </c>
      <c r="H16" s="163">
        <v>2.5000000000000001E-2</v>
      </c>
      <c r="I16" s="163">
        <v>3.1E-2</v>
      </c>
      <c r="J16" s="163">
        <v>2.5000000000000001E-2</v>
      </c>
      <c r="K16" s="163">
        <v>3.1E-2</v>
      </c>
      <c r="L16" s="163">
        <v>3.1E-2</v>
      </c>
      <c r="M16" s="163">
        <v>3.1E-2</v>
      </c>
      <c r="N16" s="163">
        <v>3.1E-2</v>
      </c>
      <c r="O16" s="163">
        <v>3.1E-2</v>
      </c>
      <c r="P16" s="163">
        <v>3.1E-2</v>
      </c>
      <c r="Q16" s="163">
        <v>3.1E-2</v>
      </c>
      <c r="R16" s="163">
        <v>3.1E-2</v>
      </c>
      <c r="S16" s="163">
        <v>3.1E-2</v>
      </c>
      <c r="T16" s="163">
        <v>3.1E-2</v>
      </c>
      <c r="U16" s="163">
        <v>3.1E-2</v>
      </c>
      <c r="V16" s="163">
        <v>3.1E-2</v>
      </c>
      <c r="W16" s="163">
        <v>3.1E-2</v>
      </c>
      <c r="X16" s="163">
        <v>3.1E-2</v>
      </c>
      <c r="Y16" s="163">
        <v>3.1E-2</v>
      </c>
      <c r="Z16" s="163">
        <v>3.1E-2</v>
      </c>
      <c r="AA16" s="163">
        <v>3.1E-2</v>
      </c>
      <c r="AB16" s="163">
        <v>3.1E-2</v>
      </c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</row>
    <row r="17" spans="1:38" x14ac:dyDescent="0.35">
      <c r="A17" s="160"/>
      <c r="B17" s="161" t="s">
        <v>132</v>
      </c>
      <c r="C17" s="160" t="s">
        <v>185</v>
      </c>
      <c r="D17" s="163">
        <v>0</v>
      </c>
      <c r="E17" s="163">
        <v>1.7000000000000001E-2</v>
      </c>
      <c r="F17" s="163">
        <v>4.7E-2</v>
      </c>
      <c r="G17" s="163">
        <v>0.03</v>
      </c>
      <c r="H17" s="163">
        <v>2.1999999999999999E-2</v>
      </c>
      <c r="I17" s="163">
        <v>2.1000000000000001E-2</v>
      </c>
      <c r="J17" s="163">
        <v>2.1999999999999999E-2</v>
      </c>
      <c r="K17" s="163">
        <v>2.1000000000000001E-2</v>
      </c>
      <c r="L17" s="163">
        <v>2.1000000000000001E-2</v>
      </c>
      <c r="M17" s="163">
        <v>2.1000000000000001E-2</v>
      </c>
      <c r="N17" s="163">
        <v>2.1000000000000001E-2</v>
      </c>
      <c r="O17" s="163">
        <v>2.1000000000000001E-2</v>
      </c>
      <c r="P17" s="163">
        <v>2.1000000000000001E-2</v>
      </c>
      <c r="Q17" s="163">
        <v>2.1000000000000001E-2</v>
      </c>
      <c r="R17" s="163">
        <v>2.1000000000000001E-2</v>
      </c>
      <c r="S17" s="163">
        <v>2.1000000000000001E-2</v>
      </c>
      <c r="T17" s="163">
        <v>2.1000000000000001E-2</v>
      </c>
      <c r="U17" s="163">
        <v>2.1000000000000001E-2</v>
      </c>
      <c r="V17" s="163">
        <v>2.1000000000000001E-2</v>
      </c>
      <c r="W17" s="163">
        <v>2.1000000000000001E-2</v>
      </c>
      <c r="X17" s="163">
        <v>2.1000000000000001E-2</v>
      </c>
      <c r="Y17" s="163">
        <v>2.1000000000000001E-2</v>
      </c>
      <c r="Z17" s="163">
        <v>2.1000000000000001E-2</v>
      </c>
      <c r="AA17" s="163">
        <v>2.1000000000000001E-2</v>
      </c>
      <c r="AB17" s="163">
        <v>2.1000000000000001E-2</v>
      </c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</row>
    <row r="18" spans="1:38" x14ac:dyDescent="0.35">
      <c r="A18" s="160"/>
      <c r="B18" s="161" t="s">
        <v>134</v>
      </c>
      <c r="C18" s="160" t="s">
        <v>185</v>
      </c>
      <c r="D18" s="163">
        <v>0</v>
      </c>
      <c r="E18" s="163">
        <v>0</v>
      </c>
      <c r="F18" s="163">
        <v>0</v>
      </c>
      <c r="G18" s="163">
        <v>3.9300000000000002E-2</v>
      </c>
      <c r="H18" s="163">
        <v>3.9300000000000002E-2</v>
      </c>
      <c r="I18" s="163">
        <v>3.9300000000000002E-2</v>
      </c>
      <c r="J18" s="163">
        <v>3.9300000000000002E-2</v>
      </c>
      <c r="K18" s="163">
        <v>3.9300000000000002E-2</v>
      </c>
      <c r="L18" s="163">
        <v>3.9300000000000002E-2</v>
      </c>
      <c r="M18" s="163">
        <v>3.9300000000000002E-2</v>
      </c>
      <c r="N18" s="163">
        <v>3.9300000000000002E-2</v>
      </c>
      <c r="O18" s="163">
        <v>3.9300000000000002E-2</v>
      </c>
      <c r="P18" s="163">
        <v>3.9300000000000002E-2</v>
      </c>
      <c r="Q18" s="163">
        <v>3.9300000000000002E-2</v>
      </c>
      <c r="R18" s="163">
        <v>3.9300000000000002E-2</v>
      </c>
      <c r="S18" s="163">
        <v>3.9300000000000002E-2</v>
      </c>
      <c r="T18" s="163">
        <v>3.9300000000000002E-2</v>
      </c>
      <c r="U18" s="163">
        <v>3.9300000000000002E-2</v>
      </c>
      <c r="V18" s="163">
        <v>3.9300000000000002E-2</v>
      </c>
      <c r="W18" s="163">
        <v>3.9300000000000002E-2</v>
      </c>
      <c r="X18" s="163">
        <v>3.9300000000000002E-2</v>
      </c>
      <c r="Y18" s="163">
        <v>3.9300000000000002E-2</v>
      </c>
      <c r="Z18" s="163">
        <v>3.9300000000000002E-2</v>
      </c>
      <c r="AA18" s="163">
        <v>3.9300000000000002E-2</v>
      </c>
      <c r="AB18" s="163">
        <v>3.9300000000000002E-2</v>
      </c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</row>
    <row r="19" spans="1:38" x14ac:dyDescent="0.35">
      <c r="A19" s="160"/>
      <c r="B19" s="161" t="s">
        <v>63</v>
      </c>
      <c r="C19" s="160" t="s">
        <v>185</v>
      </c>
      <c r="D19" s="163">
        <v>0</v>
      </c>
      <c r="E19" s="163">
        <v>0</v>
      </c>
      <c r="F19" s="163">
        <v>0</v>
      </c>
      <c r="G19" s="163">
        <v>0</v>
      </c>
      <c r="H19" s="163">
        <v>0</v>
      </c>
      <c r="I19" s="163">
        <v>0</v>
      </c>
      <c r="J19" s="163">
        <v>0</v>
      </c>
      <c r="K19" s="163">
        <v>0</v>
      </c>
      <c r="L19" s="163">
        <v>0</v>
      </c>
      <c r="M19" s="163">
        <v>0</v>
      </c>
      <c r="N19" s="163">
        <v>0</v>
      </c>
      <c r="O19" s="163">
        <v>0</v>
      </c>
      <c r="P19" s="163">
        <v>0</v>
      </c>
      <c r="Q19" s="163">
        <v>0</v>
      </c>
      <c r="R19" s="163">
        <v>0</v>
      </c>
      <c r="S19" s="163">
        <v>0</v>
      </c>
      <c r="T19" s="163">
        <v>0</v>
      </c>
      <c r="U19" s="163">
        <v>0</v>
      </c>
      <c r="V19" s="163">
        <v>0</v>
      </c>
      <c r="W19" s="163">
        <v>0</v>
      </c>
      <c r="X19" s="163">
        <v>0</v>
      </c>
      <c r="Y19" s="163">
        <v>0</v>
      </c>
      <c r="Z19" s="163">
        <v>0</v>
      </c>
      <c r="AA19" s="163">
        <v>0</v>
      </c>
      <c r="AB19" s="163">
        <v>0</v>
      </c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</row>
    <row r="20" spans="1:38" x14ac:dyDescent="0.35">
      <c r="A20" s="160"/>
      <c r="B20" s="161" t="s">
        <v>190</v>
      </c>
      <c r="C20" s="160" t="s">
        <v>185</v>
      </c>
      <c r="D20" s="163">
        <v>3.3799999999999997E-2</v>
      </c>
      <c r="E20" s="163">
        <v>3.3799999999999997E-2</v>
      </c>
      <c r="F20" s="163">
        <v>3.3799999999999997E-2</v>
      </c>
      <c r="G20" s="163">
        <v>4.1799999999999997E-2</v>
      </c>
      <c r="H20" s="163">
        <v>4.1799999999999997E-2</v>
      </c>
      <c r="I20" s="163">
        <v>4.1799999999999997E-2</v>
      </c>
      <c r="J20" s="163">
        <v>4.1799999999999997E-2</v>
      </c>
      <c r="K20" s="163">
        <v>4.1799999999999997E-2</v>
      </c>
      <c r="L20" s="163">
        <v>4.1799999999999997E-2</v>
      </c>
      <c r="M20" s="163">
        <v>4.1799999999999997E-2</v>
      </c>
      <c r="N20" s="163">
        <v>4.1799999999999997E-2</v>
      </c>
      <c r="O20" s="163">
        <v>4.1799999999999997E-2</v>
      </c>
      <c r="P20" s="163">
        <v>4.1799999999999997E-2</v>
      </c>
      <c r="Q20" s="163">
        <v>4.1799999999999997E-2</v>
      </c>
      <c r="R20" s="163">
        <v>4.1799999999999997E-2</v>
      </c>
      <c r="S20" s="163">
        <v>4.1799999999999997E-2</v>
      </c>
      <c r="T20" s="163">
        <v>4.1799999999999997E-2</v>
      </c>
      <c r="U20" s="163">
        <v>4.1799999999999997E-2</v>
      </c>
      <c r="V20" s="163">
        <v>4.1799999999999997E-2</v>
      </c>
      <c r="W20" s="163">
        <v>4.1799999999999997E-2</v>
      </c>
      <c r="X20" s="163">
        <v>4.1799999999999997E-2</v>
      </c>
      <c r="Y20" s="163">
        <v>4.1799999999999997E-2</v>
      </c>
      <c r="Z20" s="163">
        <v>4.1799999999999997E-2</v>
      </c>
      <c r="AA20" s="163">
        <v>4.1799999999999997E-2</v>
      </c>
      <c r="AB20" s="163">
        <v>4.1799999999999997E-2</v>
      </c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</row>
    <row r="21" spans="1:38" x14ac:dyDescent="0.35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</row>
    <row r="22" spans="1:38" ht="15" thickBot="1" x14ac:dyDescent="0.4"/>
    <row r="23" spans="1:38" ht="19" thickTop="1" x14ac:dyDescent="0.45">
      <c r="A23" s="170"/>
      <c r="B23" s="12" t="s">
        <v>191</v>
      </c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</row>
    <row r="25" spans="1:38" ht="17" x14ac:dyDescent="0.5">
      <c r="B25" s="164" t="s">
        <v>192</v>
      </c>
      <c r="C25" s="165"/>
    </row>
    <row r="26" spans="1:38" x14ac:dyDescent="0.35">
      <c r="B26" s="166" t="s">
        <v>193</v>
      </c>
      <c r="C26" s="161"/>
    </row>
    <row r="27" spans="1:38" x14ac:dyDescent="0.35">
      <c r="A27" t="str">
        <f>+B26</f>
        <v>Human Resources and Administration</v>
      </c>
      <c r="B27" s="167" t="s">
        <v>166</v>
      </c>
      <c r="C27" s="162">
        <v>100</v>
      </c>
      <c r="D27" s="168">
        <v>1</v>
      </c>
      <c r="E27" t="str">
        <f t="shared" ref="E27:E32" si="0">+A27&amp;" - "&amp;B27</f>
        <v>Human Resources and Administration - Salaries &amp; Wages</v>
      </c>
    </row>
    <row r="28" spans="1:38" x14ac:dyDescent="0.35">
      <c r="A28" t="str">
        <f>+A27</f>
        <v>Human Resources and Administration</v>
      </c>
      <c r="B28" s="167" t="s">
        <v>194</v>
      </c>
      <c r="C28" s="162">
        <v>200</v>
      </c>
      <c r="D28" s="168">
        <v>1</v>
      </c>
      <c r="E28" t="str">
        <f t="shared" si="0"/>
        <v>Human Resources and Administration - Services</v>
      </c>
    </row>
    <row r="29" spans="1:38" x14ac:dyDescent="0.35">
      <c r="A29" t="str">
        <f t="shared" ref="A29:A32" si="1">+A28</f>
        <v>Human Resources and Administration</v>
      </c>
      <c r="B29" s="167" t="s">
        <v>195</v>
      </c>
      <c r="C29" s="162">
        <v>300</v>
      </c>
      <c r="D29" s="168">
        <v>0.98504631821832478</v>
      </c>
      <c r="E29" t="str">
        <f t="shared" si="0"/>
        <v>Human Resources and Administration - Materials and Supplies</v>
      </c>
    </row>
    <row r="30" spans="1:38" x14ac:dyDescent="0.35">
      <c r="A30" t="str">
        <f t="shared" si="1"/>
        <v>Human Resources and Administration</v>
      </c>
      <c r="B30" s="167" t="s">
        <v>196</v>
      </c>
      <c r="C30" s="162">
        <v>400</v>
      </c>
      <c r="D30" s="168">
        <v>1</v>
      </c>
      <c r="E30" t="str">
        <f t="shared" si="0"/>
        <v>Human Resources and Administration - Equipment</v>
      </c>
    </row>
    <row r="31" spans="1:38" x14ac:dyDescent="0.35">
      <c r="A31" t="str">
        <f t="shared" si="1"/>
        <v>Human Resources and Administration</v>
      </c>
      <c r="B31" s="167" t="s">
        <v>63</v>
      </c>
      <c r="C31" s="162">
        <v>500</v>
      </c>
      <c r="D31" s="168">
        <v>1E-14</v>
      </c>
      <c r="E31" t="str">
        <f t="shared" si="0"/>
        <v>Human Resources and Administration - Indemnities</v>
      </c>
    </row>
    <row r="32" spans="1:38" x14ac:dyDescent="0.35">
      <c r="A32" t="str">
        <f t="shared" si="1"/>
        <v>Human Resources and Administration</v>
      </c>
      <c r="B32" s="167" t="s">
        <v>190</v>
      </c>
      <c r="C32" s="162">
        <v>800</v>
      </c>
      <c r="D32" s="168">
        <v>1E-14</v>
      </c>
      <c r="E32" t="str">
        <f t="shared" si="0"/>
        <v>Human Resources and Administration - Transfers</v>
      </c>
    </row>
    <row r="33" spans="1:5" x14ac:dyDescent="0.35">
      <c r="B33" s="161"/>
      <c r="C33" s="162"/>
      <c r="D33" s="160"/>
    </row>
    <row r="34" spans="1:5" x14ac:dyDescent="0.35">
      <c r="B34" s="167" t="s">
        <v>197</v>
      </c>
      <c r="C34" s="162"/>
      <c r="D34" s="160"/>
    </row>
    <row r="35" spans="1:5" x14ac:dyDescent="0.35">
      <c r="B35" s="161"/>
      <c r="C35" s="162"/>
      <c r="D35" s="160"/>
    </row>
    <row r="36" spans="1:5" x14ac:dyDescent="0.35">
      <c r="B36" s="166" t="s">
        <v>12</v>
      </c>
      <c r="C36" s="162"/>
      <c r="D36" s="160"/>
    </row>
    <row r="37" spans="1:5" x14ac:dyDescent="0.35">
      <c r="A37" t="str">
        <f>+B36</f>
        <v>Finance</v>
      </c>
      <c r="B37" s="167" t="s">
        <v>166</v>
      </c>
      <c r="C37" s="162">
        <v>100</v>
      </c>
      <c r="D37" s="168">
        <v>0.71817541036395338</v>
      </c>
      <c r="E37" t="str">
        <f>+A37&amp;" - "&amp;B37</f>
        <v>Finance - Salaries &amp; Wages</v>
      </c>
    </row>
    <row r="38" spans="1:5" x14ac:dyDescent="0.35">
      <c r="A38" t="str">
        <f t="shared" ref="A38:A43" si="2">+A37</f>
        <v>Finance</v>
      </c>
      <c r="B38" s="167" t="s">
        <v>194</v>
      </c>
      <c r="C38" s="162">
        <v>200</v>
      </c>
      <c r="D38" s="168">
        <v>0.91511370650323276</v>
      </c>
      <c r="E38" t="str">
        <f t="shared" ref="E38:E43" si="3">+A38&amp;" - "&amp;B38</f>
        <v>Finance - Services</v>
      </c>
    </row>
    <row r="39" spans="1:5" x14ac:dyDescent="0.35">
      <c r="A39" t="str">
        <f t="shared" si="2"/>
        <v>Finance</v>
      </c>
      <c r="B39" s="167" t="s">
        <v>198</v>
      </c>
      <c r="C39" s="162" t="s">
        <v>199</v>
      </c>
      <c r="D39" s="168">
        <v>1</v>
      </c>
      <c r="E39" t="str">
        <f t="shared" si="3"/>
        <v>Finance - SMIP/GARP</v>
      </c>
    </row>
    <row r="40" spans="1:5" x14ac:dyDescent="0.35">
      <c r="A40" t="str">
        <f t="shared" si="2"/>
        <v>Finance</v>
      </c>
      <c r="B40" s="167" t="s">
        <v>195</v>
      </c>
      <c r="C40" s="162">
        <v>300</v>
      </c>
      <c r="D40" s="168">
        <v>3.50835734870317E-2</v>
      </c>
      <c r="E40" t="str">
        <f t="shared" si="3"/>
        <v>Finance - Materials and Supplies</v>
      </c>
    </row>
    <row r="41" spans="1:5" x14ac:dyDescent="0.35">
      <c r="A41" t="str">
        <f t="shared" si="2"/>
        <v>Finance</v>
      </c>
      <c r="B41" s="167" t="s">
        <v>196</v>
      </c>
      <c r="C41" s="162">
        <v>400</v>
      </c>
      <c r="D41" s="168">
        <v>0</v>
      </c>
      <c r="E41" t="str">
        <f t="shared" si="3"/>
        <v>Finance - Equipment</v>
      </c>
    </row>
    <row r="42" spans="1:5" x14ac:dyDescent="0.35">
      <c r="A42" t="str">
        <f t="shared" si="2"/>
        <v>Finance</v>
      </c>
      <c r="B42" s="167" t="s">
        <v>63</v>
      </c>
      <c r="C42" s="162">
        <v>500</v>
      </c>
      <c r="D42" s="168">
        <v>0</v>
      </c>
      <c r="E42" t="str">
        <f t="shared" si="3"/>
        <v>Finance - Indemnities</v>
      </c>
    </row>
    <row r="43" spans="1:5" x14ac:dyDescent="0.35">
      <c r="A43" t="str">
        <f t="shared" si="2"/>
        <v>Finance</v>
      </c>
      <c r="B43" s="167" t="s">
        <v>190</v>
      </c>
      <c r="C43" s="162">
        <v>800</v>
      </c>
      <c r="D43" s="168">
        <v>0.95233175000000003</v>
      </c>
      <c r="E43" t="str">
        <f t="shared" si="3"/>
        <v>Finance - Transfers</v>
      </c>
    </row>
    <row r="44" spans="1:5" x14ac:dyDescent="0.35">
      <c r="B44" s="167"/>
      <c r="C44" s="162"/>
      <c r="D44" s="160"/>
    </row>
    <row r="45" spans="1:5" x14ac:dyDescent="0.35">
      <c r="B45" s="161" t="s">
        <v>200</v>
      </c>
      <c r="C45" s="162"/>
      <c r="D45" s="160"/>
    </row>
    <row r="46" spans="1:5" x14ac:dyDescent="0.35">
      <c r="B46" s="166"/>
      <c r="C46" s="161"/>
      <c r="D46" s="160"/>
    </row>
    <row r="47" spans="1:5" x14ac:dyDescent="0.35">
      <c r="B47" s="166" t="s">
        <v>201</v>
      </c>
      <c r="C47" s="162"/>
      <c r="D47" s="160"/>
    </row>
    <row r="48" spans="1:5" x14ac:dyDescent="0.35">
      <c r="A48" t="str">
        <f>+B47</f>
        <v>Construction and Engineering</v>
      </c>
      <c r="B48" s="167" t="s">
        <v>166</v>
      </c>
      <c r="C48" s="162">
        <v>100</v>
      </c>
      <c r="D48" s="168">
        <v>0.89208423081395782</v>
      </c>
      <c r="E48" t="str">
        <f t="shared" ref="E48:E53" si="4">+A48&amp;" - "&amp;B48</f>
        <v>Construction and Engineering - Salaries &amp; Wages</v>
      </c>
    </row>
    <row r="49" spans="1:5" x14ac:dyDescent="0.35">
      <c r="A49" t="str">
        <f t="shared" ref="A49:A54" si="5">+A48</f>
        <v>Construction and Engineering</v>
      </c>
      <c r="B49" s="167" t="s">
        <v>194</v>
      </c>
      <c r="C49" s="162">
        <v>200</v>
      </c>
      <c r="D49" s="168">
        <v>0.61888051422030466</v>
      </c>
      <c r="E49" t="str">
        <f t="shared" si="4"/>
        <v>Construction and Engineering - Services</v>
      </c>
    </row>
    <row r="50" spans="1:5" x14ac:dyDescent="0.35">
      <c r="A50" t="str">
        <f t="shared" si="5"/>
        <v>Construction and Engineering</v>
      </c>
      <c r="B50" s="167" t="s">
        <v>195</v>
      </c>
      <c r="C50" s="162">
        <v>300</v>
      </c>
      <c r="D50" s="168">
        <v>0.32773877292852627</v>
      </c>
      <c r="E50" t="str">
        <f t="shared" si="4"/>
        <v>Construction and Engineering - Materials and Supplies</v>
      </c>
    </row>
    <row r="51" spans="1:5" x14ac:dyDescent="0.35">
      <c r="A51" t="str">
        <f t="shared" si="5"/>
        <v>Construction and Engineering</v>
      </c>
      <c r="B51" s="167" t="s">
        <v>196</v>
      </c>
      <c r="C51" s="162">
        <v>400</v>
      </c>
      <c r="D51" s="168">
        <v>9.7036334913112171E-2</v>
      </c>
      <c r="E51" t="str">
        <f t="shared" si="4"/>
        <v>Construction and Engineering - Equipment</v>
      </c>
    </row>
    <row r="52" spans="1:5" x14ac:dyDescent="0.35">
      <c r="A52" t="str">
        <f t="shared" si="5"/>
        <v>Construction and Engineering</v>
      </c>
      <c r="B52" s="167" t="s">
        <v>63</v>
      </c>
      <c r="C52" s="162">
        <v>500</v>
      </c>
      <c r="D52" s="168">
        <v>0</v>
      </c>
      <c r="E52" t="str">
        <f t="shared" si="4"/>
        <v>Construction and Engineering - Indemnities</v>
      </c>
    </row>
    <row r="53" spans="1:5" x14ac:dyDescent="0.35">
      <c r="A53" t="str">
        <f t="shared" si="5"/>
        <v>Construction and Engineering</v>
      </c>
      <c r="B53" s="167" t="s">
        <v>190</v>
      </c>
      <c r="C53" s="162">
        <v>800</v>
      </c>
      <c r="D53" s="168">
        <v>0</v>
      </c>
      <c r="E53" t="str">
        <f t="shared" si="4"/>
        <v>Construction and Engineering - Transfers</v>
      </c>
    </row>
    <row r="54" spans="1:5" x14ac:dyDescent="0.35">
      <c r="A54" t="str">
        <f t="shared" si="5"/>
        <v>Construction and Engineering</v>
      </c>
      <c r="B54" s="167"/>
      <c r="C54" s="162"/>
      <c r="D54" s="160"/>
    </row>
    <row r="55" spans="1:5" x14ac:dyDescent="0.35">
      <c r="B55" s="161" t="s">
        <v>202</v>
      </c>
      <c r="C55" s="162"/>
      <c r="D55" s="160"/>
    </row>
    <row r="56" spans="1:5" x14ac:dyDescent="0.35">
      <c r="B56" s="166"/>
      <c r="C56" s="162"/>
      <c r="D56" s="160"/>
    </row>
    <row r="57" spans="1:5" x14ac:dyDescent="0.35">
      <c r="B57" s="166" t="s">
        <v>51</v>
      </c>
      <c r="C57" s="162"/>
      <c r="D57" s="160"/>
    </row>
    <row r="58" spans="1:5" x14ac:dyDescent="0.35">
      <c r="A58" t="str">
        <f>+B57</f>
        <v>Operations</v>
      </c>
      <c r="B58" s="167" t="s">
        <v>166</v>
      </c>
      <c r="C58" s="162">
        <v>100</v>
      </c>
      <c r="D58" s="168">
        <v>0.95239917402446805</v>
      </c>
      <c r="E58" t="str">
        <f t="shared" ref="E58:E66" si="6">+A58&amp;" - "&amp;B58</f>
        <v>Operations - Salaries &amp; Wages</v>
      </c>
    </row>
    <row r="59" spans="1:5" x14ac:dyDescent="0.35">
      <c r="A59" t="str">
        <f>+A58</f>
        <v>Operations</v>
      </c>
      <c r="B59" s="167" t="s">
        <v>194</v>
      </c>
      <c r="C59" s="162">
        <v>200</v>
      </c>
      <c r="D59" s="168">
        <v>0.88797731223605458</v>
      </c>
      <c r="E59" t="str">
        <f t="shared" si="6"/>
        <v>Operations - Services</v>
      </c>
    </row>
    <row r="60" spans="1:5" x14ac:dyDescent="0.35">
      <c r="A60" t="str">
        <f t="shared" ref="A60:A66" si="7">+A59</f>
        <v>Operations</v>
      </c>
      <c r="B60" s="167" t="s">
        <v>139</v>
      </c>
      <c r="C60" s="162">
        <v>220</v>
      </c>
      <c r="D60" s="168">
        <v>0.83630639553749397</v>
      </c>
      <c r="E60" t="str">
        <f t="shared" si="6"/>
        <v>Operations - Power</v>
      </c>
    </row>
    <row r="61" spans="1:5" x14ac:dyDescent="0.35">
      <c r="A61" t="str">
        <f t="shared" si="7"/>
        <v>Operations</v>
      </c>
      <c r="B61" s="167" t="s">
        <v>132</v>
      </c>
      <c r="C61" s="162">
        <v>221</v>
      </c>
      <c r="D61" s="168">
        <v>0.70119690657867606</v>
      </c>
      <c r="E61" t="str">
        <f t="shared" si="6"/>
        <v>Operations - Gas</v>
      </c>
    </row>
    <row r="62" spans="1:5" x14ac:dyDescent="0.35">
      <c r="A62" t="str">
        <f t="shared" si="7"/>
        <v>Operations</v>
      </c>
      <c r="B62" s="167" t="s">
        <v>195</v>
      </c>
      <c r="C62" s="162">
        <v>300</v>
      </c>
      <c r="D62" s="168">
        <v>0.82757808642827901</v>
      </c>
      <c r="E62" t="str">
        <f t="shared" si="6"/>
        <v>Operations - Materials and Supplies</v>
      </c>
    </row>
    <row r="63" spans="1:5" x14ac:dyDescent="0.35">
      <c r="A63" t="str">
        <f t="shared" si="7"/>
        <v>Operations</v>
      </c>
      <c r="B63" s="167" t="s">
        <v>134</v>
      </c>
      <c r="C63" s="162">
        <v>307</v>
      </c>
      <c r="D63" s="168">
        <v>1</v>
      </c>
      <c r="E63" t="str">
        <f t="shared" si="6"/>
        <v>Operations - Chemicals</v>
      </c>
    </row>
    <row r="64" spans="1:5" x14ac:dyDescent="0.35">
      <c r="A64" t="str">
        <f t="shared" si="7"/>
        <v>Operations</v>
      </c>
      <c r="B64" s="167" t="s">
        <v>196</v>
      </c>
      <c r="C64" s="162">
        <v>400</v>
      </c>
      <c r="D64" s="168">
        <v>0.736273304978734</v>
      </c>
      <c r="E64" t="str">
        <f t="shared" si="6"/>
        <v>Operations - Equipment</v>
      </c>
    </row>
    <row r="65" spans="1:5" x14ac:dyDescent="0.35">
      <c r="A65" t="str">
        <f t="shared" si="7"/>
        <v>Operations</v>
      </c>
      <c r="B65" s="167" t="s">
        <v>63</v>
      </c>
      <c r="C65" s="162">
        <v>500</v>
      </c>
      <c r="D65" s="168">
        <v>0</v>
      </c>
      <c r="E65" t="str">
        <f t="shared" si="6"/>
        <v>Operations - Indemnities</v>
      </c>
    </row>
    <row r="66" spans="1:5" x14ac:dyDescent="0.35">
      <c r="A66" t="str">
        <f t="shared" si="7"/>
        <v>Operations</v>
      </c>
      <c r="B66" s="167" t="s">
        <v>190</v>
      </c>
      <c r="C66" s="162">
        <v>800</v>
      </c>
      <c r="D66" s="168">
        <v>0</v>
      </c>
      <c r="E66" t="str">
        <f t="shared" si="6"/>
        <v>Operations - Transfers</v>
      </c>
    </row>
    <row r="67" spans="1:5" x14ac:dyDescent="0.35">
      <c r="B67" s="167"/>
      <c r="C67" s="162"/>
      <c r="D67" s="160"/>
    </row>
    <row r="68" spans="1:5" x14ac:dyDescent="0.35">
      <c r="B68" s="167" t="s">
        <v>203</v>
      </c>
      <c r="C68" s="162"/>
      <c r="D68" s="162"/>
    </row>
    <row r="69" spans="1:5" x14ac:dyDescent="0.35">
      <c r="B69" s="167"/>
      <c r="C69" s="162"/>
      <c r="D69" s="160"/>
    </row>
    <row r="70" spans="1:5" x14ac:dyDescent="0.35">
      <c r="B70" s="166" t="s">
        <v>124</v>
      </c>
      <c r="C70" s="162"/>
      <c r="D70" s="160"/>
    </row>
    <row r="71" spans="1:5" x14ac:dyDescent="0.35">
      <c r="A71" t="str">
        <f>+B70</f>
        <v>Planning &amp; Environmental Services</v>
      </c>
      <c r="B71" s="167" t="s">
        <v>166</v>
      </c>
      <c r="C71" s="162">
        <v>100</v>
      </c>
      <c r="D71" s="168">
        <v>0.92802791780217886</v>
      </c>
      <c r="E71" t="str">
        <f t="shared" ref="E71:E76" si="8">+A71&amp;" - "&amp;B71</f>
        <v>Planning &amp; Environmental Services - Salaries &amp; Wages</v>
      </c>
    </row>
    <row r="72" spans="1:5" x14ac:dyDescent="0.35">
      <c r="A72" t="str">
        <f>+A71</f>
        <v>Planning &amp; Environmental Services</v>
      </c>
      <c r="B72" s="167" t="s">
        <v>194</v>
      </c>
      <c r="C72" s="162">
        <v>200</v>
      </c>
      <c r="D72" s="168">
        <v>0.9545295970731309</v>
      </c>
      <c r="E72" t="str">
        <f t="shared" si="8"/>
        <v>Planning &amp; Environmental Services - Services</v>
      </c>
    </row>
    <row r="73" spans="1:5" x14ac:dyDescent="0.35">
      <c r="A73" t="str">
        <f t="shared" ref="A73:A76" si="9">+A72</f>
        <v>Planning &amp; Environmental Services</v>
      </c>
      <c r="B73" s="167" t="s">
        <v>195</v>
      </c>
      <c r="C73" s="162">
        <v>300</v>
      </c>
      <c r="D73" s="168">
        <v>0.78901675675675675</v>
      </c>
      <c r="E73" t="str">
        <f t="shared" si="8"/>
        <v>Planning &amp; Environmental Services - Materials and Supplies</v>
      </c>
    </row>
    <row r="74" spans="1:5" x14ac:dyDescent="0.35">
      <c r="A74" t="str">
        <f t="shared" si="9"/>
        <v>Planning &amp; Environmental Services</v>
      </c>
      <c r="B74" s="167" t="s">
        <v>196</v>
      </c>
      <c r="C74" s="162">
        <v>400</v>
      </c>
      <c r="D74" s="168">
        <v>0.62307890091334717</v>
      </c>
      <c r="E74" t="str">
        <f t="shared" si="8"/>
        <v>Planning &amp; Environmental Services - Equipment</v>
      </c>
    </row>
    <row r="75" spans="1:5" x14ac:dyDescent="0.35">
      <c r="A75" t="str">
        <f t="shared" si="9"/>
        <v>Planning &amp; Environmental Services</v>
      </c>
      <c r="B75" s="167" t="s">
        <v>63</v>
      </c>
      <c r="C75" s="162">
        <v>500</v>
      </c>
      <c r="D75" s="168">
        <v>0</v>
      </c>
      <c r="E75" t="str">
        <f t="shared" si="8"/>
        <v>Planning &amp; Environmental Services - Indemnities</v>
      </c>
    </row>
    <row r="76" spans="1:5" x14ac:dyDescent="0.35">
      <c r="A76" t="str">
        <f t="shared" si="9"/>
        <v>Planning &amp; Environmental Services</v>
      </c>
      <c r="B76" s="167" t="s">
        <v>190</v>
      </c>
      <c r="C76" s="162">
        <v>800</v>
      </c>
      <c r="D76" s="168">
        <v>0</v>
      </c>
      <c r="E76" t="str">
        <f t="shared" si="8"/>
        <v>Planning &amp; Environmental Services - Transfers</v>
      </c>
    </row>
    <row r="77" spans="1:5" x14ac:dyDescent="0.35">
      <c r="B77" s="167"/>
      <c r="C77" s="162"/>
      <c r="D77" s="160"/>
    </row>
    <row r="78" spans="1:5" x14ac:dyDescent="0.35">
      <c r="B78" s="167" t="s">
        <v>204</v>
      </c>
      <c r="C78" s="162"/>
      <c r="D78" s="160"/>
    </row>
    <row r="79" spans="1:5" x14ac:dyDescent="0.35">
      <c r="B79" s="167"/>
      <c r="C79" s="162"/>
      <c r="D79" s="160"/>
    </row>
    <row r="80" spans="1:5" x14ac:dyDescent="0.35">
      <c r="B80" s="166" t="s">
        <v>52</v>
      </c>
      <c r="C80" s="162"/>
      <c r="D80" s="160"/>
    </row>
    <row r="81" spans="1:5" x14ac:dyDescent="0.35">
      <c r="A81" t="str">
        <f>+B80</f>
        <v>Public Affairs</v>
      </c>
      <c r="B81" s="167" t="s">
        <v>166</v>
      </c>
      <c r="C81" s="162">
        <v>100</v>
      </c>
      <c r="D81" s="168">
        <v>0.89517082239955581</v>
      </c>
      <c r="E81" t="str">
        <f t="shared" ref="E81:E86" si="10">+A81&amp;" - "&amp;B81</f>
        <v>Public Affairs - Salaries &amp; Wages</v>
      </c>
    </row>
    <row r="82" spans="1:5" x14ac:dyDescent="0.35">
      <c r="A82" t="str">
        <f>+A81</f>
        <v>Public Affairs</v>
      </c>
      <c r="B82" s="167" t="s">
        <v>194</v>
      </c>
      <c r="C82" s="162">
        <v>200</v>
      </c>
      <c r="D82" s="168">
        <v>0.90126450786752477</v>
      </c>
      <c r="E82" t="str">
        <f t="shared" si="10"/>
        <v>Public Affairs - Services</v>
      </c>
    </row>
    <row r="83" spans="1:5" x14ac:dyDescent="0.35">
      <c r="A83" t="str">
        <f t="shared" ref="A83:A86" si="11">+A82</f>
        <v>Public Affairs</v>
      </c>
      <c r="B83" s="167" t="s">
        <v>195</v>
      </c>
      <c r="C83" s="162">
        <v>300</v>
      </c>
      <c r="D83" s="168">
        <v>0.57420287253141833</v>
      </c>
      <c r="E83" t="str">
        <f t="shared" si="10"/>
        <v>Public Affairs - Materials and Supplies</v>
      </c>
    </row>
    <row r="84" spans="1:5" x14ac:dyDescent="0.35">
      <c r="A84" t="str">
        <f t="shared" si="11"/>
        <v>Public Affairs</v>
      </c>
      <c r="B84" s="167" t="s">
        <v>196</v>
      </c>
      <c r="C84" s="162">
        <v>400</v>
      </c>
      <c r="D84" s="168">
        <v>0.36051851851851852</v>
      </c>
      <c r="E84" t="str">
        <f t="shared" si="10"/>
        <v>Public Affairs - Equipment</v>
      </c>
    </row>
    <row r="85" spans="1:5" x14ac:dyDescent="0.35">
      <c r="A85" t="str">
        <f t="shared" si="11"/>
        <v>Public Affairs</v>
      </c>
      <c r="B85" s="167" t="s">
        <v>63</v>
      </c>
      <c r="C85" s="162">
        <v>500</v>
      </c>
      <c r="D85" s="168">
        <v>1</v>
      </c>
      <c r="E85" t="str">
        <f t="shared" si="10"/>
        <v>Public Affairs - Indemnities</v>
      </c>
    </row>
    <row r="86" spans="1:5" x14ac:dyDescent="0.35">
      <c r="A86" t="str">
        <f t="shared" si="11"/>
        <v>Public Affairs</v>
      </c>
      <c r="B86" s="167" t="s">
        <v>190</v>
      </c>
      <c r="C86" s="162">
        <v>800</v>
      </c>
      <c r="D86" s="168">
        <v>0</v>
      </c>
      <c r="E86" t="str">
        <f t="shared" si="10"/>
        <v>Public Affairs - Transfers</v>
      </c>
    </row>
    <row r="87" spans="1:5" x14ac:dyDescent="0.35">
      <c r="B87" s="167"/>
      <c r="C87" s="162"/>
    </row>
    <row r="88" spans="1:5" x14ac:dyDescent="0.35">
      <c r="B88" s="167" t="s">
        <v>205</v>
      </c>
      <c r="C88" s="162"/>
    </row>
    <row r="89" spans="1:5" x14ac:dyDescent="0.35">
      <c r="B89" s="166"/>
      <c r="C89" s="162"/>
    </row>
    <row r="90" spans="1:5" ht="17" x14ac:dyDescent="0.5">
      <c r="B90" s="164" t="s">
        <v>206</v>
      </c>
      <c r="C90" s="165"/>
      <c r="D90" s="160"/>
    </row>
    <row r="91" spans="1:5" x14ac:dyDescent="0.35">
      <c r="B91" s="166" t="s">
        <v>207</v>
      </c>
      <c r="C91" s="161"/>
      <c r="D91" s="160"/>
    </row>
    <row r="92" spans="1:5" x14ac:dyDescent="0.35">
      <c r="A92" t="str">
        <f>+B91</f>
        <v>Division of Technology</v>
      </c>
      <c r="B92" s="167" t="s">
        <v>166</v>
      </c>
      <c r="C92" s="162">
        <v>100</v>
      </c>
      <c r="D92" s="168">
        <v>0.77028983671698958</v>
      </c>
      <c r="E92" t="str">
        <f t="shared" ref="E92:E97" si="12">+A92&amp;" - "&amp;B92</f>
        <v>Division of Technology - Salaries &amp; Wages</v>
      </c>
    </row>
    <row r="93" spans="1:5" x14ac:dyDescent="0.35">
      <c r="A93" t="str">
        <f>+A92</f>
        <v>Division of Technology</v>
      </c>
      <c r="B93" s="167" t="s">
        <v>194</v>
      </c>
      <c r="C93" s="162">
        <v>200</v>
      </c>
      <c r="D93" s="168">
        <v>0.75559273464790622</v>
      </c>
      <c r="E93" t="str">
        <f t="shared" si="12"/>
        <v>Division of Technology - Services</v>
      </c>
    </row>
    <row r="94" spans="1:5" x14ac:dyDescent="0.35">
      <c r="A94" t="str">
        <f t="shared" ref="A94:A97" si="13">+A93</f>
        <v>Division of Technology</v>
      </c>
      <c r="B94" s="167" t="s">
        <v>195</v>
      </c>
      <c r="C94" s="162">
        <v>300</v>
      </c>
      <c r="D94" s="168">
        <v>0.77902302365881659</v>
      </c>
      <c r="E94" t="str">
        <f t="shared" si="12"/>
        <v>Division of Technology - Materials and Supplies</v>
      </c>
    </row>
    <row r="95" spans="1:5" x14ac:dyDescent="0.35">
      <c r="A95" t="str">
        <f t="shared" si="13"/>
        <v>Division of Technology</v>
      </c>
      <c r="B95" s="167" t="s">
        <v>196</v>
      </c>
      <c r="C95" s="162">
        <v>400</v>
      </c>
      <c r="D95" s="168">
        <v>9.9999999999999994E-12</v>
      </c>
      <c r="E95" t="str">
        <f t="shared" si="12"/>
        <v>Division of Technology - Equipment</v>
      </c>
    </row>
    <row r="96" spans="1:5" x14ac:dyDescent="0.35">
      <c r="A96" t="str">
        <f t="shared" si="13"/>
        <v>Division of Technology</v>
      </c>
      <c r="B96" s="167" t="s">
        <v>63</v>
      </c>
      <c r="C96" s="162">
        <v>500</v>
      </c>
      <c r="D96" s="168">
        <v>9.9999999999999995E-7</v>
      </c>
      <c r="E96" t="str">
        <f t="shared" si="12"/>
        <v>Division of Technology - Indemnities</v>
      </c>
    </row>
    <row r="97" spans="1:5" x14ac:dyDescent="0.35">
      <c r="A97" t="str">
        <f t="shared" si="13"/>
        <v>Division of Technology</v>
      </c>
      <c r="B97" s="167" t="s">
        <v>190</v>
      </c>
      <c r="C97" s="162">
        <v>800</v>
      </c>
      <c r="D97" s="168">
        <v>9.9999999999999995E-7</v>
      </c>
      <c r="E97" t="str">
        <f t="shared" si="12"/>
        <v>Division of Technology - Transfers</v>
      </c>
    </row>
    <row r="98" spans="1:5" x14ac:dyDescent="0.35">
      <c r="B98" s="161"/>
      <c r="C98" s="162"/>
      <c r="D98" s="160"/>
    </row>
    <row r="99" spans="1:5" x14ac:dyDescent="0.35">
      <c r="B99" s="167" t="s">
        <v>208</v>
      </c>
      <c r="C99" s="162"/>
      <c r="D99" s="160"/>
    </row>
    <row r="100" spans="1:5" x14ac:dyDescent="0.35">
      <c r="B100" s="161"/>
      <c r="C100" s="162"/>
      <c r="D100" s="160"/>
    </row>
    <row r="101" spans="1:5" x14ac:dyDescent="0.35">
      <c r="B101" s="166" t="s">
        <v>209</v>
      </c>
      <c r="C101" s="162"/>
      <c r="D101" s="160"/>
    </row>
    <row r="102" spans="1:5" x14ac:dyDescent="0.35">
      <c r="A102" t="str">
        <f>+B101</f>
        <v>Mayor's Office of Transportation &amp; Utilities</v>
      </c>
      <c r="B102" s="167" t="s">
        <v>166</v>
      </c>
      <c r="C102" s="162">
        <v>100</v>
      </c>
      <c r="D102" s="168">
        <v>0.4253199349622272</v>
      </c>
      <c r="E102" t="str">
        <f t="shared" ref="E102:E107" si="14">+A102&amp;" - "&amp;B102</f>
        <v>Mayor's Office of Transportation &amp; Utilities - Salaries &amp; Wages</v>
      </c>
    </row>
    <row r="103" spans="1:5" x14ac:dyDescent="0.35">
      <c r="A103" t="str">
        <f>+A102</f>
        <v>Mayor's Office of Transportation &amp; Utilities</v>
      </c>
      <c r="B103" s="167" t="s">
        <v>194</v>
      </c>
      <c r="C103" s="162">
        <v>200</v>
      </c>
      <c r="D103" s="168">
        <v>1</v>
      </c>
      <c r="E103" t="str">
        <f t="shared" si="14"/>
        <v>Mayor's Office of Transportation &amp; Utilities - Services</v>
      </c>
    </row>
    <row r="104" spans="1:5" x14ac:dyDescent="0.35">
      <c r="A104" t="str">
        <f t="shared" ref="A104:A107" si="15">+A103</f>
        <v>Mayor's Office of Transportation &amp; Utilities</v>
      </c>
      <c r="B104" s="167" t="s">
        <v>195</v>
      </c>
      <c r="C104" s="162">
        <v>300</v>
      </c>
      <c r="D104" s="168">
        <v>9.9999999999999995E-7</v>
      </c>
      <c r="E104" t="str">
        <f t="shared" si="14"/>
        <v>Mayor's Office of Transportation &amp; Utilities - Materials and Supplies</v>
      </c>
    </row>
    <row r="105" spans="1:5" x14ac:dyDescent="0.35">
      <c r="A105" t="str">
        <f t="shared" si="15"/>
        <v>Mayor's Office of Transportation &amp; Utilities</v>
      </c>
      <c r="B105" s="167" t="s">
        <v>196</v>
      </c>
      <c r="C105" s="162">
        <v>400</v>
      </c>
      <c r="D105" s="168">
        <v>9.9999999999999995E-7</v>
      </c>
      <c r="E105" t="str">
        <f t="shared" si="14"/>
        <v>Mayor's Office of Transportation &amp; Utilities - Equipment</v>
      </c>
    </row>
    <row r="106" spans="1:5" x14ac:dyDescent="0.35">
      <c r="A106" t="str">
        <f t="shared" si="15"/>
        <v>Mayor's Office of Transportation &amp; Utilities</v>
      </c>
      <c r="B106" s="167" t="s">
        <v>63</v>
      </c>
      <c r="C106" s="162">
        <v>500</v>
      </c>
      <c r="D106" s="168">
        <v>9.9999999999999995E-7</v>
      </c>
      <c r="E106" t="str">
        <f t="shared" si="14"/>
        <v>Mayor's Office of Transportation &amp; Utilities - Indemnities</v>
      </c>
    </row>
    <row r="107" spans="1:5" x14ac:dyDescent="0.35">
      <c r="A107" t="str">
        <f t="shared" si="15"/>
        <v>Mayor's Office of Transportation &amp; Utilities</v>
      </c>
      <c r="B107" s="167" t="s">
        <v>190</v>
      </c>
      <c r="C107" s="162">
        <v>800</v>
      </c>
      <c r="D107" s="168">
        <v>9.9999999999999995E-7</v>
      </c>
      <c r="E107" t="str">
        <f t="shared" si="14"/>
        <v>Mayor's Office of Transportation &amp; Utilities - Transfers</v>
      </c>
    </row>
    <row r="108" spans="1:5" x14ac:dyDescent="0.35">
      <c r="B108" s="161"/>
      <c r="C108" s="162"/>
      <c r="D108" s="160"/>
    </row>
    <row r="109" spans="1:5" x14ac:dyDescent="0.35">
      <c r="B109" s="167" t="s">
        <v>210</v>
      </c>
      <c r="C109" s="162"/>
      <c r="D109" s="160"/>
    </row>
    <row r="110" spans="1:5" x14ac:dyDescent="0.35">
      <c r="B110" s="161"/>
      <c r="C110" s="162"/>
      <c r="D110" s="160"/>
    </row>
    <row r="111" spans="1:5" x14ac:dyDescent="0.35">
      <c r="B111" s="166" t="s">
        <v>211</v>
      </c>
      <c r="C111" s="161"/>
      <c r="D111" s="160"/>
    </row>
    <row r="112" spans="1:5" x14ac:dyDescent="0.35">
      <c r="A112" t="str">
        <f>+B111</f>
        <v>Philadelphia Water, Sewer and Stormwater Rate Board</v>
      </c>
      <c r="B112" s="167" t="s">
        <v>166</v>
      </c>
      <c r="C112" s="162">
        <v>100</v>
      </c>
      <c r="D112" s="168">
        <v>0.9314709552197421</v>
      </c>
      <c r="E112" t="str">
        <f t="shared" ref="E112:E117" si="16">+A112&amp;" - "&amp;B112</f>
        <v>Philadelphia Water, Sewer and Stormwater Rate Board - Salaries &amp; Wages</v>
      </c>
    </row>
    <row r="113" spans="1:5" x14ac:dyDescent="0.35">
      <c r="A113" t="str">
        <f>+A112</f>
        <v>Philadelphia Water, Sewer and Stormwater Rate Board</v>
      </c>
      <c r="B113" s="167" t="s">
        <v>194</v>
      </c>
      <c r="C113" s="162">
        <v>200</v>
      </c>
      <c r="D113" s="168">
        <v>0.53134114760801421</v>
      </c>
      <c r="E113" t="str">
        <f t="shared" si="16"/>
        <v>Philadelphia Water, Sewer and Stormwater Rate Board - Services</v>
      </c>
    </row>
    <row r="114" spans="1:5" x14ac:dyDescent="0.35">
      <c r="A114" t="str">
        <f t="shared" ref="A114:A117" si="17">+A113</f>
        <v>Philadelphia Water, Sewer and Stormwater Rate Board</v>
      </c>
      <c r="B114" s="167" t="s">
        <v>195</v>
      </c>
      <c r="C114" s="162">
        <v>300</v>
      </c>
      <c r="D114" s="168">
        <v>9.9999999999999995E-7</v>
      </c>
      <c r="E114" t="str">
        <f t="shared" si="16"/>
        <v>Philadelphia Water, Sewer and Stormwater Rate Board - Materials and Supplies</v>
      </c>
    </row>
    <row r="115" spans="1:5" x14ac:dyDescent="0.35">
      <c r="A115" t="str">
        <f t="shared" si="17"/>
        <v>Philadelphia Water, Sewer and Stormwater Rate Board</v>
      </c>
      <c r="B115" s="167" t="s">
        <v>196</v>
      </c>
      <c r="C115" s="162">
        <v>400</v>
      </c>
      <c r="D115" s="168">
        <v>9.9999999999999995E-7</v>
      </c>
      <c r="E115" t="str">
        <f t="shared" si="16"/>
        <v>Philadelphia Water, Sewer and Stormwater Rate Board - Equipment</v>
      </c>
    </row>
    <row r="116" spans="1:5" x14ac:dyDescent="0.35">
      <c r="A116" t="str">
        <f t="shared" si="17"/>
        <v>Philadelphia Water, Sewer and Stormwater Rate Board</v>
      </c>
      <c r="B116" s="167" t="s">
        <v>63</v>
      </c>
      <c r="C116" s="162">
        <v>500</v>
      </c>
      <c r="D116" s="168">
        <v>9.9999999999999995E-7</v>
      </c>
      <c r="E116" t="str">
        <f t="shared" si="16"/>
        <v>Philadelphia Water, Sewer and Stormwater Rate Board - Indemnities</v>
      </c>
    </row>
    <row r="117" spans="1:5" x14ac:dyDescent="0.35">
      <c r="A117" t="str">
        <f t="shared" si="17"/>
        <v>Philadelphia Water, Sewer and Stormwater Rate Board</v>
      </c>
      <c r="B117" s="167" t="s">
        <v>190</v>
      </c>
      <c r="C117" s="162">
        <v>800</v>
      </c>
      <c r="D117" s="168">
        <v>9.9999999999999995E-7</v>
      </c>
      <c r="E117" t="str">
        <f t="shared" si="16"/>
        <v>Philadelphia Water, Sewer and Stormwater Rate Board - Transfers</v>
      </c>
    </row>
    <row r="118" spans="1:5" x14ac:dyDescent="0.35">
      <c r="B118" s="161"/>
      <c r="C118" s="162"/>
      <c r="D118" s="160"/>
    </row>
    <row r="119" spans="1:5" x14ac:dyDescent="0.35">
      <c r="B119" s="167" t="s">
        <v>212</v>
      </c>
      <c r="C119" s="162"/>
      <c r="D119" s="160"/>
    </row>
    <row r="120" spans="1:5" x14ac:dyDescent="0.35">
      <c r="B120" s="161"/>
      <c r="C120" s="162"/>
      <c r="D120" s="160"/>
    </row>
    <row r="121" spans="1:5" x14ac:dyDescent="0.35">
      <c r="B121" s="166" t="s">
        <v>213</v>
      </c>
      <c r="C121" s="162"/>
      <c r="D121" s="160"/>
    </row>
    <row r="122" spans="1:5" x14ac:dyDescent="0.35">
      <c r="A122" t="str">
        <f>+B121</f>
        <v>Public Property</v>
      </c>
      <c r="B122" s="167" t="s">
        <v>166</v>
      </c>
      <c r="C122" s="162">
        <v>100</v>
      </c>
      <c r="D122" s="168">
        <v>9.9999999999999995E-7</v>
      </c>
      <c r="E122" t="str">
        <f t="shared" ref="E122:E127" si="18">+A122&amp;" - "&amp;B122</f>
        <v>Public Property - Salaries &amp; Wages</v>
      </c>
    </row>
    <row r="123" spans="1:5" x14ac:dyDescent="0.35">
      <c r="A123" t="str">
        <f>+A122</f>
        <v>Public Property</v>
      </c>
      <c r="B123" s="167" t="s">
        <v>194</v>
      </c>
      <c r="C123" s="162">
        <v>200</v>
      </c>
      <c r="D123" s="168">
        <v>0.99965744899486075</v>
      </c>
      <c r="E123" t="str">
        <f t="shared" si="18"/>
        <v>Public Property - Services</v>
      </c>
    </row>
    <row r="124" spans="1:5" x14ac:dyDescent="0.35">
      <c r="A124" t="str">
        <f t="shared" ref="A124:A127" si="19">+A123</f>
        <v>Public Property</v>
      </c>
      <c r="B124" s="167" t="s">
        <v>195</v>
      </c>
      <c r="C124" s="162">
        <v>300</v>
      </c>
      <c r="D124" s="168">
        <v>9.9999999999999995E-7</v>
      </c>
      <c r="E124" t="str">
        <f t="shared" si="18"/>
        <v>Public Property - Materials and Supplies</v>
      </c>
    </row>
    <row r="125" spans="1:5" x14ac:dyDescent="0.35">
      <c r="A125" t="str">
        <f t="shared" si="19"/>
        <v>Public Property</v>
      </c>
      <c r="B125" s="167" t="s">
        <v>196</v>
      </c>
      <c r="C125" s="162">
        <v>400</v>
      </c>
      <c r="D125" s="168">
        <v>9.9999999999999995E-7</v>
      </c>
      <c r="E125" t="str">
        <f t="shared" si="18"/>
        <v>Public Property - Equipment</v>
      </c>
    </row>
    <row r="126" spans="1:5" x14ac:dyDescent="0.35">
      <c r="A126" t="str">
        <f t="shared" si="19"/>
        <v>Public Property</v>
      </c>
      <c r="B126" s="167" t="s">
        <v>63</v>
      </c>
      <c r="C126" s="162">
        <v>500</v>
      </c>
      <c r="D126" s="168">
        <v>9.9999999999999995E-7</v>
      </c>
      <c r="E126" t="str">
        <f t="shared" si="18"/>
        <v>Public Property - Indemnities</v>
      </c>
    </row>
    <row r="127" spans="1:5" x14ac:dyDescent="0.35">
      <c r="A127" t="str">
        <f t="shared" si="19"/>
        <v>Public Property</v>
      </c>
      <c r="B127" s="167" t="s">
        <v>190</v>
      </c>
      <c r="C127" s="162">
        <v>800</v>
      </c>
      <c r="D127" s="168">
        <v>9.9999999999999995E-7</v>
      </c>
      <c r="E127" t="str">
        <f t="shared" si="18"/>
        <v>Public Property - Transfers</v>
      </c>
    </row>
    <row r="128" spans="1:5" x14ac:dyDescent="0.35">
      <c r="B128" s="161"/>
      <c r="C128" s="162"/>
      <c r="D128" s="160"/>
    </row>
    <row r="129" spans="1:5" x14ac:dyDescent="0.35">
      <c r="B129" s="167" t="s">
        <v>214</v>
      </c>
      <c r="C129" s="162"/>
      <c r="D129" s="160"/>
    </row>
    <row r="130" spans="1:5" x14ac:dyDescent="0.35">
      <c r="B130" s="161"/>
      <c r="C130" s="162"/>
      <c r="D130" s="160"/>
    </row>
    <row r="131" spans="1:5" x14ac:dyDescent="0.35">
      <c r="B131" s="166" t="s">
        <v>215</v>
      </c>
      <c r="C131" s="162"/>
      <c r="D131" s="160"/>
    </row>
    <row r="132" spans="1:5" x14ac:dyDescent="0.35">
      <c r="A132" t="str">
        <f>+B131</f>
        <v>Fleet Management</v>
      </c>
      <c r="B132" s="167" t="s">
        <v>166</v>
      </c>
      <c r="C132" s="162">
        <v>100</v>
      </c>
      <c r="D132" s="168">
        <v>0.77398600146777852</v>
      </c>
      <c r="E132" t="str">
        <f t="shared" ref="E132:E137" si="20">+A132&amp;" - "&amp;B132</f>
        <v>Fleet Management - Salaries &amp; Wages</v>
      </c>
    </row>
    <row r="133" spans="1:5" x14ac:dyDescent="0.35">
      <c r="A133" t="str">
        <f>+A132</f>
        <v>Fleet Management</v>
      </c>
      <c r="B133" s="167" t="s">
        <v>194</v>
      </c>
      <c r="C133" s="162">
        <v>200</v>
      </c>
      <c r="D133" s="168">
        <v>0.90175464517573312</v>
      </c>
      <c r="E133" t="str">
        <f t="shared" si="20"/>
        <v>Fleet Management - Services</v>
      </c>
    </row>
    <row r="134" spans="1:5" x14ac:dyDescent="0.35">
      <c r="A134" t="str">
        <f t="shared" ref="A134:A137" si="21">+A133</f>
        <v>Fleet Management</v>
      </c>
      <c r="B134" s="167" t="s">
        <v>195</v>
      </c>
      <c r="C134" s="162">
        <v>300</v>
      </c>
      <c r="D134" s="168">
        <v>0.98695021889051515</v>
      </c>
      <c r="E134" t="str">
        <f t="shared" si="20"/>
        <v>Fleet Management - Materials and Supplies</v>
      </c>
    </row>
    <row r="135" spans="1:5" x14ac:dyDescent="0.35">
      <c r="A135" t="str">
        <f t="shared" si="21"/>
        <v>Fleet Management</v>
      </c>
      <c r="B135" s="167" t="s">
        <v>196</v>
      </c>
      <c r="C135" s="162">
        <v>400</v>
      </c>
      <c r="D135" s="168">
        <v>9.9999999999999995E-7</v>
      </c>
      <c r="E135" t="str">
        <f t="shared" si="20"/>
        <v>Fleet Management - Equipment</v>
      </c>
    </row>
    <row r="136" spans="1:5" x14ac:dyDescent="0.35">
      <c r="A136" t="str">
        <f t="shared" si="21"/>
        <v>Fleet Management</v>
      </c>
      <c r="B136" s="167" t="s">
        <v>63</v>
      </c>
      <c r="C136" s="162">
        <v>500</v>
      </c>
      <c r="D136" s="168">
        <v>9.9999999999999995E-7</v>
      </c>
      <c r="E136" t="str">
        <f t="shared" si="20"/>
        <v>Fleet Management - Indemnities</v>
      </c>
    </row>
    <row r="137" spans="1:5" x14ac:dyDescent="0.35">
      <c r="A137" t="str">
        <f t="shared" si="21"/>
        <v>Fleet Management</v>
      </c>
      <c r="B137" s="167" t="s">
        <v>190</v>
      </c>
      <c r="C137" s="162">
        <v>800</v>
      </c>
      <c r="D137" s="168">
        <v>9.9999999999999995E-7</v>
      </c>
      <c r="E137" t="str">
        <f t="shared" si="20"/>
        <v>Fleet Management - Transfers</v>
      </c>
    </row>
    <row r="138" spans="1:5" x14ac:dyDescent="0.35">
      <c r="B138" s="161"/>
      <c r="C138" s="162"/>
      <c r="D138" s="160"/>
    </row>
    <row r="139" spans="1:5" x14ac:dyDescent="0.35">
      <c r="B139" s="167" t="s">
        <v>216</v>
      </c>
      <c r="C139" s="162"/>
      <c r="D139" s="160"/>
    </row>
    <row r="140" spans="1:5" x14ac:dyDescent="0.35">
      <c r="B140" s="167"/>
      <c r="C140" s="162"/>
      <c r="D140" s="160"/>
    </row>
    <row r="141" spans="1:5" x14ac:dyDescent="0.35">
      <c r="B141" s="166" t="s">
        <v>161</v>
      </c>
      <c r="C141" s="162"/>
      <c r="D141" s="160"/>
    </row>
    <row r="142" spans="1:5" x14ac:dyDescent="0.35">
      <c r="A142" t="str">
        <f>+B141</f>
        <v>City Finance</v>
      </c>
      <c r="B142" s="167" t="s">
        <v>166</v>
      </c>
      <c r="C142" s="162">
        <v>100</v>
      </c>
      <c r="D142" s="168">
        <v>9.9999999999999995E-7</v>
      </c>
      <c r="E142" t="str">
        <f t="shared" ref="E142:E150" si="22">+A142&amp;" - "&amp;B142</f>
        <v>City Finance - Salaries &amp; Wages</v>
      </c>
    </row>
    <row r="143" spans="1:5" x14ac:dyDescent="0.35">
      <c r="A143" t="str">
        <f>+A142</f>
        <v>City Finance</v>
      </c>
      <c r="B143" s="167" t="s">
        <v>110</v>
      </c>
      <c r="C143" s="162" t="s">
        <v>167</v>
      </c>
      <c r="D143" s="171">
        <v>1</v>
      </c>
      <c r="E143" t="str">
        <f t="shared" si="22"/>
        <v>City Finance - Benefits</v>
      </c>
    </row>
    <row r="144" spans="1:5" x14ac:dyDescent="0.35">
      <c r="A144" t="str">
        <f t="shared" ref="A144:A150" si="23">+A143</f>
        <v>City Finance</v>
      </c>
      <c r="B144" s="167" t="s">
        <v>111</v>
      </c>
      <c r="C144" s="162">
        <v>191</v>
      </c>
      <c r="D144" s="171">
        <v>1</v>
      </c>
      <c r="E144" t="str">
        <f t="shared" si="22"/>
        <v>City Finance - Pension</v>
      </c>
    </row>
    <row r="145" spans="1:5" x14ac:dyDescent="0.35">
      <c r="A145" t="str">
        <f t="shared" si="23"/>
        <v>City Finance</v>
      </c>
      <c r="B145" s="167" t="s">
        <v>112</v>
      </c>
      <c r="C145" s="162">
        <v>190</v>
      </c>
      <c r="D145" s="171">
        <v>1</v>
      </c>
      <c r="E145" t="str">
        <f t="shared" si="22"/>
        <v>City Finance - Pension Obligations</v>
      </c>
    </row>
    <row r="146" spans="1:5" x14ac:dyDescent="0.35">
      <c r="A146" t="str">
        <f t="shared" si="23"/>
        <v>City Finance</v>
      </c>
      <c r="B146" s="167" t="s">
        <v>194</v>
      </c>
      <c r="C146" s="162">
        <v>200</v>
      </c>
      <c r="D146" s="168">
        <v>9.9999999999999995E-7</v>
      </c>
      <c r="E146" t="str">
        <f t="shared" si="22"/>
        <v>City Finance - Services</v>
      </c>
    </row>
    <row r="147" spans="1:5" x14ac:dyDescent="0.35">
      <c r="A147" t="str">
        <f t="shared" si="23"/>
        <v>City Finance</v>
      </c>
      <c r="B147" s="167" t="s">
        <v>195</v>
      </c>
      <c r="C147" s="162">
        <v>300</v>
      </c>
      <c r="D147" s="168">
        <v>9.9999999999999995E-7</v>
      </c>
      <c r="E147" t="str">
        <f t="shared" si="22"/>
        <v>City Finance - Materials and Supplies</v>
      </c>
    </row>
    <row r="148" spans="1:5" x14ac:dyDescent="0.35">
      <c r="A148" t="str">
        <f t="shared" si="23"/>
        <v>City Finance</v>
      </c>
      <c r="B148" s="167" t="s">
        <v>196</v>
      </c>
      <c r="C148" s="162">
        <v>400</v>
      </c>
      <c r="D148" s="168">
        <v>9.9999999999999995E-7</v>
      </c>
      <c r="E148" t="str">
        <f t="shared" si="22"/>
        <v>City Finance - Equipment</v>
      </c>
    </row>
    <row r="149" spans="1:5" x14ac:dyDescent="0.35">
      <c r="A149" t="str">
        <f t="shared" si="23"/>
        <v>City Finance</v>
      </c>
      <c r="B149" s="167" t="s">
        <v>63</v>
      </c>
      <c r="C149" s="162">
        <v>500</v>
      </c>
      <c r="D149" s="171">
        <v>1</v>
      </c>
      <c r="E149" t="str">
        <f t="shared" si="22"/>
        <v>City Finance - Indemnities</v>
      </c>
    </row>
    <row r="150" spans="1:5" x14ac:dyDescent="0.35">
      <c r="A150" t="str">
        <f t="shared" si="23"/>
        <v>City Finance</v>
      </c>
      <c r="B150" s="167" t="s">
        <v>190</v>
      </c>
      <c r="C150" s="162">
        <v>800</v>
      </c>
      <c r="D150" s="168">
        <v>9.9999999999999995E-7</v>
      </c>
      <c r="E150" t="str">
        <f t="shared" si="22"/>
        <v>City Finance - Transfers</v>
      </c>
    </row>
    <row r="151" spans="1:5" x14ac:dyDescent="0.35">
      <c r="B151" s="161"/>
      <c r="C151" s="162"/>
      <c r="D151" s="160"/>
    </row>
    <row r="152" spans="1:5" x14ac:dyDescent="0.35">
      <c r="B152" s="167" t="s">
        <v>217</v>
      </c>
      <c r="C152" s="162"/>
      <c r="D152" s="160"/>
    </row>
    <row r="153" spans="1:5" x14ac:dyDescent="0.35">
      <c r="B153" s="167"/>
      <c r="C153" s="162"/>
      <c r="D153" s="160"/>
    </row>
    <row r="154" spans="1:5" x14ac:dyDescent="0.35">
      <c r="B154" s="166" t="s">
        <v>218</v>
      </c>
      <c r="C154" s="162"/>
      <c r="D154" s="160"/>
    </row>
    <row r="155" spans="1:5" x14ac:dyDescent="0.35">
      <c r="A155" t="str">
        <f>+B154</f>
        <v>City Treasurer</v>
      </c>
      <c r="B155" s="167" t="s">
        <v>166</v>
      </c>
      <c r="C155" s="162">
        <v>100</v>
      </c>
      <c r="D155" s="168">
        <v>9.9999999999999995E-7</v>
      </c>
      <c r="E155" t="str">
        <f t="shared" ref="E155:E163" si="24">+A155&amp;" - "&amp;B155</f>
        <v>City Treasurer - Salaries &amp; Wages</v>
      </c>
    </row>
    <row r="156" spans="1:5" x14ac:dyDescent="0.35">
      <c r="A156" t="str">
        <f>+A155</f>
        <v>City Treasurer</v>
      </c>
      <c r="B156" s="167" t="s">
        <v>110</v>
      </c>
      <c r="C156" s="162" t="s">
        <v>167</v>
      </c>
      <c r="D156" s="168">
        <v>9.9999999999999995E-7</v>
      </c>
      <c r="E156" t="str">
        <f t="shared" si="24"/>
        <v>City Treasurer - Benefits</v>
      </c>
    </row>
    <row r="157" spans="1:5" x14ac:dyDescent="0.35">
      <c r="A157" t="str">
        <f t="shared" ref="A157:A163" si="25">+A156</f>
        <v>City Treasurer</v>
      </c>
      <c r="B157" s="167" t="s">
        <v>111</v>
      </c>
      <c r="C157" s="162">
        <v>191</v>
      </c>
      <c r="D157" s="168">
        <v>9.9999999999999995E-7</v>
      </c>
      <c r="E157" t="str">
        <f t="shared" si="24"/>
        <v>City Treasurer - Pension</v>
      </c>
    </row>
    <row r="158" spans="1:5" x14ac:dyDescent="0.35">
      <c r="A158" t="str">
        <f t="shared" si="25"/>
        <v>City Treasurer</v>
      </c>
      <c r="B158" s="167" t="s">
        <v>112</v>
      </c>
      <c r="C158" s="162">
        <v>190</v>
      </c>
      <c r="D158" s="168">
        <v>9.9999999999999995E-7</v>
      </c>
      <c r="E158" t="str">
        <f t="shared" si="24"/>
        <v>City Treasurer - Pension Obligations</v>
      </c>
    </row>
    <row r="159" spans="1:5" x14ac:dyDescent="0.35">
      <c r="A159" t="str">
        <f t="shared" si="25"/>
        <v>City Treasurer</v>
      </c>
      <c r="B159" s="167" t="s">
        <v>194</v>
      </c>
      <c r="C159" s="162">
        <v>200</v>
      </c>
      <c r="D159" s="171">
        <v>0.78347849056603769</v>
      </c>
      <c r="E159" t="str">
        <f t="shared" si="24"/>
        <v>City Treasurer - Services</v>
      </c>
    </row>
    <row r="160" spans="1:5" x14ac:dyDescent="0.35">
      <c r="A160" t="str">
        <f t="shared" si="25"/>
        <v>City Treasurer</v>
      </c>
      <c r="B160" s="167" t="s">
        <v>195</v>
      </c>
      <c r="C160" s="162">
        <v>300</v>
      </c>
      <c r="D160" s="168">
        <v>9.9999999999999995E-7</v>
      </c>
      <c r="E160" t="str">
        <f t="shared" si="24"/>
        <v>City Treasurer - Materials and Supplies</v>
      </c>
    </row>
    <row r="161" spans="1:5" x14ac:dyDescent="0.35">
      <c r="A161" t="str">
        <f t="shared" si="25"/>
        <v>City Treasurer</v>
      </c>
      <c r="B161" s="167" t="s">
        <v>196</v>
      </c>
      <c r="C161" s="162">
        <v>400</v>
      </c>
      <c r="D161" s="168">
        <v>9.9999999999999995E-7</v>
      </c>
      <c r="E161" t="str">
        <f t="shared" si="24"/>
        <v>City Treasurer - Equipment</v>
      </c>
    </row>
    <row r="162" spans="1:5" x14ac:dyDescent="0.35">
      <c r="A162" t="str">
        <f t="shared" si="25"/>
        <v>City Treasurer</v>
      </c>
      <c r="B162" s="167" t="s">
        <v>63</v>
      </c>
      <c r="C162" s="162">
        <v>500</v>
      </c>
      <c r="D162" s="168">
        <v>9.9999999999999995E-7</v>
      </c>
      <c r="E162" t="str">
        <f t="shared" si="24"/>
        <v>City Treasurer - Indemnities</v>
      </c>
    </row>
    <row r="163" spans="1:5" x14ac:dyDescent="0.35">
      <c r="A163" t="str">
        <f t="shared" si="25"/>
        <v>City Treasurer</v>
      </c>
      <c r="B163" s="167" t="s">
        <v>190</v>
      </c>
      <c r="C163" s="162">
        <v>800</v>
      </c>
      <c r="D163" s="168">
        <v>9.9999999999999995E-7</v>
      </c>
      <c r="E163" t="str">
        <f t="shared" si="24"/>
        <v>City Treasurer - Transfers</v>
      </c>
    </row>
    <row r="164" spans="1:5" x14ac:dyDescent="0.35">
      <c r="B164" s="161"/>
      <c r="C164" s="162"/>
      <c r="D164" s="160"/>
    </row>
    <row r="165" spans="1:5" x14ac:dyDescent="0.35">
      <c r="B165" s="167" t="s">
        <v>219</v>
      </c>
      <c r="C165" s="162"/>
      <c r="D165" s="160"/>
    </row>
    <row r="166" spans="1:5" x14ac:dyDescent="0.35">
      <c r="B166" s="167"/>
      <c r="C166" s="162"/>
      <c r="D166" s="160"/>
    </row>
    <row r="167" spans="1:5" x14ac:dyDescent="0.35">
      <c r="B167" s="166" t="s">
        <v>220</v>
      </c>
      <c r="C167" s="162"/>
      <c r="D167" s="160"/>
    </row>
    <row r="168" spans="1:5" x14ac:dyDescent="0.35">
      <c r="A168" t="str">
        <f>+B167</f>
        <v>Revenue</v>
      </c>
      <c r="B168" s="167" t="s">
        <v>166</v>
      </c>
      <c r="C168" s="162">
        <v>100</v>
      </c>
      <c r="D168" s="168">
        <v>0.88531776700788278</v>
      </c>
      <c r="E168" t="str">
        <f t="shared" ref="E168:E173" si="26">+A168&amp;" - "&amp;B168</f>
        <v>Revenue - Salaries &amp; Wages</v>
      </c>
    </row>
    <row r="169" spans="1:5" x14ac:dyDescent="0.35">
      <c r="A169" t="str">
        <f>+A168</f>
        <v>Revenue</v>
      </c>
      <c r="B169" s="167" t="s">
        <v>194</v>
      </c>
      <c r="C169" s="162">
        <v>200</v>
      </c>
      <c r="D169" s="168">
        <v>0.44702957351319594</v>
      </c>
      <c r="E169" t="str">
        <f t="shared" si="26"/>
        <v>Revenue - Services</v>
      </c>
    </row>
    <row r="170" spans="1:5" x14ac:dyDescent="0.35">
      <c r="A170" t="str">
        <f t="shared" ref="A170:A173" si="27">+A169</f>
        <v>Revenue</v>
      </c>
      <c r="B170" s="167" t="s">
        <v>195</v>
      </c>
      <c r="C170" s="162">
        <v>300</v>
      </c>
      <c r="D170" s="168">
        <v>0.936952871127258</v>
      </c>
      <c r="E170" t="str">
        <f t="shared" si="26"/>
        <v>Revenue - Materials and Supplies</v>
      </c>
    </row>
    <row r="171" spans="1:5" x14ac:dyDescent="0.35">
      <c r="A171" t="str">
        <f t="shared" si="27"/>
        <v>Revenue</v>
      </c>
      <c r="B171" s="167" t="s">
        <v>196</v>
      </c>
      <c r="C171" s="162">
        <v>400</v>
      </c>
      <c r="D171" s="168">
        <v>9.9999999999999995E-7</v>
      </c>
      <c r="E171" t="str">
        <f t="shared" si="26"/>
        <v>Revenue - Equipment</v>
      </c>
    </row>
    <row r="172" spans="1:5" x14ac:dyDescent="0.35">
      <c r="A172" t="str">
        <f t="shared" si="27"/>
        <v>Revenue</v>
      </c>
      <c r="B172" s="167" t="s">
        <v>63</v>
      </c>
      <c r="C172" s="162">
        <v>500</v>
      </c>
      <c r="D172" s="168">
        <v>9.9999999999999995E-7</v>
      </c>
      <c r="E172" t="str">
        <f t="shared" si="26"/>
        <v>Revenue - Indemnities</v>
      </c>
    </row>
    <row r="173" spans="1:5" x14ac:dyDescent="0.35">
      <c r="A173" t="str">
        <f t="shared" si="27"/>
        <v>Revenue</v>
      </c>
      <c r="B173" s="167" t="s">
        <v>190</v>
      </c>
      <c r="C173" s="162">
        <v>800</v>
      </c>
      <c r="D173" s="168">
        <v>9.9999999999999995E-7</v>
      </c>
      <c r="E173" t="str">
        <f t="shared" si="26"/>
        <v>Revenue - Transfers</v>
      </c>
    </row>
    <row r="174" spans="1:5" x14ac:dyDescent="0.35">
      <c r="B174" s="161"/>
      <c r="C174" s="162"/>
      <c r="D174" s="160"/>
    </row>
    <row r="175" spans="1:5" x14ac:dyDescent="0.35">
      <c r="B175" s="167" t="s">
        <v>221</v>
      </c>
      <c r="C175" s="162"/>
      <c r="D175" s="160"/>
    </row>
    <row r="176" spans="1:5" x14ac:dyDescent="0.35">
      <c r="B176" s="167"/>
      <c r="C176" s="162"/>
      <c r="D176" s="160"/>
    </row>
    <row r="177" spans="1:5" x14ac:dyDescent="0.35">
      <c r="B177" s="166" t="s">
        <v>222</v>
      </c>
      <c r="C177" s="162"/>
      <c r="D177" s="160"/>
    </row>
    <row r="178" spans="1:5" x14ac:dyDescent="0.35">
      <c r="A178" t="str">
        <f>+B177</f>
        <v>Procurement</v>
      </c>
      <c r="B178" s="167" t="s">
        <v>166</v>
      </c>
      <c r="C178" s="162">
        <v>100</v>
      </c>
      <c r="D178" s="168">
        <v>0.55717179208418666</v>
      </c>
      <c r="E178" t="str">
        <f t="shared" ref="E178:E183" si="28">+A178&amp;" - "&amp;B178</f>
        <v>Procurement - Salaries &amp; Wages</v>
      </c>
    </row>
    <row r="179" spans="1:5" x14ac:dyDescent="0.35">
      <c r="A179" t="str">
        <f>+A178</f>
        <v>Procurement</v>
      </c>
      <c r="B179" s="167" t="s">
        <v>194</v>
      </c>
      <c r="C179" s="162">
        <v>200</v>
      </c>
      <c r="D179" s="168">
        <v>9.9999999999999995E-7</v>
      </c>
      <c r="E179" t="str">
        <f t="shared" si="28"/>
        <v>Procurement - Services</v>
      </c>
    </row>
    <row r="180" spans="1:5" x14ac:dyDescent="0.35">
      <c r="A180" t="str">
        <f t="shared" ref="A180:A183" si="29">+A179</f>
        <v>Procurement</v>
      </c>
      <c r="B180" s="167" t="s">
        <v>195</v>
      </c>
      <c r="C180" s="162">
        <v>300</v>
      </c>
      <c r="D180" s="168">
        <v>9.9999999999999995E-7</v>
      </c>
      <c r="E180" t="str">
        <f t="shared" si="28"/>
        <v>Procurement - Materials and Supplies</v>
      </c>
    </row>
    <row r="181" spans="1:5" x14ac:dyDescent="0.35">
      <c r="A181" t="str">
        <f t="shared" si="29"/>
        <v>Procurement</v>
      </c>
      <c r="B181" s="167" t="s">
        <v>196</v>
      </c>
      <c r="C181" s="162">
        <v>400</v>
      </c>
      <c r="D181" s="168">
        <v>9.9999999999999995E-7</v>
      </c>
      <c r="E181" t="str">
        <f t="shared" si="28"/>
        <v>Procurement - Equipment</v>
      </c>
    </row>
    <row r="182" spans="1:5" x14ac:dyDescent="0.35">
      <c r="A182" t="str">
        <f t="shared" si="29"/>
        <v>Procurement</v>
      </c>
      <c r="B182" s="167" t="s">
        <v>63</v>
      </c>
      <c r="C182" s="162">
        <v>500</v>
      </c>
      <c r="D182" s="168">
        <v>9.9999999999999995E-7</v>
      </c>
      <c r="E182" t="str">
        <f t="shared" si="28"/>
        <v>Procurement - Indemnities</v>
      </c>
    </row>
    <row r="183" spans="1:5" x14ac:dyDescent="0.35">
      <c r="A183" t="str">
        <f t="shared" si="29"/>
        <v>Procurement</v>
      </c>
      <c r="B183" s="167" t="s">
        <v>190</v>
      </c>
      <c r="C183" s="162">
        <v>800</v>
      </c>
      <c r="D183" s="168">
        <v>9.9999999999999995E-7</v>
      </c>
      <c r="E183" t="str">
        <f t="shared" si="28"/>
        <v>Procurement - Transfers</v>
      </c>
    </row>
    <row r="184" spans="1:5" x14ac:dyDescent="0.35">
      <c r="B184" s="161"/>
      <c r="C184" s="162"/>
      <c r="D184" s="160"/>
    </row>
    <row r="185" spans="1:5" x14ac:dyDescent="0.35">
      <c r="B185" s="167" t="s">
        <v>223</v>
      </c>
      <c r="C185" s="162"/>
      <c r="D185" s="160"/>
    </row>
    <row r="186" spans="1:5" x14ac:dyDescent="0.35">
      <c r="B186" s="161"/>
      <c r="C186" s="162"/>
      <c r="D186" s="160"/>
    </row>
    <row r="187" spans="1:5" x14ac:dyDescent="0.35">
      <c r="B187" s="166" t="s">
        <v>224</v>
      </c>
      <c r="C187" s="162"/>
      <c r="D187" s="160"/>
    </row>
    <row r="188" spans="1:5" x14ac:dyDescent="0.35">
      <c r="A188" t="str">
        <f>+B187</f>
        <v>Law</v>
      </c>
      <c r="B188" s="167" t="s">
        <v>166</v>
      </c>
      <c r="C188" s="162">
        <v>100</v>
      </c>
      <c r="D188" s="168">
        <v>0.96020384529463343</v>
      </c>
      <c r="E188" t="str">
        <f t="shared" ref="E188:E193" si="30">+A188&amp;" - "&amp;B188</f>
        <v>Law - Salaries &amp; Wages</v>
      </c>
    </row>
    <row r="189" spans="1:5" x14ac:dyDescent="0.35">
      <c r="A189" t="str">
        <f>+A188</f>
        <v>Law</v>
      </c>
      <c r="B189" s="167" t="s">
        <v>194</v>
      </c>
      <c r="C189" s="162">
        <v>200</v>
      </c>
      <c r="D189" s="168">
        <v>0.99981251584457997</v>
      </c>
      <c r="E189" t="str">
        <f t="shared" si="30"/>
        <v>Law - Services</v>
      </c>
    </row>
    <row r="190" spans="1:5" x14ac:dyDescent="0.35">
      <c r="A190" t="str">
        <f t="shared" ref="A190:A193" si="31">+A189</f>
        <v>Law</v>
      </c>
      <c r="B190" s="167" t="s">
        <v>195</v>
      </c>
      <c r="C190" s="162">
        <v>300</v>
      </c>
      <c r="D190" s="168">
        <v>0.99304812834224598</v>
      </c>
      <c r="E190" t="str">
        <f t="shared" si="30"/>
        <v>Law - Materials and Supplies</v>
      </c>
    </row>
    <row r="191" spans="1:5" x14ac:dyDescent="0.35">
      <c r="A191" t="str">
        <f t="shared" si="31"/>
        <v>Law</v>
      </c>
      <c r="B191" s="167" t="s">
        <v>196</v>
      </c>
      <c r="C191" s="162">
        <v>400</v>
      </c>
      <c r="D191" s="168">
        <v>9.9999999999999995E-7</v>
      </c>
      <c r="E191" t="str">
        <f t="shared" si="30"/>
        <v>Law - Equipment</v>
      </c>
    </row>
    <row r="192" spans="1:5" x14ac:dyDescent="0.35">
      <c r="A192" t="str">
        <f t="shared" si="31"/>
        <v>Law</v>
      </c>
      <c r="B192" s="167" t="s">
        <v>63</v>
      </c>
      <c r="C192" s="162">
        <v>500</v>
      </c>
      <c r="D192" s="168">
        <v>9.9999999999999995E-7</v>
      </c>
      <c r="E192" t="str">
        <f t="shared" si="30"/>
        <v>Law - Indemnities</v>
      </c>
    </row>
    <row r="193" spans="1:5" x14ac:dyDescent="0.35">
      <c r="A193" t="str">
        <f t="shared" si="31"/>
        <v>Law</v>
      </c>
      <c r="B193" s="167" t="s">
        <v>190</v>
      </c>
      <c r="C193" s="162">
        <v>800</v>
      </c>
      <c r="D193" s="168">
        <v>9.9999999999999995E-7</v>
      </c>
      <c r="E193" t="str">
        <f t="shared" si="30"/>
        <v>Law - Transfers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E11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6" sqref="G6"/>
    </sheetView>
  </sheetViews>
  <sheetFormatPr defaultRowHeight="14.5" x14ac:dyDescent="0.35"/>
  <cols>
    <col min="1" max="1" width="10.54296875" customWidth="1"/>
    <col min="2" max="2" width="25.54296875" customWidth="1"/>
    <col min="3" max="29" width="12.54296875" customWidth="1"/>
    <col min="30" max="30" width="48.26953125" bestFit="1" customWidth="1"/>
    <col min="31" max="32" width="12.54296875" customWidth="1"/>
    <col min="33" max="33" width="5.54296875" bestFit="1" customWidth="1"/>
    <col min="34" max="34" width="11" bestFit="1" customWidth="1"/>
    <col min="35" max="35" width="11.1796875" bestFit="1" customWidth="1"/>
    <col min="36" max="36" width="11" bestFit="1" customWidth="1"/>
    <col min="37" max="40" width="11.54296875" bestFit="1" customWidth="1"/>
    <col min="41" max="57" width="12.81640625" customWidth="1"/>
  </cols>
  <sheetData>
    <row r="1" spans="1:57" ht="19" thickTop="1" x14ac:dyDescent="0.45">
      <c r="A1" s="12" t="s">
        <v>17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AF2" t="s">
        <v>2</v>
      </c>
    </row>
    <row r="3" spans="1:57" ht="16.5" thickTop="1" x14ac:dyDescent="0.5">
      <c r="A3" s="22" t="s">
        <v>3</v>
      </c>
      <c r="B3" s="23" t="s">
        <v>18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46">
        <v>1</v>
      </c>
      <c r="B6" s="32" t="s">
        <v>20</v>
      </c>
      <c r="C6" s="5"/>
      <c r="D6" s="5">
        <v>0</v>
      </c>
      <c r="E6" s="5">
        <v>0</v>
      </c>
      <c r="F6" s="5">
        <v>0</v>
      </c>
      <c r="G6" s="5">
        <f>+(1.05/1.0325)-1</f>
        <v>1.6949152542373058E-2</v>
      </c>
      <c r="H6" s="112">
        <f>SUMIF(Assumptions!$B$6:$B$20,$AC6,Assumptions!F$6:F$20)</f>
        <v>3.5000000000000003E-2</v>
      </c>
      <c r="I6" s="112">
        <f>SUMIF(Assumptions!$B$6:$B$20,$AC6,Assumptions!G$6:G$20)</f>
        <v>3.5000000000000003E-2</v>
      </c>
      <c r="J6" s="112">
        <f>SUMIF(Assumptions!$B$6:$B$20,$AC6,Assumptions!H$6:H$20)</f>
        <v>3.5000000000000003E-2</v>
      </c>
      <c r="K6" s="112">
        <f>SUMIF(Assumptions!$B$6:$B$20,$AC6,Assumptions!I$6:I$20)</f>
        <v>3.5000000000000003E-2</v>
      </c>
      <c r="L6" s="112">
        <f>SUMIF(Assumptions!$B$6:$B$20,$AC6,Assumptions!J$6:J$20)</f>
        <v>3.5000000000000003E-2</v>
      </c>
      <c r="M6" s="112">
        <f>SUMIF(Assumptions!$B$6:$B$20,$AC6,Assumptions!K$6:K$20)</f>
        <v>3.5000000000000003E-2</v>
      </c>
      <c r="N6" s="112">
        <f>SUMIF(Assumptions!$B$6:$B$20,$AC6,Assumptions!L$6:L$20)</f>
        <v>3.5000000000000003E-2</v>
      </c>
      <c r="O6" s="112">
        <f>SUMIF(Assumptions!$B$6:$B$20,$AC6,Assumptions!M$6:M$20)</f>
        <v>3.5000000000000003E-2</v>
      </c>
      <c r="P6" s="112">
        <f>SUMIF(Assumptions!$B$6:$B$20,$AC6,Assumptions!N$6:N$20)</f>
        <v>3.5000000000000003E-2</v>
      </c>
      <c r="Q6" s="112">
        <f>SUMIF(Assumptions!$B$6:$B$20,$AC6,Assumptions!O$6:O$20)</f>
        <v>3.5000000000000003E-2</v>
      </c>
      <c r="R6" s="112">
        <f>SUMIF(Assumptions!$B$6:$B$20,$AC6,Assumptions!P$6:P$20)</f>
        <v>3.5000000000000003E-2</v>
      </c>
      <c r="S6" s="112">
        <f>SUMIF(Assumptions!$B$6:$B$20,$AC6,Assumptions!Q$6:Q$20)</f>
        <v>3.5000000000000003E-2</v>
      </c>
      <c r="T6" s="112">
        <f>SUMIF(Assumptions!$B$6:$B$20,$AC6,Assumptions!R$6:R$20)</f>
        <v>3.5000000000000003E-2</v>
      </c>
      <c r="U6" s="112">
        <f>SUMIF(Assumptions!$B$6:$B$20,$AC6,Assumptions!S$6:S$20)</f>
        <v>3.5000000000000003E-2</v>
      </c>
      <c r="V6" s="112">
        <f>SUMIF(Assumptions!$B$6:$B$20,$AC6,Assumptions!T$6:T$20)</f>
        <v>3.5000000000000003E-2</v>
      </c>
      <c r="W6" s="112">
        <f>SUMIF(Assumptions!$B$6:$B$20,$AC6,Assumptions!U$6:U$20)</f>
        <v>3.5000000000000003E-2</v>
      </c>
      <c r="X6" s="112">
        <f>SUMIF(Assumptions!$B$6:$B$20,$AC6,Assumptions!V$6:V$20)</f>
        <v>3.5000000000000003E-2</v>
      </c>
      <c r="Y6" s="112">
        <f>SUMIF(Assumptions!$B$6:$B$20,$AC6,Assumptions!W$6:W$20)</f>
        <v>3.5000000000000003E-2</v>
      </c>
      <c r="Z6" s="112">
        <f>SUMIF(Assumptions!$B$6:$B$20,$AC6,Assumptions!X$6:X$20)</f>
        <v>3.5000000000000003E-2</v>
      </c>
      <c r="AA6" s="112">
        <f>SUMIF(Assumptions!$B$6:$B$20,$AC6,Assumptions!Y$6:Y$20)</f>
        <v>3.5000000000000003E-2</v>
      </c>
      <c r="AC6" s="172" t="s">
        <v>10</v>
      </c>
    </row>
    <row r="7" spans="1:57" x14ac:dyDescent="0.35">
      <c r="A7" s="120">
        <f>MAX(A$6:A6)+1</f>
        <v>2</v>
      </c>
      <c r="B7" s="19" t="s">
        <v>274</v>
      </c>
      <c r="C7" s="121"/>
      <c r="D7" s="121"/>
      <c r="E7" s="121"/>
      <c r="F7" s="121"/>
      <c r="G7" s="121">
        <f>+(1+F6)*(1+G6)-1</f>
        <v>1.6949152542373058E-2</v>
      </c>
      <c r="H7" s="121">
        <f>+(1+G6)*(1+H6)*(1+F6)-1</f>
        <v>5.2542372881356103E-2</v>
      </c>
      <c r="I7" s="121">
        <f>+(1+H6)*(1+I6)*(1+G6)*(1+F6)-1</f>
        <v>8.9381355932203421E-2</v>
      </c>
      <c r="J7" s="121">
        <f>+(1+I6)*(1+J6)*(1+H6)*(1+G6)*(1+F6)-1</f>
        <v>0.12750970338983048</v>
      </c>
      <c r="K7" s="121">
        <f>+(1+J6)*(1+K6)*(1+I6)*(1+H6)*(1+G6)*(1+F6)-1</f>
        <v>0.16697254300847453</v>
      </c>
      <c r="L7" s="121">
        <f>+(1+K6)*(1+L6)*(1+J6)*(1+I6)*(1+H6)*(1+G6)*(1+F6)-1</f>
        <v>0.20781658201377096</v>
      </c>
      <c r="M7" s="121">
        <f>+(1+L6)*(1+M6)*(1+K6)*(1+J6)*(1+I6)*(1+H6)*(1+G6)*(1+F6)-1</f>
        <v>0.25009016238425263</v>
      </c>
      <c r="N7" s="121">
        <f>+(1+M6)*(1+N6)*(1+L6)*(1+K6)*(1+J6)*(1+I6)*(1+H6)*(1+G6)*(1+F6)-1</f>
        <v>0.29384331806770136</v>
      </c>
      <c r="O7" s="121">
        <f>+(1+N6)*(1+O6)*(1+M6)*(1+L6)*(1+K6)*(1+J6)*(1+I6)*(1+H6)*(1+G6)*(1+F6)-1</f>
        <v>0.33912783420007098</v>
      </c>
      <c r="P7" s="121">
        <f>+(1+O6)*(1+P6)*(1+N6)*(1+M6)*(1+L6)*(1+K6)*(1+J6)*(1+I6)*(1+H6)*(1+G6)*(1+F6)-1</f>
        <v>0.38599730839707336</v>
      </c>
      <c r="Q7" s="121">
        <f>+(1+P6)*(1+Q6)*(1+O6)*(1+N6)*(1+M6)*(1+L6)*(1+K6)*(1+J6)*(1+I6)*(1+H6)*(1+G6)*(1+F6)-1</f>
        <v>0.43450721419097071</v>
      </c>
      <c r="R7" s="121">
        <f>+(1+Q6)*(1+R6)*(1+P6)*(1+O6)*(1+N6)*(1+M6)*(1+L6)*(1+K6)*(1+J6)*(1+I6)*(1+H6)*(1+G6)*(1+F6)-1</f>
        <v>0.48471496668765446</v>
      </c>
      <c r="S7" s="121">
        <f>+(1+R6)*(1+S6)*(1+Q6)*(1+P6)*(1+O6)*(1+N6)*(1+M6)*(1+L6)*(1+K6)*(1+J6)*(1+I6)*(1+H6)*(1+G6)*(1+F6)-1</f>
        <v>0.53667999052172233</v>
      </c>
      <c r="T7" s="121">
        <f>+(1+S6)*(1+T6)*(1+R6)*(1+Q6)*(1+P6)*(1+O6)*(1+N6)*(1+M6)*(1+L6)*(1+K6)*(1+J6)*(1+I6)*(1+H6)*(1+G6)*(1+F6)-1</f>
        <v>0.59046379018998252</v>
      </c>
      <c r="U7" s="121">
        <f>+(1+T6)*(1+U6)*(1+S6)*(1+R6)*(1+Q6)*(1+P6)*(1+O6)*(1+N6)*(1+M6)*(1+L6)*(1+K6)*(1+J6)*(1+I6)*(1+H6)*(1+G6)*(1+F6)-1</f>
        <v>0.64613002284663179</v>
      </c>
      <c r="V7" s="121">
        <f>+(1+U6)*(1+V6)*(1+T6)*(1+S6)*(1+R6)*(1+Q6)*(1+P6)*(1+O6)*(1+N6)*(1+M6)*(1+L6)*(1+K6)*(1+J6)*(1+I6)*(1+H6)*(1+G6)*(1+F6)-1</f>
        <v>0.70374457364626353</v>
      </c>
      <c r="W7" s="121">
        <f>+(1+V6)*(1+W6)*(1+U6)*(1+T6)*(1+S6)*(1+R6)*(1+Q6)*(1+P6)*(1+O6)*(1+N6)*(1+M6)*(1+L6)*(1+K6)*(1+J6)*(1+I6)*(1+H6)*(1+G6)*(1+F6)-1</f>
        <v>0.76337563372388262</v>
      </c>
      <c r="X7" s="121">
        <f>+(1+W6)*(1+X6)*(1+V6)*(1+U6)*(1+T6)*(1+S6)*(1+R6)*(1+Q6)*(1+P6)*(1+O6)*(1+N6)*(1+M6)*(1+L6)*(1+K6)*(1+J6)*(1+I6)*(1+H6)*(1+G6)*(1+F6)-1</f>
        <v>0.82509378090421848</v>
      </c>
      <c r="Y7" s="121">
        <f>+(1+X6)*(1+Y6)*(1+W6)*(1+V6)*(1+U6)*(1+T6)*(1+S6)*(1+R6)*(1+Q6)*(1+P6)*(1+O6)*(1+N6)*(1+M6)*(1+L6)*(1+K6)*(1+J6)*(1+I6)*(1+H6)*(1+G6)*(1+F6)-1</f>
        <v>0.88897206323586597</v>
      </c>
      <c r="Z7" s="121">
        <f>+(1+Y6)*(1+Z6)*(1+X6)*(1+W6)*(1+V6)*(1+U6)*(1+T6)*(1+S6)*(1+R6)*(1+Q6)*(1+P6)*(1+O6)*(1+N6)*(1+M6)*(1+L6)*(1+K6)*(1+J6)*(1+I6)*(1+H6)*(1+G6)*(1+F6)-1</f>
        <v>0.95508608544912121</v>
      </c>
      <c r="AA7" s="121">
        <f>+(1+Z6)*(1+AA6)*(1+Y6)*(1+X6)*(1+W6)*(1+V6)*(1+U6)*(1+T6)*(1+S6)*(1+R6)*(1+Q6)*(1+P6)*(1+O6)*(1+N6)*(1+M6)*(1+L6)*(1+K6)*(1+J6)*(1+I6)*(1+H6)*(1+G6)*(1+F6)-1</f>
        <v>1.0235140984398403</v>
      </c>
    </row>
    <row r="8" spans="1:57" ht="15.5" x14ac:dyDescent="0.35">
      <c r="A8" s="10"/>
      <c r="B8" s="31" t="s">
        <v>21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2"/>
    </row>
    <row r="9" spans="1:57" x14ac:dyDescent="0.35">
      <c r="A9" s="57">
        <f>MAX(A$6:A8)+1</f>
        <v>3</v>
      </c>
      <c r="B9" s="17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2"/>
    </row>
    <row r="10" spans="1:57" ht="15.5" x14ac:dyDescent="0.35">
      <c r="A10" s="10"/>
      <c r="B10" s="31" t="s">
        <v>229</v>
      </c>
      <c r="C10" s="31" t="s">
        <v>22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1:57" x14ac:dyDescent="0.35">
      <c r="A11" s="46">
        <f>MAX(A$6:A10)+1</f>
        <v>4</v>
      </c>
      <c r="B11" s="32" t="s">
        <v>23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C11" s="1"/>
      <c r="AD11" s="1"/>
    </row>
    <row r="12" spans="1:57" x14ac:dyDescent="0.35">
      <c r="A12" s="57">
        <f>MAX(A$6:A11)+1</f>
        <v>5</v>
      </c>
      <c r="B12" s="17" t="s">
        <v>24</v>
      </c>
      <c r="C12" s="103"/>
      <c r="D12" s="103"/>
      <c r="E12" s="103"/>
      <c r="F12" s="103"/>
      <c r="G12" s="99">
        <v>2100000</v>
      </c>
      <c r="H12" s="99">
        <v>4100000</v>
      </c>
      <c r="I12" s="99">
        <v>6100000</v>
      </c>
      <c r="J12" s="99">
        <v>8100000</v>
      </c>
      <c r="K12" s="99">
        <v>10100000</v>
      </c>
      <c r="L12" s="99">
        <v>10100000</v>
      </c>
      <c r="M12" s="99">
        <v>10100000</v>
      </c>
      <c r="N12" s="99">
        <v>10100000</v>
      </c>
      <c r="O12" s="99">
        <v>10100000</v>
      </c>
      <c r="P12" s="99">
        <v>10100000</v>
      </c>
      <c r="Q12" s="99">
        <v>10100000</v>
      </c>
      <c r="R12" s="99">
        <v>10100000</v>
      </c>
      <c r="S12" s="99">
        <v>10100000</v>
      </c>
      <c r="T12" s="99">
        <v>10100000</v>
      </c>
      <c r="U12" s="99">
        <v>10100000</v>
      </c>
      <c r="V12" s="99">
        <v>10100000</v>
      </c>
      <c r="W12" s="99">
        <v>10100000</v>
      </c>
      <c r="X12" s="99">
        <v>10100000</v>
      </c>
      <c r="Y12" s="99">
        <v>10100000</v>
      </c>
      <c r="Z12" s="99">
        <v>10100000</v>
      </c>
      <c r="AA12" s="99">
        <v>10100000</v>
      </c>
      <c r="AB12" s="2"/>
      <c r="AC12" s="1" t="s">
        <v>271</v>
      </c>
    </row>
    <row r="13" spans="1:57" x14ac:dyDescent="0.35">
      <c r="A13" s="46">
        <f>MAX(A$6:A12)+1</f>
        <v>6</v>
      </c>
      <c r="B13" s="32" t="s">
        <v>25</v>
      </c>
      <c r="C13" s="42"/>
      <c r="D13" s="42"/>
      <c r="E13" s="42"/>
      <c r="F13" s="42"/>
      <c r="G13" s="42">
        <f t="shared" ref="G13:AA13" si="32">SUM(G12+G11)</f>
        <v>2100000</v>
      </c>
      <c r="H13" s="42">
        <f t="shared" si="32"/>
        <v>4100000</v>
      </c>
      <c r="I13" s="42">
        <f t="shared" si="32"/>
        <v>6100000</v>
      </c>
      <c r="J13" s="42">
        <f t="shared" si="32"/>
        <v>8100000</v>
      </c>
      <c r="K13" s="42">
        <f t="shared" si="32"/>
        <v>10100000</v>
      </c>
      <c r="L13" s="42">
        <f t="shared" si="32"/>
        <v>10100000</v>
      </c>
      <c r="M13" s="42">
        <f t="shared" si="32"/>
        <v>10100000</v>
      </c>
      <c r="N13" s="42">
        <f t="shared" si="32"/>
        <v>10100000</v>
      </c>
      <c r="O13" s="42">
        <f t="shared" si="32"/>
        <v>10100000</v>
      </c>
      <c r="P13" s="42">
        <f t="shared" si="32"/>
        <v>10100000</v>
      </c>
      <c r="Q13" s="42">
        <f t="shared" si="32"/>
        <v>10100000</v>
      </c>
      <c r="R13" s="42">
        <f t="shared" si="32"/>
        <v>10100000</v>
      </c>
      <c r="S13" s="42">
        <f t="shared" si="32"/>
        <v>10100000</v>
      </c>
      <c r="T13" s="42">
        <f t="shared" si="32"/>
        <v>10100000</v>
      </c>
      <c r="U13" s="42">
        <f t="shared" si="32"/>
        <v>10100000</v>
      </c>
      <c r="V13" s="42">
        <f t="shared" si="32"/>
        <v>10100000</v>
      </c>
      <c r="W13" s="42">
        <f t="shared" si="32"/>
        <v>10100000</v>
      </c>
      <c r="X13" s="42">
        <f t="shared" si="32"/>
        <v>10100000</v>
      </c>
      <c r="Y13" s="42">
        <f t="shared" si="32"/>
        <v>10100000</v>
      </c>
      <c r="Z13" s="42">
        <f t="shared" si="32"/>
        <v>10100000</v>
      </c>
      <c r="AA13" s="42">
        <f t="shared" si="32"/>
        <v>10100000</v>
      </c>
      <c r="AC13" s="1"/>
    </row>
    <row r="14" spans="1:57" ht="15.5" x14ac:dyDescent="0.35">
      <c r="A14" s="91"/>
      <c r="B14" s="92" t="s">
        <v>11</v>
      </c>
      <c r="C14" s="92"/>
      <c r="D14" s="92"/>
      <c r="E14" s="93"/>
      <c r="F14" s="93"/>
      <c r="G14" s="93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</row>
    <row r="15" spans="1:57" ht="15.5" x14ac:dyDescent="0.35">
      <c r="A15" s="10"/>
      <c r="B15" s="31" t="s">
        <v>23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57" x14ac:dyDescent="0.35">
      <c r="A16" s="57">
        <f>MAX(A$6:A15)+1</f>
        <v>7</v>
      </c>
      <c r="B16" s="16" t="s">
        <v>26</v>
      </c>
      <c r="C16" s="99">
        <v>0</v>
      </c>
      <c r="D16" s="99">
        <f>+D11*(1+D7)</f>
        <v>0</v>
      </c>
      <c r="E16" s="99">
        <f>+E11*(1+E7)*E$9</f>
        <v>0</v>
      </c>
      <c r="F16" s="99">
        <f t="shared" ref="F16:AA16" si="33">+F11*(1+F7)</f>
        <v>0</v>
      </c>
      <c r="G16" s="99">
        <f t="shared" si="33"/>
        <v>0</v>
      </c>
      <c r="H16" s="99">
        <f t="shared" si="33"/>
        <v>0</v>
      </c>
      <c r="I16" s="99">
        <f t="shared" si="33"/>
        <v>0</v>
      </c>
      <c r="J16" s="99">
        <f t="shared" si="33"/>
        <v>0</v>
      </c>
      <c r="K16" s="99">
        <f t="shared" si="33"/>
        <v>0</v>
      </c>
      <c r="L16" s="99">
        <f t="shared" si="33"/>
        <v>0</v>
      </c>
      <c r="M16" s="99">
        <f t="shared" si="33"/>
        <v>0</v>
      </c>
      <c r="N16" s="99">
        <f t="shared" si="33"/>
        <v>0</v>
      </c>
      <c r="O16" s="99">
        <f t="shared" si="33"/>
        <v>0</v>
      </c>
      <c r="P16" s="99">
        <f t="shared" si="33"/>
        <v>0</v>
      </c>
      <c r="Q16" s="99">
        <f t="shared" si="33"/>
        <v>0</v>
      </c>
      <c r="R16" s="99">
        <f t="shared" si="33"/>
        <v>0</v>
      </c>
      <c r="S16" s="99">
        <f t="shared" si="33"/>
        <v>0</v>
      </c>
      <c r="T16" s="99">
        <f t="shared" si="33"/>
        <v>0</v>
      </c>
      <c r="U16" s="99">
        <f t="shared" si="33"/>
        <v>0</v>
      </c>
      <c r="V16" s="99">
        <f t="shared" si="33"/>
        <v>0</v>
      </c>
      <c r="W16" s="99">
        <f t="shared" si="33"/>
        <v>0</v>
      </c>
      <c r="X16" s="99">
        <f t="shared" si="33"/>
        <v>0</v>
      </c>
      <c r="Y16" s="99">
        <f t="shared" si="33"/>
        <v>0</v>
      </c>
      <c r="Z16" s="99">
        <f t="shared" si="33"/>
        <v>0</v>
      </c>
      <c r="AA16" s="99">
        <f t="shared" si="33"/>
        <v>0</v>
      </c>
      <c r="AD16" s="172" t="s">
        <v>27</v>
      </c>
      <c r="AE16" t="s">
        <v>28</v>
      </c>
      <c r="AF16" s="173">
        <f>SUMIF(Assumptions!$E$27:$E$193,AD16,Assumptions!$D$27:$D$193)</f>
        <v>0.92802791780217886</v>
      </c>
      <c r="AH16" s="105">
        <f t="shared" ref="AH16:AP16" si="34">+D16*$AF16</f>
        <v>0</v>
      </c>
      <c r="AI16" s="105">
        <f t="shared" si="34"/>
        <v>0</v>
      </c>
      <c r="AJ16" s="105">
        <f t="shared" si="34"/>
        <v>0</v>
      </c>
      <c r="AK16" s="105">
        <f t="shared" si="34"/>
        <v>0</v>
      </c>
      <c r="AL16" s="105">
        <f t="shared" si="34"/>
        <v>0</v>
      </c>
      <c r="AM16" s="105">
        <f t="shared" si="34"/>
        <v>0</v>
      </c>
      <c r="AN16" s="105">
        <f t="shared" si="34"/>
        <v>0</v>
      </c>
      <c r="AO16" s="105">
        <f t="shared" si="34"/>
        <v>0</v>
      </c>
      <c r="AP16" s="105">
        <f t="shared" si="34"/>
        <v>0</v>
      </c>
      <c r="AQ16" s="105">
        <f t="shared" ref="AQ16:BC16" si="35">+M16*$AF16</f>
        <v>0</v>
      </c>
      <c r="AR16" s="105">
        <f t="shared" si="35"/>
        <v>0</v>
      </c>
      <c r="AS16" s="105">
        <f t="shared" si="35"/>
        <v>0</v>
      </c>
      <c r="AT16" s="105">
        <f t="shared" si="35"/>
        <v>0</v>
      </c>
      <c r="AU16" s="105">
        <f t="shared" si="35"/>
        <v>0</v>
      </c>
      <c r="AV16" s="105">
        <f t="shared" si="35"/>
        <v>0</v>
      </c>
      <c r="AW16" s="105">
        <f t="shared" si="35"/>
        <v>0</v>
      </c>
      <c r="AX16" s="105">
        <f t="shared" si="35"/>
        <v>0</v>
      </c>
      <c r="AY16" s="105">
        <f t="shared" si="35"/>
        <v>0</v>
      </c>
      <c r="AZ16" s="105">
        <f t="shared" si="35"/>
        <v>0</v>
      </c>
      <c r="BA16" s="105">
        <f t="shared" si="35"/>
        <v>0</v>
      </c>
      <c r="BB16" s="105">
        <f t="shared" si="35"/>
        <v>0</v>
      </c>
      <c r="BC16" s="105">
        <f t="shared" si="35"/>
        <v>0</v>
      </c>
      <c r="BD16" s="105">
        <f>+Z16*$AF16</f>
        <v>0</v>
      </c>
      <c r="BE16" s="105">
        <f t="shared" ref="BE16" si="36">+AA16*$AF16</f>
        <v>0</v>
      </c>
    </row>
    <row r="17" spans="1:57" ht="15.5" x14ac:dyDescent="0.35">
      <c r="A17" s="10"/>
      <c r="B17" s="31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57" x14ac:dyDescent="0.35">
      <c r="A18" s="57">
        <f>MAX(A$6:A17)+1</f>
        <v>8</v>
      </c>
      <c r="B18" s="16" t="s">
        <v>26</v>
      </c>
      <c r="C18" s="99">
        <v>0</v>
      </c>
      <c r="D18" s="99">
        <f>+(D12*(1+D7))</f>
        <v>0</v>
      </c>
      <c r="E18" s="99">
        <f>+E13*(1+E9)*E$9</f>
        <v>0</v>
      </c>
      <c r="F18" s="99">
        <f t="shared" ref="F18:AA18" si="37">+(F12*(1+F7))</f>
        <v>0</v>
      </c>
      <c r="G18" s="103">
        <f t="shared" si="37"/>
        <v>2135593.2203389835</v>
      </c>
      <c r="H18" s="103">
        <f t="shared" si="37"/>
        <v>4315423.7288135597</v>
      </c>
      <c r="I18" s="103">
        <f t="shared" si="37"/>
        <v>6645226.2711864412</v>
      </c>
      <c r="J18" s="103">
        <f t="shared" si="37"/>
        <v>9132828.5974576268</v>
      </c>
      <c r="K18" s="103">
        <f t="shared" si="37"/>
        <v>11786422.684385592</v>
      </c>
      <c r="L18" s="103">
        <f t="shared" si="37"/>
        <v>12198947.478339087</v>
      </c>
      <c r="M18" s="103">
        <f t="shared" si="37"/>
        <v>12625910.640080951</v>
      </c>
      <c r="N18" s="103">
        <f t="shared" si="37"/>
        <v>13067817.512483783</v>
      </c>
      <c r="O18" s="103">
        <f t="shared" si="37"/>
        <v>13525191.125420718</v>
      </c>
      <c r="P18" s="103">
        <f t="shared" si="37"/>
        <v>13998572.814810442</v>
      </c>
      <c r="Q18" s="103">
        <f t="shared" si="37"/>
        <v>14488522.863328803</v>
      </c>
      <c r="R18" s="103">
        <f t="shared" si="37"/>
        <v>14995621.16354531</v>
      </c>
      <c r="S18" s="103">
        <f t="shared" si="37"/>
        <v>15520467.904269395</v>
      </c>
      <c r="T18" s="103">
        <f t="shared" si="37"/>
        <v>16063684.280918824</v>
      </c>
      <c r="U18" s="103">
        <f t="shared" si="37"/>
        <v>16625913.230750982</v>
      </c>
      <c r="V18" s="103">
        <f t="shared" si="37"/>
        <v>17207820.19382726</v>
      </c>
      <c r="W18" s="103">
        <f t="shared" si="37"/>
        <v>17810093.900611214</v>
      </c>
      <c r="X18" s="103">
        <f t="shared" si="37"/>
        <v>18433447.187132608</v>
      </c>
      <c r="Y18" s="103">
        <f t="shared" si="37"/>
        <v>19078617.838682245</v>
      </c>
      <c r="Z18" s="103">
        <f t="shared" si="37"/>
        <v>19746369.463036124</v>
      </c>
      <c r="AA18" s="103">
        <f t="shared" si="37"/>
        <v>20437492.394242387</v>
      </c>
      <c r="AB18" s="145"/>
      <c r="AC18" s="145"/>
      <c r="AD18" s="172" t="s">
        <v>29</v>
      </c>
      <c r="AE18" t="s">
        <v>30</v>
      </c>
      <c r="AF18" s="173">
        <f>SUMIF(Assumptions!$E$27:$E$193,AD18,Assumptions!$D$27:$D$193)</f>
        <v>0.89208423081395782</v>
      </c>
      <c r="AH18" s="105">
        <f t="shared" ref="AH18:AP18" si="38">+D18*$AF18</f>
        <v>0</v>
      </c>
      <c r="AI18" s="105">
        <f>+E18*$AF18</f>
        <v>0</v>
      </c>
      <c r="AJ18" s="105">
        <f t="shared" si="38"/>
        <v>0</v>
      </c>
      <c r="AK18" s="105">
        <f t="shared" si="38"/>
        <v>1905129.0352976052</v>
      </c>
      <c r="AL18" s="105">
        <f t="shared" si="38"/>
        <v>3849721.4577549463</v>
      </c>
      <c r="AM18" s="105">
        <f t="shared" si="38"/>
        <v>5928101.5667160619</v>
      </c>
      <c r="AN18" s="105">
        <f t="shared" si="38"/>
        <v>8147252.3745187046</v>
      </c>
      <c r="AO18" s="105">
        <f t="shared" si="38"/>
        <v>10514481.814448304</v>
      </c>
      <c r="AP18" s="105">
        <f t="shared" si="38"/>
        <v>10882488.677953996</v>
      </c>
      <c r="AQ18" s="105">
        <f t="shared" ref="AQ18:BC18" si="39">+M18*$AF18</f>
        <v>11263375.781682381</v>
      </c>
      <c r="AR18" s="105">
        <f>+N18*$AF18</f>
        <v>11657593.934041264</v>
      </c>
      <c r="AS18" s="105">
        <f t="shared" si="39"/>
        <v>12065609.72173271</v>
      </c>
      <c r="AT18" s="105">
        <f t="shared" si="39"/>
        <v>12487906.061993353</v>
      </c>
      <c r="AU18" s="105">
        <f t="shared" si="39"/>
        <v>12924982.774163118</v>
      </c>
      <c r="AV18" s="105">
        <f t="shared" si="39"/>
        <v>13377357.171258826</v>
      </c>
      <c r="AW18" s="105">
        <f t="shared" si="39"/>
        <v>13845564.672252884</v>
      </c>
      <c r="AX18" s="105">
        <f t="shared" si="39"/>
        <v>14330159.435781734</v>
      </c>
      <c r="AY18" s="105">
        <f t="shared" si="39"/>
        <v>14831715.016034095</v>
      </c>
      <c r="AZ18" s="105">
        <f t="shared" si="39"/>
        <v>15350825.041595282</v>
      </c>
      <c r="BA18" s="105">
        <f t="shared" si="39"/>
        <v>15888103.918051116</v>
      </c>
      <c r="BB18" s="105">
        <f t="shared" si="39"/>
        <v>16444187.555182908</v>
      </c>
      <c r="BC18" s="105">
        <f t="shared" si="39"/>
        <v>17019734.119614307</v>
      </c>
      <c r="BD18" s="105">
        <f>+Z18*$AF18</f>
        <v>17615424.813800804</v>
      </c>
      <c r="BE18" s="105">
        <f t="shared" ref="BE18" si="40">+AA18*$AF18</f>
        <v>18231964.682283834</v>
      </c>
    </row>
    <row r="19" spans="1:57" x14ac:dyDescent="0.35">
      <c r="A19" s="15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1:57" x14ac:dyDescent="0.35">
      <c r="A20" s="57">
        <f>MAX(A$6:A19)+1</f>
        <v>9</v>
      </c>
      <c r="B20" s="34" t="s">
        <v>31</v>
      </c>
      <c r="C20" s="35">
        <f t="shared" ref="C20:H20" si="41">+C16+C18</f>
        <v>0</v>
      </c>
      <c r="D20" s="35">
        <f t="shared" si="41"/>
        <v>0</v>
      </c>
      <c r="E20" s="35">
        <f t="shared" si="41"/>
        <v>0</v>
      </c>
      <c r="F20" s="35">
        <f t="shared" si="41"/>
        <v>0</v>
      </c>
      <c r="G20" s="35">
        <f t="shared" si="41"/>
        <v>2135593.2203389835</v>
      </c>
      <c r="H20" s="35">
        <f t="shared" si="41"/>
        <v>4315423.7288135597</v>
      </c>
      <c r="I20" s="35">
        <f t="shared" ref="I20:K20" si="42">+I16+I18</f>
        <v>6645226.2711864412</v>
      </c>
      <c r="J20" s="35">
        <f t="shared" si="42"/>
        <v>9132828.5974576268</v>
      </c>
      <c r="K20" s="35">
        <f t="shared" si="42"/>
        <v>11786422.684385592</v>
      </c>
      <c r="L20" s="35">
        <f t="shared" ref="L20:M20" si="43">+L16+L18</f>
        <v>12198947.478339087</v>
      </c>
      <c r="M20" s="35">
        <f t="shared" si="43"/>
        <v>12625910.640080951</v>
      </c>
      <c r="N20" s="35">
        <f t="shared" ref="N20:AA20" si="44">+N16+N18</f>
        <v>13067817.512483783</v>
      </c>
      <c r="O20" s="35">
        <f t="shared" si="44"/>
        <v>13525191.125420718</v>
      </c>
      <c r="P20" s="35">
        <f t="shared" si="44"/>
        <v>13998572.814810442</v>
      </c>
      <c r="Q20" s="35">
        <f t="shared" si="44"/>
        <v>14488522.863328803</v>
      </c>
      <c r="R20" s="35">
        <f t="shared" si="44"/>
        <v>14995621.16354531</v>
      </c>
      <c r="S20" s="35">
        <f t="shared" si="44"/>
        <v>15520467.904269395</v>
      </c>
      <c r="T20" s="35">
        <f t="shared" si="44"/>
        <v>16063684.280918824</v>
      </c>
      <c r="U20" s="35">
        <f t="shared" si="44"/>
        <v>16625913.230750982</v>
      </c>
      <c r="V20" s="35">
        <f t="shared" si="44"/>
        <v>17207820.19382726</v>
      </c>
      <c r="W20" s="35">
        <f t="shared" si="44"/>
        <v>17810093.900611214</v>
      </c>
      <c r="X20" s="35">
        <f t="shared" si="44"/>
        <v>18433447.187132608</v>
      </c>
      <c r="Y20" s="35">
        <f t="shared" si="44"/>
        <v>19078617.838682245</v>
      </c>
      <c r="Z20" s="35">
        <f t="shared" si="44"/>
        <v>19746369.463036124</v>
      </c>
      <c r="AA20" s="35">
        <f t="shared" si="44"/>
        <v>20437492.394242387</v>
      </c>
      <c r="AG20" s="35">
        <f t="shared" ref="AG20:AL20" si="45">+AG16+AG18</f>
        <v>0</v>
      </c>
      <c r="AH20" s="35">
        <f t="shared" si="45"/>
        <v>0</v>
      </c>
      <c r="AI20" s="35">
        <f>+AI16+AI18</f>
        <v>0</v>
      </c>
      <c r="AJ20" s="35">
        <f t="shared" si="45"/>
        <v>0</v>
      </c>
      <c r="AK20" s="35">
        <f t="shared" si="45"/>
        <v>1905129.0352976052</v>
      </c>
      <c r="AL20" s="35">
        <f t="shared" si="45"/>
        <v>3849721.4577549463</v>
      </c>
      <c r="AM20" s="35">
        <f t="shared" ref="AM20:AP20" si="46">+AM16+AM18</f>
        <v>5928101.5667160619</v>
      </c>
      <c r="AN20" s="35">
        <f t="shared" si="46"/>
        <v>8147252.3745187046</v>
      </c>
      <c r="AO20" s="35">
        <f t="shared" si="46"/>
        <v>10514481.814448304</v>
      </c>
      <c r="AP20" s="35">
        <f t="shared" si="46"/>
        <v>10882488.677953996</v>
      </c>
      <c r="AQ20" s="35">
        <f t="shared" ref="AQ20:BD20" si="47">+AQ16+AQ18</f>
        <v>11263375.781682381</v>
      </c>
      <c r="AR20" s="35">
        <f t="shared" si="47"/>
        <v>11657593.934041264</v>
      </c>
      <c r="AS20" s="35">
        <f t="shared" si="47"/>
        <v>12065609.72173271</v>
      </c>
      <c r="AT20" s="35">
        <f t="shared" si="47"/>
        <v>12487906.061993353</v>
      </c>
      <c r="AU20" s="35">
        <f t="shared" si="47"/>
        <v>12924982.774163118</v>
      </c>
      <c r="AV20" s="35">
        <f t="shared" si="47"/>
        <v>13377357.171258826</v>
      </c>
      <c r="AW20" s="35">
        <f t="shared" si="47"/>
        <v>13845564.672252884</v>
      </c>
      <c r="AX20" s="35">
        <f t="shared" si="47"/>
        <v>14330159.435781734</v>
      </c>
      <c r="AY20" s="35">
        <f t="shared" si="47"/>
        <v>14831715.016034095</v>
      </c>
      <c r="AZ20" s="35">
        <f t="shared" si="47"/>
        <v>15350825.041595282</v>
      </c>
      <c r="BA20" s="35">
        <f t="shared" si="47"/>
        <v>15888103.918051116</v>
      </c>
      <c r="BB20" s="35">
        <f t="shared" si="47"/>
        <v>16444187.555182908</v>
      </c>
      <c r="BC20" s="35">
        <f t="shared" si="47"/>
        <v>17019734.119614307</v>
      </c>
      <c r="BD20" s="35">
        <f t="shared" si="47"/>
        <v>17615424.813800804</v>
      </c>
      <c r="BE20" s="35">
        <f t="shared" ref="BE20" si="48">+BE16+BE18</f>
        <v>18231964.682283834</v>
      </c>
    </row>
    <row r="21" spans="1:57" x14ac:dyDescent="0.35">
      <c r="A21" s="15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</row>
    <row r="22" spans="1:57" x14ac:dyDescent="0.35">
      <c r="A22" s="57">
        <f>MAX(A$6:A21)+1</f>
        <v>10</v>
      </c>
      <c r="B22" s="29" t="s">
        <v>32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</row>
    <row r="23" spans="1:57" x14ac:dyDescent="0.35">
      <c r="A23" s="15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 spans="1:57" x14ac:dyDescent="0.35">
      <c r="A24" s="57">
        <f>MAX(A$6:A23)+1</f>
        <v>11</v>
      </c>
      <c r="B24" s="29" t="s">
        <v>33</v>
      </c>
      <c r="C24" s="30"/>
      <c r="D24" s="30">
        <f t="shared" ref="D24:L24" si="49">+D22+D20</f>
        <v>0</v>
      </c>
      <c r="E24" s="30">
        <f t="shared" si="49"/>
        <v>0</v>
      </c>
      <c r="F24" s="30">
        <f t="shared" si="49"/>
        <v>0</v>
      </c>
      <c r="G24" s="30">
        <f t="shared" si="49"/>
        <v>2135593.2203389835</v>
      </c>
      <c r="H24" s="30">
        <f t="shared" si="49"/>
        <v>4315423.7288135597</v>
      </c>
      <c r="I24" s="30">
        <f t="shared" si="49"/>
        <v>6645226.2711864412</v>
      </c>
      <c r="J24" s="30">
        <f t="shared" si="49"/>
        <v>9132828.5974576268</v>
      </c>
      <c r="K24" s="30">
        <f t="shared" si="49"/>
        <v>11786422.684385592</v>
      </c>
      <c r="L24" s="30">
        <f t="shared" si="49"/>
        <v>12198947.478339087</v>
      </c>
      <c r="M24" s="30">
        <f t="shared" ref="M24:AA24" si="50">+M22+M20</f>
        <v>12625910.640080951</v>
      </c>
      <c r="N24" s="30">
        <f t="shared" si="50"/>
        <v>13067817.512483783</v>
      </c>
      <c r="O24" s="30">
        <f t="shared" si="50"/>
        <v>13525191.125420718</v>
      </c>
      <c r="P24" s="30">
        <f t="shared" si="50"/>
        <v>13998572.814810442</v>
      </c>
      <c r="Q24" s="30">
        <f t="shared" si="50"/>
        <v>14488522.863328803</v>
      </c>
      <c r="R24" s="30">
        <f t="shared" si="50"/>
        <v>14995621.16354531</v>
      </c>
      <c r="S24" s="30">
        <f t="shared" si="50"/>
        <v>15520467.904269395</v>
      </c>
      <c r="T24" s="30">
        <f t="shared" si="50"/>
        <v>16063684.280918824</v>
      </c>
      <c r="U24" s="30">
        <f t="shared" si="50"/>
        <v>16625913.230750982</v>
      </c>
      <c r="V24" s="30">
        <f t="shared" si="50"/>
        <v>17207820.19382726</v>
      </c>
      <c r="W24" s="30">
        <f t="shared" si="50"/>
        <v>17810093.900611214</v>
      </c>
      <c r="X24" s="30">
        <f t="shared" si="50"/>
        <v>18433447.187132608</v>
      </c>
      <c r="Y24" s="30">
        <f t="shared" si="50"/>
        <v>19078617.838682245</v>
      </c>
      <c r="Z24" s="30">
        <f t="shared" si="50"/>
        <v>19746369.463036124</v>
      </c>
      <c r="AA24" s="30">
        <f t="shared" si="50"/>
        <v>20437492.394242387</v>
      </c>
      <c r="AG24" s="30"/>
      <c r="AH24" s="30">
        <f>+AH22+AH20</f>
        <v>0</v>
      </c>
      <c r="AI24" s="30">
        <f>+AI22+AI20</f>
        <v>0</v>
      </c>
      <c r="AJ24" s="30">
        <f>+AJ22+AJ20</f>
        <v>0</v>
      </c>
      <c r="AK24" s="30">
        <f>+AK22+AK20</f>
        <v>1905129.0352976052</v>
      </c>
      <c r="AL24" s="30">
        <f>+AL22+AL20</f>
        <v>3849721.4577549463</v>
      </c>
      <c r="AM24" s="30">
        <f t="shared" ref="AM24:AP24" si="51">+AM22+AM20</f>
        <v>5928101.5667160619</v>
      </c>
      <c r="AN24" s="30">
        <f t="shared" si="51"/>
        <v>8147252.3745187046</v>
      </c>
      <c r="AO24" s="30">
        <f t="shared" si="51"/>
        <v>10514481.814448304</v>
      </c>
      <c r="AP24" s="30">
        <f t="shared" si="51"/>
        <v>10882488.677953996</v>
      </c>
      <c r="AQ24" s="30">
        <f t="shared" ref="AQ24:BD24" si="52">+AQ22+AQ20</f>
        <v>11263375.781682381</v>
      </c>
      <c r="AR24" s="30">
        <f t="shared" si="52"/>
        <v>11657593.934041264</v>
      </c>
      <c r="AS24" s="30">
        <f t="shared" si="52"/>
        <v>12065609.72173271</v>
      </c>
      <c r="AT24" s="30">
        <f t="shared" si="52"/>
        <v>12487906.061993353</v>
      </c>
      <c r="AU24" s="30">
        <f t="shared" si="52"/>
        <v>12924982.774163118</v>
      </c>
      <c r="AV24" s="30">
        <f t="shared" si="52"/>
        <v>13377357.171258826</v>
      </c>
      <c r="AW24" s="30">
        <f t="shared" si="52"/>
        <v>13845564.672252884</v>
      </c>
      <c r="AX24" s="30">
        <f t="shared" si="52"/>
        <v>14330159.435781734</v>
      </c>
      <c r="AY24" s="30">
        <f t="shared" si="52"/>
        <v>14831715.016034095</v>
      </c>
      <c r="AZ24" s="30">
        <f t="shared" si="52"/>
        <v>15350825.041595282</v>
      </c>
      <c r="BA24" s="30">
        <f t="shared" si="52"/>
        <v>15888103.918051116</v>
      </c>
      <c r="BB24" s="30">
        <f t="shared" si="52"/>
        <v>16444187.555182908</v>
      </c>
      <c r="BC24" s="30">
        <f t="shared" si="52"/>
        <v>17019734.119614307</v>
      </c>
      <c r="BD24" s="30">
        <f t="shared" si="52"/>
        <v>17615424.813800804</v>
      </c>
      <c r="BE24" s="30">
        <f t="shared" ref="BE24" si="53">+BE22+BE20</f>
        <v>18231964.682283834</v>
      </c>
    </row>
    <row r="25" spans="1:57" x14ac:dyDescent="0.35">
      <c r="A25" s="26"/>
      <c r="B25" s="25"/>
      <c r="C25" s="25"/>
      <c r="D25" s="25"/>
      <c r="E25" s="25"/>
      <c r="F25" s="25"/>
      <c r="G25" s="25"/>
      <c r="H25" s="25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</row>
    <row r="26" spans="1:57" x14ac:dyDescent="0.35"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57" x14ac:dyDescent="0.35">
      <c r="A27" t="s">
        <v>16</v>
      </c>
      <c r="B27" t="s">
        <v>34</v>
      </c>
      <c r="D27" s="1"/>
      <c r="E27" s="1"/>
      <c r="F27" s="1"/>
      <c r="G27" s="1"/>
      <c r="H27" s="1"/>
      <c r="I27" s="1"/>
      <c r="J27" s="1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</row>
    <row r="28" spans="1:57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57" x14ac:dyDescent="0.35"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57" x14ac:dyDescent="0.35"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57" ht="18.5" x14ac:dyDescent="0.45">
      <c r="A31" s="11"/>
      <c r="E31" s="1">
        <f t="shared" ref="E31:L31" si="54">ROUND(E16,0)</f>
        <v>0</v>
      </c>
      <c r="F31" s="1">
        <f>+F11*$E11</f>
        <v>0</v>
      </c>
      <c r="G31" s="1">
        <f t="shared" si="54"/>
        <v>0</v>
      </c>
      <c r="H31" s="1">
        <f t="shared" si="54"/>
        <v>0</v>
      </c>
      <c r="I31" s="1">
        <f t="shared" si="54"/>
        <v>0</v>
      </c>
      <c r="J31" s="1">
        <f t="shared" si="54"/>
        <v>0</v>
      </c>
      <c r="K31" s="1">
        <f t="shared" si="54"/>
        <v>0</v>
      </c>
      <c r="L31" s="1">
        <f t="shared" si="54"/>
        <v>0</v>
      </c>
      <c r="M31" s="1">
        <f t="shared" ref="M31:AA31" si="55">ROUND(M16,0)</f>
        <v>0</v>
      </c>
      <c r="N31" s="1">
        <f t="shared" si="55"/>
        <v>0</v>
      </c>
      <c r="O31" s="1">
        <f t="shared" si="55"/>
        <v>0</v>
      </c>
      <c r="P31" s="1">
        <f t="shared" si="55"/>
        <v>0</v>
      </c>
      <c r="Q31" s="1">
        <f t="shared" si="55"/>
        <v>0</v>
      </c>
      <c r="R31" s="1">
        <f t="shared" si="55"/>
        <v>0</v>
      </c>
      <c r="S31" s="1">
        <f t="shared" si="55"/>
        <v>0</v>
      </c>
      <c r="T31" s="1">
        <f t="shared" si="55"/>
        <v>0</v>
      </c>
      <c r="U31" s="1">
        <f t="shared" si="55"/>
        <v>0</v>
      </c>
      <c r="V31" s="1">
        <f t="shared" si="55"/>
        <v>0</v>
      </c>
      <c r="W31" s="1">
        <f t="shared" si="55"/>
        <v>0</v>
      </c>
      <c r="X31" s="1">
        <f t="shared" si="55"/>
        <v>0</v>
      </c>
      <c r="Y31" s="1">
        <f t="shared" si="55"/>
        <v>0</v>
      </c>
      <c r="Z31" s="1">
        <f t="shared" si="55"/>
        <v>0</v>
      </c>
      <c r="AA31" s="1">
        <f t="shared" si="55"/>
        <v>0</v>
      </c>
    </row>
    <row r="32" spans="1:57" ht="15.5" x14ac:dyDescent="0.35">
      <c r="B32" s="9"/>
      <c r="C32" s="7"/>
    </row>
    <row r="33" spans="2:27" x14ac:dyDescent="0.35">
      <c r="E33" s="1">
        <f t="shared" ref="E33:J33" si="56">ROUND(E18,0)</f>
        <v>0</v>
      </c>
      <c r="F33" s="1">
        <f>+F13*$E13</f>
        <v>0</v>
      </c>
      <c r="G33" s="1">
        <f t="shared" si="56"/>
        <v>2135593</v>
      </c>
      <c r="H33" s="1">
        <f t="shared" si="56"/>
        <v>4315424</v>
      </c>
      <c r="I33" s="1">
        <f t="shared" si="56"/>
        <v>6645226</v>
      </c>
      <c r="J33" s="1">
        <f t="shared" si="56"/>
        <v>9132829</v>
      </c>
      <c r="K33" s="1">
        <v>9246168</v>
      </c>
      <c r="L33" s="1">
        <f>ROUND(L18,0)</f>
        <v>12198947</v>
      </c>
      <c r="M33" s="1">
        <f t="shared" ref="M33:AA33" si="57">ROUND(M18,0)</f>
        <v>12625911</v>
      </c>
      <c r="N33" s="1">
        <f t="shared" si="57"/>
        <v>13067818</v>
      </c>
      <c r="O33" s="1">
        <f t="shared" si="57"/>
        <v>13525191</v>
      </c>
      <c r="P33" s="1">
        <f t="shared" si="57"/>
        <v>13998573</v>
      </c>
      <c r="Q33" s="1">
        <f t="shared" si="57"/>
        <v>14488523</v>
      </c>
      <c r="R33" s="1">
        <f t="shared" si="57"/>
        <v>14995621</v>
      </c>
      <c r="S33" s="1">
        <f t="shared" si="57"/>
        <v>15520468</v>
      </c>
      <c r="T33" s="1">
        <f t="shared" si="57"/>
        <v>16063684</v>
      </c>
      <c r="U33" s="1">
        <f t="shared" si="57"/>
        <v>16625913</v>
      </c>
      <c r="V33" s="1">
        <f t="shared" si="57"/>
        <v>17207820</v>
      </c>
      <c r="W33" s="1">
        <f t="shared" si="57"/>
        <v>17810094</v>
      </c>
      <c r="X33" s="1">
        <f t="shared" si="57"/>
        <v>18433447</v>
      </c>
      <c r="Y33" s="1">
        <f t="shared" si="57"/>
        <v>19078618</v>
      </c>
      <c r="Z33" s="1">
        <f t="shared" si="57"/>
        <v>19746369</v>
      </c>
      <c r="AA33" s="1">
        <f t="shared" si="57"/>
        <v>20437492</v>
      </c>
    </row>
    <row r="35" spans="2:27" x14ac:dyDescent="0.35">
      <c r="B35" s="4" t="s">
        <v>35</v>
      </c>
    </row>
    <row r="36" spans="2:27" x14ac:dyDescent="0.35">
      <c r="B36" s="32" t="s">
        <v>23</v>
      </c>
      <c r="C36" s="32"/>
      <c r="D36" s="32"/>
      <c r="E36" s="32"/>
      <c r="F36" s="42">
        <f t="shared" ref="F36:AA36" si="58">+F11-$E11</f>
        <v>0</v>
      </c>
      <c r="G36" s="42">
        <f t="shared" si="58"/>
        <v>0</v>
      </c>
      <c r="H36" s="42">
        <f t="shared" si="58"/>
        <v>0</v>
      </c>
      <c r="I36" s="42">
        <f t="shared" si="58"/>
        <v>0</v>
      </c>
      <c r="J36" s="42">
        <f t="shared" si="58"/>
        <v>0</v>
      </c>
      <c r="K36" s="42">
        <f t="shared" si="58"/>
        <v>0</v>
      </c>
      <c r="L36" s="42">
        <f t="shared" si="58"/>
        <v>0</v>
      </c>
      <c r="M36" s="42">
        <f t="shared" si="58"/>
        <v>0</v>
      </c>
      <c r="N36" s="42">
        <f t="shared" si="58"/>
        <v>0</v>
      </c>
      <c r="O36" s="42">
        <f t="shared" si="58"/>
        <v>0</v>
      </c>
      <c r="P36" s="42">
        <f t="shared" si="58"/>
        <v>0</v>
      </c>
      <c r="Q36" s="42">
        <f t="shared" si="58"/>
        <v>0</v>
      </c>
      <c r="R36" s="42">
        <f t="shared" si="58"/>
        <v>0</v>
      </c>
      <c r="S36" s="42">
        <f t="shared" si="58"/>
        <v>0</v>
      </c>
      <c r="T36" s="42">
        <f t="shared" si="58"/>
        <v>0</v>
      </c>
      <c r="U36" s="42">
        <f t="shared" si="58"/>
        <v>0</v>
      </c>
      <c r="V36" s="42">
        <f t="shared" si="58"/>
        <v>0</v>
      </c>
      <c r="W36" s="42">
        <f t="shared" si="58"/>
        <v>0</v>
      </c>
      <c r="X36" s="42">
        <f t="shared" si="58"/>
        <v>0</v>
      </c>
      <c r="Y36" s="42">
        <f t="shared" si="58"/>
        <v>0</v>
      </c>
      <c r="Z36" s="42">
        <f t="shared" si="58"/>
        <v>0</v>
      </c>
      <c r="AA36" s="42">
        <f t="shared" si="58"/>
        <v>0</v>
      </c>
    </row>
    <row r="37" spans="2:27" x14ac:dyDescent="0.35">
      <c r="B37" s="17" t="s">
        <v>24</v>
      </c>
      <c r="C37" s="17"/>
      <c r="D37" s="17"/>
      <c r="E37" s="17"/>
      <c r="F37" s="103">
        <f t="shared" ref="F37:AA37" si="59">+F12-$E12</f>
        <v>0</v>
      </c>
      <c r="G37" s="103">
        <f t="shared" si="59"/>
        <v>2100000</v>
      </c>
      <c r="H37" s="103">
        <f t="shared" si="59"/>
        <v>4100000</v>
      </c>
      <c r="I37" s="103">
        <f t="shared" si="59"/>
        <v>6100000</v>
      </c>
      <c r="J37" s="103">
        <f t="shared" si="59"/>
        <v>8100000</v>
      </c>
      <c r="K37" s="103">
        <f t="shared" si="59"/>
        <v>10100000</v>
      </c>
      <c r="L37" s="103">
        <f t="shared" si="59"/>
        <v>10100000</v>
      </c>
      <c r="M37" s="103">
        <f t="shared" si="59"/>
        <v>10100000</v>
      </c>
      <c r="N37" s="103">
        <f t="shared" si="59"/>
        <v>10100000</v>
      </c>
      <c r="O37" s="103">
        <f t="shared" si="59"/>
        <v>10100000</v>
      </c>
      <c r="P37" s="103">
        <f t="shared" si="59"/>
        <v>10100000</v>
      </c>
      <c r="Q37" s="103">
        <f t="shared" si="59"/>
        <v>10100000</v>
      </c>
      <c r="R37" s="103">
        <f t="shared" si="59"/>
        <v>10100000</v>
      </c>
      <c r="S37" s="103">
        <f t="shared" si="59"/>
        <v>10100000</v>
      </c>
      <c r="T37" s="103">
        <f t="shared" si="59"/>
        <v>10100000</v>
      </c>
      <c r="U37" s="103">
        <f t="shared" si="59"/>
        <v>10100000</v>
      </c>
      <c r="V37" s="103">
        <f t="shared" si="59"/>
        <v>10100000</v>
      </c>
      <c r="W37" s="103">
        <f t="shared" si="59"/>
        <v>10100000</v>
      </c>
      <c r="X37" s="103">
        <f t="shared" si="59"/>
        <v>10100000</v>
      </c>
      <c r="Y37" s="103">
        <f t="shared" si="59"/>
        <v>10100000</v>
      </c>
      <c r="Z37" s="103">
        <f t="shared" si="59"/>
        <v>10100000</v>
      </c>
      <c r="AA37" s="103">
        <f t="shared" si="59"/>
        <v>10100000</v>
      </c>
    </row>
    <row r="38" spans="2:27" x14ac:dyDescent="0.35">
      <c r="B38" s="32" t="s">
        <v>25</v>
      </c>
      <c r="C38" s="32"/>
      <c r="D38" s="32"/>
      <c r="E38" s="32"/>
      <c r="F38" s="42">
        <f t="shared" ref="F38:AA38" si="60">SUM(F37+F36)</f>
        <v>0</v>
      </c>
      <c r="G38" s="42">
        <f t="shared" si="60"/>
        <v>2100000</v>
      </c>
      <c r="H38" s="42">
        <f t="shared" si="60"/>
        <v>4100000</v>
      </c>
      <c r="I38" s="42">
        <f t="shared" si="60"/>
        <v>6100000</v>
      </c>
      <c r="J38" s="42">
        <f t="shared" si="60"/>
        <v>8100000</v>
      </c>
      <c r="K38" s="42">
        <f t="shared" si="60"/>
        <v>10100000</v>
      </c>
      <c r="L38" s="42">
        <f t="shared" si="60"/>
        <v>10100000</v>
      </c>
      <c r="M38" s="42">
        <f t="shared" si="60"/>
        <v>10100000</v>
      </c>
      <c r="N38" s="42">
        <f t="shared" si="60"/>
        <v>10100000</v>
      </c>
      <c r="O38" s="42">
        <f t="shared" si="60"/>
        <v>10100000</v>
      </c>
      <c r="P38" s="42">
        <f t="shared" si="60"/>
        <v>10100000</v>
      </c>
      <c r="Q38" s="42">
        <f t="shared" si="60"/>
        <v>10100000</v>
      </c>
      <c r="R38" s="42">
        <f t="shared" si="60"/>
        <v>10100000</v>
      </c>
      <c r="S38" s="42">
        <f t="shared" si="60"/>
        <v>10100000</v>
      </c>
      <c r="T38" s="42">
        <f t="shared" si="60"/>
        <v>10100000</v>
      </c>
      <c r="U38" s="42">
        <f t="shared" si="60"/>
        <v>10100000</v>
      </c>
      <c r="V38" s="42">
        <f t="shared" si="60"/>
        <v>10100000</v>
      </c>
      <c r="W38" s="42">
        <f t="shared" si="60"/>
        <v>10100000</v>
      </c>
      <c r="X38" s="42">
        <f t="shared" si="60"/>
        <v>10100000</v>
      </c>
      <c r="Y38" s="42">
        <f t="shared" si="60"/>
        <v>10100000</v>
      </c>
      <c r="Z38" s="42">
        <f t="shared" si="60"/>
        <v>10100000</v>
      </c>
      <c r="AA38" s="42">
        <f t="shared" si="60"/>
        <v>10100000</v>
      </c>
    </row>
    <row r="41" spans="2:27" x14ac:dyDescent="0.35">
      <c r="B41" t="s">
        <v>36</v>
      </c>
    </row>
    <row r="45" spans="2:27" x14ac:dyDescent="0.35">
      <c r="B45" t="s">
        <v>37</v>
      </c>
      <c r="E45">
        <v>1</v>
      </c>
      <c r="F45">
        <f>+E45*(1+F6)</f>
        <v>1</v>
      </c>
      <c r="G45">
        <f>+F45*(1+G6)</f>
        <v>1.0169491525423731</v>
      </c>
      <c r="H45">
        <f>+G45*(1+H6)</f>
        <v>1.0525423728813561</v>
      </c>
    </row>
    <row r="47" spans="2:27" x14ac:dyDescent="0.35">
      <c r="B47" t="s">
        <v>38</v>
      </c>
      <c r="E47" s="2">
        <f>+E24/E45</f>
        <v>0</v>
      </c>
      <c r="F47" s="2">
        <f>+F24/F45</f>
        <v>0</v>
      </c>
      <c r="G47" s="2">
        <f>+G24/G45</f>
        <v>2100000</v>
      </c>
      <c r="H47" s="2">
        <f>+H24/H45</f>
        <v>4099999.9999999995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2:27" x14ac:dyDescent="0.35">
      <c r="E48" s="2">
        <f>+E47-D47</f>
        <v>0</v>
      </c>
      <c r="F48" s="2">
        <f>+F47-E47</f>
        <v>0</v>
      </c>
      <c r="G48" s="2">
        <f>+G47-F47</f>
        <v>2100000</v>
      </c>
      <c r="H48" s="2">
        <f>+H47-G47</f>
        <v>1999999.9999999995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52" spans="2:27" x14ac:dyDescent="0.35">
      <c r="B52" t="s">
        <v>39</v>
      </c>
    </row>
    <row r="53" spans="2:27" x14ac:dyDescent="0.35">
      <c r="C53">
        <f t="shared" ref="C53:AA53" si="61">C3</f>
        <v>2022</v>
      </c>
      <c r="D53">
        <f t="shared" si="61"/>
        <v>2023</v>
      </c>
      <c r="E53">
        <f t="shared" si="61"/>
        <v>2024</v>
      </c>
      <c r="F53">
        <f t="shared" si="61"/>
        <v>2025</v>
      </c>
      <c r="G53">
        <f t="shared" si="61"/>
        <v>2026</v>
      </c>
      <c r="H53">
        <f t="shared" si="61"/>
        <v>2027</v>
      </c>
      <c r="I53">
        <f t="shared" si="61"/>
        <v>2028</v>
      </c>
      <c r="J53">
        <f t="shared" si="61"/>
        <v>2029</v>
      </c>
      <c r="K53">
        <f t="shared" si="61"/>
        <v>2030</v>
      </c>
      <c r="L53">
        <f t="shared" si="61"/>
        <v>2031</v>
      </c>
      <c r="M53">
        <f t="shared" si="61"/>
        <v>2032</v>
      </c>
      <c r="N53">
        <f t="shared" si="61"/>
        <v>2033</v>
      </c>
      <c r="O53">
        <f t="shared" si="61"/>
        <v>2034</v>
      </c>
      <c r="P53">
        <f t="shared" si="61"/>
        <v>2035</v>
      </c>
      <c r="Q53">
        <f t="shared" si="61"/>
        <v>2036</v>
      </c>
      <c r="R53">
        <f t="shared" si="61"/>
        <v>2037</v>
      </c>
      <c r="S53">
        <f t="shared" si="61"/>
        <v>2038</v>
      </c>
      <c r="T53">
        <f t="shared" si="61"/>
        <v>2039</v>
      </c>
      <c r="U53">
        <f t="shared" si="61"/>
        <v>2040</v>
      </c>
      <c r="V53">
        <f t="shared" si="61"/>
        <v>2041</v>
      </c>
      <c r="W53">
        <f t="shared" si="61"/>
        <v>2042</v>
      </c>
      <c r="X53">
        <f t="shared" si="61"/>
        <v>2043</v>
      </c>
      <c r="Y53">
        <f t="shared" si="61"/>
        <v>2044</v>
      </c>
      <c r="Z53">
        <f t="shared" si="61"/>
        <v>2045</v>
      </c>
      <c r="AA53">
        <f t="shared" si="61"/>
        <v>2046</v>
      </c>
    </row>
    <row r="54" spans="2:27" x14ac:dyDescent="0.35">
      <c r="C54" s="1" t="e">
        <f>C11+C12+#REF!</f>
        <v>#REF!</v>
      </c>
      <c r="D54" s="1" t="e">
        <f>D11+D12+#REF!</f>
        <v>#REF!</v>
      </c>
      <c r="E54" s="1" t="e">
        <f>E11+E12+#REF!</f>
        <v>#REF!</v>
      </c>
      <c r="F54" s="1" t="e">
        <f>F11+F12+#REF!</f>
        <v>#REF!</v>
      </c>
      <c r="G54" s="1" t="e">
        <f>G11+G12+#REF!</f>
        <v>#REF!</v>
      </c>
      <c r="H54" s="1" t="e">
        <f>H11+H12+#REF!</f>
        <v>#REF!</v>
      </c>
      <c r="I54" s="1" t="e">
        <f>I11+I12+#REF!</f>
        <v>#REF!</v>
      </c>
      <c r="J54" s="1" t="e">
        <f>J11+J12+#REF!</f>
        <v>#REF!</v>
      </c>
      <c r="K54" s="1" t="e">
        <f>K11+K12+#REF!</f>
        <v>#REF!</v>
      </c>
      <c r="L54" s="1" t="e">
        <f>L11+L12+#REF!</f>
        <v>#REF!</v>
      </c>
      <c r="M54" s="1" t="e">
        <f>M11+M12+#REF!</f>
        <v>#REF!</v>
      </c>
      <c r="N54" s="1" t="e">
        <f>N11+N12+#REF!</f>
        <v>#REF!</v>
      </c>
      <c r="O54" s="1" t="e">
        <f>O11+O12+#REF!</f>
        <v>#REF!</v>
      </c>
      <c r="P54" s="1" t="e">
        <f>P11+P12+#REF!</f>
        <v>#REF!</v>
      </c>
      <c r="Q54" s="1" t="e">
        <f>Q11+Q12+#REF!</f>
        <v>#REF!</v>
      </c>
      <c r="R54" s="1" t="e">
        <f>R11+R12+#REF!</f>
        <v>#REF!</v>
      </c>
      <c r="S54" s="1" t="e">
        <f>S11+S12+#REF!</f>
        <v>#REF!</v>
      </c>
      <c r="T54" s="1" t="e">
        <f>T11+T12+#REF!</f>
        <v>#REF!</v>
      </c>
      <c r="U54" s="1" t="e">
        <f>U11+U12+#REF!</f>
        <v>#REF!</v>
      </c>
      <c r="V54" s="1" t="e">
        <f>V11+V12+#REF!</f>
        <v>#REF!</v>
      </c>
      <c r="W54" s="1" t="e">
        <f>W11+W12+#REF!</f>
        <v>#REF!</v>
      </c>
      <c r="X54" s="1" t="e">
        <f>X11+X12+#REF!</f>
        <v>#REF!</v>
      </c>
      <c r="Y54" s="1" t="e">
        <f>Y11+Y12+#REF!</f>
        <v>#REF!</v>
      </c>
      <c r="Z54" s="1" t="e">
        <f>Z11+Z12+#REF!</f>
        <v>#REF!</v>
      </c>
      <c r="AA54" s="1" t="e">
        <f>AA11+AA12+#REF!</f>
        <v>#REF!</v>
      </c>
    </row>
    <row r="56" spans="2:27" x14ac:dyDescent="0.35">
      <c r="M56" s="147">
        <v>14321000</v>
      </c>
      <c r="N56" t="s">
        <v>40</v>
      </c>
    </row>
    <row r="58" spans="2:27" x14ac:dyDescent="0.35">
      <c r="M58" s="1" t="e">
        <f>M56-M54</f>
        <v>#REF!</v>
      </c>
    </row>
    <row r="69" spans="2:28" x14ac:dyDescent="0.35">
      <c r="B69" t="s">
        <v>41</v>
      </c>
    </row>
    <row r="70" spans="2:28" x14ac:dyDescent="0.35">
      <c r="B70">
        <v>2021</v>
      </c>
      <c r="D70" s="5">
        <v>2.5000000000000001E-2</v>
      </c>
      <c r="E70" s="108">
        <v>3.2500000000000001E-2</v>
      </c>
      <c r="F70" s="108">
        <v>3.2500000000000001E-2</v>
      </c>
      <c r="G70" s="108">
        <v>0.03</v>
      </c>
      <c r="H70" s="108">
        <v>0.03</v>
      </c>
      <c r="I70" s="108">
        <v>0.03</v>
      </c>
      <c r="J70" s="108">
        <v>0.03</v>
      </c>
      <c r="K70" s="108">
        <v>0.03</v>
      </c>
      <c r="L70" s="108">
        <v>0.03</v>
      </c>
      <c r="M70" s="108">
        <v>0.03</v>
      </c>
      <c r="N70" s="108">
        <v>0.03</v>
      </c>
      <c r="O70" s="108">
        <v>0.03</v>
      </c>
      <c r="P70" s="108">
        <v>0.03</v>
      </c>
      <c r="Q70" s="108">
        <v>0.03</v>
      </c>
      <c r="R70" s="108">
        <v>0.03</v>
      </c>
      <c r="S70" s="108">
        <v>0.03</v>
      </c>
      <c r="T70" s="108">
        <v>0.03</v>
      </c>
      <c r="U70" s="108">
        <v>0.03</v>
      </c>
      <c r="V70" s="108">
        <v>0.03</v>
      </c>
      <c r="W70" s="108">
        <v>0.03</v>
      </c>
      <c r="X70" s="108">
        <v>0.03</v>
      </c>
      <c r="Y70" s="108">
        <v>0.03</v>
      </c>
      <c r="Z70" s="108">
        <v>0.03</v>
      </c>
      <c r="AA70" s="108">
        <v>0.03</v>
      </c>
    </row>
    <row r="71" spans="2:28" x14ac:dyDescent="0.35">
      <c r="B71">
        <v>2023</v>
      </c>
      <c r="D71" s="73">
        <f>+D70</f>
        <v>2.5000000000000001E-2</v>
      </c>
      <c r="E71" s="73">
        <f t="shared" ref="E71:AA71" si="62">+((1+D71)*(1+E70))-1</f>
        <v>5.8312499999999989E-2</v>
      </c>
      <c r="F71" s="73">
        <f t="shared" si="62"/>
        <v>9.2707656249999992E-2</v>
      </c>
      <c r="G71" s="73">
        <f t="shared" si="62"/>
        <v>0.12548888593750007</v>
      </c>
      <c r="H71" s="73">
        <f t="shared" si="62"/>
        <v>0.15925355251562512</v>
      </c>
      <c r="I71" s="73">
        <f t="shared" si="62"/>
        <v>0.19403115909109392</v>
      </c>
      <c r="J71" s="73">
        <f t="shared" si="62"/>
        <v>0.22985209386382688</v>
      </c>
      <c r="K71" s="73">
        <f t="shared" si="62"/>
        <v>0.26674765667974176</v>
      </c>
      <c r="L71" s="73">
        <f t="shared" si="62"/>
        <v>0.30475008638013401</v>
      </c>
      <c r="M71" s="73">
        <f t="shared" si="62"/>
        <v>0.34389258897153807</v>
      </c>
      <c r="N71" s="73">
        <f t="shared" si="62"/>
        <v>0.38420936664068428</v>
      </c>
      <c r="O71" s="73">
        <f t="shared" si="62"/>
        <v>0.42573564763990479</v>
      </c>
      <c r="P71" s="73">
        <f t="shared" si="62"/>
        <v>0.46850771706910188</v>
      </c>
      <c r="Q71" s="73">
        <f t="shared" si="62"/>
        <v>0.5125629485811749</v>
      </c>
      <c r="R71" s="73">
        <f t="shared" si="62"/>
        <v>0.55793983703861016</v>
      </c>
      <c r="S71" s="73">
        <f t="shared" si="62"/>
        <v>0.60467803214976845</v>
      </c>
      <c r="T71" s="73">
        <f t="shared" si="62"/>
        <v>0.65281837311426161</v>
      </c>
      <c r="U71" s="73">
        <f t="shared" si="62"/>
        <v>0.70240292430768947</v>
      </c>
      <c r="V71" s="73">
        <f t="shared" si="62"/>
        <v>0.75347501203692024</v>
      </c>
      <c r="W71" s="73">
        <f t="shared" si="62"/>
        <v>0.80607926239802796</v>
      </c>
      <c r="X71" s="73">
        <f t="shared" si="62"/>
        <v>0.86026164026996876</v>
      </c>
      <c r="Y71" s="73">
        <f t="shared" si="62"/>
        <v>0.91606948947806788</v>
      </c>
      <c r="Z71" s="73">
        <f t="shared" si="62"/>
        <v>0.97355157416240989</v>
      </c>
      <c r="AA71" s="73">
        <f t="shared" si="62"/>
        <v>1.0327581213872823</v>
      </c>
    </row>
    <row r="72" spans="2:28" x14ac:dyDescent="0.35">
      <c r="D72" s="121"/>
      <c r="E72" s="121"/>
      <c r="F72" s="121">
        <f>+((1+E72)*(1+F70))-1</f>
        <v>3.2499999999999973E-2</v>
      </c>
      <c r="G72" s="121">
        <f t="shared" ref="G72:AA72" si="63">+((1+F72)*(1+G70))-1</f>
        <v>6.3474999999999948E-2</v>
      </c>
      <c r="H72" s="121">
        <f t="shared" si="63"/>
        <v>9.5379249999999915E-2</v>
      </c>
      <c r="I72" s="121">
        <f t="shared" si="63"/>
        <v>0.12824062749999987</v>
      </c>
      <c r="J72" s="121">
        <f t="shared" si="63"/>
        <v>0.16208784632499995</v>
      </c>
      <c r="K72" s="121">
        <f t="shared" si="63"/>
        <v>0.19695048171475005</v>
      </c>
      <c r="L72" s="121">
        <f t="shared" si="63"/>
        <v>0.23285899616619266</v>
      </c>
      <c r="M72" s="121">
        <f t="shared" si="63"/>
        <v>0.26984476605117846</v>
      </c>
      <c r="N72" s="121">
        <f t="shared" si="63"/>
        <v>0.30794010903271385</v>
      </c>
      <c r="O72" s="121">
        <f t="shared" si="63"/>
        <v>0.34717831230369534</v>
      </c>
      <c r="P72" s="121">
        <f t="shared" si="63"/>
        <v>0.38759366167280618</v>
      </c>
      <c r="Q72" s="121">
        <f t="shared" si="63"/>
        <v>0.42922147152299051</v>
      </c>
      <c r="R72" s="121">
        <f t="shared" si="63"/>
        <v>0.47209811566868032</v>
      </c>
      <c r="S72" s="121">
        <f t="shared" si="63"/>
        <v>0.51626105913874087</v>
      </c>
      <c r="T72" s="121">
        <f t="shared" si="63"/>
        <v>0.56174889091290314</v>
      </c>
      <c r="U72" s="121">
        <f t="shared" si="63"/>
        <v>0.60860135764029022</v>
      </c>
      <c r="V72" s="121">
        <f t="shared" si="63"/>
        <v>0.65685939836949903</v>
      </c>
      <c r="W72" s="121">
        <f t="shared" si="63"/>
        <v>0.70656518032058413</v>
      </c>
      <c r="X72" s="121">
        <f t="shared" si="63"/>
        <v>0.75776213573020179</v>
      </c>
      <c r="Y72" s="121">
        <f t="shared" si="63"/>
        <v>0.81049499980210782</v>
      </c>
      <c r="Z72" s="121">
        <f t="shared" si="63"/>
        <v>0.86480984979617115</v>
      </c>
      <c r="AA72" s="121">
        <f t="shared" si="63"/>
        <v>0.92075414529005628</v>
      </c>
    </row>
    <row r="73" spans="2:28" x14ac:dyDescent="0.35">
      <c r="B73" t="s">
        <v>42</v>
      </c>
    </row>
    <row r="74" spans="2:28" x14ac:dyDescent="0.35">
      <c r="B74">
        <v>2021</v>
      </c>
      <c r="E74" s="144" t="e">
        <f>+E71-#REF!</f>
        <v>#REF!</v>
      </c>
      <c r="F74" s="144" t="e">
        <f>+F71-#REF!</f>
        <v>#REF!</v>
      </c>
      <c r="G74" s="144" t="e">
        <f>+G71-#REF!</f>
        <v>#REF!</v>
      </c>
      <c r="H74" s="144" t="e">
        <f>+H71-#REF!</f>
        <v>#REF!</v>
      </c>
      <c r="I74" s="144" t="e">
        <f>+I71-#REF!</f>
        <v>#REF!</v>
      </c>
      <c r="J74" s="144" t="e">
        <f>+J71-#REF!</f>
        <v>#REF!</v>
      </c>
      <c r="K74" s="144" t="e">
        <f>+K71-#REF!</f>
        <v>#REF!</v>
      </c>
      <c r="L74" s="144" t="e">
        <f>+L71-#REF!</f>
        <v>#REF!</v>
      </c>
      <c r="M74" s="144" t="e">
        <f>+M71-#REF!</f>
        <v>#REF!</v>
      </c>
      <c r="N74" s="144" t="e">
        <f>+N71-#REF!</f>
        <v>#REF!</v>
      </c>
      <c r="O74" s="144" t="e">
        <f>+O71-#REF!</f>
        <v>#REF!</v>
      </c>
      <c r="P74" s="144" t="e">
        <f>+P71-#REF!</f>
        <v>#REF!</v>
      </c>
      <c r="Q74" s="144" t="e">
        <f>+Q71-#REF!</f>
        <v>#REF!</v>
      </c>
      <c r="R74" s="144" t="e">
        <f>+R71-#REF!</f>
        <v>#REF!</v>
      </c>
      <c r="S74" s="144" t="e">
        <f>+S71-#REF!</f>
        <v>#REF!</v>
      </c>
      <c r="T74" s="144" t="e">
        <f>+T71-#REF!</f>
        <v>#REF!</v>
      </c>
      <c r="U74" s="144" t="e">
        <f>+U71-#REF!</f>
        <v>#REF!</v>
      </c>
      <c r="V74" s="144" t="e">
        <f>+V71-#REF!</f>
        <v>#REF!</v>
      </c>
      <c r="W74" s="144" t="e">
        <f>+W71-#REF!</f>
        <v>#REF!</v>
      </c>
      <c r="X74" s="144" t="e">
        <f>+X71-#REF!</f>
        <v>#REF!</v>
      </c>
      <c r="Y74" s="144" t="e">
        <f>+Y71-#REF!</f>
        <v>#REF!</v>
      </c>
      <c r="Z74" s="144" t="e">
        <f>+Z71-#REF!</f>
        <v>#REF!</v>
      </c>
      <c r="AA74" s="144" t="e">
        <f>+AA71-#REF!</f>
        <v>#REF!</v>
      </c>
      <c r="AB74" s="144"/>
    </row>
    <row r="75" spans="2:28" x14ac:dyDescent="0.35">
      <c r="B75">
        <v>2023</v>
      </c>
      <c r="E75" s="144">
        <f t="shared" ref="E75:AA75" si="64">+E72-E7</f>
        <v>0</v>
      </c>
      <c r="F75" s="144">
        <f t="shared" si="64"/>
        <v>3.2499999999999973E-2</v>
      </c>
      <c r="G75" s="144">
        <f t="shared" si="64"/>
        <v>4.652584745762689E-2</v>
      </c>
      <c r="H75" s="144">
        <f t="shared" si="64"/>
        <v>4.2836877118643812E-2</v>
      </c>
      <c r="I75" s="144">
        <f t="shared" si="64"/>
        <v>3.885927156779645E-2</v>
      </c>
      <c r="J75" s="144">
        <f t="shared" si="64"/>
        <v>3.4578142935169476E-2</v>
      </c>
      <c r="K75" s="144">
        <f t="shared" si="64"/>
        <v>2.997793870627552E-2</v>
      </c>
      <c r="L75" s="144">
        <f t="shared" si="64"/>
        <v>2.5042414152421699E-2</v>
      </c>
      <c r="M75" s="144">
        <f t="shared" si="64"/>
        <v>1.975460366692583E-2</v>
      </c>
      <c r="N75" s="144">
        <f t="shared" si="64"/>
        <v>1.4096790965012485E-2</v>
      </c>
      <c r="O75" s="144">
        <f t="shared" si="64"/>
        <v>8.0504781036243589E-3</v>
      </c>
      <c r="P75" s="144">
        <f t="shared" si="64"/>
        <v>1.5963532757328203E-3</v>
      </c>
      <c r="Q75" s="144">
        <f t="shared" si="64"/>
        <v>-5.2857426679802089E-3</v>
      </c>
      <c r="R75" s="144">
        <f t="shared" si="64"/>
        <v>-1.261685101897414E-2</v>
      </c>
      <c r="S75" s="144">
        <f t="shared" si="64"/>
        <v>-2.0418931382981453E-2</v>
      </c>
      <c r="T75" s="144">
        <f t="shared" si="64"/>
        <v>-2.8714899277079375E-2</v>
      </c>
      <c r="U75" s="144">
        <f t="shared" si="64"/>
        <v>-3.7528665206341572E-2</v>
      </c>
      <c r="V75" s="144">
        <f t="shared" si="64"/>
        <v>-4.6885175276764501E-2</v>
      </c>
      <c r="W75" s="144">
        <f t="shared" si="64"/>
        <v>-5.6810453403298489E-2</v>
      </c>
      <c r="X75" s="144">
        <f t="shared" si="64"/>
        <v>-6.7331645174016685E-2</v>
      </c>
      <c r="Y75" s="144">
        <f t="shared" si="64"/>
        <v>-7.8477063433758154E-2</v>
      </c>
      <c r="Z75" s="144">
        <f t="shared" si="64"/>
        <v>-9.0276235652950065E-2</v>
      </c>
      <c r="AA75" s="144">
        <f t="shared" si="64"/>
        <v>-0.10275995314978403</v>
      </c>
      <c r="AB75" s="144"/>
    </row>
    <row r="108" spans="1:57" x14ac:dyDescent="0.35">
      <c r="A108" s="85">
        <f>MAX(A$6:A107)+1</f>
        <v>12</v>
      </c>
      <c r="B108" s="72" t="s">
        <v>265</v>
      </c>
      <c r="C108" s="88">
        <f>+C20</f>
        <v>0</v>
      </c>
      <c r="D108" s="88">
        <f t="shared" ref="D108:AA108" si="65">+D20</f>
        <v>0</v>
      </c>
      <c r="E108" s="88">
        <f t="shared" si="65"/>
        <v>0</v>
      </c>
      <c r="F108" s="88">
        <f t="shared" si="65"/>
        <v>0</v>
      </c>
      <c r="G108" s="88">
        <f t="shared" si="65"/>
        <v>2135593.2203389835</v>
      </c>
      <c r="H108" s="88">
        <f t="shared" si="65"/>
        <v>4315423.7288135597</v>
      </c>
      <c r="I108" s="88">
        <f t="shared" si="65"/>
        <v>6645226.2711864412</v>
      </c>
      <c r="J108" s="88">
        <f t="shared" si="65"/>
        <v>9132828.5974576268</v>
      </c>
      <c r="K108" s="88">
        <f t="shared" si="65"/>
        <v>11786422.684385592</v>
      </c>
      <c r="L108" s="88">
        <f t="shared" si="65"/>
        <v>12198947.478339087</v>
      </c>
      <c r="M108" s="88">
        <f t="shared" si="65"/>
        <v>12625910.640080951</v>
      </c>
      <c r="N108" s="88">
        <f t="shared" si="65"/>
        <v>13067817.512483783</v>
      </c>
      <c r="O108" s="88">
        <f t="shared" si="65"/>
        <v>13525191.125420718</v>
      </c>
      <c r="P108" s="88">
        <f t="shared" si="65"/>
        <v>13998572.814810442</v>
      </c>
      <c r="Q108" s="88">
        <f t="shared" si="65"/>
        <v>14488522.863328803</v>
      </c>
      <c r="R108" s="88">
        <f t="shared" si="65"/>
        <v>14995621.16354531</v>
      </c>
      <c r="S108" s="88">
        <f t="shared" si="65"/>
        <v>15520467.904269395</v>
      </c>
      <c r="T108" s="88">
        <f t="shared" si="65"/>
        <v>16063684.280918824</v>
      </c>
      <c r="U108" s="88">
        <f t="shared" si="65"/>
        <v>16625913.230750982</v>
      </c>
      <c r="V108" s="88">
        <f t="shared" si="65"/>
        <v>17207820.19382726</v>
      </c>
      <c r="W108" s="88">
        <f t="shared" si="65"/>
        <v>17810093.900611214</v>
      </c>
      <c r="X108" s="88">
        <f t="shared" si="65"/>
        <v>18433447.187132608</v>
      </c>
      <c r="Y108" s="88">
        <f t="shared" si="65"/>
        <v>19078617.838682245</v>
      </c>
      <c r="Z108" s="88">
        <f t="shared" si="65"/>
        <v>19746369.463036124</v>
      </c>
      <c r="AA108" s="88">
        <f t="shared" si="65"/>
        <v>20437492.394242387</v>
      </c>
      <c r="AE108" s="154" t="str">
        <f>B108</f>
        <v xml:space="preserve">PWD (Dept 28) Subtotal </v>
      </c>
      <c r="AF108" s="183"/>
      <c r="AG108" s="88">
        <f t="shared" ref="AG108:BE108" si="66">+AG20</f>
        <v>0</v>
      </c>
      <c r="AH108" s="88">
        <f t="shared" si="66"/>
        <v>0</v>
      </c>
      <c r="AI108" s="88">
        <f t="shared" si="66"/>
        <v>0</v>
      </c>
      <c r="AJ108" s="88">
        <f t="shared" si="66"/>
        <v>0</v>
      </c>
      <c r="AK108" s="88">
        <f t="shared" si="66"/>
        <v>1905129.0352976052</v>
      </c>
      <c r="AL108" s="88">
        <f t="shared" si="66"/>
        <v>3849721.4577549463</v>
      </c>
      <c r="AM108" s="88">
        <f t="shared" si="66"/>
        <v>5928101.5667160619</v>
      </c>
      <c r="AN108" s="88">
        <f t="shared" si="66"/>
        <v>8147252.3745187046</v>
      </c>
      <c r="AO108" s="88">
        <f t="shared" si="66"/>
        <v>10514481.814448304</v>
      </c>
      <c r="AP108" s="88">
        <f t="shared" si="66"/>
        <v>10882488.677953996</v>
      </c>
      <c r="AQ108" s="88">
        <f t="shared" si="66"/>
        <v>11263375.781682381</v>
      </c>
      <c r="AR108" s="88">
        <f t="shared" si="66"/>
        <v>11657593.934041264</v>
      </c>
      <c r="AS108" s="88">
        <f t="shared" si="66"/>
        <v>12065609.72173271</v>
      </c>
      <c r="AT108" s="88">
        <f t="shared" si="66"/>
        <v>12487906.061993353</v>
      </c>
      <c r="AU108" s="88">
        <f t="shared" si="66"/>
        <v>12924982.774163118</v>
      </c>
      <c r="AV108" s="88">
        <f t="shared" si="66"/>
        <v>13377357.171258826</v>
      </c>
      <c r="AW108" s="88">
        <f t="shared" si="66"/>
        <v>13845564.672252884</v>
      </c>
      <c r="AX108" s="88">
        <f t="shared" si="66"/>
        <v>14330159.435781734</v>
      </c>
      <c r="AY108" s="88">
        <f t="shared" si="66"/>
        <v>14831715.016034095</v>
      </c>
      <c r="AZ108" s="88">
        <f t="shared" si="66"/>
        <v>15350825.041595282</v>
      </c>
      <c r="BA108" s="88">
        <f t="shared" si="66"/>
        <v>15888103.918051116</v>
      </c>
      <c r="BB108" s="88">
        <f t="shared" si="66"/>
        <v>16444187.555182908</v>
      </c>
      <c r="BC108" s="88">
        <f t="shared" si="66"/>
        <v>17019734.119614307</v>
      </c>
      <c r="BD108" s="88">
        <f t="shared" si="66"/>
        <v>17615424.813800804</v>
      </c>
      <c r="BE108" s="88">
        <f t="shared" si="66"/>
        <v>18231964.682283834</v>
      </c>
    </row>
    <row r="109" spans="1:57" x14ac:dyDescent="0.35">
      <c r="A109" s="86"/>
      <c r="B109" s="65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81"/>
      <c r="AU109" s="81"/>
      <c r="AV109" s="81"/>
      <c r="AW109" s="81"/>
      <c r="AX109" s="81"/>
      <c r="AY109" s="81"/>
      <c r="AZ109" s="81"/>
      <c r="BA109" s="81"/>
      <c r="BB109" s="81"/>
      <c r="BC109" s="81"/>
      <c r="BD109" s="81"/>
      <c r="BE109" s="81"/>
    </row>
    <row r="110" spans="1:57" x14ac:dyDescent="0.35">
      <c r="A110" s="85">
        <f>MAX(A$6:A109)+1</f>
        <v>13</v>
      </c>
      <c r="B110" s="72" t="s">
        <v>266</v>
      </c>
      <c r="C110" s="88">
        <f>+C22</f>
        <v>0</v>
      </c>
      <c r="D110" s="88">
        <f t="shared" ref="D110:AA110" si="67">+D22</f>
        <v>0</v>
      </c>
      <c r="E110" s="88">
        <f t="shared" si="67"/>
        <v>0</v>
      </c>
      <c r="F110" s="88">
        <f t="shared" si="67"/>
        <v>0</v>
      </c>
      <c r="G110" s="88">
        <f t="shared" si="67"/>
        <v>0</v>
      </c>
      <c r="H110" s="88">
        <f t="shared" si="67"/>
        <v>0</v>
      </c>
      <c r="I110" s="88">
        <f t="shared" si="67"/>
        <v>0</v>
      </c>
      <c r="J110" s="88">
        <f t="shared" si="67"/>
        <v>0</v>
      </c>
      <c r="K110" s="88">
        <f t="shared" si="67"/>
        <v>0</v>
      </c>
      <c r="L110" s="88">
        <f t="shared" si="67"/>
        <v>0</v>
      </c>
      <c r="M110" s="88">
        <f t="shared" si="67"/>
        <v>0</v>
      </c>
      <c r="N110" s="88">
        <f t="shared" si="67"/>
        <v>0</v>
      </c>
      <c r="O110" s="88">
        <f t="shared" si="67"/>
        <v>0</v>
      </c>
      <c r="P110" s="88">
        <f t="shared" si="67"/>
        <v>0</v>
      </c>
      <c r="Q110" s="88">
        <f t="shared" si="67"/>
        <v>0</v>
      </c>
      <c r="R110" s="88">
        <f t="shared" si="67"/>
        <v>0</v>
      </c>
      <c r="S110" s="88">
        <f t="shared" si="67"/>
        <v>0</v>
      </c>
      <c r="T110" s="88">
        <f t="shared" si="67"/>
        <v>0</v>
      </c>
      <c r="U110" s="88">
        <f t="shared" si="67"/>
        <v>0</v>
      </c>
      <c r="V110" s="88">
        <f t="shared" si="67"/>
        <v>0</v>
      </c>
      <c r="W110" s="88">
        <f t="shared" si="67"/>
        <v>0</v>
      </c>
      <c r="X110" s="88">
        <f t="shared" si="67"/>
        <v>0</v>
      </c>
      <c r="Y110" s="88">
        <f t="shared" si="67"/>
        <v>0</v>
      </c>
      <c r="Z110" s="88">
        <f t="shared" si="67"/>
        <v>0</v>
      </c>
      <c r="AA110" s="88">
        <f t="shared" si="67"/>
        <v>0</v>
      </c>
      <c r="AE110" s="154" t="str">
        <f>B110</f>
        <v>OD Subtotal</v>
      </c>
      <c r="AF110" s="183"/>
      <c r="AG110" s="88">
        <f t="shared" ref="AG110:BE110" si="68">+AG22</f>
        <v>0</v>
      </c>
      <c r="AH110" s="88">
        <f t="shared" si="68"/>
        <v>0</v>
      </c>
      <c r="AI110" s="88">
        <f t="shared" si="68"/>
        <v>0</v>
      </c>
      <c r="AJ110" s="88">
        <f t="shared" si="68"/>
        <v>0</v>
      </c>
      <c r="AK110" s="88">
        <f t="shared" si="68"/>
        <v>0</v>
      </c>
      <c r="AL110" s="88">
        <f t="shared" si="68"/>
        <v>0</v>
      </c>
      <c r="AM110" s="88">
        <f t="shared" si="68"/>
        <v>0</v>
      </c>
      <c r="AN110" s="88">
        <f t="shared" si="68"/>
        <v>0</v>
      </c>
      <c r="AO110" s="88">
        <f t="shared" si="68"/>
        <v>0</v>
      </c>
      <c r="AP110" s="88">
        <f t="shared" si="68"/>
        <v>0</v>
      </c>
      <c r="AQ110" s="88">
        <f t="shared" si="68"/>
        <v>0</v>
      </c>
      <c r="AR110" s="88">
        <f t="shared" si="68"/>
        <v>0</v>
      </c>
      <c r="AS110" s="88">
        <f t="shared" si="68"/>
        <v>0</v>
      </c>
      <c r="AT110" s="88">
        <f t="shared" si="68"/>
        <v>0</v>
      </c>
      <c r="AU110" s="88">
        <f t="shared" si="68"/>
        <v>0</v>
      </c>
      <c r="AV110" s="88">
        <f t="shared" si="68"/>
        <v>0</v>
      </c>
      <c r="AW110" s="88">
        <f t="shared" si="68"/>
        <v>0</v>
      </c>
      <c r="AX110" s="88">
        <f t="shared" si="68"/>
        <v>0</v>
      </c>
      <c r="AY110" s="88">
        <f t="shared" si="68"/>
        <v>0</v>
      </c>
      <c r="AZ110" s="88">
        <f t="shared" si="68"/>
        <v>0</v>
      </c>
      <c r="BA110" s="88">
        <f t="shared" si="68"/>
        <v>0</v>
      </c>
      <c r="BB110" s="88">
        <f t="shared" si="68"/>
        <v>0</v>
      </c>
      <c r="BC110" s="88">
        <f t="shared" si="68"/>
        <v>0</v>
      </c>
      <c r="BD110" s="88">
        <f t="shared" si="68"/>
        <v>0</v>
      </c>
      <c r="BE110" s="88">
        <f t="shared" si="68"/>
        <v>0</v>
      </c>
    </row>
    <row r="111" spans="1:57" x14ac:dyDescent="0.35">
      <c r="A111" s="8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</row>
    <row r="112" spans="1:57" x14ac:dyDescent="0.35">
      <c r="A112" s="87"/>
      <c r="B112" t="s">
        <v>267</v>
      </c>
      <c r="C112" s="78">
        <f>C24-C108-C110</f>
        <v>0</v>
      </c>
      <c r="D112" s="78">
        <f t="shared" ref="D112:AA112" si="69">D24-D108-D110</f>
        <v>0</v>
      </c>
      <c r="E112" s="78">
        <f t="shared" si="69"/>
        <v>0</v>
      </c>
      <c r="F112" s="78">
        <f t="shared" si="69"/>
        <v>0</v>
      </c>
      <c r="G112" s="78">
        <f t="shared" si="69"/>
        <v>0</v>
      </c>
      <c r="H112" s="78">
        <f t="shared" si="69"/>
        <v>0</v>
      </c>
      <c r="I112" s="78">
        <f t="shared" si="69"/>
        <v>0</v>
      </c>
      <c r="J112" s="78">
        <f t="shared" si="69"/>
        <v>0</v>
      </c>
      <c r="K112" s="78">
        <f t="shared" si="69"/>
        <v>0</v>
      </c>
      <c r="L112" s="78">
        <f t="shared" si="69"/>
        <v>0</v>
      </c>
      <c r="M112" s="78">
        <f t="shared" si="69"/>
        <v>0</v>
      </c>
      <c r="N112" s="78">
        <f t="shared" si="69"/>
        <v>0</v>
      </c>
      <c r="O112" s="78">
        <f t="shared" si="69"/>
        <v>0</v>
      </c>
      <c r="P112" s="78">
        <f t="shared" si="69"/>
        <v>0</v>
      </c>
      <c r="Q112" s="78">
        <f t="shared" si="69"/>
        <v>0</v>
      </c>
      <c r="R112" s="78">
        <f t="shared" si="69"/>
        <v>0</v>
      </c>
      <c r="S112" s="78">
        <f t="shared" si="69"/>
        <v>0</v>
      </c>
      <c r="T112" s="78">
        <f t="shared" si="69"/>
        <v>0</v>
      </c>
      <c r="U112" s="78">
        <f t="shared" si="69"/>
        <v>0</v>
      </c>
      <c r="V112" s="78">
        <f t="shared" si="69"/>
        <v>0</v>
      </c>
      <c r="W112" s="78">
        <f t="shared" si="69"/>
        <v>0</v>
      </c>
      <c r="X112" s="78">
        <f t="shared" si="69"/>
        <v>0</v>
      </c>
      <c r="Y112" s="78">
        <f t="shared" si="69"/>
        <v>0</v>
      </c>
      <c r="Z112" s="78">
        <f t="shared" si="69"/>
        <v>0</v>
      </c>
      <c r="AA112" s="78">
        <f t="shared" si="69"/>
        <v>0</v>
      </c>
      <c r="AE112" t="str">
        <f>B112</f>
        <v xml:space="preserve">Check </v>
      </c>
      <c r="AG112" s="78">
        <f t="shared" ref="AG112:BE112" si="70">AG24-AG108-AG110</f>
        <v>0</v>
      </c>
      <c r="AH112" s="78">
        <f t="shared" si="70"/>
        <v>0</v>
      </c>
      <c r="AI112" s="78">
        <f t="shared" si="70"/>
        <v>0</v>
      </c>
      <c r="AJ112" s="78">
        <f t="shared" si="70"/>
        <v>0</v>
      </c>
      <c r="AK112" s="78">
        <f t="shared" si="70"/>
        <v>0</v>
      </c>
      <c r="AL112" s="78">
        <f t="shared" si="70"/>
        <v>0</v>
      </c>
      <c r="AM112" s="78">
        <f t="shared" si="70"/>
        <v>0</v>
      </c>
      <c r="AN112" s="78">
        <f t="shared" si="70"/>
        <v>0</v>
      </c>
      <c r="AO112" s="78">
        <f t="shared" si="70"/>
        <v>0</v>
      </c>
      <c r="AP112" s="78">
        <f t="shared" si="70"/>
        <v>0</v>
      </c>
      <c r="AQ112" s="78">
        <f t="shared" si="70"/>
        <v>0</v>
      </c>
      <c r="AR112" s="78">
        <f t="shared" si="70"/>
        <v>0</v>
      </c>
      <c r="AS112" s="78">
        <f t="shared" si="70"/>
        <v>0</v>
      </c>
      <c r="AT112" s="78">
        <f t="shared" si="70"/>
        <v>0</v>
      </c>
      <c r="AU112" s="78">
        <f t="shared" si="70"/>
        <v>0</v>
      </c>
      <c r="AV112" s="78">
        <f t="shared" si="70"/>
        <v>0</v>
      </c>
      <c r="AW112" s="78">
        <f t="shared" si="70"/>
        <v>0</v>
      </c>
      <c r="AX112" s="78">
        <f t="shared" si="70"/>
        <v>0</v>
      </c>
      <c r="AY112" s="78">
        <f t="shared" si="70"/>
        <v>0</v>
      </c>
      <c r="AZ112" s="78">
        <f t="shared" si="70"/>
        <v>0</v>
      </c>
      <c r="BA112" s="78">
        <f t="shared" si="70"/>
        <v>0</v>
      </c>
      <c r="BB112" s="78">
        <f t="shared" si="70"/>
        <v>0</v>
      </c>
      <c r="BC112" s="78">
        <f t="shared" si="70"/>
        <v>0</v>
      </c>
      <c r="BD112" s="78">
        <f t="shared" si="70"/>
        <v>0</v>
      </c>
      <c r="BE112" s="78">
        <f t="shared" si="70"/>
        <v>0</v>
      </c>
    </row>
  </sheetData>
  <mergeCells count="1">
    <mergeCell ref="AC1:AE1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558AFFB-D344-4682-8820-20D8557E78E8}">
          <x14:formula1>
            <xm:f>Assumptions!$B$6:$B$20</xm:f>
          </x14:formula1>
          <xm:sqref>AC6</xm:sqref>
        </x14:dataValidation>
        <x14:dataValidation type="list" allowBlank="1" showInputMessage="1" showErrorMessage="1" xr:uid="{C50CEB1C-C317-4C0E-B221-4F6B1D53528C}">
          <x14:formula1>
            <xm:f>Assumptions!$E$27:$E$193</xm:f>
          </x14:formula1>
          <xm:sqref>AD16 AD18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E112"/>
  <sheetViews>
    <sheetView workbookViewId="0">
      <pane xSplit="2" ySplit="3" topLeftCell="C6" activePane="bottomRight" state="frozen"/>
      <selection pane="topRight" activeCell="C1" sqref="C1"/>
      <selection pane="bottomLeft" activeCell="A4" sqref="A4"/>
      <selection pane="bottomRight" activeCell="G13" sqref="G13"/>
    </sheetView>
  </sheetViews>
  <sheetFormatPr defaultRowHeight="14.5" x14ac:dyDescent="0.35"/>
  <cols>
    <col min="1" max="1" width="10.54296875" customWidth="1"/>
    <col min="2" max="2" width="30.54296875" customWidth="1"/>
    <col min="3" max="5" width="12.54296875" customWidth="1"/>
    <col min="6" max="29" width="13.54296875" customWidth="1"/>
    <col min="30" max="30" width="48.54296875" bestFit="1" customWidth="1"/>
    <col min="31" max="31" width="42.81640625" bestFit="1" customWidth="1"/>
    <col min="32" max="32" width="12.54296875" customWidth="1"/>
    <col min="33" max="33" width="5.7265625" bestFit="1" customWidth="1"/>
    <col min="34" max="36" width="11.7265625" bestFit="1" customWidth="1"/>
    <col min="37" max="41" width="12.54296875" bestFit="1" customWidth="1"/>
    <col min="42" max="42" width="11.7265625" customWidth="1"/>
    <col min="43" max="57" width="12.81640625" customWidth="1"/>
  </cols>
  <sheetData>
    <row r="1" spans="1:57" ht="19" thickTop="1" x14ac:dyDescent="0.45">
      <c r="A1" s="12" t="s">
        <v>43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AF2" t="s">
        <v>2</v>
      </c>
    </row>
    <row r="3" spans="1:57" ht="16.5" thickTop="1" x14ac:dyDescent="0.5">
      <c r="A3" s="22" t="s">
        <v>3</v>
      </c>
      <c r="B3" s="23" t="s">
        <v>44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10"/>
      <c r="B4" s="31" t="s">
        <v>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57" x14ac:dyDescent="0.35">
      <c r="A5" s="15">
        <v>1</v>
      </c>
      <c r="B5" s="32" t="s">
        <v>45</v>
      </c>
      <c r="C5" s="5"/>
      <c r="D5" s="5">
        <v>0</v>
      </c>
      <c r="E5" s="5">
        <v>0</v>
      </c>
      <c r="F5" s="5">
        <v>0</v>
      </c>
      <c r="G5" s="5">
        <v>0</v>
      </c>
      <c r="H5" s="112">
        <f>SUMIF(Assumptions!$B$6:$B$20,$AC$5,Assumptions!F$6:F$20)</f>
        <v>3.3799999999999997E-2</v>
      </c>
      <c r="I5" s="112">
        <f>SUMIF(Assumptions!$B$6:$B$20,$AC$5,Assumptions!G$6:G$20)</f>
        <v>4.1799999999999997E-2</v>
      </c>
      <c r="J5" s="112">
        <f>SUMIF(Assumptions!$B$6:$B$20,$AC$5,Assumptions!H$6:H$20)</f>
        <v>4.1799999999999997E-2</v>
      </c>
      <c r="K5" s="112">
        <f>SUMIF(Assumptions!$B$6:$B$20,$AC$5,Assumptions!I$6:I$20)</f>
        <v>4.1799999999999997E-2</v>
      </c>
      <c r="L5" s="112">
        <f>SUMIF(Assumptions!$B$6:$B$20,$AC$5,Assumptions!J$6:J$20)</f>
        <v>4.1799999999999997E-2</v>
      </c>
      <c r="M5" s="112">
        <f>SUMIF(Assumptions!$B$6:$B$20,$AC$5,Assumptions!K$6:K$20)</f>
        <v>4.1799999999999997E-2</v>
      </c>
      <c r="N5" s="112">
        <f>SUMIF(Assumptions!$B$6:$B$20,$AC$5,Assumptions!L$6:L$20)</f>
        <v>4.1799999999999997E-2</v>
      </c>
      <c r="O5" s="112">
        <f>SUMIF(Assumptions!$B$6:$B$20,$AC$5,Assumptions!M$6:M$20)</f>
        <v>4.1799999999999997E-2</v>
      </c>
      <c r="P5" s="112">
        <f>SUMIF(Assumptions!$B$6:$B$20,$AC$5,Assumptions!N$6:N$20)</f>
        <v>4.1799999999999997E-2</v>
      </c>
      <c r="Q5" s="112">
        <f>SUMIF(Assumptions!$B$6:$B$20,$AC$5,Assumptions!O$6:O$20)</f>
        <v>4.1799999999999997E-2</v>
      </c>
      <c r="R5" s="112">
        <f>SUMIF(Assumptions!$B$6:$B$20,$AC$5,Assumptions!P$6:P$20)</f>
        <v>4.1799999999999997E-2</v>
      </c>
      <c r="S5" s="112">
        <f>SUMIF(Assumptions!$B$6:$B$20,$AC$5,Assumptions!Q$6:Q$20)</f>
        <v>4.1799999999999997E-2</v>
      </c>
      <c r="T5" s="112">
        <f>SUMIF(Assumptions!$B$6:$B$20,$AC$5,Assumptions!R$6:R$20)</f>
        <v>4.1799999999999997E-2</v>
      </c>
      <c r="U5" s="112">
        <f>SUMIF(Assumptions!$B$6:$B$20,$AC$5,Assumptions!S$6:S$20)</f>
        <v>4.1799999999999997E-2</v>
      </c>
      <c r="V5" s="112">
        <f>SUMIF(Assumptions!$B$6:$B$20,$AC$5,Assumptions!T$6:T$20)</f>
        <v>4.1799999999999997E-2</v>
      </c>
      <c r="W5" s="112">
        <f>SUMIF(Assumptions!$B$6:$B$20,$AC$5,Assumptions!U$6:U$20)</f>
        <v>4.1799999999999997E-2</v>
      </c>
      <c r="X5" s="112">
        <f>SUMIF(Assumptions!$B$6:$B$20,$AC$5,Assumptions!V$6:V$20)</f>
        <v>4.1799999999999997E-2</v>
      </c>
      <c r="Y5" s="112">
        <f>SUMIF(Assumptions!$B$6:$B$20,$AC$5,Assumptions!W$6:W$20)</f>
        <v>4.1799999999999997E-2</v>
      </c>
      <c r="Z5" s="112">
        <f>SUMIF(Assumptions!$B$6:$B$20,$AC$5,Assumptions!X$6:X$20)</f>
        <v>4.1799999999999997E-2</v>
      </c>
      <c r="AA5" s="112">
        <f>SUMIF(Assumptions!$B$6:$B$20,$AC$5,Assumptions!Y$6:Y$20)</f>
        <v>4.1799999999999997E-2</v>
      </c>
      <c r="AC5" s="172" t="s">
        <v>46</v>
      </c>
    </row>
    <row r="6" spans="1:57" x14ac:dyDescent="0.35">
      <c r="A6" s="57">
        <f>MAX(A$5:A5)+1</f>
        <v>2</v>
      </c>
      <c r="B6" s="17" t="s">
        <v>47</v>
      </c>
      <c r="C6" s="73"/>
      <c r="D6" s="73">
        <f>+D5</f>
        <v>0</v>
      </c>
      <c r="E6" s="73">
        <f>+(1+D5)*(1+E5)-1</f>
        <v>0</v>
      </c>
      <c r="F6" s="73">
        <f>+(1+D5)*(1+E5)*(1+F5)-1</f>
        <v>0</v>
      </c>
      <c r="G6" s="73">
        <f>+(1+D5)*(1+E5)*(1+F5)*(1+G5)-1</f>
        <v>0</v>
      </c>
      <c r="H6" s="73">
        <f>+(1+D5)*(1+E5)*(1+F5)*(1+G5)*(1+H5)-1</f>
        <v>3.3800000000000052E-2</v>
      </c>
      <c r="I6" s="73">
        <f>+(1+D5)*(1+E5)*(1+F5)*(1+G5)*(1+H5)*(1+I5)-1</f>
        <v>7.7012840000000082E-2</v>
      </c>
      <c r="J6" s="73">
        <f>+(1+D5)*(1+E5)*(1+F5)*(1+G5)*(1+H5)*(1+I5)*(1+J5)-1</f>
        <v>0.12203197671200017</v>
      </c>
      <c r="K6" s="73">
        <f>+(1+D5)*(1+E5)*(1+F5)*(1+G5)*(1+H5)*(1+I5)*(1+J5)*(1+K5)-1</f>
        <v>0.16893291333856175</v>
      </c>
      <c r="L6" s="73">
        <f>+(1+D5)*(1+E5)*(1+F5)*(1+G5)*(1+H5)*(1+I5)*(1+J5)*(1+K5)*(1+L5)-1</f>
        <v>0.21779430911611364</v>
      </c>
      <c r="M6" s="73">
        <f>+(1+D5)*(1+E5)*(1+F5)*(1+G5)*(1+H5)*(1+I5)*(1+J5)*(1+K5)*(1+L5)*(1+M5)-1</f>
        <v>0.26869811123716736</v>
      </c>
      <c r="N6" s="73">
        <f>+(1+D5)*(1+E5)*(1+F5)*(1+G5)*(1+H5)*(1+I5)*(1+J5)*(1+K5)*(1+L5)*(1+M5)*(1+N5)-1</f>
        <v>0.32172969228688109</v>
      </c>
      <c r="O6" s="73">
        <f>+(1+D5)*(1+E5)*(1+F5)*(1+G5)*(1+H5)*(1+I5)*(1+J5)*(1+K5)*(1+L5)*(1+M5)*(1+N5)*(1+O5)-1</f>
        <v>0.3769779934244728</v>
      </c>
      <c r="P6" s="73">
        <f>+(1+D5)*(1+E5)*(1+F5)*(1+G5)*(1+H5)*(1+I5)*(1+J5)*(1+K5)*(1+L5)*(1+M5)*(1+N5)*(1+O5)*(1+P5)-1</f>
        <v>0.43453567354961575</v>
      </c>
      <c r="Q6" s="73">
        <f>+(1+D5)*(1+E5)*(1+F5)*(1+G5)*(1+H5)*(1+I5)*(1+J5)*(1+K5)*(1+L5)*(1+M5)*(1+N5)*(1+O5)*(1+P5)*(1+Q5)-1</f>
        <v>0.49449926470398986</v>
      </c>
      <c r="R6" s="73">
        <f>+(1+D5)*(1+E5)*(1+F5)*(1+G5)*(1+H5)*(1+I5)*(1+J5)*(1+K5)*(1+L5)*(1+M5)*(1+N5)*(1+O5)*(1+P5)*(1+Q5)*(1+R5)-1</f>
        <v>0.55696933396861681</v>
      </c>
      <c r="S6" s="73">
        <f>+(1+D5)*(1+E5)*(1+F5)*(1+G5)*(1+H5)*(1+I5)*(1+J5)*(1+K5)*(1+L5)*(1+M5)*(1+N5)*(1+O5)*(1+P5)*(1+Q5)*(1+R5)*(1+S5)-1</f>
        <v>0.62205065212850519</v>
      </c>
      <c r="T6" s="73">
        <f>+(1+D5)*(1+E5)*(1+F5)*(1+G5)*(1+H5)*(1+I5)*(1+J5)*(1+K5)*(1+L5)*(1+M5)*(1+N5)*(1+O5)*(1+P5)*(1+Q5)*(1+R5)*(1+S5)*(1+T5)-1</f>
        <v>0.68985236938747674</v>
      </c>
      <c r="U6" s="73">
        <f>+(1+D5)*(1+E5)*(1+F5)*(1+G5)*(1+H5)*(1+I5)*(1+J5)*(1+K5)*(1+L5)*(1+M5)*(1+N5)*(1+O5)*(1+P5)*(1+Q5)*(1+R5)*(1+S5)*(1+T5)*(1+U5)-1</f>
        <v>0.7604881984278733</v>
      </c>
      <c r="V6" s="73">
        <f>+(1+D5)*(1+E5)*(1+F5)*(1+G5)*(1+H5)*(1+I5)*(1+J5)*(1+K5)*(1+L5)*(1+M5)*(1+N5)*(1+O5)*(1+P5)*(1+Q5)*(1+R5)*(1+S5)*(1+T5)*(1+U5)*(1+V5)-1</f>
        <v>0.83407660512215842</v>
      </c>
      <c r="W6" s="73">
        <f>+(1+D5)*(1+E5)*(1+F5)*(1+G5)*(1+H5)*(1+I5)*(1+J5)*(1+K5)*(1+L5)*(1+M5)*(1+N5)*(1+O5)*(1+P5)*(1+Q5)*(1+R5)*(1+S5)*(1+T5)*(1+U5)*(1+V5)*(1+W5)-1</f>
        <v>0.91074100721626472</v>
      </c>
      <c r="X6" s="73">
        <f>+(1+D5)*(1+E5)*(1+F5)*(1+G5)*(1+H5)*(1+I5)*(1+J5)*(1+K5)*(1+L5)*(1+M5)*(1+N5)*(1+O5)*(1+P5)*(1+Q5)*(1+R5)*(1+S5)*(1+T5)*(1+U5)*(1+V5)*(1+W5)*(1+X5)-1</f>
        <v>0.99060998131790479</v>
      </c>
      <c r="Y6" s="73">
        <f>+(1+D5)*(1+E5)*(1+F5)*(1+G5)*(1+H5)*(1+I5)*(1+J5)*(1+K5)*(1+L5)*(1+M5)*(1+N5)*(1+O5)*(1+P5)*(1+Q5)*(1+R5)*(1+S5)*(1+T5)*(1+U5)*(1+V5)*(1+W5)*(1+X5)*(1+Y5)-1</f>
        <v>1.0738174785369932</v>
      </c>
      <c r="Z6" s="73">
        <f>+(1+D5)*(1+E5)*(1+F5)*(1+G5)*(1+H5)*(1+I5)*(1+J5)*(1+K5)*(1+L5)*(1+M5)*(1+N5)*(1+O5)*(1+P5)*(1+Q5)*(1+R5)*(1+S5)*(1+T5)*(1+U5)*(1+V5)*(1+W5)*(1+X5)*(1+Y5)*(1+Z5)-1</f>
        <v>1.1605030491398396</v>
      </c>
      <c r="AA6" s="73">
        <f>+(1+D5)*(1+E5)*(1+F5)*(1+G5)*(1+H5)*(1+I5)*(1+J5)*(1+K5)*(1+L5)*(1+M5)*(1+N5)*(1+O5)*(1+P5)*(1+Q5)*(1+R5)*(1+S5)*(1+T5)*(1+U5)*(1+V5)*(1+W5)*(1+X5)*(1+Y5)*(1+Z5)*(1+AA5)-1</f>
        <v>1.2508120765938848</v>
      </c>
    </row>
    <row r="7" spans="1:57" ht="15.5" x14ac:dyDescent="0.35">
      <c r="A7" s="10"/>
      <c r="B7" s="31" t="s">
        <v>230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57" x14ac:dyDescent="0.35">
      <c r="A8" s="132">
        <f>MAX(A$5:A7)+1</f>
        <v>3</v>
      </c>
      <c r="B8" s="62" t="s">
        <v>48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C8" t="s">
        <v>49</v>
      </c>
      <c r="AD8" s="1" t="s">
        <v>50</v>
      </c>
    </row>
    <row r="9" spans="1:57" x14ac:dyDescent="0.35">
      <c r="A9" s="131">
        <f>MAX(A$5:A8)+1</f>
        <v>4</v>
      </c>
      <c r="B9" s="32" t="s">
        <v>12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D9" s="1"/>
    </row>
    <row r="10" spans="1:57" x14ac:dyDescent="0.35">
      <c r="A10" s="13">
        <f>MAX(A$5:A9)+1</f>
        <v>5</v>
      </c>
      <c r="B10" s="28" t="s">
        <v>24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D10" s="1"/>
    </row>
    <row r="11" spans="1:57" x14ac:dyDescent="0.35">
      <c r="A11" s="131">
        <f>MAX(A$5:A10)+1</f>
        <v>6</v>
      </c>
      <c r="B11" s="148" t="s">
        <v>51</v>
      </c>
      <c r="C11" s="98"/>
      <c r="D11" s="98"/>
      <c r="E11" s="98"/>
      <c r="F11" s="98"/>
      <c r="G11" s="98">
        <f>2987000+1150000</f>
        <v>4137000</v>
      </c>
      <c r="H11" s="98">
        <f t="shared" ref="H11:AA11" si="32">+G11</f>
        <v>4137000</v>
      </c>
      <c r="I11" s="98">
        <f t="shared" si="32"/>
        <v>4137000</v>
      </c>
      <c r="J11" s="98">
        <f t="shared" si="32"/>
        <v>4137000</v>
      </c>
      <c r="K11" s="98">
        <f t="shared" si="32"/>
        <v>4137000</v>
      </c>
      <c r="L11" s="98">
        <f t="shared" si="32"/>
        <v>4137000</v>
      </c>
      <c r="M11" s="98">
        <f t="shared" si="32"/>
        <v>4137000</v>
      </c>
      <c r="N11" s="98">
        <f t="shared" si="32"/>
        <v>4137000</v>
      </c>
      <c r="O11" s="98">
        <f t="shared" si="32"/>
        <v>4137000</v>
      </c>
      <c r="P11" s="98">
        <f t="shared" si="32"/>
        <v>4137000</v>
      </c>
      <c r="Q11" s="98">
        <f t="shared" si="32"/>
        <v>4137000</v>
      </c>
      <c r="R11" s="98">
        <f t="shared" si="32"/>
        <v>4137000</v>
      </c>
      <c r="S11" s="98">
        <f t="shared" si="32"/>
        <v>4137000</v>
      </c>
      <c r="T11" s="98">
        <f t="shared" si="32"/>
        <v>4137000</v>
      </c>
      <c r="U11" s="98">
        <f t="shared" si="32"/>
        <v>4137000</v>
      </c>
      <c r="V11" s="98">
        <f t="shared" si="32"/>
        <v>4137000</v>
      </c>
      <c r="W11" s="98">
        <f t="shared" si="32"/>
        <v>4137000</v>
      </c>
      <c r="X11" s="98">
        <f t="shared" si="32"/>
        <v>4137000</v>
      </c>
      <c r="Y11" s="98">
        <f t="shared" si="32"/>
        <v>4137000</v>
      </c>
      <c r="Z11" s="98">
        <f t="shared" si="32"/>
        <v>4137000</v>
      </c>
      <c r="AA11" s="98">
        <f t="shared" si="32"/>
        <v>4137000</v>
      </c>
      <c r="AD11" s="1"/>
    </row>
    <row r="12" spans="1:57" x14ac:dyDescent="0.35">
      <c r="A12" s="13">
        <f>MAX(A$5:A11)+1</f>
        <v>7</v>
      </c>
      <c r="B12" s="28" t="s">
        <v>23</v>
      </c>
      <c r="C12" s="98"/>
      <c r="D12" s="98"/>
      <c r="E12" s="98"/>
      <c r="F12" s="98"/>
      <c r="G12" s="98">
        <f>4500000+1679000</f>
        <v>6179000</v>
      </c>
      <c r="H12" s="98">
        <f t="shared" ref="H12:AA12" si="33">+G12</f>
        <v>6179000</v>
      </c>
      <c r="I12" s="98">
        <f t="shared" si="33"/>
        <v>6179000</v>
      </c>
      <c r="J12" s="98">
        <f t="shared" si="33"/>
        <v>6179000</v>
      </c>
      <c r="K12" s="98">
        <f t="shared" si="33"/>
        <v>6179000</v>
      </c>
      <c r="L12" s="98">
        <f t="shared" si="33"/>
        <v>6179000</v>
      </c>
      <c r="M12" s="98">
        <f t="shared" si="33"/>
        <v>6179000</v>
      </c>
      <c r="N12" s="98">
        <f t="shared" si="33"/>
        <v>6179000</v>
      </c>
      <c r="O12" s="98">
        <f t="shared" si="33"/>
        <v>6179000</v>
      </c>
      <c r="P12" s="98">
        <f t="shared" si="33"/>
        <v>6179000</v>
      </c>
      <c r="Q12" s="98">
        <f t="shared" si="33"/>
        <v>6179000</v>
      </c>
      <c r="R12" s="98">
        <f t="shared" si="33"/>
        <v>6179000</v>
      </c>
      <c r="S12" s="98">
        <f t="shared" si="33"/>
        <v>6179000</v>
      </c>
      <c r="T12" s="98">
        <f t="shared" si="33"/>
        <v>6179000</v>
      </c>
      <c r="U12" s="98">
        <f t="shared" si="33"/>
        <v>6179000</v>
      </c>
      <c r="V12" s="98">
        <f t="shared" si="33"/>
        <v>6179000</v>
      </c>
      <c r="W12" s="98">
        <f t="shared" si="33"/>
        <v>6179000</v>
      </c>
      <c r="X12" s="98">
        <f t="shared" si="33"/>
        <v>6179000</v>
      </c>
      <c r="Y12" s="98">
        <f t="shared" si="33"/>
        <v>6179000</v>
      </c>
      <c r="Z12" s="98">
        <f t="shared" si="33"/>
        <v>6179000</v>
      </c>
      <c r="AA12" s="98">
        <f t="shared" si="33"/>
        <v>6179000</v>
      </c>
      <c r="AD12" s="1"/>
    </row>
    <row r="13" spans="1:57" x14ac:dyDescent="0.35">
      <c r="A13" s="131">
        <f>MAX(A$5:A12)+1</f>
        <v>8</v>
      </c>
      <c r="B13" s="148" t="s">
        <v>207</v>
      </c>
      <c r="C13" s="98"/>
      <c r="D13" s="98"/>
      <c r="E13" s="98"/>
      <c r="F13" s="98"/>
      <c r="G13" s="98">
        <v>1370000</v>
      </c>
      <c r="H13" s="98">
        <f t="shared" ref="H13" si="34">+G13</f>
        <v>1370000</v>
      </c>
      <c r="I13" s="98">
        <f t="shared" ref="I13" si="35">+H13</f>
        <v>1370000</v>
      </c>
      <c r="J13" s="98">
        <f t="shared" ref="J13" si="36">+I13</f>
        <v>1370000</v>
      </c>
      <c r="K13" s="98">
        <f t="shared" ref="K13" si="37">+J13</f>
        <v>1370000</v>
      </c>
      <c r="L13" s="98">
        <f t="shared" ref="L13" si="38">+K13</f>
        <v>1370000</v>
      </c>
      <c r="M13" s="98">
        <f t="shared" ref="M13" si="39">+L13</f>
        <v>1370000</v>
      </c>
      <c r="N13" s="98">
        <f t="shared" ref="N13" si="40">+M13</f>
        <v>1370000</v>
      </c>
      <c r="O13" s="98">
        <f t="shared" ref="O13" si="41">+N13</f>
        <v>1370000</v>
      </c>
      <c r="P13" s="98">
        <f t="shared" ref="P13" si="42">+O13</f>
        <v>1370000</v>
      </c>
      <c r="Q13" s="98">
        <f t="shared" ref="Q13" si="43">+P13</f>
        <v>1370000</v>
      </c>
      <c r="R13" s="98">
        <f t="shared" ref="R13" si="44">+Q13</f>
        <v>1370000</v>
      </c>
      <c r="S13" s="98">
        <f t="shared" ref="S13" si="45">+R13</f>
        <v>1370000</v>
      </c>
      <c r="T13" s="98">
        <f t="shared" ref="T13" si="46">+S13</f>
        <v>1370000</v>
      </c>
      <c r="U13" s="98">
        <f t="shared" ref="U13" si="47">+T13</f>
        <v>1370000</v>
      </c>
      <c r="V13" s="98">
        <f t="shared" ref="V13" si="48">+U13</f>
        <v>1370000</v>
      </c>
      <c r="W13" s="98">
        <f t="shared" ref="W13" si="49">+V13</f>
        <v>1370000</v>
      </c>
      <c r="X13" s="98">
        <f t="shared" ref="X13" si="50">+W13</f>
        <v>1370000</v>
      </c>
      <c r="Y13" s="98">
        <f t="shared" ref="Y13" si="51">+X13</f>
        <v>1370000</v>
      </c>
      <c r="Z13" s="98">
        <f t="shared" ref="Z13" si="52">+Y13</f>
        <v>1370000</v>
      </c>
      <c r="AA13" s="98">
        <f t="shared" ref="AA13" si="53">+Z13</f>
        <v>1370000</v>
      </c>
      <c r="AD13" s="1"/>
    </row>
    <row r="14" spans="1:57" x14ac:dyDescent="0.35">
      <c r="A14" s="131">
        <f>MAX(A$5:A13)+1</f>
        <v>9</v>
      </c>
      <c r="B14" s="133" t="s">
        <v>25</v>
      </c>
      <c r="C14" s="134">
        <f>SUM(C8:C13)</f>
        <v>0</v>
      </c>
      <c r="D14" s="134">
        <f t="shared" ref="D14:L14" si="54">SUM(D8:D13)</f>
        <v>0</v>
      </c>
      <c r="E14" s="134">
        <f t="shared" si="54"/>
        <v>0</v>
      </c>
      <c r="F14" s="134">
        <f t="shared" si="54"/>
        <v>0</v>
      </c>
      <c r="G14" s="134">
        <f t="shared" si="54"/>
        <v>11686000</v>
      </c>
      <c r="H14" s="134">
        <f t="shared" si="54"/>
        <v>11686000</v>
      </c>
      <c r="I14" s="134">
        <f t="shared" si="54"/>
        <v>11686000</v>
      </c>
      <c r="J14" s="134">
        <f t="shared" si="54"/>
        <v>11686000</v>
      </c>
      <c r="K14" s="134">
        <f t="shared" si="54"/>
        <v>11686000</v>
      </c>
      <c r="L14" s="134">
        <f t="shared" si="54"/>
        <v>11686000</v>
      </c>
      <c r="M14" s="134">
        <f t="shared" ref="M14:AA14" si="55">SUM(M8:M13)</f>
        <v>11686000</v>
      </c>
      <c r="N14" s="134">
        <f t="shared" si="55"/>
        <v>11686000</v>
      </c>
      <c r="O14" s="134">
        <f t="shared" si="55"/>
        <v>11686000</v>
      </c>
      <c r="P14" s="134">
        <f t="shared" si="55"/>
        <v>11686000</v>
      </c>
      <c r="Q14" s="134">
        <f t="shared" si="55"/>
        <v>11686000</v>
      </c>
      <c r="R14" s="134">
        <f t="shared" si="55"/>
        <v>11686000</v>
      </c>
      <c r="S14" s="134">
        <f t="shared" si="55"/>
        <v>11686000</v>
      </c>
      <c r="T14" s="134">
        <f t="shared" si="55"/>
        <v>11686000</v>
      </c>
      <c r="U14" s="134">
        <f t="shared" si="55"/>
        <v>11686000</v>
      </c>
      <c r="V14" s="134">
        <f t="shared" si="55"/>
        <v>11686000</v>
      </c>
      <c r="W14" s="134">
        <f t="shared" si="55"/>
        <v>11686000</v>
      </c>
      <c r="X14" s="134">
        <f t="shared" si="55"/>
        <v>11686000</v>
      </c>
      <c r="Y14" s="134">
        <f t="shared" si="55"/>
        <v>11686000</v>
      </c>
      <c r="Z14" s="134">
        <f t="shared" si="55"/>
        <v>11686000</v>
      </c>
      <c r="AA14" s="134">
        <f t="shared" si="55"/>
        <v>11686000</v>
      </c>
      <c r="AF14" s="124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</row>
    <row r="15" spans="1:57" ht="15" customHeight="1" x14ac:dyDescent="0.35">
      <c r="A15" s="13"/>
      <c r="B15" s="28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F15" s="124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</row>
    <row r="16" spans="1:57" x14ac:dyDescent="0.35">
      <c r="A16" s="131">
        <f>MAX(A$8:A15)+1</f>
        <v>10</v>
      </c>
      <c r="B16" s="133" t="str">
        <f>B8</f>
        <v>Human Resources and Admin</v>
      </c>
      <c r="C16" s="134">
        <f>+C8*(1+C$6)</f>
        <v>0</v>
      </c>
      <c r="D16" s="134">
        <f t="shared" ref="D16:AA16" si="56">+D8*(1+D$6)</f>
        <v>0</v>
      </c>
      <c r="E16" s="134">
        <f t="shared" si="56"/>
        <v>0</v>
      </c>
      <c r="F16" s="134">
        <f t="shared" si="56"/>
        <v>0</v>
      </c>
      <c r="G16" s="134">
        <f t="shared" si="56"/>
        <v>0</v>
      </c>
      <c r="H16" s="134">
        <f t="shared" si="56"/>
        <v>0</v>
      </c>
      <c r="I16" s="134">
        <f t="shared" si="56"/>
        <v>0</v>
      </c>
      <c r="J16" s="134">
        <f t="shared" si="56"/>
        <v>0</v>
      </c>
      <c r="K16" s="134">
        <f t="shared" si="56"/>
        <v>0</v>
      </c>
      <c r="L16" s="134">
        <f t="shared" si="56"/>
        <v>0</v>
      </c>
      <c r="M16" s="134">
        <f t="shared" si="56"/>
        <v>0</v>
      </c>
      <c r="N16" s="134">
        <f t="shared" si="56"/>
        <v>0</v>
      </c>
      <c r="O16" s="134">
        <f t="shared" si="56"/>
        <v>0</v>
      </c>
      <c r="P16" s="134">
        <f t="shared" si="56"/>
        <v>0</v>
      </c>
      <c r="Q16" s="134">
        <f t="shared" si="56"/>
        <v>0</v>
      </c>
      <c r="R16" s="134">
        <f t="shared" si="56"/>
        <v>0</v>
      </c>
      <c r="S16" s="134">
        <f t="shared" si="56"/>
        <v>0</v>
      </c>
      <c r="T16" s="134">
        <f t="shared" si="56"/>
        <v>0</v>
      </c>
      <c r="U16" s="134">
        <f t="shared" si="56"/>
        <v>0</v>
      </c>
      <c r="V16" s="134">
        <f t="shared" si="56"/>
        <v>0</v>
      </c>
      <c r="W16" s="134">
        <f t="shared" si="56"/>
        <v>0</v>
      </c>
      <c r="X16" s="134">
        <f t="shared" si="56"/>
        <v>0</v>
      </c>
      <c r="Y16" s="134">
        <f t="shared" si="56"/>
        <v>0</v>
      </c>
      <c r="Z16" s="134">
        <f t="shared" si="56"/>
        <v>0</v>
      </c>
      <c r="AA16" s="134">
        <f t="shared" si="56"/>
        <v>0</v>
      </c>
      <c r="AE16" s="172" t="s">
        <v>53</v>
      </c>
      <c r="AF16" s="173">
        <f>SUMIF(Assumptions!$E$27:$E$193,AE16,Assumptions!$D$27:$D$193)</f>
        <v>1</v>
      </c>
      <c r="AG16" s="105">
        <f t="shared" ref="AG16:AP16" si="57">+C16*$AF16</f>
        <v>0</v>
      </c>
      <c r="AH16" s="105">
        <f t="shared" si="57"/>
        <v>0</v>
      </c>
      <c r="AI16" s="105">
        <f t="shared" ref="AI16:AI21" si="58">+E16*$AF16</f>
        <v>0</v>
      </c>
      <c r="AJ16" s="105">
        <f t="shared" si="57"/>
        <v>0</v>
      </c>
      <c r="AK16" s="105">
        <f t="shared" si="57"/>
        <v>0</v>
      </c>
      <c r="AL16" s="105">
        <f t="shared" si="57"/>
        <v>0</v>
      </c>
      <c r="AM16" s="105">
        <f t="shared" si="57"/>
        <v>0</v>
      </c>
      <c r="AN16" s="105">
        <f t="shared" si="57"/>
        <v>0</v>
      </c>
      <c r="AO16" s="105">
        <f t="shared" si="57"/>
        <v>0</v>
      </c>
      <c r="AP16" s="105">
        <f t="shared" si="57"/>
        <v>0</v>
      </c>
      <c r="AQ16" s="105">
        <f t="shared" ref="AQ16:BE21" si="59">+M16*$AF16</f>
        <v>0</v>
      </c>
      <c r="AR16" s="105">
        <f t="shared" si="59"/>
        <v>0</v>
      </c>
      <c r="AS16" s="105">
        <f t="shared" si="59"/>
        <v>0</v>
      </c>
      <c r="AT16" s="105">
        <f t="shared" si="59"/>
        <v>0</v>
      </c>
      <c r="AU16" s="105">
        <f t="shared" si="59"/>
        <v>0</v>
      </c>
      <c r="AV16" s="105">
        <f t="shared" si="59"/>
        <v>0</v>
      </c>
      <c r="AW16" s="105">
        <f t="shared" si="59"/>
        <v>0</v>
      </c>
      <c r="AX16" s="105">
        <f t="shared" si="59"/>
        <v>0</v>
      </c>
      <c r="AY16" s="105">
        <f t="shared" si="59"/>
        <v>0</v>
      </c>
      <c r="AZ16" s="105">
        <f t="shared" si="59"/>
        <v>0</v>
      </c>
      <c r="BA16" s="105">
        <f t="shared" si="59"/>
        <v>0</v>
      </c>
      <c r="BB16" s="105">
        <f t="shared" si="59"/>
        <v>0</v>
      </c>
      <c r="BC16" s="105">
        <f t="shared" si="59"/>
        <v>0</v>
      </c>
      <c r="BD16" s="105">
        <f t="shared" si="59"/>
        <v>0</v>
      </c>
      <c r="BE16" s="105">
        <f t="shared" si="59"/>
        <v>0</v>
      </c>
    </row>
    <row r="17" spans="1:57" x14ac:dyDescent="0.35">
      <c r="A17" s="13">
        <f>MAX(A$8:A16)+1</f>
        <v>11</v>
      </c>
      <c r="B17" s="28" t="str">
        <f t="shared" ref="B17:B21" si="60">B9</f>
        <v>Finance</v>
      </c>
      <c r="C17" s="106">
        <f>+C9*(1+C$6)</f>
        <v>0</v>
      </c>
      <c r="D17" s="106">
        <f t="shared" ref="D17:AA21" si="61">+D9*(1+D$6)</f>
        <v>0</v>
      </c>
      <c r="E17" s="106">
        <f t="shared" si="61"/>
        <v>0</v>
      </c>
      <c r="F17" s="106">
        <f t="shared" si="61"/>
        <v>0</v>
      </c>
      <c r="G17" s="106">
        <f t="shared" si="61"/>
        <v>0</v>
      </c>
      <c r="H17" s="106">
        <f t="shared" si="61"/>
        <v>0</v>
      </c>
      <c r="I17" s="106">
        <f t="shared" si="61"/>
        <v>0</v>
      </c>
      <c r="J17" s="106">
        <f t="shared" si="61"/>
        <v>0</v>
      </c>
      <c r="K17" s="106">
        <f t="shared" si="61"/>
        <v>0</v>
      </c>
      <c r="L17" s="106">
        <f t="shared" si="61"/>
        <v>0</v>
      </c>
      <c r="M17" s="106">
        <f t="shared" si="61"/>
        <v>0</v>
      </c>
      <c r="N17" s="106">
        <f t="shared" si="61"/>
        <v>0</v>
      </c>
      <c r="O17" s="106">
        <f t="shared" si="61"/>
        <v>0</v>
      </c>
      <c r="P17" s="106">
        <f t="shared" si="61"/>
        <v>0</v>
      </c>
      <c r="Q17" s="106">
        <f t="shared" si="61"/>
        <v>0</v>
      </c>
      <c r="R17" s="106">
        <f t="shared" si="61"/>
        <v>0</v>
      </c>
      <c r="S17" s="106">
        <f t="shared" si="61"/>
        <v>0</v>
      </c>
      <c r="T17" s="106">
        <f t="shared" si="61"/>
        <v>0</v>
      </c>
      <c r="U17" s="106">
        <f t="shared" si="61"/>
        <v>0</v>
      </c>
      <c r="V17" s="106">
        <f t="shared" si="61"/>
        <v>0</v>
      </c>
      <c r="W17" s="106">
        <f t="shared" si="61"/>
        <v>0</v>
      </c>
      <c r="X17" s="106">
        <f t="shared" si="61"/>
        <v>0</v>
      </c>
      <c r="Y17" s="106">
        <f t="shared" si="61"/>
        <v>0</v>
      </c>
      <c r="Z17" s="106">
        <f t="shared" si="61"/>
        <v>0</v>
      </c>
      <c r="AA17" s="106">
        <f t="shared" si="61"/>
        <v>0</v>
      </c>
      <c r="AE17" s="172" t="s">
        <v>54</v>
      </c>
      <c r="AF17" s="173">
        <f>SUMIF(Assumptions!$E$27:$E$193,AE17,Assumptions!$D$27:$D$193)</f>
        <v>0.91511370650323276</v>
      </c>
      <c r="AG17" s="105">
        <f>+C17*$AF17</f>
        <v>0</v>
      </c>
      <c r="AH17" s="105">
        <f>+D17*$AF17</f>
        <v>0</v>
      </c>
      <c r="AI17" s="105">
        <f t="shared" si="58"/>
        <v>0</v>
      </c>
      <c r="AJ17" s="105">
        <f t="shared" ref="AJ17:AJ21" si="62">+F17*$AF17</f>
        <v>0</v>
      </c>
      <c r="AK17" s="105">
        <f t="shared" ref="AK17:AK21" si="63">+G17*$AF17</f>
        <v>0</v>
      </c>
      <c r="AL17" s="105">
        <f t="shared" ref="AL17:AL21" si="64">+H17*$AF17</f>
        <v>0</v>
      </c>
      <c r="AM17" s="105">
        <f t="shared" ref="AM17:AM21" si="65">+I17*$AF17</f>
        <v>0</v>
      </c>
      <c r="AN17" s="105">
        <f t="shared" ref="AN17:AN21" si="66">+J17*$AF17</f>
        <v>0</v>
      </c>
      <c r="AO17" s="105">
        <f t="shared" ref="AO17:AO21" si="67">+K17*$AF17</f>
        <v>0</v>
      </c>
      <c r="AP17" s="105">
        <f t="shared" ref="AP17:AP21" si="68">+L17*$AF17</f>
        <v>0</v>
      </c>
      <c r="AQ17" s="105">
        <f t="shared" si="59"/>
        <v>0</v>
      </c>
      <c r="AR17" s="105">
        <f t="shared" si="59"/>
        <v>0</v>
      </c>
      <c r="AS17" s="105">
        <f t="shared" si="59"/>
        <v>0</v>
      </c>
      <c r="AT17" s="105">
        <f t="shared" si="59"/>
        <v>0</v>
      </c>
      <c r="AU17" s="105">
        <f t="shared" si="59"/>
        <v>0</v>
      </c>
      <c r="AV17" s="105">
        <f t="shared" si="59"/>
        <v>0</v>
      </c>
      <c r="AW17" s="105">
        <f t="shared" si="59"/>
        <v>0</v>
      </c>
      <c r="AX17" s="105">
        <f t="shared" si="59"/>
        <v>0</v>
      </c>
      <c r="AY17" s="105">
        <f t="shared" si="59"/>
        <v>0</v>
      </c>
      <c r="AZ17" s="105">
        <f t="shared" si="59"/>
        <v>0</v>
      </c>
      <c r="BA17" s="105">
        <f t="shared" si="59"/>
        <v>0</v>
      </c>
      <c r="BB17" s="105">
        <f t="shared" si="59"/>
        <v>0</v>
      </c>
      <c r="BC17" s="105">
        <f t="shared" si="59"/>
        <v>0</v>
      </c>
      <c r="BD17" s="105">
        <f t="shared" si="59"/>
        <v>0</v>
      </c>
      <c r="BE17" s="105">
        <f t="shared" si="59"/>
        <v>0</v>
      </c>
    </row>
    <row r="18" spans="1:57" x14ac:dyDescent="0.35">
      <c r="A18" s="131">
        <f>MAX(A$8:A17)+1</f>
        <v>12</v>
      </c>
      <c r="B18" s="133" t="str">
        <f t="shared" si="60"/>
        <v>Construction &amp; Engineering</v>
      </c>
      <c r="C18" s="134">
        <f t="shared" ref="C18:R21" si="69">+C10*(1+C$6)</f>
        <v>0</v>
      </c>
      <c r="D18" s="134">
        <f t="shared" si="69"/>
        <v>0</v>
      </c>
      <c r="E18" s="134">
        <f t="shared" si="69"/>
        <v>0</v>
      </c>
      <c r="F18" s="134">
        <f t="shared" si="69"/>
        <v>0</v>
      </c>
      <c r="G18" s="134">
        <f t="shared" si="69"/>
        <v>0</v>
      </c>
      <c r="H18" s="134">
        <f t="shared" si="69"/>
        <v>0</v>
      </c>
      <c r="I18" s="134">
        <f t="shared" si="69"/>
        <v>0</v>
      </c>
      <c r="J18" s="134">
        <f t="shared" si="69"/>
        <v>0</v>
      </c>
      <c r="K18" s="134">
        <f t="shared" si="69"/>
        <v>0</v>
      </c>
      <c r="L18" s="134">
        <f t="shared" si="69"/>
        <v>0</v>
      </c>
      <c r="M18" s="134">
        <f t="shared" si="69"/>
        <v>0</v>
      </c>
      <c r="N18" s="134">
        <f t="shared" si="69"/>
        <v>0</v>
      </c>
      <c r="O18" s="134">
        <f t="shared" si="69"/>
        <v>0</v>
      </c>
      <c r="P18" s="134">
        <f t="shared" si="69"/>
        <v>0</v>
      </c>
      <c r="Q18" s="134">
        <f t="shared" si="69"/>
        <v>0</v>
      </c>
      <c r="R18" s="134">
        <f t="shared" si="69"/>
        <v>0</v>
      </c>
      <c r="S18" s="134">
        <f t="shared" si="61"/>
        <v>0</v>
      </c>
      <c r="T18" s="134">
        <f t="shared" si="61"/>
        <v>0</v>
      </c>
      <c r="U18" s="134">
        <f t="shared" si="61"/>
        <v>0</v>
      </c>
      <c r="V18" s="134">
        <f t="shared" si="61"/>
        <v>0</v>
      </c>
      <c r="W18" s="134">
        <f t="shared" si="61"/>
        <v>0</v>
      </c>
      <c r="X18" s="134">
        <f t="shared" si="61"/>
        <v>0</v>
      </c>
      <c r="Y18" s="134">
        <f t="shared" si="61"/>
        <v>0</v>
      </c>
      <c r="Z18" s="134">
        <f t="shared" si="61"/>
        <v>0</v>
      </c>
      <c r="AA18" s="134">
        <f t="shared" si="61"/>
        <v>0</v>
      </c>
      <c r="AE18" s="172" t="s">
        <v>55</v>
      </c>
      <c r="AF18" s="173">
        <f>SUMIF(Assumptions!$E$27:$E$193,AE18,Assumptions!$D$27:$D$193)</f>
        <v>0.61888051422030466</v>
      </c>
      <c r="AG18" s="105">
        <f>+C18*$AF18</f>
        <v>0</v>
      </c>
      <c r="AH18" s="105">
        <f>+D18*$AF18</f>
        <v>0</v>
      </c>
      <c r="AI18" s="105">
        <f t="shared" si="58"/>
        <v>0</v>
      </c>
      <c r="AJ18" s="105">
        <f t="shared" si="62"/>
        <v>0</v>
      </c>
      <c r="AK18" s="105">
        <f t="shared" si="63"/>
        <v>0</v>
      </c>
      <c r="AL18" s="105">
        <f t="shared" si="64"/>
        <v>0</v>
      </c>
      <c r="AM18" s="105">
        <f t="shared" si="65"/>
        <v>0</v>
      </c>
      <c r="AN18" s="105">
        <f t="shared" si="66"/>
        <v>0</v>
      </c>
      <c r="AO18" s="105">
        <f t="shared" si="67"/>
        <v>0</v>
      </c>
      <c r="AP18" s="105">
        <f t="shared" si="68"/>
        <v>0</v>
      </c>
      <c r="AQ18" s="105">
        <f t="shared" si="59"/>
        <v>0</v>
      </c>
      <c r="AR18" s="105">
        <f t="shared" si="59"/>
        <v>0</v>
      </c>
      <c r="AS18" s="105">
        <f t="shared" si="59"/>
        <v>0</v>
      </c>
      <c r="AT18" s="105">
        <f t="shared" si="59"/>
        <v>0</v>
      </c>
      <c r="AU18" s="105">
        <f t="shared" si="59"/>
        <v>0</v>
      </c>
      <c r="AV18" s="105">
        <f t="shared" si="59"/>
        <v>0</v>
      </c>
      <c r="AW18" s="105">
        <f t="shared" si="59"/>
        <v>0</v>
      </c>
      <c r="AX18" s="105">
        <f t="shared" si="59"/>
        <v>0</v>
      </c>
      <c r="AY18" s="105">
        <f t="shared" si="59"/>
        <v>0</v>
      </c>
      <c r="AZ18" s="105">
        <f t="shared" si="59"/>
        <v>0</v>
      </c>
      <c r="BA18" s="105">
        <f t="shared" si="59"/>
        <v>0</v>
      </c>
      <c r="BB18" s="105">
        <f t="shared" si="59"/>
        <v>0</v>
      </c>
      <c r="BC18" s="105">
        <f t="shared" si="59"/>
        <v>0</v>
      </c>
      <c r="BD18" s="105">
        <f t="shared" si="59"/>
        <v>0</v>
      </c>
      <c r="BE18" s="105">
        <f t="shared" si="59"/>
        <v>0</v>
      </c>
    </row>
    <row r="19" spans="1:57" x14ac:dyDescent="0.35">
      <c r="A19" s="13">
        <f>MAX(A$8:A18)+1</f>
        <v>13</v>
      </c>
      <c r="B19" s="28" t="str">
        <f t="shared" si="60"/>
        <v>Operations</v>
      </c>
      <c r="C19" s="106">
        <f t="shared" si="69"/>
        <v>0</v>
      </c>
      <c r="D19" s="106">
        <f t="shared" si="61"/>
        <v>0</v>
      </c>
      <c r="E19" s="106">
        <f t="shared" si="61"/>
        <v>0</v>
      </c>
      <c r="F19" s="106">
        <f t="shared" si="61"/>
        <v>0</v>
      </c>
      <c r="G19" s="106">
        <f t="shared" si="61"/>
        <v>4137000</v>
      </c>
      <c r="H19" s="106">
        <f t="shared" si="61"/>
        <v>4276830.6000000006</v>
      </c>
      <c r="I19" s="106">
        <f t="shared" si="61"/>
        <v>4455602.1190800006</v>
      </c>
      <c r="J19" s="106">
        <f t="shared" si="61"/>
        <v>4641846.2876575449</v>
      </c>
      <c r="K19" s="106">
        <f t="shared" si="61"/>
        <v>4835875.46248163</v>
      </c>
      <c r="L19" s="106">
        <f t="shared" si="61"/>
        <v>5038015.0568133621</v>
      </c>
      <c r="M19" s="106">
        <f t="shared" si="61"/>
        <v>5248604.0861881617</v>
      </c>
      <c r="N19" s="106">
        <f t="shared" si="61"/>
        <v>5467995.7369908271</v>
      </c>
      <c r="O19" s="106">
        <f t="shared" si="61"/>
        <v>5696557.9587970441</v>
      </c>
      <c r="P19" s="106">
        <f t="shared" si="61"/>
        <v>5934674.0814747605</v>
      </c>
      <c r="Q19" s="106">
        <f t="shared" si="61"/>
        <v>6182743.4580804063</v>
      </c>
      <c r="R19" s="106">
        <f t="shared" si="61"/>
        <v>6441182.1346281674</v>
      </c>
      <c r="S19" s="106">
        <f t="shared" si="61"/>
        <v>6710423.5478556259</v>
      </c>
      <c r="T19" s="106">
        <f t="shared" si="61"/>
        <v>6990919.2521559913</v>
      </c>
      <c r="U19" s="106">
        <f t="shared" si="61"/>
        <v>7283139.676896112</v>
      </c>
      <c r="V19" s="106">
        <f t="shared" si="61"/>
        <v>7587574.9153903695</v>
      </c>
      <c r="W19" s="106">
        <f t="shared" si="61"/>
        <v>7904735.5468536867</v>
      </c>
      <c r="X19" s="106">
        <f t="shared" si="61"/>
        <v>8235153.4927121717</v>
      </c>
      <c r="Y19" s="106">
        <f t="shared" si="61"/>
        <v>8579382.9087075405</v>
      </c>
      <c r="Z19" s="106">
        <f t="shared" si="61"/>
        <v>8938001.1142915171</v>
      </c>
      <c r="AA19" s="106">
        <f t="shared" si="61"/>
        <v>9311609.5608689021</v>
      </c>
      <c r="AE19" s="172" t="s">
        <v>56</v>
      </c>
      <c r="AF19" s="173">
        <f>SUMIF(Assumptions!$E$27:$E$193,AE19,Assumptions!$D$27:$D$193)</f>
        <v>0.88797731223605458</v>
      </c>
      <c r="AG19" s="105">
        <f t="shared" ref="AG19:AG21" si="70">+C19*$AF19</f>
        <v>0</v>
      </c>
      <c r="AH19" s="105">
        <f t="shared" ref="AH19:AH21" si="71">+D19*$AF19</f>
        <v>0</v>
      </c>
      <c r="AI19" s="105">
        <f t="shared" si="58"/>
        <v>0</v>
      </c>
      <c r="AJ19" s="105">
        <f t="shared" si="62"/>
        <v>0</v>
      </c>
      <c r="AK19" s="105">
        <f t="shared" si="63"/>
        <v>3673562.1407205579</v>
      </c>
      <c r="AL19" s="105">
        <f t="shared" si="64"/>
        <v>3797728.541076913</v>
      </c>
      <c r="AM19" s="105">
        <f t="shared" si="65"/>
        <v>3956473.5940939281</v>
      </c>
      <c r="AN19" s="105">
        <f t="shared" si="66"/>
        <v>4121854.1903270548</v>
      </c>
      <c r="AO19" s="105">
        <f t="shared" si="67"/>
        <v>4294147.6954827253</v>
      </c>
      <c r="AP19" s="105">
        <f t="shared" si="68"/>
        <v>4473643.0691539031</v>
      </c>
      <c r="AQ19" s="105">
        <f t="shared" si="59"/>
        <v>4660641.3494445374</v>
      </c>
      <c r="AR19" s="105">
        <f t="shared" si="59"/>
        <v>4855456.1578513188</v>
      </c>
      <c r="AS19" s="105">
        <f t="shared" si="59"/>
        <v>5058414.2252495047</v>
      </c>
      <c r="AT19" s="105">
        <f t="shared" si="59"/>
        <v>5269855.9398649335</v>
      </c>
      <c r="AU19" s="105">
        <f t="shared" si="59"/>
        <v>5490135.9181512892</v>
      </c>
      <c r="AV19" s="105">
        <f t="shared" si="59"/>
        <v>5719623.5995300123</v>
      </c>
      <c r="AW19" s="105">
        <f t="shared" si="59"/>
        <v>5958703.8659903686</v>
      </c>
      <c r="AX19" s="105">
        <f t="shared" si="59"/>
        <v>6207777.6875887662</v>
      </c>
      <c r="AY19" s="105">
        <f t="shared" si="59"/>
        <v>6467262.7949299766</v>
      </c>
      <c r="AZ19" s="105">
        <f t="shared" si="59"/>
        <v>6737594.3797580497</v>
      </c>
      <c r="BA19" s="105">
        <f t="shared" si="59"/>
        <v>7019225.8248319356</v>
      </c>
      <c r="BB19" s="105">
        <f t="shared" si="59"/>
        <v>7312629.4643099112</v>
      </c>
      <c r="BC19" s="105">
        <f t="shared" si="59"/>
        <v>7618297.3759180661</v>
      </c>
      <c r="BD19" s="105">
        <f t="shared" si="59"/>
        <v>7936742.2062314423</v>
      </c>
      <c r="BE19" s="105">
        <f t="shared" si="59"/>
        <v>8268498.0304519162</v>
      </c>
    </row>
    <row r="20" spans="1:57" x14ac:dyDescent="0.35">
      <c r="A20" s="131">
        <f>MAX(A$8:A19)+1</f>
        <v>14</v>
      </c>
      <c r="B20" s="149" t="str">
        <f t="shared" si="60"/>
        <v>Planning &amp; Env Services</v>
      </c>
      <c r="C20" s="134">
        <f t="shared" si="69"/>
        <v>0</v>
      </c>
      <c r="D20" s="134">
        <f t="shared" si="61"/>
        <v>0</v>
      </c>
      <c r="E20" s="134">
        <f t="shared" si="61"/>
        <v>0</v>
      </c>
      <c r="F20" s="134">
        <f t="shared" si="61"/>
        <v>0</v>
      </c>
      <c r="G20" s="134">
        <f t="shared" si="61"/>
        <v>6179000</v>
      </c>
      <c r="H20" s="134">
        <f t="shared" si="61"/>
        <v>6387850.2000000002</v>
      </c>
      <c r="I20" s="134">
        <f t="shared" si="61"/>
        <v>6654862.3383600004</v>
      </c>
      <c r="J20" s="134">
        <f t="shared" si="61"/>
        <v>6933035.5841034492</v>
      </c>
      <c r="K20" s="134">
        <f t="shared" si="61"/>
        <v>7222836.4715189729</v>
      </c>
      <c r="L20" s="134">
        <f t="shared" si="61"/>
        <v>7524751.0360284662</v>
      </c>
      <c r="M20" s="134">
        <f t="shared" si="61"/>
        <v>7839285.6293344572</v>
      </c>
      <c r="N20" s="134">
        <f t="shared" si="61"/>
        <v>8166967.7686406383</v>
      </c>
      <c r="O20" s="134">
        <f t="shared" si="61"/>
        <v>8508347.0213698167</v>
      </c>
      <c r="P20" s="134">
        <f t="shared" si="61"/>
        <v>8863995.9268630762</v>
      </c>
      <c r="Q20" s="134">
        <f t="shared" si="61"/>
        <v>9234510.9566059541</v>
      </c>
      <c r="R20" s="134">
        <f t="shared" si="61"/>
        <v>9620513.5145920832</v>
      </c>
      <c r="S20" s="134">
        <f t="shared" si="61"/>
        <v>10022650.979502033</v>
      </c>
      <c r="T20" s="134">
        <f t="shared" si="61"/>
        <v>10441597.790445218</v>
      </c>
      <c r="U20" s="134">
        <f t="shared" si="61"/>
        <v>10878056.578085829</v>
      </c>
      <c r="V20" s="134">
        <f t="shared" si="61"/>
        <v>11332759.343049817</v>
      </c>
      <c r="W20" s="134">
        <f t="shared" si="61"/>
        <v>11806468.6835893</v>
      </c>
      <c r="X20" s="134">
        <f t="shared" si="61"/>
        <v>12299979.074563334</v>
      </c>
      <c r="Y20" s="134">
        <f t="shared" si="61"/>
        <v>12814118.19988008</v>
      </c>
      <c r="Z20" s="134">
        <f t="shared" si="61"/>
        <v>13349748.340635069</v>
      </c>
      <c r="AA20" s="134">
        <f t="shared" si="61"/>
        <v>13907767.821273614</v>
      </c>
      <c r="AE20" s="172" t="s">
        <v>57</v>
      </c>
      <c r="AF20" s="173">
        <f>SUMIF(Assumptions!$E$27:$E$193,AE20,Assumptions!$D$27:$D$193)</f>
        <v>0.9545295970731309</v>
      </c>
      <c r="AG20" s="105">
        <f t="shared" si="70"/>
        <v>0</v>
      </c>
      <c r="AH20" s="105">
        <f t="shared" si="71"/>
        <v>0</v>
      </c>
      <c r="AI20" s="151">
        <f t="shared" si="58"/>
        <v>0</v>
      </c>
      <c r="AJ20" s="151">
        <f t="shared" si="62"/>
        <v>0</v>
      </c>
      <c r="AK20" s="151">
        <f t="shared" si="63"/>
        <v>5898038.3803148754</v>
      </c>
      <c r="AL20" s="151">
        <f t="shared" si="64"/>
        <v>6097392.0775695192</v>
      </c>
      <c r="AM20" s="151">
        <f t="shared" si="65"/>
        <v>6352263.0664119245</v>
      </c>
      <c r="AN20" s="105">
        <f t="shared" si="66"/>
        <v>6617787.6625879444</v>
      </c>
      <c r="AO20" s="105">
        <f t="shared" si="67"/>
        <v>6894411.1868841201</v>
      </c>
      <c r="AP20" s="105">
        <f t="shared" si="68"/>
        <v>7182597.5744958762</v>
      </c>
      <c r="AQ20" s="105">
        <f t="shared" si="59"/>
        <v>7482830.1531098047</v>
      </c>
      <c r="AR20" s="105">
        <f t="shared" si="59"/>
        <v>7795612.4535097955</v>
      </c>
      <c r="AS20" s="105">
        <f t="shared" si="59"/>
        <v>8121469.0540665044</v>
      </c>
      <c r="AT20" s="105">
        <f t="shared" si="59"/>
        <v>8460946.460526485</v>
      </c>
      <c r="AU20" s="105">
        <f t="shared" si="59"/>
        <v>8814614.0225764941</v>
      </c>
      <c r="AV20" s="105">
        <f t="shared" si="59"/>
        <v>9183064.888720192</v>
      </c>
      <c r="AW20" s="105">
        <f t="shared" si="59"/>
        <v>9566917.0010686964</v>
      </c>
      <c r="AX20" s="105">
        <f t="shared" si="59"/>
        <v>9966814.131713368</v>
      </c>
      <c r="AY20" s="105">
        <f t="shared" si="59"/>
        <v>10383426.962418986</v>
      </c>
      <c r="AZ20" s="105">
        <f t="shared" si="59"/>
        <v>10817454.209448101</v>
      </c>
      <c r="BA20" s="105">
        <f t="shared" si="59"/>
        <v>11269623.795403033</v>
      </c>
      <c r="BB20" s="105">
        <f t="shared" si="59"/>
        <v>11740694.07005088</v>
      </c>
      <c r="BC20" s="105">
        <f t="shared" si="59"/>
        <v>12231455.082179006</v>
      </c>
      <c r="BD20" s="105">
        <f t="shared" si="59"/>
        <v>12742729.904614089</v>
      </c>
      <c r="BE20" s="105">
        <f t="shared" si="59"/>
        <v>13275376.014626957</v>
      </c>
    </row>
    <row r="21" spans="1:57" x14ac:dyDescent="0.35">
      <c r="A21" s="13">
        <f>MAX(A$8:A20)+1</f>
        <v>15</v>
      </c>
      <c r="B21" s="28" t="str">
        <f t="shared" si="60"/>
        <v>Division of Technology</v>
      </c>
      <c r="C21" s="106">
        <f t="shared" si="69"/>
        <v>0</v>
      </c>
      <c r="D21" s="106">
        <f t="shared" si="61"/>
        <v>0</v>
      </c>
      <c r="E21" s="106">
        <f t="shared" si="61"/>
        <v>0</v>
      </c>
      <c r="F21" s="106">
        <f t="shared" si="61"/>
        <v>0</v>
      </c>
      <c r="G21" s="106">
        <f t="shared" si="61"/>
        <v>1370000</v>
      </c>
      <c r="H21" s="106">
        <f t="shared" si="61"/>
        <v>1416306</v>
      </c>
      <c r="I21" s="106">
        <f t="shared" si="61"/>
        <v>1475507.5908000001</v>
      </c>
      <c r="J21" s="106">
        <f t="shared" si="61"/>
        <v>1537183.8080954403</v>
      </c>
      <c r="K21" s="106">
        <f t="shared" si="61"/>
        <v>1601438.0912738296</v>
      </c>
      <c r="L21" s="106">
        <f t="shared" si="61"/>
        <v>1668378.2034890756</v>
      </c>
      <c r="M21" s="106">
        <f t="shared" si="61"/>
        <v>1738116.4123949192</v>
      </c>
      <c r="N21" s="106">
        <f t="shared" si="61"/>
        <v>1810769.6784330271</v>
      </c>
      <c r="O21" s="106">
        <f t="shared" si="61"/>
        <v>1886459.8509915278</v>
      </c>
      <c r="P21" s="106">
        <f t="shared" si="61"/>
        <v>1965313.8727629737</v>
      </c>
      <c r="Q21" s="106">
        <f t="shared" si="61"/>
        <v>2047463.992644466</v>
      </c>
      <c r="R21" s="106">
        <f t="shared" si="61"/>
        <v>2133047.987537005</v>
      </c>
      <c r="S21" s="106">
        <f t="shared" si="61"/>
        <v>2222209.3934160522</v>
      </c>
      <c r="T21" s="106">
        <f t="shared" si="61"/>
        <v>2315097.7460608431</v>
      </c>
      <c r="U21" s="106">
        <f t="shared" si="61"/>
        <v>2411868.8318461864</v>
      </c>
      <c r="V21" s="106">
        <f t="shared" si="61"/>
        <v>2512684.9490173571</v>
      </c>
      <c r="W21" s="106">
        <f t="shared" si="61"/>
        <v>2617715.1798862829</v>
      </c>
      <c r="X21" s="106">
        <f t="shared" si="61"/>
        <v>2727135.6744055296</v>
      </c>
      <c r="Y21" s="106">
        <f t="shared" si="61"/>
        <v>2841129.9455956807</v>
      </c>
      <c r="Z21" s="106">
        <f t="shared" si="61"/>
        <v>2959889.1773215802</v>
      </c>
      <c r="AA21" s="106">
        <f t="shared" si="61"/>
        <v>3083612.5449336222</v>
      </c>
      <c r="AE21" s="172" t="s">
        <v>272</v>
      </c>
      <c r="AF21" s="173">
        <f>SUMIF(Assumptions!$E$27:$E$193,AE21,Assumptions!$D$27:$D$193)</f>
        <v>0.75559273464790622</v>
      </c>
      <c r="AG21" s="105">
        <f t="shared" si="70"/>
        <v>0</v>
      </c>
      <c r="AH21" s="105">
        <f t="shared" si="71"/>
        <v>0</v>
      </c>
      <c r="AI21" s="105">
        <f t="shared" si="58"/>
        <v>0</v>
      </c>
      <c r="AJ21" s="105">
        <f t="shared" si="62"/>
        <v>0</v>
      </c>
      <c r="AK21" s="105">
        <f t="shared" si="63"/>
        <v>1035162.0464676315</v>
      </c>
      <c r="AL21" s="105">
        <f t="shared" si="64"/>
        <v>1070150.5236382375</v>
      </c>
      <c r="AM21" s="105">
        <f t="shared" si="65"/>
        <v>1114882.8155263159</v>
      </c>
      <c r="AN21" s="105">
        <f t="shared" si="66"/>
        <v>1161484.9172153161</v>
      </c>
      <c r="AO21" s="105">
        <f t="shared" si="67"/>
        <v>1210034.9867549161</v>
      </c>
      <c r="AP21" s="105">
        <f t="shared" si="68"/>
        <v>1260614.4492012716</v>
      </c>
      <c r="AQ21" s="105">
        <f t="shared" si="59"/>
        <v>1313308.1331778849</v>
      </c>
      <c r="AR21" s="105">
        <f t="shared" si="59"/>
        <v>1368204.4131447207</v>
      </c>
      <c r="AS21" s="105">
        <f t="shared" si="59"/>
        <v>1425395.3576141701</v>
      </c>
      <c r="AT21" s="105">
        <f t="shared" si="59"/>
        <v>1484976.8835624424</v>
      </c>
      <c r="AU21" s="105">
        <f t="shared" si="59"/>
        <v>1547048.9172953526</v>
      </c>
      <c r="AV21" s="105">
        <f t="shared" si="59"/>
        <v>1611715.5620382985</v>
      </c>
      <c r="AW21" s="105">
        <f t="shared" si="59"/>
        <v>1679085.2725314999</v>
      </c>
      <c r="AX21" s="105">
        <f t="shared" si="59"/>
        <v>1749271.0369233163</v>
      </c>
      <c r="AY21" s="105">
        <f t="shared" si="59"/>
        <v>1822390.5662667111</v>
      </c>
      <c r="AZ21" s="105">
        <f t="shared" si="59"/>
        <v>1898566.4919366597</v>
      </c>
      <c r="BA21" s="105">
        <f t="shared" si="59"/>
        <v>1977926.5712996123</v>
      </c>
      <c r="BB21" s="105">
        <f t="shared" si="59"/>
        <v>2060603.9019799361</v>
      </c>
      <c r="BC21" s="105">
        <f t="shared" si="59"/>
        <v>2146737.1450826973</v>
      </c>
      <c r="BD21" s="105">
        <f t="shared" si="59"/>
        <v>2236470.7577471542</v>
      </c>
      <c r="BE21" s="105">
        <f t="shared" si="59"/>
        <v>2329955.2354209851</v>
      </c>
    </row>
    <row r="22" spans="1:57" x14ac:dyDescent="0.35">
      <c r="A22" s="13">
        <f>MAX(A$8:A21)+1</f>
        <v>16</v>
      </c>
      <c r="B22" s="118" t="s">
        <v>58</v>
      </c>
      <c r="C22" s="35">
        <f>SUM(C16:C21)</f>
        <v>0</v>
      </c>
      <c r="D22" s="35">
        <f t="shared" ref="D22:AA22" si="72">SUM(D16:D21)</f>
        <v>0</v>
      </c>
      <c r="E22" s="35">
        <f t="shared" si="72"/>
        <v>0</v>
      </c>
      <c r="F22" s="35">
        <f t="shared" si="72"/>
        <v>0</v>
      </c>
      <c r="G22" s="35">
        <f t="shared" si="72"/>
        <v>11686000</v>
      </c>
      <c r="H22" s="35">
        <f t="shared" si="72"/>
        <v>12080986.800000001</v>
      </c>
      <c r="I22" s="35">
        <f t="shared" si="72"/>
        <v>12585972.04824</v>
      </c>
      <c r="J22" s="35">
        <f t="shared" si="72"/>
        <v>13112065.679856434</v>
      </c>
      <c r="K22" s="35">
        <f t="shared" si="72"/>
        <v>13660150.025274433</v>
      </c>
      <c r="L22" s="35">
        <f t="shared" si="72"/>
        <v>14231144.296330905</v>
      </c>
      <c r="M22" s="35">
        <f t="shared" si="72"/>
        <v>14826006.127917537</v>
      </c>
      <c r="N22" s="35">
        <f t="shared" si="72"/>
        <v>15445733.184064493</v>
      </c>
      <c r="O22" s="35">
        <f t="shared" si="72"/>
        <v>16091364.831158388</v>
      </c>
      <c r="P22" s="35">
        <f t="shared" si="72"/>
        <v>16763983.881100811</v>
      </c>
      <c r="Q22" s="35">
        <f t="shared" si="72"/>
        <v>17464718.407330826</v>
      </c>
      <c r="R22" s="35">
        <f t="shared" si="72"/>
        <v>18194743.636757255</v>
      </c>
      <c r="S22" s="35">
        <f t="shared" si="72"/>
        <v>18955283.920773711</v>
      </c>
      <c r="T22" s="35">
        <f t="shared" si="72"/>
        <v>19747614.788662054</v>
      </c>
      <c r="U22" s="35">
        <f t="shared" si="72"/>
        <v>20573065.086828128</v>
      </c>
      <c r="V22" s="35">
        <f t="shared" si="72"/>
        <v>21433019.207457542</v>
      </c>
      <c r="W22" s="35">
        <f t="shared" si="72"/>
        <v>22328919.410329267</v>
      </c>
      <c r="X22" s="35">
        <f t="shared" si="72"/>
        <v>23262268.241681036</v>
      </c>
      <c r="Y22" s="35">
        <f t="shared" si="72"/>
        <v>24234631.054183304</v>
      </c>
      <c r="Z22" s="35">
        <f t="shared" si="72"/>
        <v>25247638.632248167</v>
      </c>
      <c r="AA22" s="35">
        <f t="shared" si="72"/>
        <v>26302989.927076135</v>
      </c>
      <c r="AF22" s="124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</row>
    <row r="23" spans="1:57" x14ac:dyDescent="0.35">
      <c r="A23" s="15"/>
      <c r="B23" s="32"/>
      <c r="C23" s="21"/>
      <c r="D23" s="21"/>
      <c r="E23" s="21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</row>
    <row r="24" spans="1:57" x14ac:dyDescent="0.35">
      <c r="A24" s="57">
        <f>MAX(A$5:A23)+1</f>
        <v>17</v>
      </c>
      <c r="B24" s="34" t="s">
        <v>31</v>
      </c>
      <c r="C24" s="35">
        <f>+C8+C16</f>
        <v>0</v>
      </c>
      <c r="D24" s="35">
        <f>+D16</f>
        <v>0</v>
      </c>
      <c r="E24" s="35">
        <f>+E22</f>
        <v>0</v>
      </c>
      <c r="F24" s="35">
        <f t="shared" ref="F24:L24" si="73">+F22</f>
        <v>0</v>
      </c>
      <c r="G24" s="35">
        <f t="shared" si="73"/>
        <v>11686000</v>
      </c>
      <c r="H24" s="35">
        <f t="shared" si="73"/>
        <v>12080986.800000001</v>
      </c>
      <c r="I24" s="35">
        <f t="shared" si="73"/>
        <v>12585972.04824</v>
      </c>
      <c r="J24" s="35">
        <f t="shared" si="73"/>
        <v>13112065.679856434</v>
      </c>
      <c r="K24" s="35">
        <f t="shared" si="73"/>
        <v>13660150.025274433</v>
      </c>
      <c r="L24" s="35">
        <f t="shared" si="73"/>
        <v>14231144.296330905</v>
      </c>
      <c r="M24" s="35">
        <f t="shared" ref="M24:AA24" si="74">+M22</f>
        <v>14826006.127917537</v>
      </c>
      <c r="N24" s="35">
        <f t="shared" si="74"/>
        <v>15445733.184064493</v>
      </c>
      <c r="O24" s="35">
        <f t="shared" si="74"/>
        <v>16091364.831158388</v>
      </c>
      <c r="P24" s="35">
        <f t="shared" si="74"/>
        <v>16763983.881100811</v>
      </c>
      <c r="Q24" s="35">
        <f t="shared" si="74"/>
        <v>17464718.407330826</v>
      </c>
      <c r="R24" s="35">
        <f t="shared" si="74"/>
        <v>18194743.636757255</v>
      </c>
      <c r="S24" s="35">
        <f t="shared" si="74"/>
        <v>18955283.920773711</v>
      </c>
      <c r="T24" s="35">
        <f t="shared" si="74"/>
        <v>19747614.788662054</v>
      </c>
      <c r="U24" s="35">
        <f t="shared" si="74"/>
        <v>20573065.086828128</v>
      </c>
      <c r="V24" s="35">
        <f t="shared" si="74"/>
        <v>21433019.207457542</v>
      </c>
      <c r="W24" s="35">
        <f t="shared" si="74"/>
        <v>22328919.410329267</v>
      </c>
      <c r="X24" s="35">
        <f t="shared" si="74"/>
        <v>23262268.241681036</v>
      </c>
      <c r="Y24" s="35">
        <f t="shared" si="74"/>
        <v>24234631.054183304</v>
      </c>
      <c r="Z24" s="35">
        <f t="shared" si="74"/>
        <v>25247638.632248167</v>
      </c>
      <c r="AA24" s="35">
        <f t="shared" si="74"/>
        <v>26302989.927076135</v>
      </c>
      <c r="AG24" s="35">
        <f>SUM(AG16:AG18)</f>
        <v>0</v>
      </c>
      <c r="AH24" s="35">
        <f t="shared" ref="AH24" si="75">SUM(AH16:AH18)</f>
        <v>0</v>
      </c>
      <c r="AI24" s="35">
        <f>SUM(AI16:AI21)</f>
        <v>0</v>
      </c>
      <c r="AJ24" s="35">
        <f t="shared" ref="AJ24:BE24" si="76">SUM(AJ16:AJ21)</f>
        <v>0</v>
      </c>
      <c r="AK24" s="35">
        <f t="shared" si="76"/>
        <v>10606762.567503065</v>
      </c>
      <c r="AL24" s="35">
        <f t="shared" si="76"/>
        <v>10965271.142284669</v>
      </c>
      <c r="AM24" s="35">
        <f t="shared" si="76"/>
        <v>11423619.47603217</v>
      </c>
      <c r="AN24" s="35">
        <f t="shared" si="76"/>
        <v>11901126.770130316</v>
      </c>
      <c r="AO24" s="35">
        <f t="shared" si="76"/>
        <v>12398593.869121762</v>
      </c>
      <c r="AP24" s="35">
        <f t="shared" si="76"/>
        <v>12916855.09285105</v>
      </c>
      <c r="AQ24" s="35">
        <f t="shared" si="76"/>
        <v>13456779.635732226</v>
      </c>
      <c r="AR24" s="35">
        <f t="shared" si="76"/>
        <v>14019273.024505835</v>
      </c>
      <c r="AS24" s="35">
        <f t="shared" si="76"/>
        <v>14605278.636930179</v>
      </c>
      <c r="AT24" s="35">
        <f t="shared" si="76"/>
        <v>15215779.28395386</v>
      </c>
      <c r="AU24" s="35">
        <f t="shared" si="76"/>
        <v>15851798.858023137</v>
      </c>
      <c r="AV24" s="35">
        <f t="shared" si="76"/>
        <v>16514404.050288502</v>
      </c>
      <c r="AW24" s="35">
        <f t="shared" si="76"/>
        <v>17204706.139590565</v>
      </c>
      <c r="AX24" s="35">
        <f t="shared" si="76"/>
        <v>17923862.85622545</v>
      </c>
      <c r="AY24" s="35">
        <f t="shared" si="76"/>
        <v>18673080.323615674</v>
      </c>
      <c r="AZ24" s="35">
        <f t="shared" si="76"/>
        <v>19453615.081142813</v>
      </c>
      <c r="BA24" s="35">
        <f t="shared" si="76"/>
        <v>20266776.191534583</v>
      </c>
      <c r="BB24" s="35">
        <f t="shared" si="76"/>
        <v>21113927.436340727</v>
      </c>
      <c r="BC24" s="35">
        <f t="shared" si="76"/>
        <v>21996489.603179768</v>
      </c>
      <c r="BD24" s="35">
        <f t="shared" si="76"/>
        <v>22915942.868592687</v>
      </c>
      <c r="BE24" s="35">
        <f t="shared" si="76"/>
        <v>23873829.280499861</v>
      </c>
    </row>
    <row r="25" spans="1:57" x14ac:dyDescent="0.35">
      <c r="A25" s="15"/>
      <c r="B25" s="32"/>
      <c r="C25" s="21"/>
      <c r="D25" s="21"/>
      <c r="E25" s="21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G25" s="21"/>
      <c r="AH25" s="21"/>
      <c r="AI25" s="21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</row>
    <row r="26" spans="1:57" s="4" customFormat="1" x14ac:dyDescent="0.35">
      <c r="A26" s="13">
        <f>MAX(A$5:A25)+1</f>
        <v>18</v>
      </c>
      <c r="B26" s="29" t="s">
        <v>59</v>
      </c>
      <c r="C26" s="33">
        <f>+C24</f>
        <v>0</v>
      </c>
      <c r="D26" s="33">
        <f t="shared" ref="D26:H26" si="77">+D24</f>
        <v>0</v>
      </c>
      <c r="E26" s="33">
        <f t="shared" si="77"/>
        <v>0</v>
      </c>
      <c r="F26" s="33">
        <f t="shared" si="77"/>
        <v>0</v>
      </c>
      <c r="G26" s="33">
        <f t="shared" si="77"/>
        <v>11686000</v>
      </c>
      <c r="H26" s="33">
        <f t="shared" si="77"/>
        <v>12080986.800000001</v>
      </c>
      <c r="I26" s="33">
        <f t="shared" ref="I26:L26" si="78">+I24</f>
        <v>12585972.04824</v>
      </c>
      <c r="J26" s="33">
        <f t="shared" si="78"/>
        <v>13112065.679856434</v>
      </c>
      <c r="K26" s="33">
        <f t="shared" si="78"/>
        <v>13660150.025274433</v>
      </c>
      <c r="L26" s="33">
        <f t="shared" si="78"/>
        <v>14231144.296330905</v>
      </c>
      <c r="M26" s="33">
        <f t="shared" ref="M26:AA26" si="79">+M24</f>
        <v>14826006.127917537</v>
      </c>
      <c r="N26" s="33">
        <f t="shared" si="79"/>
        <v>15445733.184064493</v>
      </c>
      <c r="O26" s="33">
        <f t="shared" si="79"/>
        <v>16091364.831158388</v>
      </c>
      <c r="P26" s="33">
        <f t="shared" si="79"/>
        <v>16763983.881100811</v>
      </c>
      <c r="Q26" s="33">
        <f t="shared" si="79"/>
        <v>17464718.407330826</v>
      </c>
      <c r="R26" s="33">
        <f t="shared" si="79"/>
        <v>18194743.636757255</v>
      </c>
      <c r="S26" s="33">
        <f t="shared" si="79"/>
        <v>18955283.920773711</v>
      </c>
      <c r="T26" s="33">
        <f t="shared" si="79"/>
        <v>19747614.788662054</v>
      </c>
      <c r="U26" s="33">
        <f t="shared" si="79"/>
        <v>20573065.086828128</v>
      </c>
      <c r="V26" s="33">
        <f t="shared" si="79"/>
        <v>21433019.207457542</v>
      </c>
      <c r="W26" s="33">
        <f t="shared" si="79"/>
        <v>22328919.410329267</v>
      </c>
      <c r="X26" s="33">
        <f t="shared" si="79"/>
        <v>23262268.241681036</v>
      </c>
      <c r="Y26" s="33">
        <f t="shared" si="79"/>
        <v>24234631.054183304</v>
      </c>
      <c r="Z26" s="33">
        <f t="shared" si="79"/>
        <v>25247638.632248167</v>
      </c>
      <c r="AA26" s="33">
        <f t="shared" si="79"/>
        <v>26302989.927076135</v>
      </c>
      <c r="AF26"/>
      <c r="AG26" s="33">
        <f>+AG24</f>
        <v>0</v>
      </c>
      <c r="AH26" s="33">
        <f t="shared" ref="AH26:AL26" si="80">+AH24</f>
        <v>0</v>
      </c>
      <c r="AI26" s="33">
        <f t="shared" si="80"/>
        <v>0</v>
      </c>
      <c r="AJ26" s="33">
        <f t="shared" si="80"/>
        <v>0</v>
      </c>
      <c r="AK26" s="33">
        <f t="shared" si="80"/>
        <v>10606762.567503065</v>
      </c>
      <c r="AL26" s="33">
        <f t="shared" si="80"/>
        <v>10965271.142284669</v>
      </c>
      <c r="AM26" s="33">
        <f t="shared" ref="AM26:AP26" si="81">+AM24</f>
        <v>11423619.47603217</v>
      </c>
      <c r="AN26" s="33">
        <f t="shared" si="81"/>
        <v>11901126.770130316</v>
      </c>
      <c r="AO26" s="33">
        <f t="shared" si="81"/>
        <v>12398593.869121762</v>
      </c>
      <c r="AP26" s="33">
        <f t="shared" si="81"/>
        <v>12916855.09285105</v>
      </c>
      <c r="AQ26" s="33">
        <f t="shared" ref="AQ26:BE26" si="82">+AQ24</f>
        <v>13456779.635732226</v>
      </c>
      <c r="AR26" s="33">
        <f t="shared" si="82"/>
        <v>14019273.024505835</v>
      </c>
      <c r="AS26" s="33">
        <f t="shared" si="82"/>
        <v>14605278.636930179</v>
      </c>
      <c r="AT26" s="33">
        <f t="shared" si="82"/>
        <v>15215779.28395386</v>
      </c>
      <c r="AU26" s="33">
        <f t="shared" si="82"/>
        <v>15851798.858023137</v>
      </c>
      <c r="AV26" s="33">
        <f t="shared" si="82"/>
        <v>16514404.050288502</v>
      </c>
      <c r="AW26" s="33">
        <f t="shared" si="82"/>
        <v>17204706.139590565</v>
      </c>
      <c r="AX26" s="33">
        <f t="shared" si="82"/>
        <v>17923862.85622545</v>
      </c>
      <c r="AY26" s="33">
        <f t="shared" si="82"/>
        <v>18673080.323615674</v>
      </c>
      <c r="AZ26" s="33">
        <f t="shared" si="82"/>
        <v>19453615.081142813</v>
      </c>
      <c r="BA26" s="33">
        <f t="shared" si="82"/>
        <v>20266776.191534583</v>
      </c>
      <c r="BB26" s="33">
        <f t="shared" si="82"/>
        <v>21113927.436340727</v>
      </c>
      <c r="BC26" s="33">
        <f t="shared" si="82"/>
        <v>21996489.603179768</v>
      </c>
      <c r="BD26" s="33">
        <f t="shared" si="82"/>
        <v>22915942.868592687</v>
      </c>
      <c r="BE26" s="33">
        <f t="shared" si="82"/>
        <v>23873829.280499861</v>
      </c>
    </row>
    <row r="27" spans="1:57" ht="15.5" x14ac:dyDescent="0.35">
      <c r="A27" s="10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M27" s="4"/>
      <c r="AN27" s="4"/>
    </row>
    <row r="28" spans="1:57" x14ac:dyDescent="0.35">
      <c r="AM28" s="4"/>
      <c r="AN28" s="4"/>
    </row>
    <row r="29" spans="1:57" x14ac:dyDescent="0.35">
      <c r="A29" t="s">
        <v>60</v>
      </c>
      <c r="B29" t="s">
        <v>61</v>
      </c>
      <c r="AM29" s="4"/>
      <c r="AN29" s="4"/>
    </row>
    <row r="30" spans="1:57" x14ac:dyDescent="0.35">
      <c r="F30" s="1"/>
      <c r="AM30" s="4"/>
      <c r="AN30" s="4"/>
    </row>
    <row r="31" spans="1:57" x14ac:dyDescent="0.35">
      <c r="F31" s="1"/>
      <c r="AM31" s="4"/>
      <c r="AN31" s="4"/>
    </row>
    <row r="32" spans="1:57" x14ac:dyDescent="0.35"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M32" s="4"/>
      <c r="AN32" s="4"/>
    </row>
    <row r="33" spans="2:40" x14ac:dyDescent="0.35">
      <c r="AM33" s="4"/>
      <c r="AN33" s="4"/>
    </row>
    <row r="34" spans="2:40" x14ac:dyDescent="0.35">
      <c r="AM34" s="4"/>
      <c r="AN34" s="4"/>
    </row>
    <row r="35" spans="2:40" x14ac:dyDescent="0.35">
      <c r="AM35" s="4"/>
      <c r="AN35" s="4"/>
    </row>
    <row r="39" spans="2:40" x14ac:dyDescent="0.35">
      <c r="B39" t="s">
        <v>282</v>
      </c>
    </row>
    <row r="40" spans="2:40" x14ac:dyDescent="0.35">
      <c r="B40" t="s">
        <v>283</v>
      </c>
      <c r="C40">
        <v>2987000</v>
      </c>
      <c r="D40" s="185">
        <f>+C40/C$44</f>
        <v>0.72202078801063574</v>
      </c>
      <c r="E40" s="186">
        <f>ROUND(D40,3)</f>
        <v>0.72199999999999998</v>
      </c>
    </row>
    <row r="41" spans="2:40" x14ac:dyDescent="0.35">
      <c r="B41" t="s">
        <v>284</v>
      </c>
      <c r="C41">
        <f>1150000-600000</f>
        <v>550000</v>
      </c>
      <c r="D41" s="185">
        <f>+C41/C$44</f>
        <v>0.13294657964708725</v>
      </c>
      <c r="E41" s="186">
        <f>ROUND(D41,3)</f>
        <v>0.13300000000000001</v>
      </c>
    </row>
    <row r="42" spans="2:40" x14ac:dyDescent="0.35">
      <c r="B42" t="s">
        <v>285</v>
      </c>
      <c r="C42">
        <v>600000</v>
      </c>
      <c r="D42" s="185">
        <f>+C42/C$44</f>
        <v>0.14503263234227701</v>
      </c>
      <c r="E42" s="186">
        <f>ROUND(D42,3)</f>
        <v>0.14499999999999999</v>
      </c>
    </row>
    <row r="44" spans="2:40" x14ac:dyDescent="0.35">
      <c r="C44">
        <f>SUM(C40:C43)</f>
        <v>4137000</v>
      </c>
      <c r="D44" s="185">
        <f>SUM(D40:D43)</f>
        <v>1</v>
      </c>
      <c r="E44" s="185">
        <f>SUM(E40:E43)</f>
        <v>1</v>
      </c>
    </row>
    <row r="76" spans="1:27" x14ac:dyDescent="0.35">
      <c r="A76" t="s">
        <v>41</v>
      </c>
    </row>
    <row r="77" spans="1:27" x14ac:dyDescent="0.35">
      <c r="C77" s="5">
        <f>+C5</f>
        <v>0</v>
      </c>
      <c r="D77" s="5">
        <f t="shared" ref="D77:AA77" si="83">+D5</f>
        <v>0</v>
      </c>
      <c r="E77" s="5">
        <f t="shared" si="83"/>
        <v>0</v>
      </c>
      <c r="F77" s="5">
        <f t="shared" si="83"/>
        <v>0</v>
      </c>
      <c r="G77" s="5">
        <f t="shared" si="83"/>
        <v>0</v>
      </c>
      <c r="H77" s="5">
        <f t="shared" si="83"/>
        <v>3.3799999999999997E-2</v>
      </c>
      <c r="I77" s="5">
        <f t="shared" si="83"/>
        <v>4.1799999999999997E-2</v>
      </c>
      <c r="J77" s="5">
        <f t="shared" si="83"/>
        <v>4.1799999999999997E-2</v>
      </c>
      <c r="K77" s="5">
        <f t="shared" si="83"/>
        <v>4.1799999999999997E-2</v>
      </c>
      <c r="L77" s="5">
        <f t="shared" si="83"/>
        <v>4.1799999999999997E-2</v>
      </c>
      <c r="M77" s="5">
        <f t="shared" si="83"/>
        <v>4.1799999999999997E-2</v>
      </c>
      <c r="N77" s="5">
        <f t="shared" si="83"/>
        <v>4.1799999999999997E-2</v>
      </c>
      <c r="O77" s="5">
        <f t="shared" si="83"/>
        <v>4.1799999999999997E-2</v>
      </c>
      <c r="P77" s="5">
        <f t="shared" si="83"/>
        <v>4.1799999999999997E-2</v>
      </c>
      <c r="Q77" s="5">
        <f t="shared" si="83"/>
        <v>4.1799999999999997E-2</v>
      </c>
      <c r="R77" s="5">
        <f t="shared" si="83"/>
        <v>4.1799999999999997E-2</v>
      </c>
      <c r="S77" s="5">
        <f t="shared" si="83"/>
        <v>4.1799999999999997E-2</v>
      </c>
      <c r="T77" s="5">
        <f t="shared" si="83"/>
        <v>4.1799999999999997E-2</v>
      </c>
      <c r="U77" s="5">
        <f t="shared" si="83"/>
        <v>4.1799999999999997E-2</v>
      </c>
      <c r="V77" s="5">
        <f t="shared" si="83"/>
        <v>4.1799999999999997E-2</v>
      </c>
      <c r="W77" s="5">
        <f t="shared" si="83"/>
        <v>4.1799999999999997E-2</v>
      </c>
      <c r="X77" s="5">
        <f t="shared" si="83"/>
        <v>4.1799999999999997E-2</v>
      </c>
      <c r="Y77" s="5">
        <f t="shared" si="83"/>
        <v>4.1799999999999997E-2</v>
      </c>
      <c r="Z77" s="5">
        <f t="shared" si="83"/>
        <v>4.1799999999999997E-2</v>
      </c>
      <c r="AA77" s="5">
        <f t="shared" si="83"/>
        <v>4.1799999999999997E-2</v>
      </c>
    </row>
    <row r="78" spans="1:27" x14ac:dyDescent="0.35">
      <c r="C78" s="73">
        <f>+C77</f>
        <v>0</v>
      </c>
      <c r="D78" s="73">
        <f t="shared" ref="D78:AA78" si="84">+((1+C78)*(1+D77))-1</f>
        <v>0</v>
      </c>
      <c r="E78" s="73">
        <f t="shared" si="84"/>
        <v>0</v>
      </c>
      <c r="F78" s="73">
        <f t="shared" si="84"/>
        <v>0</v>
      </c>
      <c r="G78" s="73">
        <f t="shared" si="84"/>
        <v>0</v>
      </c>
      <c r="H78" s="73">
        <f t="shared" si="84"/>
        <v>3.3800000000000052E-2</v>
      </c>
      <c r="I78" s="73">
        <f t="shared" si="84"/>
        <v>7.7012840000000082E-2</v>
      </c>
      <c r="J78" s="73">
        <f t="shared" si="84"/>
        <v>0.12203197671200017</v>
      </c>
      <c r="K78" s="73">
        <f t="shared" si="84"/>
        <v>0.16893291333856175</v>
      </c>
      <c r="L78" s="73">
        <f t="shared" si="84"/>
        <v>0.21779430911611364</v>
      </c>
      <c r="M78" s="73">
        <f t="shared" si="84"/>
        <v>0.26869811123716736</v>
      </c>
      <c r="N78" s="73">
        <f t="shared" si="84"/>
        <v>0.32172969228688109</v>
      </c>
      <c r="O78" s="73">
        <f t="shared" si="84"/>
        <v>0.3769779934244728</v>
      </c>
      <c r="P78" s="73">
        <f t="shared" si="84"/>
        <v>0.43453567354961575</v>
      </c>
      <c r="Q78" s="73">
        <f t="shared" si="84"/>
        <v>0.49449926470398986</v>
      </c>
      <c r="R78" s="73">
        <f t="shared" si="84"/>
        <v>0.55696933396861681</v>
      </c>
      <c r="S78" s="73">
        <f t="shared" si="84"/>
        <v>0.62205065212850519</v>
      </c>
      <c r="T78" s="73">
        <f t="shared" si="84"/>
        <v>0.68985236938747674</v>
      </c>
      <c r="U78" s="73">
        <f t="shared" si="84"/>
        <v>0.7604881984278733</v>
      </c>
      <c r="V78" s="73">
        <f t="shared" si="84"/>
        <v>0.83407660512215842</v>
      </c>
      <c r="W78" s="73">
        <f t="shared" si="84"/>
        <v>0.91074100721626472</v>
      </c>
      <c r="X78" s="73">
        <f t="shared" si="84"/>
        <v>0.99060998131790479</v>
      </c>
      <c r="Y78" s="73">
        <f t="shared" si="84"/>
        <v>1.0738174785369932</v>
      </c>
      <c r="Z78" s="73">
        <f t="shared" si="84"/>
        <v>1.1605030491398396</v>
      </c>
      <c r="AA78" s="73">
        <f t="shared" si="84"/>
        <v>1.2508120765938848</v>
      </c>
    </row>
    <row r="80" spans="1:27" x14ac:dyDescent="0.35">
      <c r="A80" t="s">
        <v>42</v>
      </c>
      <c r="D80" s="144">
        <f>+D78-D6</f>
        <v>0</v>
      </c>
      <c r="E80" s="144">
        <f t="shared" ref="E80:AA80" si="85">+E78-E6</f>
        <v>0</v>
      </c>
      <c r="F80" s="144">
        <f t="shared" si="85"/>
        <v>0</v>
      </c>
      <c r="G80" s="144">
        <f t="shared" si="85"/>
        <v>0</v>
      </c>
      <c r="H80" s="144">
        <f t="shared" si="85"/>
        <v>0</v>
      </c>
      <c r="I80" s="144">
        <f t="shared" si="85"/>
        <v>0</v>
      </c>
      <c r="J80" s="144">
        <f t="shared" si="85"/>
        <v>0</v>
      </c>
      <c r="K80" s="144">
        <f t="shared" si="85"/>
        <v>0</v>
      </c>
      <c r="L80" s="144">
        <f t="shared" si="85"/>
        <v>0</v>
      </c>
      <c r="M80" s="144">
        <f t="shared" si="85"/>
        <v>0</v>
      </c>
      <c r="N80" s="144">
        <f t="shared" si="85"/>
        <v>0</v>
      </c>
      <c r="O80" s="144">
        <f t="shared" si="85"/>
        <v>0</v>
      </c>
      <c r="P80" s="144">
        <f t="shared" si="85"/>
        <v>0</v>
      </c>
      <c r="Q80" s="144">
        <f t="shared" si="85"/>
        <v>0</v>
      </c>
      <c r="R80" s="144">
        <f t="shared" si="85"/>
        <v>0</v>
      </c>
      <c r="S80" s="144">
        <f t="shared" si="85"/>
        <v>0</v>
      </c>
      <c r="T80" s="144">
        <f t="shared" si="85"/>
        <v>0</v>
      </c>
      <c r="U80" s="144">
        <f t="shared" si="85"/>
        <v>0</v>
      </c>
      <c r="V80" s="144">
        <f t="shared" si="85"/>
        <v>0</v>
      </c>
      <c r="W80" s="144">
        <f t="shared" si="85"/>
        <v>0</v>
      </c>
      <c r="X80" s="144">
        <f t="shared" si="85"/>
        <v>0</v>
      </c>
      <c r="Y80" s="144">
        <f t="shared" si="85"/>
        <v>0</v>
      </c>
      <c r="Z80" s="144">
        <f t="shared" si="85"/>
        <v>0</v>
      </c>
      <c r="AA80" s="144">
        <f t="shared" si="85"/>
        <v>0</v>
      </c>
    </row>
    <row r="81" spans="4:27" x14ac:dyDescent="0.35"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</row>
    <row r="108" spans="1:57" x14ac:dyDescent="0.35">
      <c r="A108" s="85">
        <f>MAX(A$6:A107)+1</f>
        <v>19</v>
      </c>
      <c r="B108" s="72" t="s">
        <v>265</v>
      </c>
      <c r="C108" s="88">
        <f>SUM(C16:C20)</f>
        <v>0</v>
      </c>
      <c r="D108" s="88">
        <f t="shared" ref="D108:AA108" si="86">SUM(D16:D20)</f>
        <v>0</v>
      </c>
      <c r="E108" s="88">
        <f t="shared" si="86"/>
        <v>0</v>
      </c>
      <c r="F108" s="88">
        <f t="shared" si="86"/>
        <v>0</v>
      </c>
      <c r="G108" s="88">
        <f t="shared" si="86"/>
        <v>10316000</v>
      </c>
      <c r="H108" s="88">
        <f t="shared" si="86"/>
        <v>10664680.800000001</v>
      </c>
      <c r="I108" s="88">
        <f t="shared" si="86"/>
        <v>11110464.45744</v>
      </c>
      <c r="J108" s="88">
        <f t="shared" si="86"/>
        <v>11574881.871760994</v>
      </c>
      <c r="K108" s="88">
        <f t="shared" si="86"/>
        <v>12058711.934000604</v>
      </c>
      <c r="L108" s="88">
        <f t="shared" si="86"/>
        <v>12562766.092841828</v>
      </c>
      <c r="M108" s="88">
        <f t="shared" si="86"/>
        <v>13087889.715522619</v>
      </c>
      <c r="N108" s="88">
        <f t="shared" si="86"/>
        <v>13634963.505631465</v>
      </c>
      <c r="O108" s="88">
        <f t="shared" si="86"/>
        <v>14204904.98016686</v>
      </c>
      <c r="P108" s="88">
        <f t="shared" si="86"/>
        <v>14798670.008337837</v>
      </c>
      <c r="Q108" s="88">
        <f t="shared" si="86"/>
        <v>15417254.414686359</v>
      </c>
      <c r="R108" s="88">
        <f t="shared" si="86"/>
        <v>16061695.649220251</v>
      </c>
      <c r="S108" s="88">
        <f t="shared" si="86"/>
        <v>16733074.52735766</v>
      </c>
      <c r="T108" s="88">
        <f t="shared" si="86"/>
        <v>17432517.042601209</v>
      </c>
      <c r="U108" s="88">
        <f t="shared" si="86"/>
        <v>18161196.254981942</v>
      </c>
      <c r="V108" s="88">
        <f t="shared" si="86"/>
        <v>18920334.258440185</v>
      </c>
      <c r="W108" s="88">
        <f t="shared" si="86"/>
        <v>19711204.230442986</v>
      </c>
      <c r="X108" s="88">
        <f t="shared" si="86"/>
        <v>20535132.567275506</v>
      </c>
      <c r="Y108" s="88">
        <f t="shared" si="86"/>
        <v>21393501.108587623</v>
      </c>
      <c r="Z108" s="88">
        <f t="shared" si="86"/>
        <v>22287749.454926588</v>
      </c>
      <c r="AA108" s="88">
        <f t="shared" si="86"/>
        <v>23219377.382142514</v>
      </c>
      <c r="AE108" s="154" t="str">
        <f>B108</f>
        <v xml:space="preserve">PWD (Dept 28) Subtotal </v>
      </c>
      <c r="AF108" s="183"/>
      <c r="AG108" s="88">
        <f t="shared" ref="AG108:BE108" si="87">SUM(AG16:AG20)</f>
        <v>0</v>
      </c>
      <c r="AH108" s="88">
        <f t="shared" si="87"/>
        <v>0</v>
      </c>
      <c r="AI108" s="88">
        <f t="shared" si="87"/>
        <v>0</v>
      </c>
      <c r="AJ108" s="88">
        <f t="shared" si="87"/>
        <v>0</v>
      </c>
      <c r="AK108" s="88">
        <f t="shared" si="87"/>
        <v>9571600.5210354328</v>
      </c>
      <c r="AL108" s="88">
        <f t="shared" si="87"/>
        <v>9895120.6186464317</v>
      </c>
      <c r="AM108" s="88">
        <f t="shared" si="87"/>
        <v>10308736.660505854</v>
      </c>
      <c r="AN108" s="88">
        <f t="shared" si="87"/>
        <v>10739641.852915</v>
      </c>
      <c r="AO108" s="88">
        <f t="shared" si="87"/>
        <v>11188558.882366845</v>
      </c>
      <c r="AP108" s="88">
        <f t="shared" si="87"/>
        <v>11656240.643649779</v>
      </c>
      <c r="AQ108" s="88">
        <f t="shared" si="87"/>
        <v>12143471.502554342</v>
      </c>
      <c r="AR108" s="88">
        <f t="shared" si="87"/>
        <v>12651068.611361114</v>
      </c>
      <c r="AS108" s="88">
        <f t="shared" si="87"/>
        <v>13179883.279316008</v>
      </c>
      <c r="AT108" s="88">
        <f t="shared" si="87"/>
        <v>13730802.400391418</v>
      </c>
      <c r="AU108" s="88">
        <f t="shared" si="87"/>
        <v>14304749.940727783</v>
      </c>
      <c r="AV108" s="88">
        <f t="shared" si="87"/>
        <v>14902688.488250203</v>
      </c>
      <c r="AW108" s="88">
        <f t="shared" si="87"/>
        <v>15525620.867059065</v>
      </c>
      <c r="AX108" s="88">
        <f t="shared" si="87"/>
        <v>16174591.819302134</v>
      </c>
      <c r="AY108" s="88">
        <f t="shared" si="87"/>
        <v>16850689.757348962</v>
      </c>
      <c r="AZ108" s="88">
        <f t="shared" si="87"/>
        <v>17555048.589206152</v>
      </c>
      <c r="BA108" s="88">
        <f t="shared" si="87"/>
        <v>18288849.62023497</v>
      </c>
      <c r="BB108" s="88">
        <f t="shared" si="87"/>
        <v>19053323.534360792</v>
      </c>
      <c r="BC108" s="88">
        <f t="shared" si="87"/>
        <v>19849752.45809707</v>
      </c>
      <c r="BD108" s="88">
        <f t="shared" si="87"/>
        <v>20679472.110845532</v>
      </c>
      <c r="BE108" s="88">
        <f t="shared" si="87"/>
        <v>21543874.045078874</v>
      </c>
    </row>
    <row r="109" spans="1:57" x14ac:dyDescent="0.35">
      <c r="A109" s="86"/>
      <c r="B109" s="65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81"/>
      <c r="AU109" s="81"/>
      <c r="AV109" s="81"/>
      <c r="AW109" s="81"/>
      <c r="AX109" s="81"/>
      <c r="AY109" s="81"/>
      <c r="AZ109" s="81"/>
      <c r="BA109" s="81"/>
      <c r="BB109" s="81"/>
      <c r="BC109" s="81"/>
      <c r="BD109" s="81"/>
      <c r="BE109" s="81"/>
    </row>
    <row r="110" spans="1:57" x14ac:dyDescent="0.35">
      <c r="A110" s="85">
        <f>MAX(A$6:A109)+1</f>
        <v>20</v>
      </c>
      <c r="B110" s="72" t="s">
        <v>266</v>
      </c>
      <c r="C110" s="88">
        <f>+C21</f>
        <v>0</v>
      </c>
      <c r="D110" s="88">
        <f t="shared" ref="D110:AA110" si="88">+D21</f>
        <v>0</v>
      </c>
      <c r="E110" s="88">
        <f t="shared" si="88"/>
        <v>0</v>
      </c>
      <c r="F110" s="88">
        <f t="shared" si="88"/>
        <v>0</v>
      </c>
      <c r="G110" s="88">
        <f t="shared" si="88"/>
        <v>1370000</v>
      </c>
      <c r="H110" s="88">
        <f t="shared" si="88"/>
        <v>1416306</v>
      </c>
      <c r="I110" s="88">
        <f t="shared" si="88"/>
        <v>1475507.5908000001</v>
      </c>
      <c r="J110" s="88">
        <f t="shared" si="88"/>
        <v>1537183.8080954403</v>
      </c>
      <c r="K110" s="88">
        <f t="shared" si="88"/>
        <v>1601438.0912738296</v>
      </c>
      <c r="L110" s="88">
        <f t="shared" si="88"/>
        <v>1668378.2034890756</v>
      </c>
      <c r="M110" s="88">
        <f t="shared" si="88"/>
        <v>1738116.4123949192</v>
      </c>
      <c r="N110" s="88">
        <f t="shared" si="88"/>
        <v>1810769.6784330271</v>
      </c>
      <c r="O110" s="88">
        <f t="shared" si="88"/>
        <v>1886459.8509915278</v>
      </c>
      <c r="P110" s="88">
        <f t="shared" si="88"/>
        <v>1965313.8727629737</v>
      </c>
      <c r="Q110" s="88">
        <f t="shared" si="88"/>
        <v>2047463.992644466</v>
      </c>
      <c r="R110" s="88">
        <f t="shared" si="88"/>
        <v>2133047.987537005</v>
      </c>
      <c r="S110" s="88">
        <f t="shared" si="88"/>
        <v>2222209.3934160522</v>
      </c>
      <c r="T110" s="88">
        <f t="shared" si="88"/>
        <v>2315097.7460608431</v>
      </c>
      <c r="U110" s="88">
        <f t="shared" si="88"/>
        <v>2411868.8318461864</v>
      </c>
      <c r="V110" s="88">
        <f t="shared" si="88"/>
        <v>2512684.9490173571</v>
      </c>
      <c r="W110" s="88">
        <f t="shared" si="88"/>
        <v>2617715.1798862829</v>
      </c>
      <c r="X110" s="88">
        <f t="shared" si="88"/>
        <v>2727135.6744055296</v>
      </c>
      <c r="Y110" s="88">
        <f t="shared" si="88"/>
        <v>2841129.9455956807</v>
      </c>
      <c r="Z110" s="88">
        <f t="shared" si="88"/>
        <v>2959889.1773215802</v>
      </c>
      <c r="AA110" s="88">
        <f t="shared" si="88"/>
        <v>3083612.5449336222</v>
      </c>
      <c r="AE110" s="154" t="str">
        <f>B110</f>
        <v>OD Subtotal</v>
      </c>
      <c r="AF110" s="183"/>
      <c r="AG110" s="88">
        <f t="shared" ref="AG110:BE110" si="89">+AG21</f>
        <v>0</v>
      </c>
      <c r="AH110" s="88">
        <f t="shared" si="89"/>
        <v>0</v>
      </c>
      <c r="AI110" s="88">
        <f t="shared" si="89"/>
        <v>0</v>
      </c>
      <c r="AJ110" s="88">
        <f t="shared" si="89"/>
        <v>0</v>
      </c>
      <c r="AK110" s="88">
        <f t="shared" si="89"/>
        <v>1035162.0464676315</v>
      </c>
      <c r="AL110" s="88">
        <f t="shared" si="89"/>
        <v>1070150.5236382375</v>
      </c>
      <c r="AM110" s="88">
        <f t="shared" si="89"/>
        <v>1114882.8155263159</v>
      </c>
      <c r="AN110" s="88">
        <f t="shared" si="89"/>
        <v>1161484.9172153161</v>
      </c>
      <c r="AO110" s="88">
        <f t="shared" si="89"/>
        <v>1210034.9867549161</v>
      </c>
      <c r="AP110" s="88">
        <f t="shared" si="89"/>
        <v>1260614.4492012716</v>
      </c>
      <c r="AQ110" s="88">
        <f t="shared" si="89"/>
        <v>1313308.1331778849</v>
      </c>
      <c r="AR110" s="88">
        <f t="shared" si="89"/>
        <v>1368204.4131447207</v>
      </c>
      <c r="AS110" s="88">
        <f t="shared" si="89"/>
        <v>1425395.3576141701</v>
      </c>
      <c r="AT110" s="88">
        <f t="shared" si="89"/>
        <v>1484976.8835624424</v>
      </c>
      <c r="AU110" s="88">
        <f t="shared" si="89"/>
        <v>1547048.9172953526</v>
      </c>
      <c r="AV110" s="88">
        <f t="shared" si="89"/>
        <v>1611715.5620382985</v>
      </c>
      <c r="AW110" s="88">
        <f t="shared" si="89"/>
        <v>1679085.2725314999</v>
      </c>
      <c r="AX110" s="88">
        <f t="shared" si="89"/>
        <v>1749271.0369233163</v>
      </c>
      <c r="AY110" s="88">
        <f t="shared" si="89"/>
        <v>1822390.5662667111</v>
      </c>
      <c r="AZ110" s="88">
        <f t="shared" si="89"/>
        <v>1898566.4919366597</v>
      </c>
      <c r="BA110" s="88">
        <f t="shared" si="89"/>
        <v>1977926.5712996123</v>
      </c>
      <c r="BB110" s="88">
        <f t="shared" si="89"/>
        <v>2060603.9019799361</v>
      </c>
      <c r="BC110" s="88">
        <f t="shared" si="89"/>
        <v>2146737.1450826973</v>
      </c>
      <c r="BD110" s="88">
        <f t="shared" si="89"/>
        <v>2236470.7577471542</v>
      </c>
      <c r="BE110" s="88">
        <f t="shared" si="89"/>
        <v>2329955.2354209851</v>
      </c>
    </row>
    <row r="111" spans="1:57" x14ac:dyDescent="0.35">
      <c r="A111" s="87"/>
      <c r="C111" s="78"/>
    </row>
    <row r="112" spans="1:57" x14ac:dyDescent="0.35">
      <c r="A112" s="87"/>
      <c r="B112" t="s">
        <v>267</v>
      </c>
      <c r="C112" s="78">
        <f>C26-C108-C110</f>
        <v>0</v>
      </c>
      <c r="D112" s="78">
        <f t="shared" ref="D112:AA112" si="90">D26-D108-D110</f>
        <v>0</v>
      </c>
      <c r="E112" s="78">
        <f t="shared" si="90"/>
        <v>0</v>
      </c>
      <c r="F112" s="78">
        <f t="shared" si="90"/>
        <v>0</v>
      </c>
      <c r="G112" s="78">
        <f t="shared" si="90"/>
        <v>0</v>
      </c>
      <c r="H112" s="78">
        <f t="shared" si="90"/>
        <v>0</v>
      </c>
      <c r="I112" s="78">
        <f t="shared" si="90"/>
        <v>0</v>
      </c>
      <c r="J112" s="78">
        <f t="shared" si="90"/>
        <v>0</v>
      </c>
      <c r="K112" s="78">
        <f t="shared" si="90"/>
        <v>0</v>
      </c>
      <c r="L112" s="78">
        <f t="shared" si="90"/>
        <v>0</v>
      </c>
      <c r="M112" s="78">
        <f t="shared" si="90"/>
        <v>0</v>
      </c>
      <c r="N112" s="78">
        <f t="shared" si="90"/>
        <v>0</v>
      </c>
      <c r="O112" s="78">
        <f t="shared" si="90"/>
        <v>0</v>
      </c>
      <c r="P112" s="78">
        <f t="shared" si="90"/>
        <v>0</v>
      </c>
      <c r="Q112" s="78">
        <f t="shared" si="90"/>
        <v>0</v>
      </c>
      <c r="R112" s="78">
        <f t="shared" si="90"/>
        <v>0</v>
      </c>
      <c r="S112" s="78">
        <f t="shared" si="90"/>
        <v>0</v>
      </c>
      <c r="T112" s="78">
        <f t="shared" si="90"/>
        <v>0</v>
      </c>
      <c r="U112" s="78">
        <f t="shared" si="90"/>
        <v>0</v>
      </c>
      <c r="V112" s="78">
        <f t="shared" si="90"/>
        <v>0</v>
      </c>
      <c r="W112" s="78">
        <f t="shared" si="90"/>
        <v>0</v>
      </c>
      <c r="X112" s="78">
        <f t="shared" si="90"/>
        <v>0</v>
      </c>
      <c r="Y112" s="78">
        <f t="shared" si="90"/>
        <v>0</v>
      </c>
      <c r="Z112" s="78">
        <f t="shared" si="90"/>
        <v>0</v>
      </c>
      <c r="AA112" s="78">
        <f t="shared" si="90"/>
        <v>0</v>
      </c>
      <c r="AE112" t="str">
        <f>B112</f>
        <v xml:space="preserve">Check </v>
      </c>
      <c r="AG112" s="78">
        <f t="shared" ref="AG112:BE112" si="91">AG26-AG108-AG110</f>
        <v>0</v>
      </c>
      <c r="AH112" s="78">
        <f t="shared" si="91"/>
        <v>0</v>
      </c>
      <c r="AI112" s="78">
        <f t="shared" si="91"/>
        <v>0</v>
      </c>
      <c r="AJ112" s="78">
        <f t="shared" si="91"/>
        <v>0</v>
      </c>
      <c r="AK112" s="78">
        <f t="shared" si="91"/>
        <v>0</v>
      </c>
      <c r="AL112" s="78">
        <f t="shared" si="91"/>
        <v>0</v>
      </c>
      <c r="AM112" s="78">
        <f t="shared" si="91"/>
        <v>0</v>
      </c>
      <c r="AN112" s="78">
        <f t="shared" si="91"/>
        <v>0</v>
      </c>
      <c r="AO112" s="78">
        <f t="shared" si="91"/>
        <v>0</v>
      </c>
      <c r="AP112" s="78">
        <f t="shared" si="91"/>
        <v>0</v>
      </c>
      <c r="AQ112" s="78">
        <f t="shared" si="91"/>
        <v>0</v>
      </c>
      <c r="AR112" s="78">
        <f t="shared" si="91"/>
        <v>0</v>
      </c>
      <c r="AS112" s="78">
        <f t="shared" si="91"/>
        <v>0</v>
      </c>
      <c r="AT112" s="78">
        <f t="shared" si="91"/>
        <v>0</v>
      </c>
      <c r="AU112" s="78">
        <f t="shared" si="91"/>
        <v>0</v>
      </c>
      <c r="AV112" s="78">
        <f t="shared" si="91"/>
        <v>0</v>
      </c>
      <c r="AW112" s="78">
        <f t="shared" si="91"/>
        <v>0</v>
      </c>
      <c r="AX112" s="78">
        <f t="shared" si="91"/>
        <v>0</v>
      </c>
      <c r="AY112" s="78">
        <f t="shared" si="91"/>
        <v>0</v>
      </c>
      <c r="AZ112" s="78">
        <f t="shared" si="91"/>
        <v>0</v>
      </c>
      <c r="BA112" s="78">
        <f t="shared" si="91"/>
        <v>0</v>
      </c>
      <c r="BB112" s="78">
        <f t="shared" si="91"/>
        <v>0</v>
      </c>
      <c r="BC112" s="78">
        <f t="shared" si="91"/>
        <v>0</v>
      </c>
      <c r="BD112" s="78">
        <f t="shared" si="91"/>
        <v>0</v>
      </c>
      <c r="BE112" s="78">
        <f t="shared" si="91"/>
        <v>0</v>
      </c>
    </row>
  </sheetData>
  <mergeCells count="1">
    <mergeCell ref="AC1:AE1"/>
  </mergeCells>
  <pageMargins left="0.7" right="0.7" top="0.75" bottom="0.75" header="0.3" footer="0.3"/>
  <pageSetup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C678CE0E-B2C4-43F1-B0D6-A1FB0359EB5E}">
          <x14:formula1>
            <xm:f>Assumptions!$B$6:$B$20</xm:f>
          </x14:formula1>
          <xm:sqref>AC5</xm:sqref>
        </x14:dataValidation>
        <x14:dataValidation type="list" allowBlank="1" showInputMessage="1" showErrorMessage="1" xr:uid="{A5C9B9D5-920E-4873-8B27-404DDAB6AC4B}">
          <x14:formula1>
            <xm:f>Assumptions!$E$27:$E$193</xm:f>
          </x14:formula1>
          <xm:sqref>AE16:AE21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BE11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C9" sqref="AC9:AD9"/>
    </sheetView>
  </sheetViews>
  <sheetFormatPr defaultRowHeight="14.5" x14ac:dyDescent="0.35"/>
  <cols>
    <col min="1" max="1" width="10.54296875" customWidth="1"/>
    <col min="2" max="2" width="30.54296875" customWidth="1"/>
    <col min="3" max="29" width="12.54296875" customWidth="1"/>
    <col min="30" max="30" width="34.54296875" customWidth="1"/>
    <col min="31" max="31" width="45.453125" bestFit="1" customWidth="1"/>
    <col min="32" max="32" width="12.54296875" customWidth="1"/>
    <col min="33" max="33" width="5.81640625" bestFit="1" customWidth="1"/>
    <col min="34" max="38" width="11.7265625" bestFit="1" customWidth="1"/>
    <col min="39" max="42" width="11.7265625" customWidth="1"/>
    <col min="43" max="57" width="12.81640625" customWidth="1"/>
  </cols>
  <sheetData>
    <row r="1" spans="1:57" ht="19" thickTop="1" x14ac:dyDescent="0.45">
      <c r="A1" s="12" t="s">
        <v>62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AF2" t="s">
        <v>2</v>
      </c>
    </row>
    <row r="3" spans="1:57" ht="16.5" thickTop="1" x14ac:dyDescent="0.5">
      <c r="A3" s="22" t="s">
        <v>3</v>
      </c>
      <c r="B3" s="23" t="s">
        <v>63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50">
        <v>1</v>
      </c>
      <c r="B6" s="32" t="s">
        <v>64</v>
      </c>
      <c r="C6" s="5"/>
      <c r="D6" s="5">
        <v>0</v>
      </c>
      <c r="E6" s="5">
        <v>0</v>
      </c>
      <c r="F6" s="5">
        <v>0</v>
      </c>
      <c r="G6" s="5">
        <v>0</v>
      </c>
      <c r="H6" s="112">
        <f>SUMIF(Assumptions!$B$6:$B$20,$AC$6,Assumptions!F$6:F$20)</f>
        <v>2.06E-2</v>
      </c>
      <c r="I6" s="112">
        <f>SUMIF(Assumptions!$B$6:$B$20,$AC$6,Assumptions!G$6:G$20)</f>
        <v>5.6399999999999999E-2</v>
      </c>
      <c r="J6" s="112">
        <f>SUMIF(Assumptions!$B$6:$B$20,$AC$6,Assumptions!H$6:H$20)</f>
        <v>5.6399999999999999E-2</v>
      </c>
      <c r="K6" s="112">
        <f>SUMIF(Assumptions!$B$6:$B$20,$AC$6,Assumptions!I$6:I$20)</f>
        <v>5.6399999999999999E-2</v>
      </c>
      <c r="L6" s="112">
        <f>SUMIF(Assumptions!$B$6:$B$20,$AC$6,Assumptions!J$6:J$20)</f>
        <v>5.6399999999999999E-2</v>
      </c>
      <c r="M6" s="112">
        <f>SUMIF(Assumptions!$B$6:$B$20,$AC$6,Assumptions!K$6:K$20)</f>
        <v>5.6399999999999999E-2</v>
      </c>
      <c r="N6" s="112">
        <f>SUMIF(Assumptions!$B$6:$B$20,$AC$6,Assumptions!L$6:L$20)</f>
        <v>5.6399999999999999E-2</v>
      </c>
      <c r="O6" s="112">
        <f>SUMIF(Assumptions!$B$6:$B$20,$AC$6,Assumptions!M$6:M$20)</f>
        <v>5.6399999999999999E-2</v>
      </c>
      <c r="P6" s="112">
        <f>SUMIF(Assumptions!$B$6:$B$20,$AC$6,Assumptions!N$6:N$20)</f>
        <v>5.6399999999999999E-2</v>
      </c>
      <c r="Q6" s="112">
        <f>SUMIF(Assumptions!$B$6:$B$20,$AC$6,Assumptions!O$6:O$20)</f>
        <v>5.6399999999999999E-2</v>
      </c>
      <c r="R6" s="112">
        <f>SUMIF(Assumptions!$B$6:$B$20,$AC$6,Assumptions!P$6:P$20)</f>
        <v>5.6399999999999999E-2</v>
      </c>
      <c r="S6" s="112">
        <f>SUMIF(Assumptions!$B$6:$B$20,$AC$6,Assumptions!Q$6:Q$20)</f>
        <v>5.6399999999999999E-2</v>
      </c>
      <c r="T6" s="112">
        <f>SUMIF(Assumptions!$B$6:$B$20,$AC$6,Assumptions!R$6:R$20)</f>
        <v>5.6399999999999999E-2</v>
      </c>
      <c r="U6" s="112">
        <f>SUMIF(Assumptions!$B$6:$B$20,$AC$6,Assumptions!S$6:S$20)</f>
        <v>5.6399999999999999E-2</v>
      </c>
      <c r="V6" s="112">
        <f>SUMIF(Assumptions!$B$6:$B$20,$AC$6,Assumptions!T$6:T$20)</f>
        <v>5.6399999999999999E-2</v>
      </c>
      <c r="W6" s="112">
        <f>SUMIF(Assumptions!$B$6:$B$20,$AC$6,Assumptions!U$6:U$20)</f>
        <v>5.6399999999999999E-2</v>
      </c>
      <c r="X6" s="112">
        <f>SUMIF(Assumptions!$B$6:$B$20,$AC$6,Assumptions!V$6:V$20)</f>
        <v>5.6399999999999999E-2</v>
      </c>
      <c r="Y6" s="112">
        <f>SUMIF(Assumptions!$B$6:$B$20,$AC$6,Assumptions!W$6:W$20)</f>
        <v>5.6399999999999999E-2</v>
      </c>
      <c r="Z6" s="112">
        <f>SUMIF(Assumptions!$B$6:$B$20,$AC$6,Assumptions!X$6:X$20)</f>
        <v>5.6399999999999999E-2</v>
      </c>
      <c r="AA6" s="112">
        <f>SUMIF(Assumptions!$B$6:$B$20,$AC$6,Assumptions!Y$6:Y$20)</f>
        <v>5.6399999999999999E-2</v>
      </c>
      <c r="AC6" s="172" t="s">
        <v>65</v>
      </c>
    </row>
    <row r="7" spans="1:57" x14ac:dyDescent="0.35">
      <c r="A7" s="57">
        <f>MAX(A$6:A6)+1</f>
        <v>2</v>
      </c>
      <c r="B7" s="17" t="s">
        <v>47</v>
      </c>
      <c r="C7" s="73"/>
      <c r="D7" s="73">
        <f>+D6</f>
        <v>0</v>
      </c>
      <c r="E7" s="73">
        <f>+(1+D6)*(1+E6)-1</f>
        <v>0</v>
      </c>
      <c r="F7" s="73">
        <f>+(1+D6)*(1+E6)*(1+F6)-1</f>
        <v>0</v>
      </c>
      <c r="G7" s="73">
        <f>+(1+D6)*(1+E6)*(1+F6)*(1+G6)-1</f>
        <v>0</v>
      </c>
      <c r="H7" s="73">
        <f>+(1+D6)*(1+E6)*(1+F6)*(1+G6)*(1+H6)-1</f>
        <v>2.0599999999999952E-2</v>
      </c>
      <c r="I7" s="73">
        <f>+(1+D6)*(1+E6)*(1+F6)*(1+G6)*(1+H6)*(1+I6)-1</f>
        <v>7.8161839999999927E-2</v>
      </c>
      <c r="J7" s="73">
        <f>+(1+D6)*(1+E6)*(1+F6)*(1+G6)*(1+H6)*(1+I6)*(1+J6)-1</f>
        <v>0.13897016777600002</v>
      </c>
      <c r="K7" s="73">
        <f>+(1+D6)*(1+E6)*(1+F6)*(1+G6)*(1+H6)*(1+I6)*(1+J6)*(1+K6)-1</f>
        <v>0.20320808523856648</v>
      </c>
      <c r="L7" s="73">
        <f>+(1+D6)*(1+E6)*(1+F6)*(1+G6)*(1+H6)*(1+I6)*(1+J6)*(1+K6)*(1+L6)-1</f>
        <v>0.27106902124602161</v>
      </c>
      <c r="M7" s="73">
        <f>+(1+D6)*(1+E6)*(1+F6)*(1+G6)*(1+H6)*(1+I6)*(1+J6)*(1+K6)*(1+L6)*(1+M6)-1</f>
        <v>0.34275731404429721</v>
      </c>
      <c r="N7" s="73">
        <f>+(1+D6)*(1+E6)*(1+F6)*(1+G6)*(1+H6)*(1+I6)*(1+J6)*(1+K6)*(1+L6)*(1+M6)*(1+N6)-1</f>
        <v>0.41848882655639552</v>
      </c>
      <c r="O7" s="73">
        <f>+(1+D6)*(1+E6)*(1+F6)*(1+G6)*(1+H6)*(1+I6)*(1+J6)*(1+K6)*(1+L6)*(1+M6)*(1+N6)*(1+O6)-1</f>
        <v>0.49849159637417628</v>
      </c>
      <c r="P7" s="73">
        <f>+(1+D6)*(1+E6)*(1+F6)*(1+G6)*(1+H6)*(1+I6)*(1+J6)*(1+K6)*(1+L6)*(1+M6)*(1+N6)*(1+O6)*(1+P6)-1</f>
        <v>0.58300652240967987</v>
      </c>
      <c r="Q7" s="73">
        <f>+(1+D6)*(1+E6)*(1+F6)*(1+G6)*(1+H6)*(1+I6)*(1+J6)*(1+K6)*(1+L6)*(1+M6)*(1+N6)*(1+O6)*(1+P6)*(1+Q6)-1</f>
        <v>0.67228809027358594</v>
      </c>
      <c r="R7" s="73">
        <f>+(1+D6)*(1+E6)*(1+F6)*(1+G6)*(1+H6)*(1+I6)*(1+J6)*(1+K6)*(1+L6)*(1+M6)*(1+N6)*(1+O6)*(1+P6)*(1+Q6)*(1+R6)-1</f>
        <v>0.76660513856501611</v>
      </c>
      <c r="S7" s="73">
        <f>+(1+D6)*(1+E6)*(1+F6)*(1+G6)*(1+H6)*(1+I6)*(1+J6)*(1+K6)*(1+L6)*(1+M6)*(1+N6)*(1+O6)*(1+P6)*(1+Q6)*(1+R6)*(1+S6)-1</f>
        <v>0.8662416683800831</v>
      </c>
      <c r="T7" s="73">
        <f>+(1+D6)*(1+E6)*(1+F6)*(1+G6)*(1+H6)*(1+I6)*(1+J6)*(1+K6)*(1+L6)*(1+M6)*(1+N6)*(1+O6)*(1+P6)*(1+Q6)*(1+R6)*(1+S6)*(1+T6)-1</f>
        <v>0.97149769847671985</v>
      </c>
      <c r="U7" s="73">
        <f>+(1+D6)*(1+E6)*(1+F6)*(1+G6)*(1+H6)*(1+I6)*(1+J6)*(1+K6)*(1+L6)*(1+M6)*(1+N6)*(1+O6)*(1+P6)*(1+Q6)*(1+R6)*(1+S6)*(1+T6)*(1+U6)-1</f>
        <v>1.082690168670807</v>
      </c>
      <c r="V7" s="73">
        <f>+(1+D6)*(1+E6)*(1+F6)*(1+G6)*(1+H6)*(1+I6)*(1+J6)*(1+K6)*(1+L6)*(1+M6)*(1+N6)*(1+O6)*(1+P6)*(1+Q6)*(1+R6)*(1+S6)*(1+T6)*(1+U6)*(1+V6)-1</f>
        <v>1.2001538941838406</v>
      </c>
      <c r="W7" s="73">
        <f>+(1+D6)*(1+E6)*(1+F6)*(1+G6)*(1+H6)*(1+I6)*(1+J6)*(1+K6)*(1+L6)*(1+M6)*(1+N6)*(1+O6)*(1+P6)*(1+Q6)*(1+R6)*(1+S6)*(1+T6)*(1+U6)*(1+V6)*(1+W6)-1</f>
        <v>1.324242573815809</v>
      </c>
      <c r="X7" s="73">
        <f>+(1+D6)*(1+E6)*(1+F6)*(1+G6)*(1+H6)*(1+I6)*(1+J6)*(1+K6)*(1+L6)*(1+M6)*(1+N6)*(1+O6)*(1+P6)*(1+Q6)*(1+R6)*(1+S6)*(1+T6)*(1+U6)*(1+V6)*(1+W6)*(1+X6)-1</f>
        <v>1.4553298549790208</v>
      </c>
      <c r="Y7" s="73">
        <f>+(1+D6)*(1+E6)*(1+F6)*(1+G6)*(1+H6)*(1+I6)*(1+J6)*(1+K6)*(1+L6)*(1+M6)*(1+N6)*(1+O6)*(1+P6)*(1+Q6)*(1+R6)*(1+S6)*(1+T6)*(1+U6)*(1+V6)*(1+W6)*(1+X6)*(1+Y6)-1</f>
        <v>1.5938104587998376</v>
      </c>
      <c r="Z7" s="73">
        <f>+(1+D6)*(1+E6)*(1+F6)*(1+G6)*(1+H6)*(1+I6)*(1+J6)*(1+K6)*(1+L6)*(1+M6)*(1+N6)*(1+O6)*(1+P6)*(1+Q6)*(1+R6)*(1+S6)*(1+T6)*(1+U6)*(1+V6)*(1+W6)*(1+X6)*(1+Y6)*(1+Z6)-1</f>
        <v>1.7401013686761484</v>
      </c>
      <c r="AA7" s="73">
        <f>+(1+D6)*(1+E6)*(1+F6)*(1+G6)*(1+H6)*(1+I6)*(1+J6)*(1+K6)*(1+L6)*(1+M6)*(1+N6)*(1+O6)*(1+P6)*(1+Q6)*(1+R6)*(1+S6)*(1+T6)*(1+U6)*(1+V6)*(1+W6)*(1+X6)*(1+Y6)*(1+Z6)*(1+AA6)-1</f>
        <v>1.8946430858694834</v>
      </c>
    </row>
    <row r="8" spans="1:57" ht="15.5" x14ac:dyDescent="0.35">
      <c r="A8" s="10"/>
      <c r="B8" s="31" t="s">
        <v>66</v>
      </c>
      <c r="C8" s="8"/>
      <c r="D8" s="31"/>
      <c r="E8" s="8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57" x14ac:dyDescent="0.35">
      <c r="A9" s="135">
        <f>MAX(A$6:A8)+1</f>
        <v>3</v>
      </c>
      <c r="B9" s="16" t="s">
        <v>48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</row>
    <row r="10" spans="1:57" x14ac:dyDescent="0.35">
      <c r="A10" s="131">
        <f>MAX(A$5:A9)+1</f>
        <v>4</v>
      </c>
      <c r="B10" s="148" t="s">
        <v>51</v>
      </c>
      <c r="C10" s="99"/>
      <c r="D10" s="99"/>
      <c r="E10" s="99"/>
      <c r="F10" s="99"/>
      <c r="G10" s="99">
        <v>4271000</v>
      </c>
      <c r="H10" s="99">
        <f t="shared" ref="H10:V10" si="32">+G10</f>
        <v>4271000</v>
      </c>
      <c r="I10" s="99">
        <f t="shared" si="32"/>
        <v>4271000</v>
      </c>
      <c r="J10" s="99">
        <f t="shared" si="32"/>
        <v>4271000</v>
      </c>
      <c r="K10" s="99">
        <f t="shared" si="32"/>
        <v>4271000</v>
      </c>
      <c r="L10" s="99">
        <f t="shared" si="32"/>
        <v>4271000</v>
      </c>
      <c r="M10" s="99">
        <f t="shared" si="32"/>
        <v>4271000</v>
      </c>
      <c r="N10" s="99">
        <f t="shared" si="32"/>
        <v>4271000</v>
      </c>
      <c r="O10" s="99">
        <f t="shared" si="32"/>
        <v>4271000</v>
      </c>
      <c r="P10" s="99">
        <f t="shared" si="32"/>
        <v>4271000</v>
      </c>
      <c r="Q10" s="99">
        <f t="shared" si="32"/>
        <v>4271000</v>
      </c>
      <c r="R10" s="99">
        <f t="shared" si="32"/>
        <v>4271000</v>
      </c>
      <c r="S10" s="99">
        <f t="shared" si="32"/>
        <v>4271000</v>
      </c>
      <c r="T10" s="99">
        <f t="shared" si="32"/>
        <v>4271000</v>
      </c>
      <c r="U10" s="99">
        <f t="shared" si="32"/>
        <v>4271000</v>
      </c>
      <c r="V10" s="99">
        <f t="shared" si="32"/>
        <v>4271000</v>
      </c>
      <c r="W10" s="99">
        <f t="shared" ref="W10:AA10" si="33">+V10</f>
        <v>4271000</v>
      </c>
      <c r="X10" s="99">
        <f t="shared" si="33"/>
        <v>4271000</v>
      </c>
      <c r="Y10" s="99">
        <f t="shared" si="33"/>
        <v>4271000</v>
      </c>
      <c r="Z10" s="99">
        <f t="shared" si="33"/>
        <v>4271000</v>
      </c>
      <c r="AA10" s="99">
        <f t="shared" si="33"/>
        <v>4271000</v>
      </c>
      <c r="AD10" s="1"/>
    </row>
    <row r="11" spans="1:57" x14ac:dyDescent="0.35">
      <c r="A11" s="135">
        <f>MAX(A$5:A10)+1</f>
        <v>5</v>
      </c>
      <c r="B11" s="28" t="s">
        <v>23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D11" s="1"/>
    </row>
    <row r="12" spans="1:57" x14ac:dyDescent="0.35">
      <c r="A12" s="131">
        <f>MAX(A$5:A11)+1</f>
        <v>6</v>
      </c>
      <c r="B12" s="133" t="s">
        <v>25</v>
      </c>
      <c r="C12" s="134">
        <f>SUM(C9:C11)</f>
        <v>0</v>
      </c>
      <c r="D12" s="134">
        <f t="shared" ref="D12:AA12" si="34">SUM(D9:D11)</f>
        <v>0</v>
      </c>
      <c r="E12" s="134">
        <f t="shared" si="34"/>
        <v>0</v>
      </c>
      <c r="F12" s="134">
        <f t="shared" si="34"/>
        <v>0</v>
      </c>
      <c r="G12" s="134">
        <f t="shared" si="34"/>
        <v>4271000</v>
      </c>
      <c r="H12" s="134">
        <f t="shared" si="34"/>
        <v>4271000</v>
      </c>
      <c r="I12" s="134">
        <f t="shared" si="34"/>
        <v>4271000</v>
      </c>
      <c r="J12" s="134">
        <f t="shared" si="34"/>
        <v>4271000</v>
      </c>
      <c r="K12" s="134">
        <f t="shared" si="34"/>
        <v>4271000</v>
      </c>
      <c r="L12" s="134">
        <f t="shared" si="34"/>
        <v>4271000</v>
      </c>
      <c r="M12" s="134">
        <f t="shared" si="34"/>
        <v>4271000</v>
      </c>
      <c r="N12" s="134">
        <f t="shared" si="34"/>
        <v>4271000</v>
      </c>
      <c r="O12" s="134">
        <f t="shared" si="34"/>
        <v>4271000</v>
      </c>
      <c r="P12" s="134">
        <f t="shared" si="34"/>
        <v>4271000</v>
      </c>
      <c r="Q12" s="134">
        <f t="shared" si="34"/>
        <v>4271000</v>
      </c>
      <c r="R12" s="134">
        <f t="shared" si="34"/>
        <v>4271000</v>
      </c>
      <c r="S12" s="134">
        <f t="shared" si="34"/>
        <v>4271000</v>
      </c>
      <c r="T12" s="134">
        <f t="shared" si="34"/>
        <v>4271000</v>
      </c>
      <c r="U12" s="134">
        <f t="shared" si="34"/>
        <v>4271000</v>
      </c>
      <c r="V12" s="134">
        <f t="shared" si="34"/>
        <v>4271000</v>
      </c>
      <c r="W12" s="134">
        <f t="shared" si="34"/>
        <v>4271000</v>
      </c>
      <c r="X12" s="134">
        <f t="shared" si="34"/>
        <v>4271000</v>
      </c>
      <c r="Y12" s="134">
        <f t="shared" si="34"/>
        <v>4271000</v>
      </c>
      <c r="Z12" s="134">
        <f t="shared" si="34"/>
        <v>4271000</v>
      </c>
      <c r="AA12" s="134">
        <f t="shared" si="34"/>
        <v>4271000</v>
      </c>
      <c r="AD12" s="1"/>
    </row>
    <row r="13" spans="1:57" x14ac:dyDescent="0.35">
      <c r="A13" s="15"/>
      <c r="B13" s="32"/>
      <c r="C13" s="21"/>
      <c r="D13" s="21"/>
      <c r="E13" s="21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57" x14ac:dyDescent="0.35">
      <c r="A14" s="131">
        <f>MAX(A$8:A13)+1</f>
        <v>7</v>
      </c>
      <c r="B14" s="133" t="str">
        <f>B9</f>
        <v>Human Resources and Admin</v>
      </c>
      <c r="C14" s="134">
        <f>+C9*(1+C$7)</f>
        <v>0</v>
      </c>
      <c r="D14" s="134">
        <f t="shared" ref="D14:AA14" si="35">+D9*(1+D$7)</f>
        <v>0</v>
      </c>
      <c r="E14" s="134">
        <f t="shared" si="35"/>
        <v>0</v>
      </c>
      <c r="F14" s="134">
        <f t="shared" si="35"/>
        <v>0</v>
      </c>
      <c r="G14" s="134">
        <f t="shared" si="35"/>
        <v>0</v>
      </c>
      <c r="H14" s="134">
        <f t="shared" si="35"/>
        <v>0</v>
      </c>
      <c r="I14" s="134">
        <f t="shared" si="35"/>
        <v>0</v>
      </c>
      <c r="J14" s="134">
        <f t="shared" si="35"/>
        <v>0</v>
      </c>
      <c r="K14" s="134">
        <f t="shared" si="35"/>
        <v>0</v>
      </c>
      <c r="L14" s="134">
        <f t="shared" si="35"/>
        <v>0</v>
      </c>
      <c r="M14" s="134">
        <f t="shared" si="35"/>
        <v>0</v>
      </c>
      <c r="N14" s="134">
        <f t="shared" si="35"/>
        <v>0</v>
      </c>
      <c r="O14" s="134">
        <f t="shared" si="35"/>
        <v>0</v>
      </c>
      <c r="P14" s="134">
        <f t="shared" si="35"/>
        <v>0</v>
      </c>
      <c r="Q14" s="134">
        <f t="shared" si="35"/>
        <v>0</v>
      </c>
      <c r="R14" s="134">
        <f t="shared" si="35"/>
        <v>0</v>
      </c>
      <c r="S14" s="134">
        <f t="shared" si="35"/>
        <v>0</v>
      </c>
      <c r="T14" s="134">
        <f t="shared" si="35"/>
        <v>0</v>
      </c>
      <c r="U14" s="134">
        <f t="shared" si="35"/>
        <v>0</v>
      </c>
      <c r="V14" s="134">
        <f t="shared" si="35"/>
        <v>0</v>
      </c>
      <c r="W14" s="134">
        <f t="shared" si="35"/>
        <v>0</v>
      </c>
      <c r="X14" s="134">
        <f t="shared" si="35"/>
        <v>0</v>
      </c>
      <c r="Y14" s="134">
        <f t="shared" si="35"/>
        <v>0</v>
      </c>
      <c r="Z14" s="134">
        <f t="shared" si="35"/>
        <v>0</v>
      </c>
      <c r="AA14" s="134">
        <f t="shared" si="35"/>
        <v>0</v>
      </c>
      <c r="AE14" s="172" t="s">
        <v>67</v>
      </c>
      <c r="AF14" s="173">
        <f>SUMIF(Assumptions!$E$27:$E$193,AE14,Assumptions!$D$27:$D$193)</f>
        <v>1</v>
      </c>
      <c r="AH14" s="105">
        <f t="shared" ref="AH14:AQ16" si="36">+D14*$AF14</f>
        <v>0</v>
      </c>
      <c r="AI14" s="105">
        <f t="shared" si="36"/>
        <v>0</v>
      </c>
      <c r="AJ14" s="105">
        <f t="shared" si="36"/>
        <v>0</v>
      </c>
      <c r="AK14" s="105">
        <f t="shared" si="36"/>
        <v>0</v>
      </c>
      <c r="AL14" s="105">
        <f t="shared" si="36"/>
        <v>0</v>
      </c>
      <c r="AM14" s="105">
        <f t="shared" si="36"/>
        <v>0</v>
      </c>
      <c r="AN14" s="105">
        <f t="shared" si="36"/>
        <v>0</v>
      </c>
      <c r="AO14" s="105">
        <f t="shared" si="36"/>
        <v>0</v>
      </c>
      <c r="AP14" s="105">
        <f t="shared" si="36"/>
        <v>0</v>
      </c>
      <c r="AQ14" s="105">
        <f t="shared" si="36"/>
        <v>0</v>
      </c>
      <c r="AR14" s="105">
        <f t="shared" ref="AR14:BA16" si="37">+N14*$AF14</f>
        <v>0</v>
      </c>
      <c r="AS14" s="105">
        <f t="shared" si="37"/>
        <v>0</v>
      </c>
      <c r="AT14" s="105">
        <f t="shared" si="37"/>
        <v>0</v>
      </c>
      <c r="AU14" s="105">
        <f t="shared" si="37"/>
        <v>0</v>
      </c>
      <c r="AV14" s="105">
        <f t="shared" si="37"/>
        <v>0</v>
      </c>
      <c r="AW14" s="105">
        <f t="shared" si="37"/>
        <v>0</v>
      </c>
      <c r="AX14" s="105">
        <f t="shared" si="37"/>
        <v>0</v>
      </c>
      <c r="AY14" s="105">
        <f t="shared" si="37"/>
        <v>0</v>
      </c>
      <c r="AZ14" s="105">
        <f t="shared" si="37"/>
        <v>0</v>
      </c>
      <c r="BA14" s="105">
        <f t="shared" si="37"/>
        <v>0</v>
      </c>
      <c r="BB14" s="105">
        <f t="shared" ref="BB14:BE16" si="38">+X14*$AF14</f>
        <v>0</v>
      </c>
      <c r="BC14" s="105">
        <f t="shared" si="38"/>
        <v>0</v>
      </c>
      <c r="BD14" s="105">
        <f t="shared" si="38"/>
        <v>0</v>
      </c>
      <c r="BE14" s="105">
        <f t="shared" si="38"/>
        <v>0</v>
      </c>
    </row>
    <row r="15" spans="1:57" x14ac:dyDescent="0.35">
      <c r="A15" s="13">
        <f>MAX(A$8:A14)+1</f>
        <v>8</v>
      </c>
      <c r="B15" s="150" t="str">
        <f>B10</f>
        <v>Operations</v>
      </c>
      <c r="C15" s="106">
        <f>+C10*(1+C$7)</f>
        <v>0</v>
      </c>
      <c r="D15" s="106">
        <f t="shared" ref="D15:AA15" si="39">+D10*(1+D$7)</f>
        <v>0</v>
      </c>
      <c r="E15" s="106">
        <f t="shared" si="39"/>
        <v>0</v>
      </c>
      <c r="F15" s="106">
        <f t="shared" si="39"/>
        <v>0</v>
      </c>
      <c r="G15" s="106">
        <f t="shared" si="39"/>
        <v>4271000</v>
      </c>
      <c r="H15" s="106">
        <f t="shared" si="39"/>
        <v>4358982.5999999996</v>
      </c>
      <c r="I15" s="106">
        <f t="shared" si="39"/>
        <v>4604829.2186399996</v>
      </c>
      <c r="J15" s="106">
        <f t="shared" si="39"/>
        <v>4864541.5865712957</v>
      </c>
      <c r="K15" s="106">
        <f t="shared" si="39"/>
        <v>5138901.7320539178</v>
      </c>
      <c r="L15" s="106">
        <f t="shared" si="39"/>
        <v>5428735.7897417583</v>
      </c>
      <c r="M15" s="106">
        <f t="shared" si="39"/>
        <v>5734916.4882831937</v>
      </c>
      <c r="N15" s="106">
        <f t="shared" si="39"/>
        <v>6058365.7782223653</v>
      </c>
      <c r="O15" s="106">
        <f t="shared" si="39"/>
        <v>6400057.6081141066</v>
      </c>
      <c r="P15" s="106">
        <f t="shared" si="39"/>
        <v>6761020.8572117426</v>
      </c>
      <c r="Q15" s="106">
        <f t="shared" si="39"/>
        <v>7142342.4335584855</v>
      </c>
      <c r="R15" s="106">
        <f t="shared" si="39"/>
        <v>7545170.5468111839</v>
      </c>
      <c r="S15" s="106">
        <f t="shared" si="39"/>
        <v>7970718.1656513344</v>
      </c>
      <c r="T15" s="106">
        <f t="shared" si="39"/>
        <v>8420266.6701940708</v>
      </c>
      <c r="U15" s="106">
        <f t="shared" si="39"/>
        <v>8895169.7103930172</v>
      </c>
      <c r="V15" s="106">
        <f t="shared" si="39"/>
        <v>9396857.2820591833</v>
      </c>
      <c r="W15" s="106">
        <f t="shared" si="39"/>
        <v>9926840.0327673201</v>
      </c>
      <c r="X15" s="106">
        <f t="shared" si="39"/>
        <v>10486713.810615398</v>
      </c>
      <c r="Y15" s="106">
        <f t="shared" si="39"/>
        <v>11078164.469534107</v>
      </c>
      <c r="Z15" s="106">
        <f t="shared" si="39"/>
        <v>11702972.94561583</v>
      </c>
      <c r="AA15" s="106">
        <f t="shared" si="39"/>
        <v>12363020.619748564</v>
      </c>
      <c r="AE15" s="172" t="s">
        <v>68</v>
      </c>
      <c r="AF15" s="173">
        <f>SUMIF(Assumptions!$E$27:$E$193,AE15,Assumptions!$D$27:$D$193)</f>
        <v>0.736273304978734</v>
      </c>
      <c r="AH15" s="105">
        <f t="shared" si="36"/>
        <v>0</v>
      </c>
      <c r="AI15" s="105">
        <f t="shared" si="36"/>
        <v>0</v>
      </c>
      <c r="AJ15" s="105">
        <f t="shared" si="36"/>
        <v>0</v>
      </c>
      <c r="AK15" s="105">
        <f t="shared" si="36"/>
        <v>3144623.285564173</v>
      </c>
      <c r="AL15" s="105">
        <f t="shared" si="36"/>
        <v>3209402.5252467948</v>
      </c>
      <c r="AM15" s="105">
        <f t="shared" si="36"/>
        <v>3390412.8276707139</v>
      </c>
      <c r="AN15" s="105">
        <f t="shared" si="36"/>
        <v>3581632.1111513423</v>
      </c>
      <c r="AO15" s="105">
        <f t="shared" si="36"/>
        <v>3783636.1622202788</v>
      </c>
      <c r="AP15" s="105">
        <f t="shared" si="36"/>
        <v>3997033.2417695019</v>
      </c>
      <c r="AQ15" s="105">
        <f t="shared" si="36"/>
        <v>4222465.9166053021</v>
      </c>
      <c r="AR15" s="105">
        <f t="shared" si="37"/>
        <v>4460612.9943018407</v>
      </c>
      <c r="AS15" s="105">
        <f t="shared" si="37"/>
        <v>4712191.567180464</v>
      </c>
      <c r="AT15" s="105">
        <f t="shared" si="37"/>
        <v>4977959.1715694433</v>
      </c>
      <c r="AU15" s="105">
        <f t="shared" si="37"/>
        <v>5258716.0688459603</v>
      </c>
      <c r="AV15" s="105">
        <f t="shared" si="37"/>
        <v>5555307.655128872</v>
      </c>
      <c r="AW15" s="105">
        <f t="shared" si="37"/>
        <v>5868627.0068781404</v>
      </c>
      <c r="AX15" s="105">
        <f t="shared" si="37"/>
        <v>6199617.5700660683</v>
      </c>
      <c r="AY15" s="105">
        <f t="shared" si="37"/>
        <v>6549276.0010177949</v>
      </c>
      <c r="AZ15" s="105">
        <f t="shared" si="37"/>
        <v>6918655.1674751984</v>
      </c>
      <c r="BA15" s="105">
        <f t="shared" si="37"/>
        <v>7308867.3189207986</v>
      </c>
      <c r="BB15" s="105">
        <f t="shared" si="38"/>
        <v>7721087.4357079323</v>
      </c>
      <c r="BC15" s="105">
        <f t="shared" si="38"/>
        <v>8156556.7670818605</v>
      </c>
      <c r="BD15" s="105">
        <f t="shared" si="38"/>
        <v>8616586.5687452778</v>
      </c>
      <c r="BE15" s="105">
        <f t="shared" si="38"/>
        <v>9102562.0512225125</v>
      </c>
    </row>
    <row r="16" spans="1:57" x14ac:dyDescent="0.35">
      <c r="A16" s="131">
        <f>MAX(A$8:A15)+1</f>
        <v>9</v>
      </c>
      <c r="B16" s="133" t="str">
        <f>B11</f>
        <v>Planning &amp; Env Services</v>
      </c>
      <c r="C16" s="134">
        <f>+C11*(1+C$7)</f>
        <v>0</v>
      </c>
      <c r="D16" s="134">
        <f t="shared" ref="D16:AA16" si="40">+D11*(1+D$7)</f>
        <v>0</v>
      </c>
      <c r="E16" s="134">
        <f t="shared" si="40"/>
        <v>0</v>
      </c>
      <c r="F16" s="134">
        <f t="shared" si="40"/>
        <v>0</v>
      </c>
      <c r="G16" s="134">
        <f t="shared" si="40"/>
        <v>0</v>
      </c>
      <c r="H16" s="134">
        <f t="shared" si="40"/>
        <v>0</v>
      </c>
      <c r="I16" s="134">
        <f t="shared" si="40"/>
        <v>0</v>
      </c>
      <c r="J16" s="134">
        <f t="shared" si="40"/>
        <v>0</v>
      </c>
      <c r="K16" s="134">
        <f t="shared" si="40"/>
        <v>0</v>
      </c>
      <c r="L16" s="134">
        <f t="shared" si="40"/>
        <v>0</v>
      </c>
      <c r="M16" s="134">
        <f t="shared" si="40"/>
        <v>0</v>
      </c>
      <c r="N16" s="134">
        <f t="shared" si="40"/>
        <v>0</v>
      </c>
      <c r="O16" s="134">
        <f t="shared" si="40"/>
        <v>0</v>
      </c>
      <c r="P16" s="134">
        <f t="shared" si="40"/>
        <v>0</v>
      </c>
      <c r="Q16" s="134">
        <f t="shared" si="40"/>
        <v>0</v>
      </c>
      <c r="R16" s="134">
        <f t="shared" si="40"/>
        <v>0</v>
      </c>
      <c r="S16" s="134">
        <f t="shared" si="40"/>
        <v>0</v>
      </c>
      <c r="T16" s="134">
        <f t="shared" si="40"/>
        <v>0</v>
      </c>
      <c r="U16" s="134">
        <f t="shared" si="40"/>
        <v>0</v>
      </c>
      <c r="V16" s="134">
        <f t="shared" si="40"/>
        <v>0</v>
      </c>
      <c r="W16" s="134">
        <f t="shared" si="40"/>
        <v>0</v>
      </c>
      <c r="X16" s="134">
        <f t="shared" si="40"/>
        <v>0</v>
      </c>
      <c r="Y16" s="134">
        <f t="shared" si="40"/>
        <v>0</v>
      </c>
      <c r="Z16" s="134">
        <f t="shared" si="40"/>
        <v>0</v>
      </c>
      <c r="AA16" s="134">
        <f t="shared" si="40"/>
        <v>0</v>
      </c>
      <c r="AE16" s="172" t="s">
        <v>69</v>
      </c>
      <c r="AF16" s="173">
        <f>SUMIF(Assumptions!$E$27:$E$193,AE16,Assumptions!$D$27:$D$193)</f>
        <v>0.62307890091334717</v>
      </c>
      <c r="AH16" s="105">
        <f t="shared" si="36"/>
        <v>0</v>
      </c>
      <c r="AI16" s="105">
        <f t="shared" si="36"/>
        <v>0</v>
      </c>
      <c r="AJ16" s="105">
        <f t="shared" si="36"/>
        <v>0</v>
      </c>
      <c r="AK16" s="105">
        <f t="shared" si="36"/>
        <v>0</v>
      </c>
      <c r="AL16" s="105">
        <f t="shared" si="36"/>
        <v>0</v>
      </c>
      <c r="AM16" s="105">
        <f t="shared" si="36"/>
        <v>0</v>
      </c>
      <c r="AN16" s="105">
        <f t="shared" si="36"/>
        <v>0</v>
      </c>
      <c r="AO16" s="105">
        <f t="shared" si="36"/>
        <v>0</v>
      </c>
      <c r="AP16" s="105">
        <f t="shared" si="36"/>
        <v>0</v>
      </c>
      <c r="AQ16" s="105">
        <f t="shared" si="36"/>
        <v>0</v>
      </c>
      <c r="AR16" s="105">
        <f t="shared" si="37"/>
        <v>0</v>
      </c>
      <c r="AS16" s="105">
        <f t="shared" si="37"/>
        <v>0</v>
      </c>
      <c r="AT16" s="105">
        <f t="shared" si="37"/>
        <v>0</v>
      </c>
      <c r="AU16" s="105">
        <f t="shared" si="37"/>
        <v>0</v>
      </c>
      <c r="AV16" s="105">
        <f t="shared" si="37"/>
        <v>0</v>
      </c>
      <c r="AW16" s="105">
        <f t="shared" si="37"/>
        <v>0</v>
      </c>
      <c r="AX16" s="105">
        <f t="shared" si="37"/>
        <v>0</v>
      </c>
      <c r="AY16" s="105">
        <f t="shared" si="37"/>
        <v>0</v>
      </c>
      <c r="AZ16" s="105">
        <f t="shared" si="37"/>
        <v>0</v>
      </c>
      <c r="BA16" s="105">
        <f t="shared" si="37"/>
        <v>0</v>
      </c>
      <c r="BB16" s="105">
        <f t="shared" si="38"/>
        <v>0</v>
      </c>
      <c r="BC16" s="105">
        <f t="shared" si="38"/>
        <v>0</v>
      </c>
      <c r="BD16" s="105">
        <f t="shared" si="38"/>
        <v>0</v>
      </c>
      <c r="BE16" s="105">
        <f t="shared" si="38"/>
        <v>0</v>
      </c>
    </row>
    <row r="17" spans="1:57" x14ac:dyDescent="0.35">
      <c r="A17" s="13">
        <f>MAX(A$9:A16)+1</f>
        <v>10</v>
      </c>
      <c r="B17" s="118" t="s">
        <v>58</v>
      </c>
      <c r="C17" s="106">
        <f>SUM(C14:C16)</f>
        <v>0</v>
      </c>
      <c r="D17" s="106">
        <f t="shared" ref="D17:AA17" si="41">SUM(D14:D16)</f>
        <v>0</v>
      </c>
      <c r="E17" s="106">
        <f t="shared" si="41"/>
        <v>0</v>
      </c>
      <c r="F17" s="106">
        <f t="shared" si="41"/>
        <v>0</v>
      </c>
      <c r="G17" s="106">
        <f t="shared" si="41"/>
        <v>4271000</v>
      </c>
      <c r="H17" s="106">
        <f t="shared" si="41"/>
        <v>4358982.5999999996</v>
      </c>
      <c r="I17" s="106">
        <f t="shared" si="41"/>
        <v>4604829.2186399996</v>
      </c>
      <c r="J17" s="106">
        <f t="shared" si="41"/>
        <v>4864541.5865712957</v>
      </c>
      <c r="K17" s="106">
        <f t="shared" si="41"/>
        <v>5138901.7320539178</v>
      </c>
      <c r="L17" s="106">
        <f t="shared" si="41"/>
        <v>5428735.7897417583</v>
      </c>
      <c r="M17" s="106">
        <f t="shared" si="41"/>
        <v>5734916.4882831937</v>
      </c>
      <c r="N17" s="106">
        <f t="shared" si="41"/>
        <v>6058365.7782223653</v>
      </c>
      <c r="O17" s="106">
        <f t="shared" si="41"/>
        <v>6400057.6081141066</v>
      </c>
      <c r="P17" s="106">
        <f t="shared" si="41"/>
        <v>6761020.8572117426</v>
      </c>
      <c r="Q17" s="106">
        <f t="shared" si="41"/>
        <v>7142342.4335584855</v>
      </c>
      <c r="R17" s="106">
        <f t="shared" si="41"/>
        <v>7545170.5468111839</v>
      </c>
      <c r="S17" s="106">
        <f t="shared" si="41"/>
        <v>7970718.1656513344</v>
      </c>
      <c r="T17" s="106">
        <f t="shared" si="41"/>
        <v>8420266.6701940708</v>
      </c>
      <c r="U17" s="106">
        <f t="shared" si="41"/>
        <v>8895169.7103930172</v>
      </c>
      <c r="V17" s="106">
        <f t="shared" si="41"/>
        <v>9396857.2820591833</v>
      </c>
      <c r="W17" s="106">
        <f t="shared" si="41"/>
        <v>9926840.0327673201</v>
      </c>
      <c r="X17" s="106">
        <f t="shared" si="41"/>
        <v>10486713.810615398</v>
      </c>
      <c r="Y17" s="106">
        <f t="shared" si="41"/>
        <v>11078164.469534107</v>
      </c>
      <c r="Z17" s="106">
        <f t="shared" si="41"/>
        <v>11702972.94561583</v>
      </c>
      <c r="AA17" s="106">
        <f t="shared" si="41"/>
        <v>12363020.619748564</v>
      </c>
    </row>
    <row r="18" spans="1:57" x14ac:dyDescent="0.35">
      <c r="A18" s="15"/>
      <c r="B18" s="32"/>
      <c r="C18" s="21"/>
      <c r="D18" s="21"/>
      <c r="E18" s="21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57" x14ac:dyDescent="0.35">
      <c r="A19" s="13">
        <f>MAX(A$9:A18)+1</f>
        <v>11</v>
      </c>
      <c r="B19" s="34" t="s">
        <v>31</v>
      </c>
      <c r="C19" s="35">
        <f>+C17</f>
        <v>0</v>
      </c>
      <c r="D19" s="35">
        <f t="shared" ref="D19:H19" si="42">+D17</f>
        <v>0</v>
      </c>
      <c r="E19" s="35">
        <f t="shared" si="42"/>
        <v>0</v>
      </c>
      <c r="F19" s="35">
        <f t="shared" si="42"/>
        <v>0</v>
      </c>
      <c r="G19" s="35">
        <f t="shared" si="42"/>
        <v>4271000</v>
      </c>
      <c r="H19" s="35">
        <f t="shared" si="42"/>
        <v>4358982.5999999996</v>
      </c>
      <c r="I19" s="35">
        <f t="shared" ref="I19:L19" si="43">+I17</f>
        <v>4604829.2186399996</v>
      </c>
      <c r="J19" s="35">
        <f t="shared" si="43"/>
        <v>4864541.5865712957</v>
      </c>
      <c r="K19" s="35">
        <f t="shared" si="43"/>
        <v>5138901.7320539178</v>
      </c>
      <c r="L19" s="35">
        <f t="shared" si="43"/>
        <v>5428735.7897417583</v>
      </c>
      <c r="M19" s="35">
        <f t="shared" ref="M19:AA19" si="44">+M17</f>
        <v>5734916.4882831937</v>
      </c>
      <c r="N19" s="35">
        <f t="shared" si="44"/>
        <v>6058365.7782223653</v>
      </c>
      <c r="O19" s="35">
        <f t="shared" si="44"/>
        <v>6400057.6081141066</v>
      </c>
      <c r="P19" s="35">
        <f t="shared" si="44"/>
        <v>6761020.8572117426</v>
      </c>
      <c r="Q19" s="35">
        <f t="shared" si="44"/>
        <v>7142342.4335584855</v>
      </c>
      <c r="R19" s="35">
        <f t="shared" si="44"/>
        <v>7545170.5468111839</v>
      </c>
      <c r="S19" s="35">
        <f t="shared" si="44"/>
        <v>7970718.1656513344</v>
      </c>
      <c r="T19" s="35">
        <f t="shared" si="44"/>
        <v>8420266.6701940708</v>
      </c>
      <c r="U19" s="35">
        <f t="shared" si="44"/>
        <v>8895169.7103930172</v>
      </c>
      <c r="V19" s="35">
        <f t="shared" si="44"/>
        <v>9396857.2820591833</v>
      </c>
      <c r="W19" s="35">
        <f t="shared" si="44"/>
        <v>9926840.0327673201</v>
      </c>
      <c r="X19" s="35">
        <f t="shared" si="44"/>
        <v>10486713.810615398</v>
      </c>
      <c r="Y19" s="35">
        <f t="shared" si="44"/>
        <v>11078164.469534107</v>
      </c>
      <c r="Z19" s="35">
        <f t="shared" si="44"/>
        <v>11702972.94561583</v>
      </c>
      <c r="AA19" s="35">
        <f t="shared" si="44"/>
        <v>12363020.619748564</v>
      </c>
      <c r="AG19" s="35">
        <f t="shared" ref="AG19:BE19" si="45">SUM(AG14:AG16)</f>
        <v>0</v>
      </c>
      <c r="AH19" s="35">
        <f t="shared" si="45"/>
        <v>0</v>
      </c>
      <c r="AI19" s="35">
        <f t="shared" si="45"/>
        <v>0</v>
      </c>
      <c r="AJ19" s="35">
        <f t="shared" si="45"/>
        <v>0</v>
      </c>
      <c r="AK19" s="35">
        <f t="shared" si="45"/>
        <v>3144623.285564173</v>
      </c>
      <c r="AL19" s="35">
        <f t="shared" si="45"/>
        <v>3209402.5252467948</v>
      </c>
      <c r="AM19" s="35">
        <f t="shared" si="45"/>
        <v>3390412.8276707139</v>
      </c>
      <c r="AN19" s="35">
        <f t="shared" si="45"/>
        <v>3581632.1111513423</v>
      </c>
      <c r="AO19" s="35">
        <f t="shared" si="45"/>
        <v>3783636.1622202788</v>
      </c>
      <c r="AP19" s="35">
        <f t="shared" si="45"/>
        <v>3997033.2417695019</v>
      </c>
      <c r="AQ19" s="35">
        <f t="shared" si="45"/>
        <v>4222465.9166053021</v>
      </c>
      <c r="AR19" s="35">
        <f t="shared" si="45"/>
        <v>4460612.9943018407</v>
      </c>
      <c r="AS19" s="35">
        <f t="shared" si="45"/>
        <v>4712191.567180464</v>
      </c>
      <c r="AT19" s="35">
        <f t="shared" si="45"/>
        <v>4977959.1715694433</v>
      </c>
      <c r="AU19" s="35">
        <f t="shared" si="45"/>
        <v>5258716.0688459603</v>
      </c>
      <c r="AV19" s="35">
        <f t="shared" si="45"/>
        <v>5555307.655128872</v>
      </c>
      <c r="AW19" s="35">
        <f t="shared" si="45"/>
        <v>5868627.0068781404</v>
      </c>
      <c r="AX19" s="35">
        <f t="shared" si="45"/>
        <v>6199617.5700660683</v>
      </c>
      <c r="AY19" s="35">
        <f t="shared" si="45"/>
        <v>6549276.0010177949</v>
      </c>
      <c r="AZ19" s="35">
        <f t="shared" si="45"/>
        <v>6918655.1674751984</v>
      </c>
      <c r="BA19" s="35">
        <f t="shared" si="45"/>
        <v>7308867.3189207986</v>
      </c>
      <c r="BB19" s="35">
        <f t="shared" si="45"/>
        <v>7721087.4357079323</v>
      </c>
      <c r="BC19" s="35">
        <f t="shared" si="45"/>
        <v>8156556.7670818605</v>
      </c>
      <c r="BD19" s="35">
        <f t="shared" si="45"/>
        <v>8616586.5687452778</v>
      </c>
      <c r="BE19" s="35">
        <f t="shared" si="45"/>
        <v>9102562.0512225125</v>
      </c>
    </row>
    <row r="20" spans="1:57" x14ac:dyDescent="0.35">
      <c r="A20" s="15"/>
      <c r="B20" s="32"/>
      <c r="C20" s="21"/>
      <c r="D20" s="21"/>
      <c r="E20" s="21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G20" s="21"/>
      <c r="AH20" s="21"/>
      <c r="AI20" s="21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</row>
    <row r="21" spans="1:57" x14ac:dyDescent="0.35">
      <c r="A21" s="13">
        <f>MAX(A$9:A20)+1</f>
        <v>12</v>
      </c>
      <c r="B21" s="29" t="s">
        <v>59</v>
      </c>
      <c r="C21" s="33">
        <f>+C19</f>
        <v>0</v>
      </c>
      <c r="D21" s="33">
        <f t="shared" ref="D21:H21" si="46">+D19</f>
        <v>0</v>
      </c>
      <c r="E21" s="33">
        <f t="shared" si="46"/>
        <v>0</v>
      </c>
      <c r="F21" s="33">
        <f t="shared" si="46"/>
        <v>0</v>
      </c>
      <c r="G21" s="33">
        <f t="shared" si="46"/>
        <v>4271000</v>
      </c>
      <c r="H21" s="33">
        <f t="shared" si="46"/>
        <v>4358982.5999999996</v>
      </c>
      <c r="I21" s="33">
        <f t="shared" ref="I21:L21" si="47">+I19</f>
        <v>4604829.2186399996</v>
      </c>
      <c r="J21" s="33">
        <f t="shared" si="47"/>
        <v>4864541.5865712957</v>
      </c>
      <c r="K21" s="33">
        <f t="shared" si="47"/>
        <v>5138901.7320539178</v>
      </c>
      <c r="L21" s="33">
        <f t="shared" si="47"/>
        <v>5428735.7897417583</v>
      </c>
      <c r="M21" s="33">
        <f t="shared" ref="M21:AA21" si="48">+M19</f>
        <v>5734916.4882831937</v>
      </c>
      <c r="N21" s="33">
        <f t="shared" si="48"/>
        <v>6058365.7782223653</v>
      </c>
      <c r="O21" s="33">
        <f t="shared" si="48"/>
        <v>6400057.6081141066</v>
      </c>
      <c r="P21" s="33">
        <f t="shared" si="48"/>
        <v>6761020.8572117426</v>
      </c>
      <c r="Q21" s="33">
        <f t="shared" si="48"/>
        <v>7142342.4335584855</v>
      </c>
      <c r="R21" s="33">
        <f t="shared" si="48"/>
        <v>7545170.5468111839</v>
      </c>
      <c r="S21" s="33">
        <f t="shared" si="48"/>
        <v>7970718.1656513344</v>
      </c>
      <c r="T21" s="33">
        <f t="shared" si="48"/>
        <v>8420266.6701940708</v>
      </c>
      <c r="U21" s="33">
        <f t="shared" si="48"/>
        <v>8895169.7103930172</v>
      </c>
      <c r="V21" s="33">
        <f t="shared" si="48"/>
        <v>9396857.2820591833</v>
      </c>
      <c r="W21" s="33">
        <f t="shared" si="48"/>
        <v>9926840.0327673201</v>
      </c>
      <c r="X21" s="33">
        <f t="shared" si="48"/>
        <v>10486713.810615398</v>
      </c>
      <c r="Y21" s="33">
        <f t="shared" si="48"/>
        <v>11078164.469534107</v>
      </c>
      <c r="Z21" s="33">
        <f t="shared" si="48"/>
        <v>11702972.94561583</v>
      </c>
      <c r="AA21" s="33">
        <f t="shared" si="48"/>
        <v>12363020.619748564</v>
      </c>
      <c r="AG21" s="33">
        <f t="shared" ref="AG21:AL21" si="49">+AG19</f>
        <v>0</v>
      </c>
      <c r="AH21" s="33">
        <f t="shared" si="49"/>
        <v>0</v>
      </c>
      <c r="AI21" s="33">
        <f t="shared" si="49"/>
        <v>0</v>
      </c>
      <c r="AJ21" s="33">
        <f t="shared" si="49"/>
        <v>0</v>
      </c>
      <c r="AK21" s="33">
        <f t="shared" si="49"/>
        <v>3144623.285564173</v>
      </c>
      <c r="AL21" s="33">
        <f t="shared" si="49"/>
        <v>3209402.5252467948</v>
      </c>
      <c r="AM21" s="33">
        <f t="shared" ref="AM21:AP21" si="50">+AM19</f>
        <v>3390412.8276707139</v>
      </c>
      <c r="AN21" s="33">
        <f t="shared" si="50"/>
        <v>3581632.1111513423</v>
      </c>
      <c r="AO21" s="33">
        <f t="shared" si="50"/>
        <v>3783636.1622202788</v>
      </c>
      <c r="AP21" s="33">
        <f t="shared" si="50"/>
        <v>3997033.2417695019</v>
      </c>
      <c r="AQ21" s="33">
        <f t="shared" ref="AQ21:BE21" si="51">+AQ19</f>
        <v>4222465.9166053021</v>
      </c>
      <c r="AR21" s="33">
        <f t="shared" si="51"/>
        <v>4460612.9943018407</v>
      </c>
      <c r="AS21" s="33">
        <f t="shared" si="51"/>
        <v>4712191.567180464</v>
      </c>
      <c r="AT21" s="33">
        <f t="shared" si="51"/>
        <v>4977959.1715694433</v>
      </c>
      <c r="AU21" s="33">
        <f t="shared" si="51"/>
        <v>5258716.0688459603</v>
      </c>
      <c r="AV21" s="33">
        <f t="shared" si="51"/>
        <v>5555307.655128872</v>
      </c>
      <c r="AW21" s="33">
        <f t="shared" si="51"/>
        <v>5868627.0068781404</v>
      </c>
      <c r="AX21" s="33">
        <f t="shared" si="51"/>
        <v>6199617.5700660683</v>
      </c>
      <c r="AY21" s="33">
        <f t="shared" si="51"/>
        <v>6549276.0010177949</v>
      </c>
      <c r="AZ21" s="33">
        <f t="shared" si="51"/>
        <v>6918655.1674751984</v>
      </c>
      <c r="BA21" s="33">
        <f t="shared" si="51"/>
        <v>7308867.3189207986</v>
      </c>
      <c r="BB21" s="33">
        <f t="shared" si="51"/>
        <v>7721087.4357079323</v>
      </c>
      <c r="BC21" s="33">
        <f t="shared" si="51"/>
        <v>8156556.7670818605</v>
      </c>
      <c r="BD21" s="33">
        <f t="shared" si="51"/>
        <v>8616586.5687452778</v>
      </c>
      <c r="BE21" s="33">
        <f t="shared" si="51"/>
        <v>9102562.0512225125</v>
      </c>
    </row>
    <row r="22" spans="1:57" x14ac:dyDescent="0.35">
      <c r="A22" s="26"/>
      <c r="B22" s="25"/>
      <c r="C22" s="25"/>
      <c r="D22" s="25"/>
      <c r="E22" s="25"/>
      <c r="F22" s="41"/>
      <c r="G22" s="41"/>
      <c r="H22" s="4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</row>
    <row r="25" spans="1:57" x14ac:dyDescent="0.35">
      <c r="A25" t="s">
        <v>16</v>
      </c>
      <c r="B25" t="s">
        <v>70</v>
      </c>
    </row>
    <row r="27" spans="1:57" x14ac:dyDescent="0.35"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35" spans="3:3" x14ac:dyDescent="0.35">
      <c r="C35" s="105"/>
    </row>
    <row r="36" spans="3:3" x14ac:dyDescent="0.35">
      <c r="C36" s="105"/>
    </row>
    <row r="38" spans="3:3" x14ac:dyDescent="0.35">
      <c r="C38" s="105"/>
    </row>
    <row r="76" spans="1:27" x14ac:dyDescent="0.35">
      <c r="A76" t="s">
        <v>41</v>
      </c>
    </row>
    <row r="77" spans="1:27" x14ac:dyDescent="0.35">
      <c r="C77" s="5">
        <f>+C6</f>
        <v>0</v>
      </c>
      <c r="D77" s="5">
        <f t="shared" ref="D77:AA77" si="52">+D6</f>
        <v>0</v>
      </c>
      <c r="E77" s="5">
        <f t="shared" si="52"/>
        <v>0</v>
      </c>
      <c r="F77" s="5">
        <f t="shared" si="52"/>
        <v>0</v>
      </c>
      <c r="G77" s="5">
        <f t="shared" si="52"/>
        <v>0</v>
      </c>
      <c r="H77" s="5">
        <f t="shared" si="52"/>
        <v>2.06E-2</v>
      </c>
      <c r="I77" s="5">
        <f t="shared" si="52"/>
        <v>5.6399999999999999E-2</v>
      </c>
      <c r="J77" s="5">
        <f t="shared" si="52"/>
        <v>5.6399999999999999E-2</v>
      </c>
      <c r="K77" s="5">
        <f t="shared" si="52"/>
        <v>5.6399999999999999E-2</v>
      </c>
      <c r="L77" s="5">
        <f t="shared" si="52"/>
        <v>5.6399999999999999E-2</v>
      </c>
      <c r="M77" s="5">
        <f t="shared" si="52"/>
        <v>5.6399999999999999E-2</v>
      </c>
      <c r="N77" s="5">
        <f t="shared" si="52"/>
        <v>5.6399999999999999E-2</v>
      </c>
      <c r="O77" s="5">
        <f t="shared" si="52"/>
        <v>5.6399999999999999E-2</v>
      </c>
      <c r="P77" s="5">
        <f t="shared" si="52"/>
        <v>5.6399999999999999E-2</v>
      </c>
      <c r="Q77" s="5">
        <f t="shared" si="52"/>
        <v>5.6399999999999999E-2</v>
      </c>
      <c r="R77" s="5">
        <f t="shared" si="52"/>
        <v>5.6399999999999999E-2</v>
      </c>
      <c r="S77" s="5">
        <f t="shared" si="52"/>
        <v>5.6399999999999999E-2</v>
      </c>
      <c r="T77" s="5">
        <f t="shared" si="52"/>
        <v>5.6399999999999999E-2</v>
      </c>
      <c r="U77" s="5">
        <f t="shared" si="52"/>
        <v>5.6399999999999999E-2</v>
      </c>
      <c r="V77" s="5">
        <f t="shared" si="52"/>
        <v>5.6399999999999999E-2</v>
      </c>
      <c r="W77" s="5">
        <f t="shared" si="52"/>
        <v>5.6399999999999999E-2</v>
      </c>
      <c r="X77" s="5">
        <f t="shared" si="52"/>
        <v>5.6399999999999999E-2</v>
      </c>
      <c r="Y77" s="5">
        <f t="shared" si="52"/>
        <v>5.6399999999999999E-2</v>
      </c>
      <c r="Z77" s="5">
        <f t="shared" si="52"/>
        <v>5.6399999999999999E-2</v>
      </c>
      <c r="AA77" s="5">
        <f t="shared" si="52"/>
        <v>5.6399999999999999E-2</v>
      </c>
    </row>
    <row r="78" spans="1:27" x14ac:dyDescent="0.35">
      <c r="C78" s="73">
        <f>+C77</f>
        <v>0</v>
      </c>
      <c r="D78" s="73">
        <f t="shared" ref="D78:AA78" si="53">+((1+C78)*(1+D77))-1</f>
        <v>0</v>
      </c>
      <c r="E78" s="73">
        <f t="shared" si="53"/>
        <v>0</v>
      </c>
      <c r="F78" s="73">
        <f t="shared" si="53"/>
        <v>0</v>
      </c>
      <c r="G78" s="73">
        <f t="shared" si="53"/>
        <v>0</v>
      </c>
      <c r="H78" s="73">
        <f t="shared" si="53"/>
        <v>2.0599999999999952E-2</v>
      </c>
      <c r="I78" s="73">
        <f t="shared" si="53"/>
        <v>7.8161839999999927E-2</v>
      </c>
      <c r="J78" s="73">
        <f t="shared" si="53"/>
        <v>0.13897016777600002</v>
      </c>
      <c r="K78" s="73">
        <f t="shared" si="53"/>
        <v>0.20320808523856648</v>
      </c>
      <c r="L78" s="73">
        <f t="shared" si="53"/>
        <v>0.27106902124602161</v>
      </c>
      <c r="M78" s="73">
        <f t="shared" si="53"/>
        <v>0.34275731404429721</v>
      </c>
      <c r="N78" s="73">
        <f t="shared" si="53"/>
        <v>0.41848882655639552</v>
      </c>
      <c r="O78" s="73">
        <f t="shared" si="53"/>
        <v>0.49849159637417628</v>
      </c>
      <c r="P78" s="73">
        <f t="shared" si="53"/>
        <v>0.58300652240967987</v>
      </c>
      <c r="Q78" s="73">
        <f t="shared" si="53"/>
        <v>0.67228809027358594</v>
      </c>
      <c r="R78" s="73">
        <f t="shared" si="53"/>
        <v>0.76660513856501611</v>
      </c>
      <c r="S78" s="73">
        <f t="shared" si="53"/>
        <v>0.8662416683800831</v>
      </c>
      <c r="T78" s="73">
        <f t="shared" si="53"/>
        <v>0.97149769847671985</v>
      </c>
      <c r="U78" s="73">
        <f t="shared" si="53"/>
        <v>1.082690168670807</v>
      </c>
      <c r="V78" s="73">
        <f t="shared" si="53"/>
        <v>1.2001538941838406</v>
      </c>
      <c r="W78" s="73">
        <f t="shared" si="53"/>
        <v>1.324242573815809</v>
      </c>
      <c r="X78" s="73">
        <f t="shared" si="53"/>
        <v>1.4553298549790208</v>
      </c>
      <c r="Y78" s="73">
        <f t="shared" si="53"/>
        <v>1.5938104587998376</v>
      </c>
      <c r="Z78" s="73">
        <f t="shared" si="53"/>
        <v>1.7401013686761484</v>
      </c>
      <c r="AA78" s="73">
        <f t="shared" si="53"/>
        <v>1.8946430858694834</v>
      </c>
    </row>
    <row r="80" spans="1:27" x14ac:dyDescent="0.35">
      <c r="A80" t="s">
        <v>42</v>
      </c>
      <c r="D80" s="144">
        <f>+D78-D7</f>
        <v>0</v>
      </c>
      <c r="E80" s="144">
        <f t="shared" ref="E80:AA80" si="54">+E78-E7</f>
        <v>0</v>
      </c>
      <c r="F80" s="144">
        <f t="shared" si="54"/>
        <v>0</v>
      </c>
      <c r="G80" s="144">
        <f t="shared" si="54"/>
        <v>0</v>
      </c>
      <c r="H80" s="144">
        <f t="shared" si="54"/>
        <v>0</v>
      </c>
      <c r="I80" s="144">
        <f t="shared" si="54"/>
        <v>0</v>
      </c>
      <c r="J80" s="144">
        <f t="shared" si="54"/>
        <v>0</v>
      </c>
      <c r="K80" s="144">
        <f t="shared" si="54"/>
        <v>0</v>
      </c>
      <c r="L80" s="144">
        <f t="shared" si="54"/>
        <v>0</v>
      </c>
      <c r="M80" s="144">
        <f t="shared" si="54"/>
        <v>0</v>
      </c>
      <c r="N80" s="144">
        <f t="shared" si="54"/>
        <v>0</v>
      </c>
      <c r="O80" s="144">
        <f t="shared" si="54"/>
        <v>0</v>
      </c>
      <c r="P80" s="144">
        <f t="shared" si="54"/>
        <v>0</v>
      </c>
      <c r="Q80" s="144">
        <f t="shared" si="54"/>
        <v>0</v>
      </c>
      <c r="R80" s="144">
        <f t="shared" si="54"/>
        <v>0</v>
      </c>
      <c r="S80" s="144">
        <f t="shared" si="54"/>
        <v>0</v>
      </c>
      <c r="T80" s="144">
        <f t="shared" si="54"/>
        <v>0</v>
      </c>
      <c r="U80" s="144">
        <f t="shared" si="54"/>
        <v>0</v>
      </c>
      <c r="V80" s="144">
        <f t="shared" si="54"/>
        <v>0</v>
      </c>
      <c r="W80" s="144">
        <f t="shared" si="54"/>
        <v>0</v>
      </c>
      <c r="X80" s="144">
        <f t="shared" si="54"/>
        <v>0</v>
      </c>
      <c r="Y80" s="144">
        <f t="shared" si="54"/>
        <v>0</v>
      </c>
      <c r="Z80" s="144">
        <f t="shared" si="54"/>
        <v>0</v>
      </c>
      <c r="AA80" s="144">
        <f t="shared" si="54"/>
        <v>0</v>
      </c>
    </row>
    <row r="108" spans="1:57" x14ac:dyDescent="0.35">
      <c r="A108" s="85">
        <f>MAX(A$6:A107)+1</f>
        <v>13</v>
      </c>
      <c r="B108" s="72" t="s">
        <v>265</v>
      </c>
      <c r="C108" s="88">
        <f>+C19</f>
        <v>0</v>
      </c>
      <c r="D108" s="88">
        <f t="shared" ref="D108:AA108" si="55">+D19</f>
        <v>0</v>
      </c>
      <c r="E108" s="88">
        <f t="shared" si="55"/>
        <v>0</v>
      </c>
      <c r="F108" s="88">
        <f t="shared" si="55"/>
        <v>0</v>
      </c>
      <c r="G108" s="88">
        <f t="shared" si="55"/>
        <v>4271000</v>
      </c>
      <c r="H108" s="88">
        <f t="shared" si="55"/>
        <v>4358982.5999999996</v>
      </c>
      <c r="I108" s="88">
        <f t="shared" si="55"/>
        <v>4604829.2186399996</v>
      </c>
      <c r="J108" s="88">
        <f t="shared" si="55"/>
        <v>4864541.5865712957</v>
      </c>
      <c r="K108" s="88">
        <f t="shared" si="55"/>
        <v>5138901.7320539178</v>
      </c>
      <c r="L108" s="88">
        <f t="shared" si="55"/>
        <v>5428735.7897417583</v>
      </c>
      <c r="M108" s="88">
        <f t="shared" si="55"/>
        <v>5734916.4882831937</v>
      </c>
      <c r="N108" s="88">
        <f t="shared" si="55"/>
        <v>6058365.7782223653</v>
      </c>
      <c r="O108" s="88">
        <f t="shared" si="55"/>
        <v>6400057.6081141066</v>
      </c>
      <c r="P108" s="88">
        <f t="shared" si="55"/>
        <v>6761020.8572117426</v>
      </c>
      <c r="Q108" s="88">
        <f t="shared" si="55"/>
        <v>7142342.4335584855</v>
      </c>
      <c r="R108" s="88">
        <f t="shared" si="55"/>
        <v>7545170.5468111839</v>
      </c>
      <c r="S108" s="88">
        <f t="shared" si="55"/>
        <v>7970718.1656513344</v>
      </c>
      <c r="T108" s="88">
        <f t="shared" si="55"/>
        <v>8420266.6701940708</v>
      </c>
      <c r="U108" s="88">
        <f t="shared" si="55"/>
        <v>8895169.7103930172</v>
      </c>
      <c r="V108" s="88">
        <f t="shared" si="55"/>
        <v>9396857.2820591833</v>
      </c>
      <c r="W108" s="88">
        <f t="shared" si="55"/>
        <v>9926840.0327673201</v>
      </c>
      <c r="X108" s="88">
        <f t="shared" si="55"/>
        <v>10486713.810615398</v>
      </c>
      <c r="Y108" s="88">
        <f t="shared" si="55"/>
        <v>11078164.469534107</v>
      </c>
      <c r="Z108" s="88">
        <f t="shared" si="55"/>
        <v>11702972.94561583</v>
      </c>
      <c r="AA108" s="88">
        <f t="shared" si="55"/>
        <v>12363020.619748564</v>
      </c>
      <c r="AE108" s="154" t="str">
        <f>B108</f>
        <v xml:space="preserve">PWD (Dept 28) Subtotal </v>
      </c>
      <c r="AF108" s="183"/>
      <c r="AG108" s="88">
        <f t="shared" ref="AG108:BE108" si="56">+AG19</f>
        <v>0</v>
      </c>
      <c r="AH108" s="88">
        <f t="shared" si="56"/>
        <v>0</v>
      </c>
      <c r="AI108" s="88">
        <f t="shared" si="56"/>
        <v>0</v>
      </c>
      <c r="AJ108" s="88">
        <f t="shared" si="56"/>
        <v>0</v>
      </c>
      <c r="AK108" s="88">
        <f t="shared" si="56"/>
        <v>3144623.285564173</v>
      </c>
      <c r="AL108" s="88">
        <f t="shared" si="56"/>
        <v>3209402.5252467948</v>
      </c>
      <c r="AM108" s="88">
        <f t="shared" si="56"/>
        <v>3390412.8276707139</v>
      </c>
      <c r="AN108" s="88">
        <f t="shared" si="56"/>
        <v>3581632.1111513423</v>
      </c>
      <c r="AO108" s="88">
        <f t="shared" si="56"/>
        <v>3783636.1622202788</v>
      </c>
      <c r="AP108" s="88">
        <f t="shared" si="56"/>
        <v>3997033.2417695019</v>
      </c>
      <c r="AQ108" s="88">
        <f t="shared" si="56"/>
        <v>4222465.9166053021</v>
      </c>
      <c r="AR108" s="88">
        <f t="shared" si="56"/>
        <v>4460612.9943018407</v>
      </c>
      <c r="AS108" s="88">
        <f t="shared" si="56"/>
        <v>4712191.567180464</v>
      </c>
      <c r="AT108" s="88">
        <f t="shared" si="56"/>
        <v>4977959.1715694433</v>
      </c>
      <c r="AU108" s="88">
        <f t="shared" si="56"/>
        <v>5258716.0688459603</v>
      </c>
      <c r="AV108" s="88">
        <f t="shared" si="56"/>
        <v>5555307.655128872</v>
      </c>
      <c r="AW108" s="88">
        <f t="shared" si="56"/>
        <v>5868627.0068781404</v>
      </c>
      <c r="AX108" s="88">
        <f t="shared" si="56"/>
        <v>6199617.5700660683</v>
      </c>
      <c r="AY108" s="88">
        <f t="shared" si="56"/>
        <v>6549276.0010177949</v>
      </c>
      <c r="AZ108" s="88">
        <f t="shared" si="56"/>
        <v>6918655.1674751984</v>
      </c>
      <c r="BA108" s="88">
        <f t="shared" si="56"/>
        <v>7308867.3189207986</v>
      </c>
      <c r="BB108" s="88">
        <f t="shared" si="56"/>
        <v>7721087.4357079323</v>
      </c>
      <c r="BC108" s="88">
        <f t="shared" si="56"/>
        <v>8156556.7670818605</v>
      </c>
      <c r="BD108" s="88">
        <f t="shared" si="56"/>
        <v>8616586.5687452778</v>
      </c>
      <c r="BE108" s="88">
        <f t="shared" si="56"/>
        <v>9102562.0512225125</v>
      </c>
    </row>
    <row r="109" spans="1:57" x14ac:dyDescent="0.35">
      <c r="A109" s="86"/>
      <c r="B109" s="65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81"/>
      <c r="AU109" s="81"/>
      <c r="AV109" s="81"/>
      <c r="AW109" s="81"/>
      <c r="AX109" s="81"/>
      <c r="AY109" s="81"/>
      <c r="AZ109" s="81"/>
      <c r="BA109" s="81"/>
      <c r="BB109" s="81"/>
      <c r="BC109" s="81"/>
      <c r="BD109" s="81"/>
      <c r="BE109" s="81"/>
    </row>
    <row r="110" spans="1:57" x14ac:dyDescent="0.35">
      <c r="A110" s="85">
        <f>MAX(A$6:A109)+1</f>
        <v>14</v>
      </c>
      <c r="B110" s="72" t="s">
        <v>266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E110" s="154" t="str">
        <f>B110</f>
        <v>OD Subtotal</v>
      </c>
      <c r="AF110" s="183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</row>
    <row r="111" spans="1:57" x14ac:dyDescent="0.35">
      <c r="A111" s="8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</row>
    <row r="112" spans="1:57" x14ac:dyDescent="0.35">
      <c r="A112" s="87"/>
      <c r="B112" t="s">
        <v>267</v>
      </c>
      <c r="C112" s="78">
        <f>C21-C108-C110</f>
        <v>0</v>
      </c>
      <c r="D112" s="78">
        <f t="shared" ref="D112:AA112" si="57">D21-D108-D110</f>
        <v>0</v>
      </c>
      <c r="E112" s="78">
        <f t="shared" si="57"/>
        <v>0</v>
      </c>
      <c r="F112" s="78">
        <f t="shared" si="57"/>
        <v>0</v>
      </c>
      <c r="G112" s="78">
        <f t="shared" si="57"/>
        <v>0</v>
      </c>
      <c r="H112" s="78">
        <f t="shared" si="57"/>
        <v>0</v>
      </c>
      <c r="I112" s="78">
        <f t="shared" si="57"/>
        <v>0</v>
      </c>
      <c r="J112" s="78">
        <f t="shared" si="57"/>
        <v>0</v>
      </c>
      <c r="K112" s="78">
        <f t="shared" si="57"/>
        <v>0</v>
      </c>
      <c r="L112" s="78">
        <f t="shared" si="57"/>
        <v>0</v>
      </c>
      <c r="M112" s="78">
        <f t="shared" si="57"/>
        <v>0</v>
      </c>
      <c r="N112" s="78">
        <f t="shared" si="57"/>
        <v>0</v>
      </c>
      <c r="O112" s="78">
        <f t="shared" si="57"/>
        <v>0</v>
      </c>
      <c r="P112" s="78">
        <f t="shared" si="57"/>
        <v>0</v>
      </c>
      <c r="Q112" s="78">
        <f t="shared" si="57"/>
        <v>0</v>
      </c>
      <c r="R112" s="78">
        <f t="shared" si="57"/>
        <v>0</v>
      </c>
      <c r="S112" s="78">
        <f t="shared" si="57"/>
        <v>0</v>
      </c>
      <c r="T112" s="78">
        <f t="shared" si="57"/>
        <v>0</v>
      </c>
      <c r="U112" s="78">
        <f t="shared" si="57"/>
        <v>0</v>
      </c>
      <c r="V112" s="78">
        <f t="shared" si="57"/>
        <v>0</v>
      </c>
      <c r="W112" s="78">
        <f t="shared" si="57"/>
        <v>0</v>
      </c>
      <c r="X112" s="78">
        <f t="shared" si="57"/>
        <v>0</v>
      </c>
      <c r="Y112" s="78">
        <f t="shared" si="57"/>
        <v>0</v>
      </c>
      <c r="Z112" s="78">
        <f t="shared" si="57"/>
        <v>0</v>
      </c>
      <c r="AA112" s="78">
        <f t="shared" si="57"/>
        <v>0</v>
      </c>
      <c r="AE112" t="str">
        <f>B112</f>
        <v xml:space="preserve">Check </v>
      </c>
      <c r="AG112" s="78">
        <f t="shared" ref="AG112:BE112" si="58">AG21-AG108-AG110</f>
        <v>0</v>
      </c>
      <c r="AH112" s="78">
        <f t="shared" si="58"/>
        <v>0</v>
      </c>
      <c r="AI112" s="78">
        <f t="shared" si="58"/>
        <v>0</v>
      </c>
      <c r="AJ112" s="78">
        <f t="shared" si="58"/>
        <v>0</v>
      </c>
      <c r="AK112" s="78">
        <f t="shared" si="58"/>
        <v>0</v>
      </c>
      <c r="AL112" s="78">
        <f t="shared" si="58"/>
        <v>0</v>
      </c>
      <c r="AM112" s="78">
        <f t="shared" si="58"/>
        <v>0</v>
      </c>
      <c r="AN112" s="78">
        <f t="shared" si="58"/>
        <v>0</v>
      </c>
      <c r="AO112" s="78">
        <f t="shared" si="58"/>
        <v>0</v>
      </c>
      <c r="AP112" s="78">
        <f t="shared" si="58"/>
        <v>0</v>
      </c>
      <c r="AQ112" s="78">
        <f t="shared" si="58"/>
        <v>0</v>
      </c>
      <c r="AR112" s="78">
        <f t="shared" si="58"/>
        <v>0</v>
      </c>
      <c r="AS112" s="78">
        <f t="shared" si="58"/>
        <v>0</v>
      </c>
      <c r="AT112" s="78">
        <f t="shared" si="58"/>
        <v>0</v>
      </c>
      <c r="AU112" s="78">
        <f t="shared" si="58"/>
        <v>0</v>
      </c>
      <c r="AV112" s="78">
        <f t="shared" si="58"/>
        <v>0</v>
      </c>
      <c r="AW112" s="78">
        <f t="shared" si="58"/>
        <v>0</v>
      </c>
      <c r="AX112" s="78">
        <f t="shared" si="58"/>
        <v>0</v>
      </c>
      <c r="AY112" s="78">
        <f t="shared" si="58"/>
        <v>0</v>
      </c>
      <c r="AZ112" s="78">
        <f t="shared" si="58"/>
        <v>0</v>
      </c>
      <c r="BA112" s="78">
        <f t="shared" si="58"/>
        <v>0</v>
      </c>
      <c r="BB112" s="78">
        <f t="shared" si="58"/>
        <v>0</v>
      </c>
      <c r="BC112" s="78">
        <f t="shared" si="58"/>
        <v>0</v>
      </c>
      <c r="BD112" s="78">
        <f t="shared" si="58"/>
        <v>0</v>
      </c>
      <c r="BE112" s="78">
        <f t="shared" si="58"/>
        <v>0</v>
      </c>
    </row>
  </sheetData>
  <mergeCells count="1">
    <mergeCell ref="AC1:AE1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0C626B8-6EC6-4B0C-8C72-8A7FA41EEC27}">
          <x14:formula1>
            <xm:f>Assumptions!$B$6:$B$20</xm:f>
          </x14:formula1>
          <xm:sqref>AC6</xm:sqref>
        </x14:dataValidation>
        <x14:dataValidation type="list" allowBlank="1" showInputMessage="1" showErrorMessage="1" xr:uid="{8C35B281-676F-4012-B54D-3F348C7094EC}">
          <x14:formula1>
            <xm:f>Assumptions!$E$27:$E$193</xm:f>
          </x14:formula1>
          <xm:sqref>AD15:AD17 AE14:AE16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BE112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4" sqref="B14"/>
    </sheetView>
  </sheetViews>
  <sheetFormatPr defaultRowHeight="14.5" x14ac:dyDescent="0.35"/>
  <cols>
    <col min="1" max="1" width="10.54296875" customWidth="1"/>
    <col min="2" max="2" width="30.54296875" customWidth="1"/>
    <col min="3" max="29" width="12.54296875" customWidth="1"/>
    <col min="30" max="30" width="38.26953125" bestFit="1" customWidth="1"/>
    <col min="31" max="32" width="12.54296875" customWidth="1"/>
    <col min="33" max="33" width="7.1796875" customWidth="1"/>
    <col min="34" max="38" width="11.7265625" bestFit="1" customWidth="1"/>
    <col min="39" max="42" width="12.1796875" customWidth="1"/>
    <col min="43" max="57" width="12.81640625" customWidth="1"/>
  </cols>
  <sheetData>
    <row r="1" spans="1:57" ht="19" thickTop="1" x14ac:dyDescent="0.45">
      <c r="A1" s="12" t="s">
        <v>71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B2" s="45"/>
      <c r="AF2" t="s">
        <v>2</v>
      </c>
    </row>
    <row r="3" spans="1:57" ht="16.5" thickTop="1" x14ac:dyDescent="0.5">
      <c r="A3" s="22" t="s">
        <v>3</v>
      </c>
      <c r="B3" s="23" t="s">
        <v>72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50">
        <v>1</v>
      </c>
      <c r="B6" s="32" t="s">
        <v>73</v>
      </c>
      <c r="C6" s="5"/>
      <c r="D6" s="5">
        <v>0</v>
      </c>
      <c r="E6" s="5">
        <v>0</v>
      </c>
      <c r="F6" s="5">
        <v>0</v>
      </c>
      <c r="G6" s="5">
        <v>0</v>
      </c>
      <c r="H6" s="112">
        <f>SUMIF(Assumptions!$B$6:$B$20,$AC$6,Assumptions!F$6:F$20)</f>
        <v>3.3799999999999997E-2</v>
      </c>
      <c r="I6" s="112">
        <f>SUMIF(Assumptions!$B$6:$B$20,$AC$6,Assumptions!G$6:G$20)</f>
        <v>4.1799999999999997E-2</v>
      </c>
      <c r="J6" s="112">
        <f>SUMIF(Assumptions!$B$6:$B$20,$AC$6,Assumptions!H$6:H$20)</f>
        <v>4.1799999999999997E-2</v>
      </c>
      <c r="K6" s="112">
        <f>SUMIF(Assumptions!$B$6:$B$20,$AC$6,Assumptions!I$6:I$20)</f>
        <v>4.1799999999999997E-2</v>
      </c>
      <c r="L6" s="112">
        <f>SUMIF(Assumptions!$B$6:$B$20,$AC$6,Assumptions!J$6:J$20)</f>
        <v>4.1799999999999997E-2</v>
      </c>
      <c r="M6" s="112">
        <f>SUMIF(Assumptions!$B$6:$B$20,$AC$6,Assumptions!K$6:K$20)</f>
        <v>4.1799999999999997E-2</v>
      </c>
      <c r="N6" s="112">
        <f>SUMIF(Assumptions!$B$6:$B$20,$AC$6,Assumptions!L$6:L$20)</f>
        <v>4.1799999999999997E-2</v>
      </c>
      <c r="O6" s="112">
        <f>SUMIF(Assumptions!$B$6:$B$20,$AC$6,Assumptions!M$6:M$20)</f>
        <v>4.1799999999999997E-2</v>
      </c>
      <c r="P6" s="112">
        <f>SUMIF(Assumptions!$B$6:$B$20,$AC$6,Assumptions!N$6:N$20)</f>
        <v>4.1799999999999997E-2</v>
      </c>
      <c r="Q6" s="112">
        <f>SUMIF(Assumptions!$B$6:$B$20,$AC$6,Assumptions!O$6:O$20)</f>
        <v>4.1799999999999997E-2</v>
      </c>
      <c r="R6" s="112">
        <f>SUMIF(Assumptions!$B$6:$B$20,$AC$6,Assumptions!P$6:P$20)</f>
        <v>4.1799999999999997E-2</v>
      </c>
      <c r="S6" s="112">
        <f>SUMIF(Assumptions!$B$6:$B$20,$AC$6,Assumptions!Q$6:Q$20)</f>
        <v>4.1799999999999997E-2</v>
      </c>
      <c r="T6" s="112">
        <f>SUMIF(Assumptions!$B$6:$B$20,$AC$6,Assumptions!R$6:R$20)</f>
        <v>4.1799999999999997E-2</v>
      </c>
      <c r="U6" s="112">
        <f>SUMIF(Assumptions!$B$6:$B$20,$AC$6,Assumptions!S$6:S$20)</f>
        <v>4.1799999999999997E-2</v>
      </c>
      <c r="V6" s="112">
        <f>SUMIF(Assumptions!$B$6:$B$20,$AC$6,Assumptions!T$6:T$20)</f>
        <v>4.1799999999999997E-2</v>
      </c>
      <c r="W6" s="112">
        <f>SUMIF(Assumptions!$B$6:$B$20,$AC$6,Assumptions!U$6:U$20)</f>
        <v>4.1799999999999997E-2</v>
      </c>
      <c r="X6" s="112">
        <f>SUMIF(Assumptions!$B$6:$B$20,$AC$6,Assumptions!V$6:V$20)</f>
        <v>4.1799999999999997E-2</v>
      </c>
      <c r="Y6" s="112">
        <f>SUMIF(Assumptions!$B$6:$B$20,$AC$6,Assumptions!W$6:W$20)</f>
        <v>4.1799999999999997E-2</v>
      </c>
      <c r="Z6" s="112">
        <f>SUMIF(Assumptions!$B$6:$B$20,$AC$6,Assumptions!X$6:X$20)</f>
        <v>4.1799999999999997E-2</v>
      </c>
      <c r="AA6" s="112">
        <f>SUMIF(Assumptions!$B$6:$B$20,$AC$6,Assumptions!Y$6:Y$20)</f>
        <v>4.1799999999999997E-2</v>
      </c>
      <c r="AC6" s="172" t="s">
        <v>74</v>
      </c>
    </row>
    <row r="7" spans="1:57" x14ac:dyDescent="0.35">
      <c r="A7" s="57">
        <f>MAX(A$6:A6)+1</f>
        <v>2</v>
      </c>
      <c r="B7" s="17" t="s">
        <v>47</v>
      </c>
      <c r="C7" s="73"/>
      <c r="D7" s="73">
        <v>0</v>
      </c>
      <c r="E7" s="73">
        <v>0</v>
      </c>
      <c r="F7" s="73">
        <f>+(1+D6)*(1+E6)*(1+F6)-1</f>
        <v>0</v>
      </c>
      <c r="G7" s="73">
        <f>+(1+D6)*(1+E6)*(1+F6)*(1+G6)-1</f>
        <v>0</v>
      </c>
      <c r="H7" s="73">
        <f>+(1+D6)*(1+E6)*(1+F6)*(1+G6)*(1+H6)-1</f>
        <v>3.3800000000000052E-2</v>
      </c>
      <c r="I7" s="73">
        <f>+(1+D6)*(1+E6)*(1+F6)*(1+G6)*(1+H6)*(1+I6)-1</f>
        <v>7.7012840000000082E-2</v>
      </c>
      <c r="J7" s="73">
        <f>+(1+D6)*(1+E6)*(1+F6)*(1+G6)*(1+H6)*(1+I6)*(1+J6)-1</f>
        <v>0.12203197671200017</v>
      </c>
      <c r="K7" s="73">
        <f>+(1+D6)*(1+E6)*(1+F6)*(1+G6)*(1+H6)*(1+I6)*(1+J6)*(1+K6)-1</f>
        <v>0.16893291333856175</v>
      </c>
      <c r="L7" s="73">
        <f>+(1+D6)*(1+E6)*(1+F6)*(1+G6)*(1+H6)*(1+I6)*(1+J6)*(1+K6)*(1+L6)-1</f>
        <v>0.21779430911611364</v>
      </c>
      <c r="M7" s="73">
        <f>+(1+D6)*(1+E6)*(1+F6)*(1+G6)*(1+H6)*(1+I6)*(1+J6)*(1+K6)*(1+L6)*(1+M6)-1</f>
        <v>0.26869811123716736</v>
      </c>
      <c r="N7" s="73">
        <f>+(1+D6)*(1+E6)*(1+F6)*(1+G6)*(1+H6)*(1+I6)*(1+J6)*(1+K6)*(1+L6)*(1+M6)*(1+N6)-1</f>
        <v>0.32172969228688109</v>
      </c>
      <c r="O7" s="73">
        <f>+(1+D6)*(1+E6)*(1+F6)*(1+G6)*(1+H6)*(1+I6)*(1+J6)*(1+K6)*(1+L6)*(1+M6)*(1+N6)*(1+O6)-1</f>
        <v>0.3769779934244728</v>
      </c>
      <c r="P7" s="73">
        <f>+(1+D6)*(1+E6)*(1+F6)*(1+G6)*(1+H6)*(1+I6)*(1+J6)*(1+K6)*(1+L6)*(1+M6)*(1+N6)*(1+O6)*(1+P6)-1</f>
        <v>0.43453567354961575</v>
      </c>
      <c r="Q7" s="73">
        <f>+(1+D6)*(1+E6)*(1+F6)*(1+G6)*(1+H6)*(1+I6)*(1+J6)*(1+K6)*(1+L6)*(1+M6)*(1+N6)*(1+O6)*(1+P6)*(1+Q6)-1</f>
        <v>0.49449926470398986</v>
      </c>
      <c r="R7" s="73">
        <f>+(1+D6)*(1+E6)*(1+F6)*(1+G6)*(1+H6)*(1+I6)*(1+J6)*(1+K6)*(1+L6)*(1+M6)*(1+N6)*(1+O6)*(1+P6)*(1+Q6)*(1+R6)-1</f>
        <v>0.55696933396861681</v>
      </c>
      <c r="S7" s="73">
        <f>+(1+D6)*(1+E6)*(1+F6)*(1+G6)*(1+H6)*(1+I6)*(1+J6)*(1+K6)*(1+L6)*(1+M6)*(1+N6)*(1+O6)*(1+P6)*(1+Q6)*(1+R6)*(1+S6)-1</f>
        <v>0.62205065212850519</v>
      </c>
      <c r="T7" s="73">
        <f>+(1+D6)*(1+E6)*(1+F6)*(1+G6)*(1+H6)*(1+I6)*(1+J6)*(1+K6)*(1+L6)*(1+M6)*(1+N6)*(1+O6)*(1+P6)*(1+Q6)*(1+R6)*(1+S6)*(1+T6)-1</f>
        <v>0.68985236938747674</v>
      </c>
      <c r="U7" s="73">
        <f>+(1+D6)*(1+E6)*(1+F6)*(1+G6)*(1+H6)*(1+I6)*(1+J6)*(1+K6)*(1+L6)*(1+M6)*(1+N6)*(1+O6)*(1+P6)*(1+Q6)*(1+R6)*(1+S6)*(1+T6)*(1+U6)-1</f>
        <v>0.7604881984278733</v>
      </c>
      <c r="V7" s="73">
        <f>+(1+D6)*(1+E6)*(1+F6)*(1+G6)*(1+H6)*(1+I6)*(1+J6)*(1+K6)*(1+L6)*(1+M6)*(1+N6)*(1+O6)*(1+P6)*(1+Q6)*(1+R6)*(1+S6)*(1+T6)*(1+U6)*(1+V6)-1</f>
        <v>0.83407660512215842</v>
      </c>
      <c r="W7" s="73">
        <f>+(1+D6)*(1+E6)*(1+F6)*(1+G6)*(1+H6)*(1+I6)*(1+J6)*(1+K6)*(1+L6)*(1+M6)*(1+N6)*(1+O6)*(1+P6)*(1+Q6)*(1+R6)*(1+S6)*(1+T6)*(1+U6)*(1+V6)*(1+W6)-1</f>
        <v>0.91074100721626472</v>
      </c>
      <c r="X7" s="73">
        <f>+(1+D6)*(1+E6)*(1+F6)*(1+G6)*(1+H6)*(1+I6)*(1+J6)*(1+K6)*(1+L6)*(1+M6)*(1+N6)*(1+O6)*(1+P6)*(1+Q6)*(1+R6)*(1+S6)*(1+T6)*(1+U6)*(1+V6)*(1+W6)*(1+X6)-1</f>
        <v>0.99060998131790479</v>
      </c>
      <c r="Y7" s="73">
        <f>+(1+D6)*(1+E6)*(1+F6)*(1+G6)*(1+H6)*(1+I6)*(1+J6)*(1+K6)*(1+L6)*(1+M6)*(1+N6)*(1+O6)*(1+P6)*(1+Q6)*(1+R6)*(1+S6)*(1+T6)*(1+U6)*(1+V6)*(1+W6)*(1+X6)*(1+Y6)-1</f>
        <v>1.0738174785369932</v>
      </c>
      <c r="Z7" s="73">
        <f>+(1+D6)*(1+E6)*(1+F6)*(1+G6)*(1+H6)*(1+I6)*(1+J6)*(1+K6)*(1+L6)*(1+M6)*(1+N6)*(1+O6)*(1+P6)*(1+Q6)*(1+R6)*(1+S6)*(1+T6)*(1+U6)*(1+V6)*(1+W6)*(1+X6)*(1+Y6)*(1+Z6)-1</f>
        <v>1.1605030491398396</v>
      </c>
      <c r="AA7" s="73">
        <f>+(1+D6)*(1+E6)*(1+F6)*(1+G6)*(1+H6)*(1+I6)*(1+J6)*(1+K6)*(1+L6)*(1+M6)*(1+N6)*(1+O6)*(1+P6)*(1+Q6)*(1+R6)*(1+S6)*(1+T6)*(1+U6)*(1+V6)*(1+W6)*(1+X6)*(1+Y6)*(1+Z6)*(1+AA6)-1</f>
        <v>1.2508120765938848</v>
      </c>
    </row>
    <row r="8" spans="1:57" ht="15.5" x14ac:dyDescent="0.35">
      <c r="A8" s="10"/>
      <c r="B8" s="31" t="s">
        <v>215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1:57" x14ac:dyDescent="0.35">
      <c r="A9" s="46"/>
      <c r="B9" s="19" t="s">
        <v>253</v>
      </c>
      <c r="C9" s="19"/>
      <c r="D9" s="19"/>
      <c r="E9" s="19"/>
      <c r="F9" s="100"/>
      <c r="G9" s="100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</row>
    <row r="10" spans="1:57" x14ac:dyDescent="0.35">
      <c r="A10" s="48">
        <f>MAX(A$6:A9)+1</f>
        <v>3</v>
      </c>
      <c r="B10" s="62" t="s">
        <v>254</v>
      </c>
      <c r="C10" s="6"/>
      <c r="D10" s="6"/>
      <c r="E10" s="6"/>
      <c r="F10" s="6"/>
      <c r="G10" s="6">
        <v>566000</v>
      </c>
      <c r="H10" s="6">
        <f t="shared" ref="H10" si="32">G10</f>
        <v>566000</v>
      </c>
      <c r="I10" s="6">
        <f t="shared" ref="I10" si="33">H10</f>
        <v>566000</v>
      </c>
      <c r="J10" s="6">
        <f t="shared" ref="J10" si="34">I10</f>
        <v>566000</v>
      </c>
      <c r="K10" s="6">
        <f t="shared" ref="K10" si="35">J10</f>
        <v>566000</v>
      </c>
      <c r="L10" s="6">
        <f t="shared" ref="L10" si="36">K10</f>
        <v>566000</v>
      </c>
      <c r="M10" s="6">
        <f t="shared" ref="M10" si="37">L10</f>
        <v>566000</v>
      </c>
      <c r="N10" s="6">
        <f t="shared" ref="N10" si="38">M10</f>
        <v>566000</v>
      </c>
      <c r="O10" s="6">
        <f t="shared" ref="O10" si="39">N10</f>
        <v>566000</v>
      </c>
      <c r="P10" s="6">
        <f t="shared" ref="P10" si="40">O10</f>
        <v>566000</v>
      </c>
      <c r="Q10" s="6">
        <f t="shared" ref="Q10" si="41">P10</f>
        <v>566000</v>
      </c>
      <c r="R10" s="6">
        <f t="shared" ref="R10" si="42">Q10</f>
        <v>566000</v>
      </c>
      <c r="S10" s="6">
        <f t="shared" ref="S10" si="43">R10</f>
        <v>566000</v>
      </c>
      <c r="T10" s="6">
        <f t="shared" ref="T10" si="44">S10</f>
        <v>566000</v>
      </c>
      <c r="U10" s="6">
        <f t="shared" ref="U10" si="45">T10</f>
        <v>566000</v>
      </c>
      <c r="V10" s="6">
        <f t="shared" ref="V10" si="46">U10</f>
        <v>566000</v>
      </c>
      <c r="W10" s="6">
        <f t="shared" ref="W10" si="47">V10</f>
        <v>566000</v>
      </c>
      <c r="X10" s="6">
        <f t="shared" ref="X10" si="48">W10</f>
        <v>566000</v>
      </c>
      <c r="Y10" s="6">
        <f t="shared" ref="Y10" si="49">X10</f>
        <v>566000</v>
      </c>
      <c r="Z10" s="6">
        <f t="shared" ref="Z10" si="50">Y10</f>
        <v>566000</v>
      </c>
      <c r="AA10" s="6">
        <f t="shared" ref="AA10" si="51">Z10</f>
        <v>566000</v>
      </c>
      <c r="AB10" s="1"/>
      <c r="AE10" s="1"/>
    </row>
    <row r="11" spans="1:57" x14ac:dyDescent="0.35">
      <c r="A11" s="46">
        <f>MAX(A$6:A10)+1</f>
        <v>4</v>
      </c>
      <c r="B11" s="19" t="s">
        <v>25</v>
      </c>
      <c r="C11" s="20">
        <f t="shared" ref="C11:H11" si="52">SUM(C10:C10)</f>
        <v>0</v>
      </c>
      <c r="D11" s="20">
        <f t="shared" si="52"/>
        <v>0</v>
      </c>
      <c r="E11" s="20">
        <f t="shared" si="52"/>
        <v>0</v>
      </c>
      <c r="F11" s="20">
        <f t="shared" si="52"/>
        <v>0</v>
      </c>
      <c r="G11" s="20">
        <f t="shared" si="52"/>
        <v>566000</v>
      </c>
      <c r="H11" s="20">
        <f t="shared" si="52"/>
        <v>566000</v>
      </c>
      <c r="I11" s="20">
        <f t="shared" ref="I11:L11" si="53">SUM(I10:I10)</f>
        <v>566000</v>
      </c>
      <c r="J11" s="20">
        <f t="shared" si="53"/>
        <v>566000</v>
      </c>
      <c r="K11" s="20">
        <f t="shared" si="53"/>
        <v>566000</v>
      </c>
      <c r="L11" s="20">
        <f t="shared" si="53"/>
        <v>566000</v>
      </c>
      <c r="M11" s="20">
        <f t="shared" ref="M11:AA11" si="54">SUM(M10:M10)</f>
        <v>566000</v>
      </c>
      <c r="N11" s="20">
        <f t="shared" si="54"/>
        <v>566000</v>
      </c>
      <c r="O11" s="20">
        <f t="shared" si="54"/>
        <v>566000</v>
      </c>
      <c r="P11" s="20">
        <f t="shared" si="54"/>
        <v>566000</v>
      </c>
      <c r="Q11" s="20">
        <f t="shared" si="54"/>
        <v>566000</v>
      </c>
      <c r="R11" s="20">
        <f t="shared" si="54"/>
        <v>566000</v>
      </c>
      <c r="S11" s="20">
        <f t="shared" si="54"/>
        <v>566000</v>
      </c>
      <c r="T11" s="20">
        <f t="shared" si="54"/>
        <v>566000</v>
      </c>
      <c r="U11" s="20">
        <f t="shared" si="54"/>
        <v>566000</v>
      </c>
      <c r="V11" s="20">
        <f t="shared" si="54"/>
        <v>566000</v>
      </c>
      <c r="W11" s="20">
        <f t="shared" si="54"/>
        <v>566000</v>
      </c>
      <c r="X11" s="20">
        <f t="shared" si="54"/>
        <v>566000</v>
      </c>
      <c r="Y11" s="20">
        <f t="shared" si="54"/>
        <v>566000</v>
      </c>
      <c r="Z11" s="20">
        <f t="shared" si="54"/>
        <v>566000</v>
      </c>
      <c r="AA11" s="20">
        <f t="shared" si="54"/>
        <v>566000</v>
      </c>
    </row>
    <row r="12" spans="1:57" x14ac:dyDescent="0.35">
      <c r="A12" s="48" t="s">
        <v>75</v>
      </c>
      <c r="B12" s="17"/>
      <c r="C12" s="17"/>
      <c r="D12" s="17"/>
      <c r="E12" s="17"/>
      <c r="F12" s="18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57" ht="14.15" customHeight="1" x14ac:dyDescent="0.35">
      <c r="A13" s="48">
        <f>MAX(A$6:A12)+1</f>
        <v>5</v>
      </c>
      <c r="B13" s="34" t="s">
        <v>76</v>
      </c>
      <c r="C13" s="35">
        <f t="shared" ref="C13" si="55">+C11*(1+C$7)</f>
        <v>0</v>
      </c>
      <c r="D13" s="35">
        <f t="shared" ref="D13:L13" si="56">+D11*(1+D$7)</f>
        <v>0</v>
      </c>
      <c r="E13" s="35">
        <f t="shared" si="56"/>
        <v>0</v>
      </c>
      <c r="F13" s="35">
        <f t="shared" si="56"/>
        <v>0</v>
      </c>
      <c r="G13" s="35">
        <f t="shared" si="56"/>
        <v>566000</v>
      </c>
      <c r="H13" s="35">
        <f t="shared" si="56"/>
        <v>585130.80000000005</v>
      </c>
      <c r="I13" s="35">
        <f t="shared" si="56"/>
        <v>609589.26744000008</v>
      </c>
      <c r="J13" s="35">
        <f t="shared" si="56"/>
        <v>635070.09881899215</v>
      </c>
      <c r="K13" s="35">
        <f t="shared" si="56"/>
        <v>661616.02894962591</v>
      </c>
      <c r="L13" s="35">
        <f t="shared" si="56"/>
        <v>689271.57895972033</v>
      </c>
      <c r="M13" s="35">
        <f t="shared" ref="M13:AA13" si="57">+M11*(1+M$7)</f>
        <v>718083.13096023677</v>
      </c>
      <c r="N13" s="35">
        <f t="shared" si="57"/>
        <v>748099.00583437469</v>
      </c>
      <c r="O13" s="35">
        <f t="shared" si="57"/>
        <v>779369.54427825159</v>
      </c>
      <c r="P13" s="35">
        <f t="shared" si="57"/>
        <v>811947.19122908253</v>
      </c>
      <c r="Q13" s="35">
        <f t="shared" si="57"/>
        <v>845886.58382245828</v>
      </c>
      <c r="R13" s="35">
        <f t="shared" si="57"/>
        <v>881244.64302623714</v>
      </c>
      <c r="S13" s="35">
        <f t="shared" si="57"/>
        <v>918080.66910473397</v>
      </c>
      <c r="T13" s="35">
        <f t="shared" si="57"/>
        <v>956456.44107331184</v>
      </c>
      <c r="U13" s="35">
        <f t="shared" si="57"/>
        <v>996436.32031017623</v>
      </c>
      <c r="V13" s="35">
        <f t="shared" si="57"/>
        <v>1038087.3584991416</v>
      </c>
      <c r="W13" s="35">
        <f t="shared" si="57"/>
        <v>1081479.4100844059</v>
      </c>
      <c r="X13" s="35">
        <f t="shared" si="57"/>
        <v>1126685.2494259342</v>
      </c>
      <c r="Y13" s="35">
        <f t="shared" si="57"/>
        <v>1173780.6928519381</v>
      </c>
      <c r="Z13" s="35">
        <f t="shared" si="57"/>
        <v>1222844.7258131492</v>
      </c>
      <c r="AA13" s="35">
        <f t="shared" si="57"/>
        <v>1273959.6353521389</v>
      </c>
      <c r="AD13" s="172" t="s">
        <v>268</v>
      </c>
      <c r="AF13" s="173">
        <f>SUMIF(Assumptions!$E$27:$E$193,AD13,Assumptions!$D$27:$D$193)</f>
        <v>0.98695021889051515</v>
      </c>
      <c r="AH13" s="105">
        <f t="shared" ref="AH13:AP13" si="58">+D13*$AF13</f>
        <v>0</v>
      </c>
      <c r="AI13" s="105">
        <f t="shared" si="58"/>
        <v>0</v>
      </c>
      <c r="AJ13" s="105">
        <f t="shared" si="58"/>
        <v>0</v>
      </c>
      <c r="AK13" s="105">
        <f t="shared" si="58"/>
        <v>558613.82389203156</v>
      </c>
      <c r="AL13" s="105">
        <f t="shared" si="58"/>
        <v>577494.97113958234</v>
      </c>
      <c r="AM13" s="105">
        <f t="shared" si="58"/>
        <v>601634.26093321689</v>
      </c>
      <c r="AN13" s="105">
        <f t="shared" si="58"/>
        <v>626782.57304022543</v>
      </c>
      <c r="AO13" s="105">
        <f t="shared" si="58"/>
        <v>652982.08459330664</v>
      </c>
      <c r="AP13" s="105">
        <f t="shared" si="58"/>
        <v>680276.73572930694</v>
      </c>
      <c r="AQ13" s="105">
        <f t="shared" ref="AQ13:BE13" si="59">+M13*$AF13</f>
        <v>708712.3032827921</v>
      </c>
      <c r="AR13" s="105">
        <f t="shared" si="59"/>
        <v>738336.47756001283</v>
      </c>
      <c r="AS13" s="105">
        <f t="shared" si="59"/>
        <v>769198.94232202147</v>
      </c>
      <c r="AT13" s="105">
        <f t="shared" si="59"/>
        <v>801351.45811108197</v>
      </c>
      <c r="AU13" s="105">
        <f t="shared" si="59"/>
        <v>834847.94906012528</v>
      </c>
      <c r="AV13" s="105">
        <f t="shared" si="59"/>
        <v>869744.5933308386</v>
      </c>
      <c r="AW13" s="105">
        <f t="shared" si="59"/>
        <v>906099.91733206785</v>
      </c>
      <c r="AX13" s="105">
        <f t="shared" si="59"/>
        <v>943974.89387654827</v>
      </c>
      <c r="AY13" s="105">
        <f t="shared" si="59"/>
        <v>983433.04444058787</v>
      </c>
      <c r="AZ13" s="105">
        <f t="shared" si="59"/>
        <v>1024540.5456982045</v>
      </c>
      <c r="BA13" s="105">
        <f t="shared" si="59"/>
        <v>1067366.3405083895</v>
      </c>
      <c r="BB13" s="105">
        <f t="shared" si="59"/>
        <v>1111982.2535416405</v>
      </c>
      <c r="BC13" s="105">
        <f t="shared" si="59"/>
        <v>1158463.1117396809</v>
      </c>
      <c r="BD13" s="105">
        <f t="shared" si="59"/>
        <v>1206886.8698103996</v>
      </c>
      <c r="BE13" s="105">
        <f t="shared" si="59"/>
        <v>1257334.7409684744</v>
      </c>
    </row>
    <row r="14" spans="1:57" ht="15.5" x14ac:dyDescent="0.35">
      <c r="A14" s="10"/>
      <c r="B14" s="31" t="s">
        <v>78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5" spans="1:57" x14ac:dyDescent="0.35">
      <c r="A15" s="46"/>
      <c r="B15" s="19" t="s">
        <v>253</v>
      </c>
      <c r="C15" s="19"/>
      <c r="D15" s="19"/>
      <c r="E15" s="19"/>
      <c r="F15" s="100"/>
      <c r="G15" s="100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57" x14ac:dyDescent="0.35">
      <c r="A16" s="48">
        <f>MAX(A$6:A15)+1</f>
        <v>6</v>
      </c>
      <c r="B16" s="62" t="s">
        <v>86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1"/>
    </row>
    <row r="17" spans="1:57" x14ac:dyDescent="0.35">
      <c r="A17" s="46"/>
      <c r="B17" s="19"/>
      <c r="C17" s="19"/>
      <c r="D17" s="19"/>
      <c r="E17" s="19"/>
      <c r="F17" s="19"/>
      <c r="G17" s="19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57" x14ac:dyDescent="0.35">
      <c r="A18" s="123">
        <f>MAX(A$6:A17)+1</f>
        <v>7</v>
      </c>
      <c r="B18" s="34" t="s">
        <v>76</v>
      </c>
      <c r="C18" s="35">
        <f t="shared" ref="C18:E18" si="60">+C16*(1+C$7)</f>
        <v>0</v>
      </c>
      <c r="D18" s="35">
        <f>+D16*(1+D$7)</f>
        <v>0</v>
      </c>
      <c r="E18" s="35">
        <f t="shared" si="60"/>
        <v>0</v>
      </c>
      <c r="F18" s="35">
        <f t="shared" ref="F18:L18" si="61">+F16*(1+F$7)</f>
        <v>0</v>
      </c>
      <c r="G18" s="35">
        <f t="shared" si="61"/>
        <v>0</v>
      </c>
      <c r="H18" s="35">
        <f t="shared" si="61"/>
        <v>0</v>
      </c>
      <c r="I18" s="35">
        <f t="shared" si="61"/>
        <v>0</v>
      </c>
      <c r="J18" s="35">
        <f t="shared" si="61"/>
        <v>0</v>
      </c>
      <c r="K18" s="35">
        <f t="shared" si="61"/>
        <v>0</v>
      </c>
      <c r="L18" s="35">
        <f t="shared" si="61"/>
        <v>0</v>
      </c>
      <c r="M18" s="35">
        <f t="shared" ref="M18:AA18" si="62">+M16*(1+M$7)</f>
        <v>0</v>
      </c>
      <c r="N18" s="35">
        <f t="shared" si="62"/>
        <v>0</v>
      </c>
      <c r="O18" s="35">
        <f t="shared" si="62"/>
        <v>0</v>
      </c>
      <c r="P18" s="35">
        <f t="shared" si="62"/>
        <v>0</v>
      </c>
      <c r="Q18" s="35">
        <f t="shared" si="62"/>
        <v>0</v>
      </c>
      <c r="R18" s="35">
        <f t="shared" si="62"/>
        <v>0</v>
      </c>
      <c r="S18" s="35">
        <f t="shared" si="62"/>
        <v>0</v>
      </c>
      <c r="T18" s="35">
        <f t="shared" si="62"/>
        <v>0</v>
      </c>
      <c r="U18" s="35">
        <f t="shared" si="62"/>
        <v>0</v>
      </c>
      <c r="V18" s="35">
        <f t="shared" si="62"/>
        <v>0</v>
      </c>
      <c r="W18" s="35">
        <f t="shared" si="62"/>
        <v>0</v>
      </c>
      <c r="X18" s="35">
        <f t="shared" si="62"/>
        <v>0</v>
      </c>
      <c r="Y18" s="35">
        <f t="shared" si="62"/>
        <v>0</v>
      </c>
      <c r="Z18" s="35">
        <f t="shared" si="62"/>
        <v>0</v>
      </c>
      <c r="AA18" s="35">
        <f t="shared" si="62"/>
        <v>0</v>
      </c>
    </row>
    <row r="19" spans="1:57" x14ac:dyDescent="0.35">
      <c r="A19" s="46"/>
      <c r="B19" s="19"/>
      <c r="C19" s="19"/>
      <c r="D19" s="19"/>
      <c r="E19" s="19"/>
      <c r="F19" s="19"/>
      <c r="G19" s="19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57" x14ac:dyDescent="0.35">
      <c r="A20" s="123">
        <f>MAX(A$6:A19)+1</f>
        <v>8</v>
      </c>
      <c r="B20" s="29" t="s">
        <v>15</v>
      </c>
      <c r="C20" s="35">
        <f t="shared" ref="C20:H20" si="63">+C18+C13</f>
        <v>0</v>
      </c>
      <c r="D20" s="35">
        <f t="shared" si="63"/>
        <v>0</v>
      </c>
      <c r="E20" s="35">
        <f t="shared" si="63"/>
        <v>0</v>
      </c>
      <c r="F20" s="35">
        <f t="shared" si="63"/>
        <v>0</v>
      </c>
      <c r="G20" s="35">
        <f t="shared" si="63"/>
        <v>566000</v>
      </c>
      <c r="H20" s="35">
        <f t="shared" si="63"/>
        <v>585130.80000000005</v>
      </c>
      <c r="I20" s="35">
        <f t="shared" ref="I20:L20" si="64">+I18+I13</f>
        <v>609589.26744000008</v>
      </c>
      <c r="J20" s="35">
        <f t="shared" si="64"/>
        <v>635070.09881899215</v>
      </c>
      <c r="K20" s="35">
        <f t="shared" si="64"/>
        <v>661616.02894962591</v>
      </c>
      <c r="L20" s="35">
        <f t="shared" si="64"/>
        <v>689271.57895972033</v>
      </c>
      <c r="M20" s="35">
        <f t="shared" ref="M20:AA20" si="65">+M18+M13</f>
        <v>718083.13096023677</v>
      </c>
      <c r="N20" s="35">
        <f t="shared" si="65"/>
        <v>748099.00583437469</v>
      </c>
      <c r="O20" s="35">
        <f t="shared" si="65"/>
        <v>779369.54427825159</v>
      </c>
      <c r="P20" s="35">
        <f t="shared" si="65"/>
        <v>811947.19122908253</v>
      </c>
      <c r="Q20" s="35">
        <f t="shared" si="65"/>
        <v>845886.58382245828</v>
      </c>
      <c r="R20" s="35">
        <f t="shared" si="65"/>
        <v>881244.64302623714</v>
      </c>
      <c r="S20" s="35">
        <f t="shared" si="65"/>
        <v>918080.66910473397</v>
      </c>
      <c r="T20" s="35">
        <f t="shared" si="65"/>
        <v>956456.44107331184</v>
      </c>
      <c r="U20" s="35">
        <f t="shared" si="65"/>
        <v>996436.32031017623</v>
      </c>
      <c r="V20" s="35">
        <f t="shared" si="65"/>
        <v>1038087.3584991416</v>
      </c>
      <c r="W20" s="35">
        <f t="shared" si="65"/>
        <v>1081479.4100844059</v>
      </c>
      <c r="X20" s="35">
        <f t="shared" si="65"/>
        <v>1126685.2494259342</v>
      </c>
      <c r="Y20" s="35">
        <f t="shared" si="65"/>
        <v>1173780.6928519381</v>
      </c>
      <c r="Z20" s="35">
        <f t="shared" si="65"/>
        <v>1222844.7258131492</v>
      </c>
      <c r="AA20" s="35">
        <f t="shared" si="65"/>
        <v>1273959.6353521389</v>
      </c>
      <c r="AG20" s="35">
        <f t="shared" ref="AG20:AL20" si="66">+AG18+AG13</f>
        <v>0</v>
      </c>
      <c r="AH20" s="35">
        <f t="shared" si="66"/>
        <v>0</v>
      </c>
      <c r="AI20" s="35">
        <f>+AI18+AI13</f>
        <v>0</v>
      </c>
      <c r="AJ20" s="35">
        <f t="shared" si="66"/>
        <v>0</v>
      </c>
      <c r="AK20" s="35">
        <f t="shared" si="66"/>
        <v>558613.82389203156</v>
      </c>
      <c r="AL20" s="35">
        <f t="shared" si="66"/>
        <v>577494.97113958234</v>
      </c>
      <c r="AM20" s="35">
        <f t="shared" ref="AM20:AP20" si="67">+AM18+AM13</f>
        <v>601634.26093321689</v>
      </c>
      <c r="AN20" s="35">
        <f t="shared" si="67"/>
        <v>626782.57304022543</v>
      </c>
      <c r="AO20" s="35">
        <f t="shared" si="67"/>
        <v>652982.08459330664</v>
      </c>
      <c r="AP20" s="35">
        <f t="shared" si="67"/>
        <v>680276.73572930694</v>
      </c>
      <c r="AQ20" s="35">
        <f t="shared" ref="AQ20:BE20" si="68">+AQ18+AQ13</f>
        <v>708712.3032827921</v>
      </c>
      <c r="AR20" s="35">
        <f t="shared" si="68"/>
        <v>738336.47756001283</v>
      </c>
      <c r="AS20" s="35">
        <f t="shared" si="68"/>
        <v>769198.94232202147</v>
      </c>
      <c r="AT20" s="35">
        <f t="shared" si="68"/>
        <v>801351.45811108197</v>
      </c>
      <c r="AU20" s="35">
        <f t="shared" si="68"/>
        <v>834847.94906012528</v>
      </c>
      <c r="AV20" s="35">
        <f t="shared" si="68"/>
        <v>869744.5933308386</v>
      </c>
      <c r="AW20" s="35">
        <f t="shared" si="68"/>
        <v>906099.91733206785</v>
      </c>
      <c r="AX20" s="35">
        <f t="shared" si="68"/>
        <v>943974.89387654827</v>
      </c>
      <c r="AY20" s="35">
        <f t="shared" si="68"/>
        <v>983433.04444058787</v>
      </c>
      <c r="AZ20" s="35">
        <f t="shared" si="68"/>
        <v>1024540.5456982045</v>
      </c>
      <c r="BA20" s="35">
        <f t="shared" si="68"/>
        <v>1067366.3405083895</v>
      </c>
      <c r="BB20" s="35">
        <f t="shared" si="68"/>
        <v>1111982.2535416405</v>
      </c>
      <c r="BC20" s="35">
        <f t="shared" si="68"/>
        <v>1158463.1117396809</v>
      </c>
      <c r="BD20" s="35">
        <f t="shared" si="68"/>
        <v>1206886.8698103996</v>
      </c>
      <c r="BE20" s="35">
        <f t="shared" si="68"/>
        <v>1257334.7409684744</v>
      </c>
    </row>
    <row r="21" spans="1:57" x14ac:dyDescent="0.35">
      <c r="A21" s="46"/>
      <c r="B21" s="19"/>
      <c r="C21" s="19"/>
      <c r="D21" s="19"/>
      <c r="E21" s="19"/>
      <c r="F21" s="19"/>
      <c r="G21" s="19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57" x14ac:dyDescent="0.35">
      <c r="A22" s="123">
        <f>MAX(A$6:A21)+1</f>
        <v>9</v>
      </c>
      <c r="B22" s="29" t="s">
        <v>59</v>
      </c>
      <c r="C22" s="35">
        <f>+C20</f>
        <v>0</v>
      </c>
      <c r="D22" s="35">
        <f t="shared" ref="D22:L22" si="69">+D20</f>
        <v>0</v>
      </c>
      <c r="E22" s="35">
        <f t="shared" si="69"/>
        <v>0</v>
      </c>
      <c r="F22" s="35">
        <f t="shared" si="69"/>
        <v>0</v>
      </c>
      <c r="G22" s="35">
        <f t="shared" si="69"/>
        <v>566000</v>
      </c>
      <c r="H22" s="35">
        <f t="shared" si="69"/>
        <v>585130.80000000005</v>
      </c>
      <c r="I22" s="35">
        <f t="shared" si="69"/>
        <v>609589.26744000008</v>
      </c>
      <c r="J22" s="35">
        <f t="shared" si="69"/>
        <v>635070.09881899215</v>
      </c>
      <c r="K22" s="35">
        <f t="shared" si="69"/>
        <v>661616.02894962591</v>
      </c>
      <c r="L22" s="35">
        <f t="shared" si="69"/>
        <v>689271.57895972033</v>
      </c>
      <c r="M22" s="35">
        <f t="shared" ref="M22:AA22" si="70">+M20</f>
        <v>718083.13096023677</v>
      </c>
      <c r="N22" s="35">
        <f t="shared" si="70"/>
        <v>748099.00583437469</v>
      </c>
      <c r="O22" s="35">
        <f t="shared" si="70"/>
        <v>779369.54427825159</v>
      </c>
      <c r="P22" s="35">
        <f t="shared" si="70"/>
        <v>811947.19122908253</v>
      </c>
      <c r="Q22" s="35">
        <f t="shared" si="70"/>
        <v>845886.58382245828</v>
      </c>
      <c r="R22" s="35">
        <f t="shared" si="70"/>
        <v>881244.64302623714</v>
      </c>
      <c r="S22" s="35">
        <f t="shared" si="70"/>
        <v>918080.66910473397</v>
      </c>
      <c r="T22" s="35">
        <f t="shared" si="70"/>
        <v>956456.44107331184</v>
      </c>
      <c r="U22" s="35">
        <f t="shared" si="70"/>
        <v>996436.32031017623</v>
      </c>
      <c r="V22" s="35">
        <f t="shared" si="70"/>
        <v>1038087.3584991416</v>
      </c>
      <c r="W22" s="35">
        <f t="shared" si="70"/>
        <v>1081479.4100844059</v>
      </c>
      <c r="X22" s="35">
        <f t="shared" si="70"/>
        <v>1126685.2494259342</v>
      </c>
      <c r="Y22" s="35">
        <f t="shared" si="70"/>
        <v>1173780.6928519381</v>
      </c>
      <c r="Z22" s="35">
        <f t="shared" si="70"/>
        <v>1222844.7258131492</v>
      </c>
      <c r="AA22" s="35">
        <f t="shared" si="70"/>
        <v>1273959.6353521389</v>
      </c>
      <c r="AG22" s="35">
        <f t="shared" ref="AG22:BE22" si="71">+AG20</f>
        <v>0</v>
      </c>
      <c r="AH22" s="35">
        <f t="shared" si="71"/>
        <v>0</v>
      </c>
      <c r="AI22" s="35">
        <f t="shared" si="71"/>
        <v>0</v>
      </c>
      <c r="AJ22" s="35">
        <f t="shared" si="71"/>
        <v>0</v>
      </c>
      <c r="AK22" s="35">
        <f t="shared" si="71"/>
        <v>558613.82389203156</v>
      </c>
      <c r="AL22" s="35">
        <f t="shared" si="71"/>
        <v>577494.97113958234</v>
      </c>
      <c r="AM22" s="35">
        <f t="shared" si="71"/>
        <v>601634.26093321689</v>
      </c>
      <c r="AN22" s="35">
        <f t="shared" si="71"/>
        <v>626782.57304022543</v>
      </c>
      <c r="AO22" s="35">
        <f t="shared" si="71"/>
        <v>652982.08459330664</v>
      </c>
      <c r="AP22" s="35">
        <f t="shared" si="71"/>
        <v>680276.73572930694</v>
      </c>
      <c r="AQ22" s="35">
        <f t="shared" si="71"/>
        <v>708712.3032827921</v>
      </c>
      <c r="AR22" s="35">
        <f t="shared" si="71"/>
        <v>738336.47756001283</v>
      </c>
      <c r="AS22" s="35">
        <f t="shared" si="71"/>
        <v>769198.94232202147</v>
      </c>
      <c r="AT22" s="35">
        <f t="shared" si="71"/>
        <v>801351.45811108197</v>
      </c>
      <c r="AU22" s="35">
        <f t="shared" si="71"/>
        <v>834847.94906012528</v>
      </c>
      <c r="AV22" s="35">
        <f t="shared" si="71"/>
        <v>869744.5933308386</v>
      </c>
      <c r="AW22" s="35">
        <f t="shared" si="71"/>
        <v>906099.91733206785</v>
      </c>
      <c r="AX22" s="35">
        <f t="shared" si="71"/>
        <v>943974.89387654827</v>
      </c>
      <c r="AY22" s="35">
        <f t="shared" si="71"/>
        <v>983433.04444058787</v>
      </c>
      <c r="AZ22" s="35">
        <f t="shared" si="71"/>
        <v>1024540.5456982045</v>
      </c>
      <c r="BA22" s="35">
        <f t="shared" si="71"/>
        <v>1067366.3405083895</v>
      </c>
      <c r="BB22" s="35">
        <f t="shared" si="71"/>
        <v>1111982.2535416405</v>
      </c>
      <c r="BC22" s="35">
        <f t="shared" si="71"/>
        <v>1158463.1117396809</v>
      </c>
      <c r="BD22" s="35">
        <f t="shared" si="71"/>
        <v>1206886.8698103996</v>
      </c>
      <c r="BE22" s="35">
        <f t="shared" si="71"/>
        <v>1257334.7409684744</v>
      </c>
    </row>
    <row r="23" spans="1:57" ht="15.5" x14ac:dyDescent="0.35">
      <c r="A23" s="1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spans="1:57" x14ac:dyDescent="0.35">
      <c r="A24" s="136"/>
      <c r="B24" s="137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</row>
    <row r="25" spans="1:57" x14ac:dyDescent="0.35">
      <c r="A25" t="s">
        <v>16</v>
      </c>
    </row>
    <row r="29" spans="1:57" x14ac:dyDescent="0.3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2" spans="1:57" x14ac:dyDescent="0.35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70" spans="1:27" x14ac:dyDescent="0.35">
      <c r="A70" t="s">
        <v>41</v>
      </c>
    </row>
    <row r="71" spans="1:27" x14ac:dyDescent="0.35">
      <c r="C71" s="5">
        <f>+C6</f>
        <v>0</v>
      </c>
      <c r="D71" s="5">
        <f t="shared" ref="D71:AA71" si="72">+D6</f>
        <v>0</v>
      </c>
      <c r="E71" s="5">
        <f t="shared" si="72"/>
        <v>0</v>
      </c>
      <c r="F71" s="5">
        <f t="shared" si="72"/>
        <v>0</v>
      </c>
      <c r="G71" s="5">
        <f t="shared" si="72"/>
        <v>0</v>
      </c>
      <c r="H71" s="5">
        <f t="shared" si="72"/>
        <v>3.3799999999999997E-2</v>
      </c>
      <c r="I71" s="5">
        <f t="shared" si="72"/>
        <v>4.1799999999999997E-2</v>
      </c>
      <c r="J71" s="5">
        <f t="shared" si="72"/>
        <v>4.1799999999999997E-2</v>
      </c>
      <c r="K71" s="5">
        <f t="shared" si="72"/>
        <v>4.1799999999999997E-2</v>
      </c>
      <c r="L71" s="5">
        <f t="shared" si="72"/>
        <v>4.1799999999999997E-2</v>
      </c>
      <c r="M71" s="5">
        <f t="shared" si="72"/>
        <v>4.1799999999999997E-2</v>
      </c>
      <c r="N71" s="5">
        <f t="shared" si="72"/>
        <v>4.1799999999999997E-2</v>
      </c>
      <c r="O71" s="5">
        <f t="shared" si="72"/>
        <v>4.1799999999999997E-2</v>
      </c>
      <c r="P71" s="5">
        <f t="shared" si="72"/>
        <v>4.1799999999999997E-2</v>
      </c>
      <c r="Q71" s="5">
        <f t="shared" si="72"/>
        <v>4.1799999999999997E-2</v>
      </c>
      <c r="R71" s="5">
        <f t="shared" si="72"/>
        <v>4.1799999999999997E-2</v>
      </c>
      <c r="S71" s="5">
        <f t="shared" si="72"/>
        <v>4.1799999999999997E-2</v>
      </c>
      <c r="T71" s="5">
        <f t="shared" si="72"/>
        <v>4.1799999999999997E-2</v>
      </c>
      <c r="U71" s="5">
        <f t="shared" si="72"/>
        <v>4.1799999999999997E-2</v>
      </c>
      <c r="V71" s="5">
        <f t="shared" si="72"/>
        <v>4.1799999999999997E-2</v>
      </c>
      <c r="W71" s="5">
        <f t="shared" si="72"/>
        <v>4.1799999999999997E-2</v>
      </c>
      <c r="X71" s="5">
        <f t="shared" si="72"/>
        <v>4.1799999999999997E-2</v>
      </c>
      <c r="Y71" s="5">
        <f t="shared" si="72"/>
        <v>4.1799999999999997E-2</v>
      </c>
      <c r="Z71" s="5">
        <f t="shared" si="72"/>
        <v>4.1799999999999997E-2</v>
      </c>
      <c r="AA71" s="5">
        <f t="shared" si="72"/>
        <v>4.1799999999999997E-2</v>
      </c>
    </row>
    <row r="72" spans="1:27" x14ac:dyDescent="0.35">
      <c r="C72" s="73">
        <f>+C71</f>
        <v>0</v>
      </c>
      <c r="D72" s="73">
        <f t="shared" ref="D72:AA72" si="73">+((1+C72)*(1+D71))-1</f>
        <v>0</v>
      </c>
      <c r="E72" s="73">
        <f t="shared" si="73"/>
        <v>0</v>
      </c>
      <c r="F72" s="73">
        <f t="shared" si="73"/>
        <v>0</v>
      </c>
      <c r="G72" s="73">
        <f t="shared" si="73"/>
        <v>0</v>
      </c>
      <c r="H72" s="73">
        <f t="shared" si="73"/>
        <v>3.3800000000000052E-2</v>
      </c>
      <c r="I72" s="73">
        <f t="shared" si="73"/>
        <v>7.7012840000000082E-2</v>
      </c>
      <c r="J72" s="73">
        <f t="shared" si="73"/>
        <v>0.12203197671200017</v>
      </c>
      <c r="K72" s="73">
        <f t="shared" si="73"/>
        <v>0.16893291333856175</v>
      </c>
      <c r="L72" s="73">
        <f t="shared" si="73"/>
        <v>0.21779430911611364</v>
      </c>
      <c r="M72" s="73">
        <f t="shared" si="73"/>
        <v>0.26869811123716736</v>
      </c>
      <c r="N72" s="73">
        <f t="shared" si="73"/>
        <v>0.32172969228688109</v>
      </c>
      <c r="O72" s="73">
        <f t="shared" si="73"/>
        <v>0.3769779934244728</v>
      </c>
      <c r="P72" s="73">
        <f t="shared" si="73"/>
        <v>0.43453567354961575</v>
      </c>
      <c r="Q72" s="73">
        <f t="shared" si="73"/>
        <v>0.49449926470398986</v>
      </c>
      <c r="R72" s="73">
        <f t="shared" si="73"/>
        <v>0.55696933396861681</v>
      </c>
      <c r="S72" s="73">
        <f t="shared" si="73"/>
        <v>0.62205065212850519</v>
      </c>
      <c r="T72" s="73">
        <f t="shared" si="73"/>
        <v>0.68985236938747674</v>
      </c>
      <c r="U72" s="73">
        <f t="shared" si="73"/>
        <v>0.7604881984278733</v>
      </c>
      <c r="V72" s="73">
        <f t="shared" si="73"/>
        <v>0.83407660512215842</v>
      </c>
      <c r="W72" s="73">
        <f t="shared" si="73"/>
        <v>0.91074100721626472</v>
      </c>
      <c r="X72" s="73">
        <f t="shared" si="73"/>
        <v>0.99060998131790479</v>
      </c>
      <c r="Y72" s="73">
        <f t="shared" si="73"/>
        <v>1.0738174785369932</v>
      </c>
      <c r="Z72" s="73">
        <f t="shared" si="73"/>
        <v>1.1605030491398396</v>
      </c>
      <c r="AA72" s="73">
        <f t="shared" si="73"/>
        <v>1.2508120765938848</v>
      </c>
    </row>
    <row r="74" spans="1:27" x14ac:dyDescent="0.35">
      <c r="A74" t="s">
        <v>42</v>
      </c>
      <c r="D74" s="144">
        <f>+D72-D7</f>
        <v>0</v>
      </c>
      <c r="E74" s="144">
        <f t="shared" ref="E74:AA74" si="74">+E72-E7</f>
        <v>0</v>
      </c>
      <c r="F74" s="144">
        <f t="shared" si="74"/>
        <v>0</v>
      </c>
      <c r="G74" s="144">
        <f t="shared" si="74"/>
        <v>0</v>
      </c>
      <c r="H74" s="144">
        <f t="shared" si="74"/>
        <v>0</v>
      </c>
      <c r="I74" s="144">
        <f t="shared" si="74"/>
        <v>0</v>
      </c>
      <c r="J74" s="144">
        <f t="shared" si="74"/>
        <v>0</v>
      </c>
      <c r="K74" s="144">
        <f t="shared" si="74"/>
        <v>0</v>
      </c>
      <c r="L74" s="144">
        <f t="shared" si="74"/>
        <v>0</v>
      </c>
      <c r="M74" s="144">
        <f t="shared" si="74"/>
        <v>0</v>
      </c>
      <c r="N74" s="144">
        <f t="shared" si="74"/>
        <v>0</v>
      </c>
      <c r="O74" s="144">
        <f t="shared" si="74"/>
        <v>0</v>
      </c>
      <c r="P74" s="144">
        <f t="shared" si="74"/>
        <v>0</v>
      </c>
      <c r="Q74" s="144">
        <f t="shared" si="74"/>
        <v>0</v>
      </c>
      <c r="R74" s="144">
        <f t="shared" si="74"/>
        <v>0</v>
      </c>
      <c r="S74" s="144">
        <f t="shared" si="74"/>
        <v>0</v>
      </c>
      <c r="T74" s="144">
        <f t="shared" si="74"/>
        <v>0</v>
      </c>
      <c r="U74" s="144">
        <f t="shared" si="74"/>
        <v>0</v>
      </c>
      <c r="V74" s="144">
        <f t="shared" si="74"/>
        <v>0</v>
      </c>
      <c r="W74" s="144">
        <f t="shared" si="74"/>
        <v>0</v>
      </c>
      <c r="X74" s="144">
        <f t="shared" si="74"/>
        <v>0</v>
      </c>
      <c r="Y74" s="144">
        <f t="shared" si="74"/>
        <v>0</v>
      </c>
      <c r="Z74" s="144">
        <f t="shared" si="74"/>
        <v>0</v>
      </c>
      <c r="AA74" s="144">
        <f t="shared" si="74"/>
        <v>0</v>
      </c>
    </row>
    <row r="108" spans="1:57" x14ac:dyDescent="0.35">
      <c r="A108" s="85">
        <f>MAX(A$6:A107)+1</f>
        <v>10</v>
      </c>
      <c r="B108" s="72" t="s">
        <v>265</v>
      </c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E108" s="154" t="str">
        <f>B108</f>
        <v xml:space="preserve">PWD (Dept 28) Subtotal </v>
      </c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  <c r="AY108" s="183"/>
      <c r="AZ108" s="183"/>
      <c r="BA108" s="183"/>
      <c r="BB108" s="183"/>
      <c r="BC108" s="183"/>
      <c r="BD108" s="183"/>
      <c r="BE108" s="183"/>
    </row>
    <row r="109" spans="1:57" x14ac:dyDescent="0.35">
      <c r="A109" s="86"/>
      <c r="B109" s="65"/>
      <c r="C109" s="81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</row>
    <row r="110" spans="1:57" x14ac:dyDescent="0.35">
      <c r="A110" s="85">
        <f>MAX(A$6:A109)+1</f>
        <v>11</v>
      </c>
      <c r="B110" s="72" t="s">
        <v>266</v>
      </c>
      <c r="C110" s="88">
        <f>+C20</f>
        <v>0</v>
      </c>
      <c r="D110" s="88">
        <f t="shared" ref="D110:AA110" si="75">+D20</f>
        <v>0</v>
      </c>
      <c r="E110" s="88">
        <f t="shared" si="75"/>
        <v>0</v>
      </c>
      <c r="F110" s="88">
        <f t="shared" si="75"/>
        <v>0</v>
      </c>
      <c r="G110" s="88">
        <f t="shared" si="75"/>
        <v>566000</v>
      </c>
      <c r="H110" s="88">
        <f t="shared" si="75"/>
        <v>585130.80000000005</v>
      </c>
      <c r="I110" s="88">
        <f t="shared" si="75"/>
        <v>609589.26744000008</v>
      </c>
      <c r="J110" s="88">
        <f t="shared" si="75"/>
        <v>635070.09881899215</v>
      </c>
      <c r="K110" s="88">
        <f t="shared" si="75"/>
        <v>661616.02894962591</v>
      </c>
      <c r="L110" s="88">
        <f t="shared" si="75"/>
        <v>689271.57895972033</v>
      </c>
      <c r="M110" s="88">
        <f t="shared" si="75"/>
        <v>718083.13096023677</v>
      </c>
      <c r="N110" s="88">
        <f t="shared" si="75"/>
        <v>748099.00583437469</v>
      </c>
      <c r="O110" s="88">
        <f t="shared" si="75"/>
        <v>779369.54427825159</v>
      </c>
      <c r="P110" s="88">
        <f t="shared" si="75"/>
        <v>811947.19122908253</v>
      </c>
      <c r="Q110" s="88">
        <f t="shared" si="75"/>
        <v>845886.58382245828</v>
      </c>
      <c r="R110" s="88">
        <f t="shared" si="75"/>
        <v>881244.64302623714</v>
      </c>
      <c r="S110" s="88">
        <f t="shared" si="75"/>
        <v>918080.66910473397</v>
      </c>
      <c r="T110" s="88">
        <f t="shared" si="75"/>
        <v>956456.44107331184</v>
      </c>
      <c r="U110" s="88">
        <f t="shared" si="75"/>
        <v>996436.32031017623</v>
      </c>
      <c r="V110" s="88">
        <f t="shared" si="75"/>
        <v>1038087.3584991416</v>
      </c>
      <c r="W110" s="88">
        <f t="shared" si="75"/>
        <v>1081479.4100844059</v>
      </c>
      <c r="X110" s="88">
        <f t="shared" si="75"/>
        <v>1126685.2494259342</v>
      </c>
      <c r="Y110" s="88">
        <f t="shared" si="75"/>
        <v>1173780.6928519381</v>
      </c>
      <c r="Z110" s="88">
        <f t="shared" si="75"/>
        <v>1222844.7258131492</v>
      </c>
      <c r="AA110" s="88">
        <f t="shared" si="75"/>
        <v>1273959.6353521389</v>
      </c>
      <c r="AE110" s="154" t="str">
        <f>B110</f>
        <v>OD Subtotal</v>
      </c>
      <c r="AF110" s="183"/>
      <c r="AG110" s="88">
        <f t="shared" ref="AG110:BE110" si="76">+AG20</f>
        <v>0</v>
      </c>
      <c r="AH110" s="88">
        <f t="shared" si="76"/>
        <v>0</v>
      </c>
      <c r="AI110" s="88">
        <f t="shared" si="76"/>
        <v>0</v>
      </c>
      <c r="AJ110" s="88">
        <f t="shared" si="76"/>
        <v>0</v>
      </c>
      <c r="AK110" s="88">
        <f t="shared" si="76"/>
        <v>558613.82389203156</v>
      </c>
      <c r="AL110" s="88">
        <f t="shared" si="76"/>
        <v>577494.97113958234</v>
      </c>
      <c r="AM110" s="88">
        <f t="shared" si="76"/>
        <v>601634.26093321689</v>
      </c>
      <c r="AN110" s="88">
        <f t="shared" si="76"/>
        <v>626782.57304022543</v>
      </c>
      <c r="AO110" s="88">
        <f t="shared" si="76"/>
        <v>652982.08459330664</v>
      </c>
      <c r="AP110" s="88">
        <f t="shared" si="76"/>
        <v>680276.73572930694</v>
      </c>
      <c r="AQ110" s="88">
        <f t="shared" si="76"/>
        <v>708712.3032827921</v>
      </c>
      <c r="AR110" s="88">
        <f t="shared" si="76"/>
        <v>738336.47756001283</v>
      </c>
      <c r="AS110" s="88">
        <f t="shared" si="76"/>
        <v>769198.94232202147</v>
      </c>
      <c r="AT110" s="88">
        <f t="shared" si="76"/>
        <v>801351.45811108197</v>
      </c>
      <c r="AU110" s="88">
        <f t="shared" si="76"/>
        <v>834847.94906012528</v>
      </c>
      <c r="AV110" s="88">
        <f t="shared" si="76"/>
        <v>869744.5933308386</v>
      </c>
      <c r="AW110" s="88">
        <f t="shared" si="76"/>
        <v>906099.91733206785</v>
      </c>
      <c r="AX110" s="88">
        <f t="shared" si="76"/>
        <v>943974.89387654827</v>
      </c>
      <c r="AY110" s="88">
        <f t="shared" si="76"/>
        <v>983433.04444058787</v>
      </c>
      <c r="AZ110" s="88">
        <f t="shared" si="76"/>
        <v>1024540.5456982045</v>
      </c>
      <c r="BA110" s="88">
        <f t="shared" si="76"/>
        <v>1067366.3405083895</v>
      </c>
      <c r="BB110" s="88">
        <f t="shared" si="76"/>
        <v>1111982.2535416405</v>
      </c>
      <c r="BC110" s="88">
        <f t="shared" si="76"/>
        <v>1158463.1117396809</v>
      </c>
      <c r="BD110" s="88">
        <f t="shared" si="76"/>
        <v>1206886.8698103996</v>
      </c>
      <c r="BE110" s="88">
        <f t="shared" si="76"/>
        <v>1257334.7409684744</v>
      </c>
    </row>
    <row r="111" spans="1:57" x14ac:dyDescent="0.35">
      <c r="A111" s="8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</row>
    <row r="112" spans="1:57" x14ac:dyDescent="0.35">
      <c r="A112" s="87"/>
      <c r="B112" t="s">
        <v>267</v>
      </c>
      <c r="C112" s="78">
        <f>C22-C108-C110</f>
        <v>0</v>
      </c>
      <c r="D112" s="78">
        <f t="shared" ref="D112:AA112" si="77">D22-D108-D110</f>
        <v>0</v>
      </c>
      <c r="E112" s="78">
        <f t="shared" si="77"/>
        <v>0</v>
      </c>
      <c r="F112" s="78">
        <f t="shared" si="77"/>
        <v>0</v>
      </c>
      <c r="G112" s="78">
        <f t="shared" si="77"/>
        <v>0</v>
      </c>
      <c r="H112" s="78">
        <f t="shared" si="77"/>
        <v>0</v>
      </c>
      <c r="I112" s="78">
        <f t="shared" si="77"/>
        <v>0</v>
      </c>
      <c r="J112" s="78">
        <f t="shared" si="77"/>
        <v>0</v>
      </c>
      <c r="K112" s="78">
        <f t="shared" si="77"/>
        <v>0</v>
      </c>
      <c r="L112" s="78">
        <f t="shared" si="77"/>
        <v>0</v>
      </c>
      <c r="M112" s="78">
        <f t="shared" si="77"/>
        <v>0</v>
      </c>
      <c r="N112" s="78">
        <f t="shared" si="77"/>
        <v>0</v>
      </c>
      <c r="O112" s="78">
        <f t="shared" si="77"/>
        <v>0</v>
      </c>
      <c r="P112" s="78">
        <f t="shared" si="77"/>
        <v>0</v>
      </c>
      <c r="Q112" s="78">
        <f t="shared" si="77"/>
        <v>0</v>
      </c>
      <c r="R112" s="78">
        <f t="shared" si="77"/>
        <v>0</v>
      </c>
      <c r="S112" s="78">
        <f t="shared" si="77"/>
        <v>0</v>
      </c>
      <c r="T112" s="78">
        <f t="shared" si="77"/>
        <v>0</v>
      </c>
      <c r="U112" s="78">
        <f t="shared" si="77"/>
        <v>0</v>
      </c>
      <c r="V112" s="78">
        <f t="shared" si="77"/>
        <v>0</v>
      </c>
      <c r="W112" s="78">
        <f t="shared" si="77"/>
        <v>0</v>
      </c>
      <c r="X112" s="78">
        <f t="shared" si="77"/>
        <v>0</v>
      </c>
      <c r="Y112" s="78">
        <f t="shared" si="77"/>
        <v>0</v>
      </c>
      <c r="Z112" s="78">
        <f t="shared" si="77"/>
        <v>0</v>
      </c>
      <c r="AA112" s="78">
        <f t="shared" si="77"/>
        <v>0</v>
      </c>
      <c r="AE112" t="str">
        <f>B112</f>
        <v xml:space="preserve">Check </v>
      </c>
      <c r="AG112" s="78">
        <f t="shared" ref="AG112:BE112" si="78">AG22-AG108-AG110</f>
        <v>0</v>
      </c>
      <c r="AH112" s="78">
        <f t="shared" si="78"/>
        <v>0</v>
      </c>
      <c r="AI112" s="78">
        <f t="shared" si="78"/>
        <v>0</v>
      </c>
      <c r="AJ112" s="78">
        <f t="shared" si="78"/>
        <v>0</v>
      </c>
      <c r="AK112" s="78">
        <f t="shared" si="78"/>
        <v>0</v>
      </c>
      <c r="AL112" s="78">
        <f t="shared" si="78"/>
        <v>0</v>
      </c>
      <c r="AM112" s="78">
        <f t="shared" si="78"/>
        <v>0</v>
      </c>
      <c r="AN112" s="78">
        <f t="shared" si="78"/>
        <v>0</v>
      </c>
      <c r="AO112" s="78">
        <f t="shared" si="78"/>
        <v>0</v>
      </c>
      <c r="AP112" s="78">
        <f t="shared" si="78"/>
        <v>0</v>
      </c>
      <c r="AQ112" s="78">
        <f t="shared" si="78"/>
        <v>0</v>
      </c>
      <c r="AR112" s="78">
        <f t="shared" si="78"/>
        <v>0</v>
      </c>
      <c r="AS112" s="78">
        <f t="shared" si="78"/>
        <v>0</v>
      </c>
      <c r="AT112" s="78">
        <f t="shared" si="78"/>
        <v>0</v>
      </c>
      <c r="AU112" s="78">
        <f t="shared" si="78"/>
        <v>0</v>
      </c>
      <c r="AV112" s="78">
        <f t="shared" si="78"/>
        <v>0</v>
      </c>
      <c r="AW112" s="78">
        <f t="shared" si="78"/>
        <v>0</v>
      </c>
      <c r="AX112" s="78">
        <f t="shared" si="78"/>
        <v>0</v>
      </c>
      <c r="AY112" s="78">
        <f t="shared" si="78"/>
        <v>0</v>
      </c>
      <c r="AZ112" s="78">
        <f t="shared" si="78"/>
        <v>0</v>
      </c>
      <c r="BA112" s="78">
        <f t="shared" si="78"/>
        <v>0</v>
      </c>
      <c r="BB112" s="78">
        <f t="shared" si="78"/>
        <v>0</v>
      </c>
      <c r="BC112" s="78">
        <f t="shared" si="78"/>
        <v>0</v>
      </c>
      <c r="BD112" s="78">
        <f t="shared" si="78"/>
        <v>0</v>
      </c>
      <c r="BE112" s="78">
        <f t="shared" si="78"/>
        <v>0</v>
      </c>
    </row>
  </sheetData>
  <mergeCells count="1">
    <mergeCell ref="AC1:AE1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90A0FCE-77F8-4600-BFDB-0426C7033912}">
          <x14:formula1>
            <xm:f>Assumptions!$B$6:$B$20</xm:f>
          </x14:formula1>
          <xm:sqref>AC6</xm:sqref>
        </x14:dataValidation>
        <x14:dataValidation type="list" allowBlank="1" showInputMessage="1" showErrorMessage="1" xr:uid="{CE7773CA-0F24-4A8C-BEB6-E4F7E21CB114}">
          <x14:formula1>
            <xm:f>Assumptions!$E$27:$E$193</xm:f>
          </x14:formula1>
          <xm:sqref>AD13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D2ED1-E24C-4E63-AE36-831BA1067466}">
  <sheetPr codeName="Sheet6"/>
  <dimension ref="A1:BE105"/>
  <sheetViews>
    <sheetView showGridLines="0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9" sqref="B9"/>
    </sheetView>
  </sheetViews>
  <sheetFormatPr defaultColWidth="8.7265625" defaultRowHeight="14.5" x14ac:dyDescent="0.35"/>
  <cols>
    <col min="1" max="1" width="10.54296875" customWidth="1"/>
    <col min="2" max="2" width="30.54296875" customWidth="1"/>
    <col min="3" max="29" width="12.54296875" customWidth="1"/>
    <col min="30" max="30" width="38.26953125" bestFit="1" customWidth="1"/>
    <col min="31" max="32" width="12.54296875" customWidth="1"/>
    <col min="33" max="33" width="5.54296875" bestFit="1" customWidth="1"/>
    <col min="34" max="38" width="11.7265625" bestFit="1" customWidth="1"/>
    <col min="39" max="41" width="11.81640625" customWidth="1"/>
    <col min="42" max="57" width="12.81640625" customWidth="1"/>
  </cols>
  <sheetData>
    <row r="1" spans="1:57" ht="19" thickTop="1" x14ac:dyDescent="0.45">
      <c r="A1" s="12" t="s">
        <v>80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B2" s="45"/>
      <c r="AF2" t="s">
        <v>2</v>
      </c>
    </row>
    <row r="3" spans="1:57" ht="16.5" thickTop="1" x14ac:dyDescent="0.5">
      <c r="A3" s="22" t="s">
        <v>3</v>
      </c>
      <c r="B3" s="23" t="s">
        <v>72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50">
        <v>1</v>
      </c>
      <c r="B6" s="32" t="s">
        <v>20</v>
      </c>
      <c r="C6" s="5">
        <v>0</v>
      </c>
      <c r="D6" s="5">
        <v>0</v>
      </c>
      <c r="E6" s="5">
        <v>0</v>
      </c>
      <c r="F6" s="5">
        <v>0</v>
      </c>
      <c r="G6" s="112">
        <f>SUMIF(Assumptions!$B$6:$B$20,$AC$6,Assumptions!E$6:E$20)</f>
        <v>0.05</v>
      </c>
      <c r="H6" s="112">
        <f>SUMIF(Assumptions!$B$6:$B$20,$AC$6,Assumptions!F$6:F$20)</f>
        <v>3.5000000000000003E-2</v>
      </c>
      <c r="I6" s="112">
        <f>SUMIF(Assumptions!$B$6:$B$20,$AC$6,Assumptions!G$6:G$20)</f>
        <v>3.5000000000000003E-2</v>
      </c>
      <c r="J6" s="112">
        <f>SUMIF(Assumptions!$B$6:$B$20,$AC$6,Assumptions!H$6:H$20)</f>
        <v>3.5000000000000003E-2</v>
      </c>
      <c r="K6" s="112">
        <f>SUMIF(Assumptions!$B$6:$B$20,$AC$6,Assumptions!I$6:I$20)</f>
        <v>3.5000000000000003E-2</v>
      </c>
      <c r="L6" s="112">
        <f>SUMIF(Assumptions!$B$6:$B$20,$AC$6,Assumptions!J$6:J$20)</f>
        <v>3.5000000000000003E-2</v>
      </c>
      <c r="M6" s="112">
        <f>SUMIF(Assumptions!$B$6:$B$20,$AC$6,Assumptions!K$6:K$20)</f>
        <v>3.5000000000000003E-2</v>
      </c>
      <c r="N6" s="112">
        <f>SUMIF(Assumptions!$B$6:$B$20,$AC$6,Assumptions!L$6:L$20)</f>
        <v>3.5000000000000003E-2</v>
      </c>
      <c r="O6" s="112">
        <f>SUMIF(Assumptions!$B$6:$B$20,$AC$6,Assumptions!M$6:M$20)</f>
        <v>3.5000000000000003E-2</v>
      </c>
      <c r="P6" s="112">
        <f>SUMIF(Assumptions!$B$6:$B$20,$AC$6,Assumptions!N$6:N$20)</f>
        <v>3.5000000000000003E-2</v>
      </c>
      <c r="Q6" s="112">
        <f>SUMIF(Assumptions!$B$6:$B$20,$AC$6,Assumptions!O$6:O$20)</f>
        <v>3.5000000000000003E-2</v>
      </c>
      <c r="R6" s="112">
        <f>SUMIF(Assumptions!$B$6:$B$20,$AC$6,Assumptions!P$6:P$20)</f>
        <v>3.5000000000000003E-2</v>
      </c>
      <c r="S6" s="112">
        <f>SUMIF(Assumptions!$B$6:$B$20,$AC$6,Assumptions!Q$6:Q$20)</f>
        <v>3.5000000000000003E-2</v>
      </c>
      <c r="T6" s="112">
        <f>SUMIF(Assumptions!$B$6:$B$20,$AC$6,Assumptions!R$6:R$20)</f>
        <v>3.5000000000000003E-2</v>
      </c>
      <c r="U6" s="112">
        <f>SUMIF(Assumptions!$B$6:$B$20,$AC$6,Assumptions!S$6:S$20)</f>
        <v>3.5000000000000003E-2</v>
      </c>
      <c r="V6" s="112">
        <f>SUMIF(Assumptions!$B$6:$B$20,$AC$6,Assumptions!T$6:T$20)</f>
        <v>3.5000000000000003E-2</v>
      </c>
      <c r="W6" s="112">
        <f>SUMIF(Assumptions!$B$6:$B$20,$AC$6,Assumptions!U$6:U$20)</f>
        <v>3.5000000000000003E-2</v>
      </c>
      <c r="X6" s="112">
        <f>SUMIF(Assumptions!$B$6:$B$20,$AC$6,Assumptions!V$6:V$20)</f>
        <v>3.5000000000000003E-2</v>
      </c>
      <c r="Y6" s="112">
        <f>SUMIF(Assumptions!$B$6:$B$20,$AC$6,Assumptions!W$6:W$20)</f>
        <v>3.5000000000000003E-2</v>
      </c>
      <c r="Z6" s="112">
        <f>SUMIF(Assumptions!$B$6:$B$20,$AC$6,Assumptions!X$6:X$20)</f>
        <v>3.5000000000000003E-2</v>
      </c>
      <c r="AA6" s="112">
        <f>SUMIF(Assumptions!$B$6:$B$20,$AC$6,Assumptions!Y$6:Y$20)</f>
        <v>3.5000000000000003E-2</v>
      </c>
      <c r="AC6" s="172" t="s">
        <v>10</v>
      </c>
    </row>
    <row r="7" spans="1:57" x14ac:dyDescent="0.35">
      <c r="A7" s="57">
        <f>MAX(A$6:A6)+1</f>
        <v>2</v>
      </c>
      <c r="B7" s="17" t="s">
        <v>81</v>
      </c>
      <c r="C7" s="73">
        <f>+C6</f>
        <v>0</v>
      </c>
      <c r="D7" s="73">
        <f>+(1+C6)*(1+D6)-1</f>
        <v>0</v>
      </c>
      <c r="E7" s="73">
        <f>+((1+D7)*(1+E$6))-1</f>
        <v>0</v>
      </c>
      <c r="F7" s="73">
        <f t="shared" ref="F7" si="32">+((1+E7)*(1+F6))-1</f>
        <v>0</v>
      </c>
      <c r="G7" s="73">
        <f t="shared" ref="G7" si="33">+((1+F7)*(1+G6))-1</f>
        <v>5.0000000000000044E-2</v>
      </c>
      <c r="H7" s="73">
        <f t="shared" ref="H7" si="34">+((1+G7)*(1+H6))-1</f>
        <v>8.6749999999999883E-2</v>
      </c>
      <c r="I7" s="73">
        <f t="shared" ref="I7" si="35">+((1+H7)*(1+I6))-1</f>
        <v>0.12478624999999988</v>
      </c>
      <c r="J7" s="73">
        <f t="shared" ref="J7" si="36">+((1+I7)*(1+J6))-1</f>
        <v>0.16415376874999987</v>
      </c>
      <c r="K7" s="73">
        <f t="shared" ref="K7" si="37">+((1+J7)*(1+K6))-1</f>
        <v>0.20489915065624986</v>
      </c>
      <c r="L7" s="73">
        <f t="shared" ref="L7" si="38">+((1+K7)*(1+L6))-1</f>
        <v>0.24707062092921861</v>
      </c>
      <c r="M7" s="73">
        <f t="shared" ref="M7" si="39">+((1+L7)*(1+M6))-1</f>
        <v>0.2907180926617412</v>
      </c>
      <c r="N7" s="73">
        <f t="shared" ref="N7" si="40">+((1+M7)*(1+N6))-1</f>
        <v>0.33589322590490212</v>
      </c>
      <c r="O7" s="73">
        <f t="shared" ref="O7" si="41">+((1+N7)*(1+O6))-1</f>
        <v>0.38264948881157368</v>
      </c>
      <c r="P7" s="73">
        <f t="shared" ref="P7" si="42">+((1+O7)*(1+P6))-1</f>
        <v>0.43104222091997868</v>
      </c>
      <c r="Q7" s="73">
        <f t="shared" ref="Q7" si="43">+((1+P7)*(1+Q6))-1</f>
        <v>0.48112869865217789</v>
      </c>
      <c r="R7" s="73">
        <f t="shared" ref="R7" si="44">+((1+Q7)*(1+R6))-1</f>
        <v>0.53296820310500403</v>
      </c>
      <c r="S7" s="73">
        <f t="shared" ref="S7" si="45">+((1+R7)*(1+S6))-1</f>
        <v>0.58662209021367895</v>
      </c>
      <c r="T7" s="73">
        <f t="shared" ref="T7" si="46">+((1+S7)*(1+T6))-1</f>
        <v>0.64215386337115765</v>
      </c>
      <c r="U7" s="73">
        <f t="shared" ref="U7" si="47">+((1+T7)*(1+U6))-1</f>
        <v>0.69962924858914799</v>
      </c>
      <c r="V7" s="73">
        <f t="shared" ref="V7" si="48">+((1+U7)*(1+V6))-1</f>
        <v>0.75911627228976797</v>
      </c>
      <c r="W7" s="73">
        <f t="shared" ref="W7" si="49">+((1+V7)*(1+W6))-1</f>
        <v>0.8206853418199096</v>
      </c>
      <c r="X7" s="73">
        <f t="shared" ref="X7" si="50">+((1+W7)*(1+X6))-1</f>
        <v>0.88440932878360634</v>
      </c>
      <c r="Y7" s="73">
        <f t="shared" ref="Y7" si="51">+((1+X7)*(1+Y6))-1</f>
        <v>0.95036365529103239</v>
      </c>
      <c r="Z7" s="73">
        <f t="shared" ref="Z7" si="52">+((1+Y7)*(1+Z6))-1</f>
        <v>1.0186263832262186</v>
      </c>
      <c r="AA7" s="73">
        <f t="shared" ref="AA7" si="53">+((1+Z7)*(1+AA6))-1</f>
        <v>1.0892783066391361</v>
      </c>
    </row>
    <row r="8" spans="1:57" x14ac:dyDescent="0.35">
      <c r="A8" s="120">
        <f>MAX(A$6:A7)+1</f>
        <v>3</v>
      </c>
      <c r="B8" s="19" t="s">
        <v>274</v>
      </c>
      <c r="C8" s="19"/>
      <c r="D8" s="121"/>
      <c r="E8" s="121">
        <f>+((1+D8)*(1+E$6))-1</f>
        <v>0</v>
      </c>
      <c r="F8" s="121">
        <f t="shared" ref="F8:AA8" si="54">+((1+E8)*(1+F$6))-1</f>
        <v>0</v>
      </c>
      <c r="G8" s="121">
        <f t="shared" si="54"/>
        <v>5.0000000000000044E-2</v>
      </c>
      <c r="H8" s="121">
        <f t="shared" si="54"/>
        <v>8.6749999999999883E-2</v>
      </c>
      <c r="I8" s="121">
        <f t="shared" si="54"/>
        <v>0.12478624999999988</v>
      </c>
      <c r="J8" s="121">
        <f t="shared" si="54"/>
        <v>0.16415376874999987</v>
      </c>
      <c r="K8" s="121">
        <f t="shared" si="54"/>
        <v>0.20489915065624986</v>
      </c>
      <c r="L8" s="121">
        <f t="shared" si="54"/>
        <v>0.24707062092921861</v>
      </c>
      <c r="M8" s="121">
        <f t="shared" si="54"/>
        <v>0.2907180926617412</v>
      </c>
      <c r="N8" s="121">
        <f t="shared" si="54"/>
        <v>0.33589322590490212</v>
      </c>
      <c r="O8" s="121">
        <f t="shared" si="54"/>
        <v>0.38264948881157368</v>
      </c>
      <c r="P8" s="121">
        <f t="shared" si="54"/>
        <v>0.43104222091997868</v>
      </c>
      <c r="Q8" s="121">
        <f t="shared" si="54"/>
        <v>0.48112869865217789</v>
      </c>
      <c r="R8" s="121">
        <f t="shared" si="54"/>
        <v>0.53296820310500403</v>
      </c>
      <c r="S8" s="121">
        <f t="shared" si="54"/>
        <v>0.58662209021367895</v>
      </c>
      <c r="T8" s="121">
        <f t="shared" si="54"/>
        <v>0.64215386337115765</v>
      </c>
      <c r="U8" s="121">
        <f t="shared" si="54"/>
        <v>0.69962924858914799</v>
      </c>
      <c r="V8" s="121">
        <f t="shared" si="54"/>
        <v>0.75911627228976797</v>
      </c>
      <c r="W8" s="121">
        <f t="shared" si="54"/>
        <v>0.8206853418199096</v>
      </c>
      <c r="X8" s="121">
        <f t="shared" si="54"/>
        <v>0.88440932878360634</v>
      </c>
      <c r="Y8" s="121">
        <f t="shared" si="54"/>
        <v>0.95036365529103239</v>
      </c>
      <c r="Z8" s="121">
        <f t="shared" si="54"/>
        <v>1.0186263832262186</v>
      </c>
      <c r="AA8" s="121">
        <f t="shared" si="54"/>
        <v>1.0892783066391361</v>
      </c>
    </row>
    <row r="9" spans="1:57" ht="15.5" x14ac:dyDescent="0.35">
      <c r="A9" s="10"/>
      <c r="B9" s="31" t="s">
        <v>82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57" x14ac:dyDescent="0.35">
      <c r="A10" s="46"/>
      <c r="B10" s="19" t="s">
        <v>83</v>
      </c>
      <c r="C10" s="19"/>
      <c r="D10" s="19"/>
      <c r="E10" s="19"/>
      <c r="F10" s="100"/>
      <c r="G10" s="100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</row>
    <row r="11" spans="1:57" x14ac:dyDescent="0.35">
      <c r="A11" s="46">
        <f>MAX(A$6:A10)+1</f>
        <v>4</v>
      </c>
      <c r="B11" s="19" t="s">
        <v>84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</row>
    <row r="12" spans="1:57" x14ac:dyDescent="0.35">
      <c r="A12" s="48">
        <f>MAX(A$6:A11)+1</f>
        <v>5</v>
      </c>
      <c r="B12" s="62" t="s">
        <v>79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</row>
    <row r="13" spans="1:57" x14ac:dyDescent="0.35">
      <c r="A13" s="46">
        <f>MAX(A$6:A12)+1</f>
        <v>6</v>
      </c>
      <c r="B13" s="19" t="s">
        <v>85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</row>
    <row r="14" spans="1:57" x14ac:dyDescent="0.35">
      <c r="A14" s="48">
        <f>MAX(A$6:A13)+1</f>
        <v>7</v>
      </c>
      <c r="B14" s="62" t="s">
        <v>86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</row>
    <row r="15" spans="1:57" x14ac:dyDescent="0.35">
      <c r="A15" s="46">
        <f>MAX(A$6:A14)+1</f>
        <v>8</v>
      </c>
      <c r="B15" s="19" t="s">
        <v>87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</row>
    <row r="16" spans="1:57" x14ac:dyDescent="0.35">
      <c r="A16" s="46">
        <f>MAX(A$6:A15)+1</f>
        <v>9</v>
      </c>
      <c r="B16" s="19" t="s">
        <v>25</v>
      </c>
      <c r="C16" s="20">
        <f t="shared" ref="C16:AA16" si="55">SUM(C11:C15)</f>
        <v>0</v>
      </c>
      <c r="D16" s="20">
        <f t="shared" si="55"/>
        <v>0</v>
      </c>
      <c r="E16" s="20">
        <f t="shared" si="55"/>
        <v>0</v>
      </c>
      <c r="F16" s="20">
        <f t="shared" si="55"/>
        <v>0</v>
      </c>
      <c r="G16" s="20">
        <f t="shared" si="55"/>
        <v>0</v>
      </c>
      <c r="H16" s="20">
        <f t="shared" si="55"/>
        <v>0</v>
      </c>
      <c r="I16" s="20">
        <f t="shared" si="55"/>
        <v>0</v>
      </c>
      <c r="J16" s="20">
        <f t="shared" si="55"/>
        <v>0</v>
      </c>
      <c r="K16" s="20">
        <f t="shared" si="55"/>
        <v>0</v>
      </c>
      <c r="L16" s="20">
        <f t="shared" si="55"/>
        <v>0</v>
      </c>
      <c r="M16" s="20">
        <f t="shared" si="55"/>
        <v>0</v>
      </c>
      <c r="N16" s="20">
        <f t="shared" si="55"/>
        <v>0</v>
      </c>
      <c r="O16" s="20">
        <f t="shared" si="55"/>
        <v>0</v>
      </c>
      <c r="P16" s="20">
        <f t="shared" si="55"/>
        <v>0</v>
      </c>
      <c r="Q16" s="20">
        <f t="shared" si="55"/>
        <v>0</v>
      </c>
      <c r="R16" s="20">
        <f t="shared" si="55"/>
        <v>0</v>
      </c>
      <c r="S16" s="20">
        <f t="shared" si="55"/>
        <v>0</v>
      </c>
      <c r="T16" s="20">
        <f t="shared" si="55"/>
        <v>0</v>
      </c>
      <c r="U16" s="20">
        <f t="shared" si="55"/>
        <v>0</v>
      </c>
      <c r="V16" s="20">
        <f t="shared" si="55"/>
        <v>0</v>
      </c>
      <c r="W16" s="20">
        <f t="shared" si="55"/>
        <v>0</v>
      </c>
      <c r="X16" s="20">
        <f t="shared" si="55"/>
        <v>0</v>
      </c>
      <c r="Y16" s="20">
        <f t="shared" si="55"/>
        <v>0</v>
      </c>
      <c r="Z16" s="20">
        <f t="shared" si="55"/>
        <v>0</v>
      </c>
      <c r="AA16" s="20">
        <f t="shared" si="55"/>
        <v>0</v>
      </c>
    </row>
    <row r="17" spans="1:57" x14ac:dyDescent="0.35">
      <c r="A17" s="48" t="s">
        <v>75</v>
      </c>
      <c r="B17" s="17"/>
      <c r="C17" s="17"/>
      <c r="D17" s="17"/>
      <c r="E17" s="17"/>
      <c r="F17" s="18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57" x14ac:dyDescent="0.35">
      <c r="A18" s="48">
        <f>MAX(A$6:A17)+1</f>
        <v>10</v>
      </c>
      <c r="B18" s="34" t="s">
        <v>76</v>
      </c>
      <c r="C18" s="35">
        <f t="shared" ref="C18" si="56">+C16*(1+C$7)</f>
        <v>0</v>
      </c>
      <c r="D18" s="35">
        <f t="shared" ref="D18:L18" si="57">+D16*(1+D$7)</f>
        <v>0</v>
      </c>
      <c r="E18" s="35">
        <f t="shared" si="57"/>
        <v>0</v>
      </c>
      <c r="F18" s="35">
        <f>+F16*(1+F$7)</f>
        <v>0</v>
      </c>
      <c r="G18" s="35">
        <f t="shared" si="57"/>
        <v>0</v>
      </c>
      <c r="H18" s="35">
        <f t="shared" si="57"/>
        <v>0</v>
      </c>
      <c r="I18" s="35">
        <f t="shared" si="57"/>
        <v>0</v>
      </c>
      <c r="J18" s="35">
        <f t="shared" si="57"/>
        <v>0</v>
      </c>
      <c r="K18" s="35">
        <f t="shared" si="57"/>
        <v>0</v>
      </c>
      <c r="L18" s="35">
        <f t="shared" si="57"/>
        <v>0</v>
      </c>
      <c r="M18" s="35">
        <f t="shared" ref="M18:AA18" si="58">+M16*(1+M$7)</f>
        <v>0</v>
      </c>
      <c r="N18" s="35">
        <f t="shared" si="58"/>
        <v>0</v>
      </c>
      <c r="O18" s="35">
        <f t="shared" si="58"/>
        <v>0</v>
      </c>
      <c r="P18" s="35">
        <f t="shared" si="58"/>
        <v>0</v>
      </c>
      <c r="Q18" s="35">
        <f t="shared" si="58"/>
        <v>0</v>
      </c>
      <c r="R18" s="35">
        <f t="shared" si="58"/>
        <v>0</v>
      </c>
      <c r="S18" s="35">
        <f>+S16*(1+S$7)</f>
        <v>0</v>
      </c>
      <c r="T18" s="35">
        <f t="shared" si="58"/>
        <v>0</v>
      </c>
      <c r="U18" s="35">
        <f t="shared" si="58"/>
        <v>0</v>
      </c>
      <c r="V18" s="35">
        <f t="shared" si="58"/>
        <v>0</v>
      </c>
      <c r="W18" s="35">
        <f t="shared" si="58"/>
        <v>0</v>
      </c>
      <c r="X18" s="35">
        <f t="shared" si="58"/>
        <v>0</v>
      </c>
      <c r="Y18" s="35">
        <f t="shared" si="58"/>
        <v>0</v>
      </c>
      <c r="Z18" s="35">
        <f t="shared" si="58"/>
        <v>0</v>
      </c>
      <c r="AA18" s="35">
        <f t="shared" si="58"/>
        <v>0</v>
      </c>
      <c r="AD18" s="172" t="s">
        <v>88</v>
      </c>
      <c r="AF18" s="173">
        <f>SUMIF(Assumptions!$E$27:$E$193,AD18,Assumptions!$D$27:$D$193)</f>
        <v>0.95239917402446805</v>
      </c>
      <c r="AH18" s="105">
        <f t="shared" ref="AH18:AP18" si="59">+D18*$AF18</f>
        <v>0</v>
      </c>
      <c r="AI18" s="105">
        <f t="shared" si="59"/>
        <v>0</v>
      </c>
      <c r="AJ18" s="105">
        <f t="shared" si="59"/>
        <v>0</v>
      </c>
      <c r="AK18" s="105">
        <f t="shared" si="59"/>
        <v>0</v>
      </c>
      <c r="AL18" s="105">
        <f t="shared" si="59"/>
        <v>0</v>
      </c>
      <c r="AM18" s="105">
        <f t="shared" si="59"/>
        <v>0</v>
      </c>
      <c r="AN18" s="105">
        <f t="shared" si="59"/>
        <v>0</v>
      </c>
      <c r="AO18" s="105">
        <f t="shared" si="59"/>
        <v>0</v>
      </c>
      <c r="AP18" s="105">
        <f t="shared" si="59"/>
        <v>0</v>
      </c>
      <c r="AQ18" s="105">
        <f t="shared" ref="AQ18:BE18" si="60">+M18*$AF18</f>
        <v>0</v>
      </c>
      <c r="AR18" s="105">
        <f t="shared" si="60"/>
        <v>0</v>
      </c>
      <c r="AS18" s="105">
        <f t="shared" si="60"/>
        <v>0</v>
      </c>
      <c r="AT18" s="105">
        <f t="shared" si="60"/>
        <v>0</v>
      </c>
      <c r="AU18" s="105">
        <f t="shared" si="60"/>
        <v>0</v>
      </c>
      <c r="AV18" s="105">
        <f t="shared" si="60"/>
        <v>0</v>
      </c>
      <c r="AW18" s="105">
        <f t="shared" si="60"/>
        <v>0</v>
      </c>
      <c r="AX18" s="105">
        <f t="shared" si="60"/>
        <v>0</v>
      </c>
      <c r="AY18" s="105">
        <f t="shared" si="60"/>
        <v>0</v>
      </c>
      <c r="AZ18" s="105">
        <f t="shared" si="60"/>
        <v>0</v>
      </c>
      <c r="BA18" s="105">
        <f t="shared" si="60"/>
        <v>0</v>
      </c>
      <c r="BB18" s="105">
        <f t="shared" si="60"/>
        <v>0</v>
      </c>
      <c r="BC18" s="105">
        <f t="shared" si="60"/>
        <v>0</v>
      </c>
      <c r="BD18" s="105">
        <f t="shared" si="60"/>
        <v>0</v>
      </c>
      <c r="BE18" s="105">
        <f t="shared" si="60"/>
        <v>0</v>
      </c>
    </row>
    <row r="19" spans="1:57" ht="15.5" x14ac:dyDescent="0.35">
      <c r="A19" s="10"/>
      <c r="B19" s="31" t="s">
        <v>82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</row>
    <row r="20" spans="1:57" x14ac:dyDescent="0.35">
      <c r="A20" s="46"/>
      <c r="B20" s="19" t="s">
        <v>273</v>
      </c>
      <c r="C20" s="19"/>
      <c r="D20" s="19"/>
      <c r="E20" s="19"/>
      <c r="F20" s="100"/>
      <c r="G20" s="100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57" x14ac:dyDescent="0.35">
      <c r="A21" s="46">
        <f>MAX(A$6:A20)+1</f>
        <v>11</v>
      </c>
      <c r="B21" s="19" t="s">
        <v>87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</row>
    <row r="22" spans="1:57" x14ac:dyDescent="0.35">
      <c r="A22" s="48">
        <f>MAX(A$6:A21)+1</f>
        <v>12</v>
      </c>
      <c r="B22" s="62" t="s">
        <v>90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77224</v>
      </c>
      <c r="J22" s="6">
        <v>220640</v>
      </c>
      <c r="K22" s="6">
        <v>220640</v>
      </c>
      <c r="L22" s="6">
        <v>220640</v>
      </c>
      <c r="M22" s="6">
        <v>220640</v>
      </c>
      <c r="N22" s="6">
        <v>220640</v>
      </c>
      <c r="O22" s="6">
        <v>220640</v>
      </c>
      <c r="P22" s="6">
        <v>220640</v>
      </c>
      <c r="Q22" s="6">
        <v>220640</v>
      </c>
      <c r="R22" s="6">
        <v>220640</v>
      </c>
      <c r="S22" s="6">
        <v>220640</v>
      </c>
      <c r="T22" s="6">
        <v>220640</v>
      </c>
      <c r="U22" s="6">
        <v>220640</v>
      </c>
      <c r="V22" s="6">
        <v>220640</v>
      </c>
      <c r="W22" s="6">
        <v>220640</v>
      </c>
      <c r="X22" s="6">
        <v>220640</v>
      </c>
      <c r="Y22" s="6">
        <v>220640</v>
      </c>
      <c r="Z22" s="6">
        <v>220640</v>
      </c>
      <c r="AA22" s="6">
        <v>220640</v>
      </c>
      <c r="AB22" s="1"/>
      <c r="AC22" s="1"/>
    </row>
    <row r="23" spans="1:57" x14ac:dyDescent="0.35">
      <c r="A23" s="46">
        <f>MAX(A$6:A22)+1</f>
        <v>13</v>
      </c>
      <c r="B23" s="19" t="s">
        <v>91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1"/>
    </row>
    <row r="24" spans="1:57" x14ac:dyDescent="0.35">
      <c r="A24" s="48">
        <f>MAX(A$6:A23)+1</f>
        <v>14</v>
      </c>
      <c r="B24" s="62" t="s">
        <v>92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101878</v>
      </c>
      <c r="L24" s="6">
        <v>291079</v>
      </c>
      <c r="M24" s="6">
        <v>291079</v>
      </c>
      <c r="N24" s="6">
        <v>291079</v>
      </c>
      <c r="O24" s="6">
        <v>291079</v>
      </c>
      <c r="P24" s="6">
        <v>291079</v>
      </c>
      <c r="Q24" s="6">
        <v>291079</v>
      </c>
      <c r="R24" s="6">
        <v>291079</v>
      </c>
      <c r="S24" s="6">
        <v>291079</v>
      </c>
      <c r="T24" s="6">
        <v>291079</v>
      </c>
      <c r="U24" s="6">
        <v>291079</v>
      </c>
      <c r="V24" s="6">
        <v>291079</v>
      </c>
      <c r="W24" s="6">
        <v>291079</v>
      </c>
      <c r="X24" s="6">
        <v>291079</v>
      </c>
      <c r="Y24" s="6">
        <v>291079</v>
      </c>
      <c r="Z24" s="6">
        <v>291079</v>
      </c>
      <c r="AA24" s="6">
        <v>291079</v>
      </c>
      <c r="AB24" s="1"/>
    </row>
    <row r="25" spans="1:57" x14ac:dyDescent="0.35">
      <c r="A25" s="46">
        <f>MAX(A$6:A24)+1</f>
        <v>15</v>
      </c>
      <c r="B25" s="19" t="s">
        <v>93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1"/>
    </row>
    <row r="26" spans="1:57" x14ac:dyDescent="0.35">
      <c r="A26" s="48">
        <f>MAX(A$6:A25)+1</f>
        <v>16</v>
      </c>
      <c r="B26" s="62" t="s">
        <v>94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77224</v>
      </c>
      <c r="N26" s="6">
        <v>220640</v>
      </c>
      <c r="O26" s="6">
        <v>220640</v>
      </c>
      <c r="P26" s="6">
        <v>220640</v>
      </c>
      <c r="Q26" s="6">
        <v>220640</v>
      </c>
      <c r="R26" s="6">
        <v>220640</v>
      </c>
      <c r="S26" s="6">
        <v>220640</v>
      </c>
      <c r="T26" s="6">
        <v>220640</v>
      </c>
      <c r="U26" s="6">
        <v>220640</v>
      </c>
      <c r="V26" s="6">
        <v>220640</v>
      </c>
      <c r="W26" s="6">
        <v>220640</v>
      </c>
      <c r="X26" s="6">
        <v>220640</v>
      </c>
      <c r="Y26" s="6">
        <v>220640</v>
      </c>
      <c r="Z26" s="6">
        <v>220640</v>
      </c>
      <c r="AA26" s="6">
        <v>220640</v>
      </c>
      <c r="AB26" s="1"/>
    </row>
    <row r="27" spans="1:57" x14ac:dyDescent="0.35">
      <c r="A27" s="46">
        <f>MAX(A$6:A26)+1</f>
        <v>17</v>
      </c>
      <c r="B27" s="19" t="s">
        <v>95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1"/>
    </row>
    <row r="28" spans="1:57" x14ac:dyDescent="0.35">
      <c r="A28" s="48">
        <f>MAX(A$6:A27)+1</f>
        <v>18</v>
      </c>
      <c r="B28" s="62" t="s">
        <v>96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1"/>
    </row>
    <row r="29" spans="1:57" x14ac:dyDescent="0.35">
      <c r="A29" s="46">
        <f>MAX(A$6:A28)+1</f>
        <v>19</v>
      </c>
      <c r="B29" s="19" t="s">
        <v>97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1"/>
    </row>
    <row r="30" spans="1:57" x14ac:dyDescent="0.35">
      <c r="A30" s="48">
        <f>MAX(A$6:A29)+1</f>
        <v>20</v>
      </c>
      <c r="B30" s="62" t="s">
        <v>98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1"/>
    </row>
    <row r="31" spans="1:57" x14ac:dyDescent="0.35">
      <c r="A31" s="46">
        <f>MAX(A$6:A30)+1</f>
        <v>21</v>
      </c>
      <c r="B31" s="19" t="s">
        <v>99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1"/>
    </row>
    <row r="32" spans="1:57" x14ac:dyDescent="0.35">
      <c r="A32" s="48">
        <f>MAX(A$6:A31)+1</f>
        <v>22</v>
      </c>
      <c r="B32" s="62" t="s">
        <v>100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1"/>
    </row>
    <row r="33" spans="1:57" x14ac:dyDescent="0.35">
      <c r="A33" s="46">
        <f>MAX(A$6:A32)+1</f>
        <v>23</v>
      </c>
      <c r="B33" s="19" t="s">
        <v>101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1"/>
    </row>
    <row r="34" spans="1:57" x14ac:dyDescent="0.35">
      <c r="A34" s="48">
        <f>MAX(A$6:A33)+1</f>
        <v>24</v>
      </c>
      <c r="B34" s="62" t="s">
        <v>102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1"/>
    </row>
    <row r="35" spans="1:57" x14ac:dyDescent="0.35">
      <c r="A35" s="46">
        <f>MAX(A$6:A34)+1</f>
        <v>25</v>
      </c>
      <c r="B35" s="19" t="s">
        <v>103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1"/>
    </row>
    <row r="36" spans="1:57" x14ac:dyDescent="0.35">
      <c r="A36" s="48">
        <f>MAX(A$6:A35)+1</f>
        <v>26</v>
      </c>
      <c r="B36" s="62" t="s">
        <v>104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1"/>
    </row>
    <row r="37" spans="1:57" x14ac:dyDescent="0.35">
      <c r="A37" s="46">
        <f>MAX(A$6:A36)+1</f>
        <v>27</v>
      </c>
      <c r="B37" s="19" t="s">
        <v>105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1"/>
    </row>
    <row r="38" spans="1:57" x14ac:dyDescent="0.35">
      <c r="A38" s="48">
        <f>MAX(A$6:A37)+1</f>
        <v>28</v>
      </c>
      <c r="B38" s="62" t="s">
        <v>106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1"/>
    </row>
    <row r="39" spans="1:57" x14ac:dyDescent="0.35">
      <c r="A39" s="46">
        <f>MAX(A$6:A38)+1</f>
        <v>29</v>
      </c>
      <c r="B39" s="19" t="s">
        <v>107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1"/>
    </row>
    <row r="40" spans="1:57" x14ac:dyDescent="0.35">
      <c r="A40" s="46">
        <f>MAX(A$6:A39)+1</f>
        <v>30</v>
      </c>
      <c r="B40" s="19" t="s">
        <v>25</v>
      </c>
      <c r="C40" s="20">
        <f t="shared" ref="C40:AA40" si="61">SUM(C21:C39)</f>
        <v>0</v>
      </c>
      <c r="D40" s="20">
        <f t="shared" si="61"/>
        <v>0</v>
      </c>
      <c r="E40" s="20">
        <f t="shared" si="61"/>
        <v>0</v>
      </c>
      <c r="F40" s="20">
        <f t="shared" si="61"/>
        <v>0</v>
      </c>
      <c r="G40" s="20">
        <f t="shared" si="61"/>
        <v>0</v>
      </c>
      <c r="H40" s="20">
        <f t="shared" si="61"/>
        <v>0</v>
      </c>
      <c r="I40" s="20">
        <f t="shared" si="61"/>
        <v>77224</v>
      </c>
      <c r="J40" s="20">
        <f t="shared" si="61"/>
        <v>220640</v>
      </c>
      <c r="K40" s="20">
        <f t="shared" si="61"/>
        <v>322518</v>
      </c>
      <c r="L40" s="20">
        <f t="shared" si="61"/>
        <v>511719</v>
      </c>
      <c r="M40" s="20">
        <f t="shared" si="61"/>
        <v>588943</v>
      </c>
      <c r="N40" s="20">
        <f t="shared" si="61"/>
        <v>732359</v>
      </c>
      <c r="O40" s="20">
        <f t="shared" si="61"/>
        <v>732359</v>
      </c>
      <c r="P40" s="20">
        <f t="shared" si="61"/>
        <v>732359</v>
      </c>
      <c r="Q40" s="20">
        <f t="shared" si="61"/>
        <v>732359</v>
      </c>
      <c r="R40" s="20">
        <f t="shared" si="61"/>
        <v>732359</v>
      </c>
      <c r="S40" s="20">
        <f t="shared" si="61"/>
        <v>732359</v>
      </c>
      <c r="T40" s="20">
        <f t="shared" si="61"/>
        <v>732359</v>
      </c>
      <c r="U40" s="20">
        <f t="shared" si="61"/>
        <v>732359</v>
      </c>
      <c r="V40" s="20">
        <f t="shared" si="61"/>
        <v>732359</v>
      </c>
      <c r="W40" s="20">
        <f t="shared" si="61"/>
        <v>732359</v>
      </c>
      <c r="X40" s="20">
        <f t="shared" si="61"/>
        <v>732359</v>
      </c>
      <c r="Y40" s="20">
        <f t="shared" si="61"/>
        <v>732359</v>
      </c>
      <c r="Z40" s="20">
        <f t="shared" si="61"/>
        <v>732359</v>
      </c>
      <c r="AA40" s="20">
        <f t="shared" si="61"/>
        <v>732359</v>
      </c>
    </row>
    <row r="41" spans="1:57" x14ac:dyDescent="0.35">
      <c r="A41" s="46"/>
      <c r="B41" s="19"/>
      <c r="C41" s="19"/>
      <c r="D41" s="19"/>
      <c r="E41" s="19"/>
      <c r="F41" s="19"/>
      <c r="G41" s="19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</row>
    <row r="42" spans="1:57" x14ac:dyDescent="0.35">
      <c r="A42" s="44">
        <f>MAX(A$6:A41)+1</f>
        <v>31</v>
      </c>
      <c r="B42" s="34" t="s">
        <v>76</v>
      </c>
      <c r="C42" s="35">
        <f>+C40*(1+C$8)</f>
        <v>0</v>
      </c>
      <c r="D42" s="35">
        <f t="shared" ref="D42:Z42" si="62">+D40*(1+D$8)</f>
        <v>0</v>
      </c>
      <c r="E42" s="35">
        <f t="shared" si="62"/>
        <v>0</v>
      </c>
      <c r="F42" s="35">
        <f t="shared" si="62"/>
        <v>0</v>
      </c>
      <c r="G42" s="35">
        <f>+G40*(1+G$8)</f>
        <v>0</v>
      </c>
      <c r="H42" s="35">
        <f t="shared" si="62"/>
        <v>0</v>
      </c>
      <c r="I42" s="35">
        <f>+I40*(1+I$8)</f>
        <v>86860.493369999997</v>
      </c>
      <c r="J42" s="35">
        <f t="shared" si="62"/>
        <v>256858.88753699997</v>
      </c>
      <c r="K42" s="35">
        <f t="shared" si="62"/>
        <v>388601.66427135241</v>
      </c>
      <c r="L42" s="35">
        <f t="shared" si="62"/>
        <v>638149.7310712788</v>
      </c>
      <c r="M42" s="35">
        <f t="shared" si="62"/>
        <v>760159.38564648386</v>
      </c>
      <c r="N42" s="35">
        <f t="shared" si="62"/>
        <v>978353.42703048815</v>
      </c>
      <c r="O42" s="35">
        <f t="shared" si="62"/>
        <v>1012595.7969765553</v>
      </c>
      <c r="P42" s="35">
        <f t="shared" si="62"/>
        <v>1048036.6498707347</v>
      </c>
      <c r="Q42" s="35">
        <f t="shared" si="62"/>
        <v>1084717.9326162103</v>
      </c>
      <c r="R42" s="35">
        <f t="shared" si="62"/>
        <v>1122683.0602577776</v>
      </c>
      <c r="S42" s="35">
        <f t="shared" si="62"/>
        <v>1161976.9673667997</v>
      </c>
      <c r="T42" s="35">
        <f t="shared" si="62"/>
        <v>1202646.1612246376</v>
      </c>
      <c r="U42" s="35">
        <f t="shared" si="62"/>
        <v>1244738.7768674998</v>
      </c>
      <c r="V42" s="35">
        <f t="shared" si="62"/>
        <v>1288304.6340578622</v>
      </c>
      <c r="W42" s="35">
        <f t="shared" si="62"/>
        <v>1333395.2962498872</v>
      </c>
      <c r="X42" s="35">
        <f t="shared" si="62"/>
        <v>1380064.1316186332</v>
      </c>
      <c r="Y42" s="35">
        <f t="shared" si="62"/>
        <v>1428366.3762252852</v>
      </c>
      <c r="Z42" s="35">
        <f t="shared" si="62"/>
        <v>1478359.1993931702</v>
      </c>
      <c r="AA42" s="35">
        <f>+AA40*(1+AA$8)</f>
        <v>1530101.7713719311</v>
      </c>
      <c r="AD42" s="172" t="s">
        <v>88</v>
      </c>
      <c r="AF42" s="173">
        <f>SUMIF(Assumptions!$E$27:$E$193,AD42,Assumptions!$D$27:$D$193)</f>
        <v>0.95239917402446805</v>
      </c>
      <c r="AH42" s="105">
        <f t="shared" ref="AH42:AP42" si="63">+D42*$AF42</f>
        <v>0</v>
      </c>
      <c r="AI42" s="105">
        <f t="shared" si="63"/>
        <v>0</v>
      </c>
      <c r="AJ42" s="105">
        <f t="shared" si="63"/>
        <v>0</v>
      </c>
      <c r="AK42" s="105">
        <f t="shared" si="63"/>
        <v>0</v>
      </c>
      <c r="AL42" s="105">
        <f t="shared" si="63"/>
        <v>0</v>
      </c>
      <c r="AM42" s="105">
        <f t="shared" si="63"/>
        <v>82725.862140945785</v>
      </c>
      <c r="AN42" s="105">
        <f t="shared" si="63"/>
        <v>244632.19233108251</v>
      </c>
      <c r="AO42" s="105">
        <f t="shared" si="63"/>
        <v>370103.90407656966</v>
      </c>
      <c r="AP42" s="105">
        <f t="shared" si="63"/>
        <v>607773.2767762224</v>
      </c>
      <c r="AQ42" s="105">
        <f t="shared" ref="AQ42" si="64">+M42*$AF42</f>
        <v>723975.17101665831</v>
      </c>
      <c r="AR42" s="105">
        <f t="shared" ref="AR42" si="65">+N42*$AF42</f>
        <v>931782.99580784456</v>
      </c>
      <c r="AS42" s="105">
        <f t="shared" ref="AS42" si="66">+O42*$AF42</f>
        <v>964395.40066111914</v>
      </c>
      <c r="AT42" s="105">
        <f t="shared" ref="AT42" si="67">+P42*$AF42</f>
        <v>998149.23968425835</v>
      </c>
      <c r="AU42" s="105">
        <f t="shared" ref="AU42" si="68">+Q42*$AF42</f>
        <v>1033084.4630732073</v>
      </c>
      <c r="AV42" s="105">
        <f t="shared" ref="AV42" si="69">+R42*$AF42</f>
        <v>1069242.4192807695</v>
      </c>
      <c r="AW42" s="105">
        <f t="shared" ref="AW42" si="70">+S42*$AF42</f>
        <v>1106665.9039555963</v>
      </c>
      <c r="AX42" s="105">
        <f t="shared" ref="AX42" si="71">+T42*$AF42</f>
        <v>1145399.2105940422</v>
      </c>
      <c r="AY42" s="105">
        <f t="shared" ref="AY42" si="72">+U42*$AF42</f>
        <v>1185488.1829648335</v>
      </c>
      <c r="AZ42" s="105">
        <f t="shared" ref="AZ42" si="73">+V42*$AF42</f>
        <v>1226980.2693686027</v>
      </c>
      <c r="BA42" s="105">
        <f t="shared" ref="BA42" si="74">+W42*$AF42</f>
        <v>1269924.5787965034</v>
      </c>
      <c r="BB42" s="105">
        <f t="shared" ref="BB42" si="75">+X42*$AF42</f>
        <v>1314371.9390543811</v>
      </c>
      <c r="BC42" s="105">
        <f t="shared" ref="BC42" si="76">+Y42*$AF42</f>
        <v>1360374.9569212843</v>
      </c>
      <c r="BD42" s="105">
        <f t="shared" ref="BD42" si="77">+Z42*$AF42</f>
        <v>1407988.0804135292</v>
      </c>
      <c r="BE42" s="105">
        <f t="shared" ref="BE42" si="78">+AA42*$AF42</f>
        <v>1457267.6632280026</v>
      </c>
    </row>
    <row r="43" spans="1:57" x14ac:dyDescent="0.35">
      <c r="A43" s="46"/>
      <c r="B43" s="19"/>
      <c r="C43" s="19"/>
      <c r="D43" s="19"/>
      <c r="E43" s="19"/>
      <c r="F43" s="19"/>
      <c r="G43" s="19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</row>
    <row r="44" spans="1:57" x14ac:dyDescent="0.35">
      <c r="A44" s="44">
        <f>MAX(A$6:A43)+1</f>
        <v>32</v>
      </c>
      <c r="B44" s="29" t="s">
        <v>15</v>
      </c>
      <c r="C44" s="35">
        <f t="shared" ref="C44:AA44" si="79">+C42+C18</f>
        <v>0</v>
      </c>
      <c r="D44" s="35">
        <f t="shared" si="79"/>
        <v>0</v>
      </c>
      <c r="E44" s="35">
        <f t="shared" si="79"/>
        <v>0</v>
      </c>
      <c r="F44" s="35">
        <f t="shared" si="79"/>
        <v>0</v>
      </c>
      <c r="G44" s="35">
        <f t="shared" si="79"/>
        <v>0</v>
      </c>
      <c r="H44" s="35">
        <f t="shared" si="79"/>
        <v>0</v>
      </c>
      <c r="I44" s="35">
        <f t="shared" si="79"/>
        <v>86860.493369999997</v>
      </c>
      <c r="J44" s="35">
        <f t="shared" si="79"/>
        <v>256858.88753699997</v>
      </c>
      <c r="K44" s="35">
        <f t="shared" si="79"/>
        <v>388601.66427135241</v>
      </c>
      <c r="L44" s="35">
        <f t="shared" si="79"/>
        <v>638149.7310712788</v>
      </c>
      <c r="M44" s="35">
        <f t="shared" si="79"/>
        <v>760159.38564648386</v>
      </c>
      <c r="N44" s="35">
        <f t="shared" si="79"/>
        <v>978353.42703048815</v>
      </c>
      <c r="O44" s="35">
        <f t="shared" si="79"/>
        <v>1012595.7969765553</v>
      </c>
      <c r="P44" s="35">
        <f t="shared" si="79"/>
        <v>1048036.6498707347</v>
      </c>
      <c r="Q44" s="35">
        <f t="shared" si="79"/>
        <v>1084717.9326162103</v>
      </c>
      <c r="R44" s="35">
        <f t="shared" si="79"/>
        <v>1122683.0602577776</v>
      </c>
      <c r="S44" s="35">
        <f t="shared" si="79"/>
        <v>1161976.9673667997</v>
      </c>
      <c r="T44" s="35">
        <f t="shared" si="79"/>
        <v>1202646.1612246376</v>
      </c>
      <c r="U44" s="35">
        <f t="shared" si="79"/>
        <v>1244738.7768674998</v>
      </c>
      <c r="V44" s="35">
        <f t="shared" si="79"/>
        <v>1288304.6340578622</v>
      </c>
      <c r="W44" s="35">
        <f t="shared" si="79"/>
        <v>1333395.2962498872</v>
      </c>
      <c r="X44" s="35">
        <f t="shared" si="79"/>
        <v>1380064.1316186332</v>
      </c>
      <c r="Y44" s="35">
        <f t="shared" si="79"/>
        <v>1428366.3762252852</v>
      </c>
      <c r="Z44" s="35">
        <f t="shared" si="79"/>
        <v>1478359.1993931702</v>
      </c>
      <c r="AA44" s="35">
        <f t="shared" si="79"/>
        <v>1530101.7713719311</v>
      </c>
      <c r="AG44" s="35">
        <f t="shared" ref="AG44:BE44" si="80">+AG42+AG18</f>
        <v>0</v>
      </c>
      <c r="AH44" s="35">
        <f t="shared" si="80"/>
        <v>0</v>
      </c>
      <c r="AI44" s="35">
        <f t="shared" si="80"/>
        <v>0</v>
      </c>
      <c r="AJ44" s="35">
        <f t="shared" si="80"/>
        <v>0</v>
      </c>
      <c r="AK44" s="35">
        <f t="shared" si="80"/>
        <v>0</v>
      </c>
      <c r="AL44" s="35">
        <f t="shared" si="80"/>
        <v>0</v>
      </c>
      <c r="AM44" s="35">
        <f t="shared" si="80"/>
        <v>82725.862140945785</v>
      </c>
      <c r="AN44" s="35">
        <f t="shared" si="80"/>
        <v>244632.19233108251</v>
      </c>
      <c r="AO44" s="35">
        <f t="shared" si="80"/>
        <v>370103.90407656966</v>
      </c>
      <c r="AP44" s="35">
        <f t="shared" si="80"/>
        <v>607773.2767762224</v>
      </c>
      <c r="AQ44" s="35">
        <f t="shared" si="80"/>
        <v>723975.17101665831</v>
      </c>
      <c r="AR44" s="35">
        <f t="shared" si="80"/>
        <v>931782.99580784456</v>
      </c>
      <c r="AS44" s="35">
        <f t="shared" si="80"/>
        <v>964395.40066111914</v>
      </c>
      <c r="AT44" s="35">
        <f t="shared" si="80"/>
        <v>998149.23968425835</v>
      </c>
      <c r="AU44" s="35">
        <f t="shared" si="80"/>
        <v>1033084.4630732073</v>
      </c>
      <c r="AV44" s="35">
        <f t="shared" si="80"/>
        <v>1069242.4192807695</v>
      </c>
      <c r="AW44" s="35">
        <f t="shared" si="80"/>
        <v>1106665.9039555963</v>
      </c>
      <c r="AX44" s="35">
        <f t="shared" si="80"/>
        <v>1145399.2105940422</v>
      </c>
      <c r="AY44" s="35">
        <f t="shared" si="80"/>
        <v>1185488.1829648335</v>
      </c>
      <c r="AZ44" s="35">
        <f t="shared" si="80"/>
        <v>1226980.2693686027</v>
      </c>
      <c r="BA44" s="35">
        <f t="shared" si="80"/>
        <v>1269924.5787965034</v>
      </c>
      <c r="BB44" s="35">
        <f t="shared" si="80"/>
        <v>1314371.9390543811</v>
      </c>
      <c r="BC44" s="35">
        <f t="shared" si="80"/>
        <v>1360374.9569212843</v>
      </c>
      <c r="BD44" s="35">
        <f t="shared" si="80"/>
        <v>1407988.0804135292</v>
      </c>
      <c r="BE44" s="35">
        <f t="shared" si="80"/>
        <v>1457267.6632280026</v>
      </c>
    </row>
    <row r="45" spans="1:57" x14ac:dyDescent="0.35">
      <c r="A45" s="46"/>
      <c r="B45" s="19"/>
      <c r="C45" s="19"/>
      <c r="D45" s="19"/>
      <c r="E45" s="19"/>
      <c r="F45" s="19"/>
      <c r="G45" s="19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</row>
    <row r="46" spans="1:57" ht="15.5" x14ac:dyDescent="0.35">
      <c r="A46" s="10"/>
      <c r="B46" s="31" t="s">
        <v>108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</row>
    <row r="47" spans="1:57" ht="15.5" x14ac:dyDescent="0.35">
      <c r="A47" s="10"/>
      <c r="B47" s="31" t="s">
        <v>109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</row>
    <row r="48" spans="1:57" x14ac:dyDescent="0.35">
      <c r="A48" s="48">
        <f>MAX(A$6:A47)+1</f>
        <v>33</v>
      </c>
      <c r="B48" s="17" t="s">
        <v>110</v>
      </c>
      <c r="C48" s="49">
        <f>+'Pension &amp; Fringes Ratio'!E12</f>
        <v>0.39900412395768614</v>
      </c>
      <c r="D48" s="49">
        <f>+'Pension &amp; Fringes Ratio'!F12</f>
        <v>0.39633307386195543</v>
      </c>
      <c r="E48" s="49">
        <f>+'Pension &amp; Fringes Ratio'!G12</f>
        <v>0.39185814936231089</v>
      </c>
      <c r="F48" s="49">
        <f>+'Pension &amp; Fringes Ratio'!H12</f>
        <v>0.43116127604766247</v>
      </c>
      <c r="G48" s="49">
        <f>+'Pension &amp; Fringes Ratio'!I12</f>
        <v>0.42910812711410212</v>
      </c>
      <c r="H48" s="49">
        <f>+'Pension &amp; Fringes Ratio'!J12</f>
        <v>0.4274497382170428</v>
      </c>
      <c r="I48" s="49">
        <f>+'Pension &amp; Fringes Ratio'!K12</f>
        <v>0.43327296653478231</v>
      </c>
      <c r="J48" s="49">
        <f>+'Pension &amp; Fringes Ratio'!L12</f>
        <v>0.43917552578902419</v>
      </c>
      <c r="K48" s="49">
        <f>+'Pension &amp; Fringes Ratio'!M12</f>
        <v>0.44278228131482777</v>
      </c>
      <c r="L48" s="49">
        <f>+'Pension &amp; Fringes Ratio'!N12</f>
        <v>0.44641865753818644</v>
      </c>
      <c r="M48" s="49">
        <f>+'Pension &amp; Fringes Ratio'!O12</f>
        <v>0.45008489772086729</v>
      </c>
      <c r="N48" s="49">
        <f>+'Pension &amp; Fringes Ratio'!P12</f>
        <v>0.45378124712243978</v>
      </c>
      <c r="O48" s="49">
        <f>+'Pension &amp; Fringes Ratio'!Q12</f>
        <v>0.45750795301668201</v>
      </c>
      <c r="P48" s="49">
        <f>+'Pension &amp; Fringes Ratio'!R12</f>
        <v>0.4612652647081234</v>
      </c>
      <c r="Q48" s="49">
        <f>+'Pension &amp; Fringes Ratio'!S12</f>
        <v>0.46505343354872158</v>
      </c>
      <c r="R48" s="49">
        <f>+'Pension &amp; Fringes Ratio'!T12</f>
        <v>0.46887271295467731</v>
      </c>
      <c r="S48" s="49">
        <f>+'Pension &amp; Fringes Ratio'!U12</f>
        <v>0.47272335842338736</v>
      </c>
      <c r="T48" s="49">
        <f>+'Pension &amp; Fringes Ratio'!V12</f>
        <v>0.47660562755053598</v>
      </c>
      <c r="U48" s="49">
        <f>+'Pension &amp; Fringes Ratio'!W12</f>
        <v>0.48051978004732793</v>
      </c>
      <c r="V48" s="49">
        <f>+'Pension &amp; Fringes Ratio'!X12</f>
        <v>0.48446607775786166</v>
      </c>
      <c r="W48" s="49">
        <f>+'Pension &amp; Fringes Ratio'!Y12</f>
        <v>0.48844478467664604</v>
      </c>
      <c r="X48" s="49">
        <f>+'Pension &amp; Fringes Ratio'!Z12</f>
        <v>0.4924561669662611</v>
      </c>
      <c r="Y48" s="49">
        <f>+'Pension &amp; Fringes Ratio'!AA12</f>
        <v>0.49650049297516274</v>
      </c>
      <c r="Z48" s="49">
        <f>+'Pension &amp; Fringes Ratio'!AB12</f>
        <v>0.50057803325563521</v>
      </c>
      <c r="AA48" s="49">
        <f>+'Pension &amp; Fringes Ratio'!AC12</f>
        <v>0.50468906058188934</v>
      </c>
    </row>
    <row r="49" spans="1:57" x14ac:dyDescent="0.35">
      <c r="A49" s="46">
        <f>MAX(A$6:A48)+1</f>
        <v>34</v>
      </c>
      <c r="B49" s="19" t="s">
        <v>111</v>
      </c>
      <c r="C49" s="47">
        <f>+'Pension &amp; Fringes Ratio'!E13</f>
        <v>0.37252820581911578</v>
      </c>
      <c r="D49" s="47">
        <f>+'Pension &amp; Fringes Ratio'!F13</f>
        <v>0.35141484958703101</v>
      </c>
      <c r="E49" s="47">
        <f>+'Pension &amp; Fringes Ratio'!G13</f>
        <v>0.33967084730467317</v>
      </c>
      <c r="F49" s="47">
        <f>+'Pension &amp; Fringes Ratio'!H13</f>
        <v>0.32297321114521454</v>
      </c>
      <c r="G49" s="47">
        <f>+'Pension &amp; Fringes Ratio'!I13</f>
        <v>0.31300718062987648</v>
      </c>
      <c r="H49" s="47">
        <f>+'Pension &amp; Fringes Ratio'!J13</f>
        <v>0.30242239674384203</v>
      </c>
      <c r="I49" s="47">
        <f>+'Pension &amp; Fringes Ratio'!K13</f>
        <v>0.29219555240950928</v>
      </c>
      <c r="J49" s="47">
        <f>+'Pension &amp; Fringes Ratio'!L13</f>
        <v>0.28231454339083017</v>
      </c>
      <c r="K49" s="47">
        <f>+'Pension &amp; Fringes Ratio'!M13</f>
        <v>0.27276767477374897</v>
      </c>
      <c r="L49" s="47">
        <f>+'Pension &amp; Fringes Ratio'!N13</f>
        <v>0.26354364712439521</v>
      </c>
      <c r="M49" s="47">
        <f>+'Pension &amp; Fringes Ratio'!O13</f>
        <v>0.25463154311535774</v>
      </c>
      <c r="N49" s="47">
        <f>+'Pension &amp; Fringes Ratio'!P13</f>
        <v>0.24602081460421041</v>
      </c>
      <c r="O49" s="47">
        <f>+'Pension &amp; Fringes Ratio'!Q13</f>
        <v>0.23770127014899553</v>
      </c>
      <c r="P49" s="47">
        <f>+'Pension &amp; Fringes Ratio'!R13</f>
        <v>0.22966306294588937</v>
      </c>
      <c r="Q49" s="47">
        <f>+'Pension &amp; Fringes Ratio'!S13</f>
        <v>0.22189667917477238</v>
      </c>
      <c r="R49" s="47">
        <f>+'Pension &amp; Fringes Ratio'!T13</f>
        <v>0.21439292673891053</v>
      </c>
      <c r="S49" s="47">
        <f>+'Pension &amp; Fringes Ratio'!U13</f>
        <v>0.20714292438542084</v>
      </c>
      <c r="T49" s="47">
        <f>+'Pension &amp; Fringes Ratio'!V13</f>
        <v>0.20013809119364331</v>
      </c>
      <c r="U49" s="47">
        <f>+'Pension &amp; Fringes Ratio'!W13</f>
        <v>0.19337013641897904</v>
      </c>
      <c r="V49" s="47">
        <f>+'Pension &amp; Fringes Ratio'!X13</f>
        <v>0.18683104968017303</v>
      </c>
      <c r="W49" s="47">
        <f>+'Pension &amp; Fringes Ratio'!Y13</f>
        <v>0.18051309147842806</v>
      </c>
      <c r="X49" s="47">
        <f>+'Pension &amp; Fringes Ratio'!Z13</f>
        <v>0.17440878403712859</v>
      </c>
      <c r="Y49" s="47">
        <f>+'Pension &amp; Fringes Ratio'!AA13</f>
        <v>0.16851090245133196</v>
      </c>
      <c r="Z49" s="47">
        <f>+'Pension &amp; Fringes Ratio'!AB13</f>
        <v>0.16281246613655262</v>
      </c>
      <c r="AA49" s="47">
        <f>+'Pension &amp; Fringes Ratio'!AC13</f>
        <v>0.15730673056671751</v>
      </c>
    </row>
    <row r="50" spans="1:57" x14ac:dyDescent="0.35">
      <c r="A50" s="48">
        <f>MAX(A$6:A49)+1</f>
        <v>35</v>
      </c>
      <c r="B50" s="17" t="s">
        <v>112</v>
      </c>
      <c r="C50" s="49">
        <f>+'Pension &amp; Fringes Ratio'!E14</f>
        <v>5.3957484317269488E-2</v>
      </c>
      <c r="D50" s="49">
        <f>+'Pension &amp; Fringes Ratio'!F14</f>
        <v>6.5608284873243702E-2</v>
      </c>
      <c r="E50" s="49">
        <f>+'Pension &amp; Fringes Ratio'!G14</f>
        <v>7.0152811671216717E-2</v>
      </c>
      <c r="F50" s="49">
        <f>+'Pension &amp; Fringes Ratio'!H14</f>
        <v>6.7370354151241443E-2</v>
      </c>
      <c r="G50" s="49">
        <f>+'Pension &amp; Fringes Ratio'!I14</f>
        <v>6.416224204880136E-2</v>
      </c>
      <c r="H50" s="49">
        <f>+'Pension &amp; Fringes Ratio'!J14</f>
        <v>6.2476166350071236E-2</v>
      </c>
      <c r="I50" s="49">
        <f>+'Pension &amp; Fringes Ratio'!K14</f>
        <v>6.0362771672245706E-2</v>
      </c>
      <c r="J50" s="49">
        <f>+'Pension &amp; Fringes Ratio'!L14</f>
        <v>5.832086724942772E-2</v>
      </c>
      <c r="K50" s="49">
        <f>+'Pension &amp; Fringes Ratio'!M14</f>
        <v>5.6348034765429288E-2</v>
      </c>
      <c r="L50" s="49">
        <f>+'Pension &amp; Fringes Ratio'!N14</f>
        <v>5.4441937708962725E-2</v>
      </c>
      <c r="M50" s="49">
        <f>+'Pension &amp; Fringes Ratio'!O14</f>
        <v>5.260031860640875E-2</v>
      </c>
      <c r="N50" s="49">
        <f>+'Pension &amp; Fringes Ratio'!P14</f>
        <v>5.0820996348192364E-2</v>
      </c>
      <c r="O50" s="49">
        <f>+'Pension &amp; Fringes Ratio'!Q14</f>
        <v>4.9101863605599892E-2</v>
      </c>
      <c r="P50" s="49">
        <f>+'Pension &amp; Fringes Ratio'!R14</f>
        <v>4.7440884334978041E-2</v>
      </c>
      <c r="Q50" s="49">
        <f>+'Pension &amp; Fringes Ratio'!S14</f>
        <v>4.5836091366358821E-2</v>
      </c>
      <c r="R50" s="49">
        <f>+'Pension &amp; Fringes Ratio'!T14</f>
        <v>4.4285584073654592E-2</v>
      </c>
      <c r="S50" s="49">
        <f>+'Pension &amp; Fringes Ratio'!U14</f>
        <v>4.2787526123664037E-2</v>
      </c>
      <c r="T50" s="49">
        <f>+'Pension &amp; Fringes Ratio'!V14</f>
        <v>4.1340143301222827E-2</v>
      </c>
      <c r="U50" s="49">
        <f>+'Pension &amp; Fringes Ratio'!W14</f>
        <v>3.9941721407923514E-2</v>
      </c>
      <c r="V50" s="49">
        <f>+'Pension &amp; Fringes Ratio'!X14</f>
        <v>3.8590604231915807E-2</v>
      </c>
      <c r="W50" s="49">
        <f>+'Pension &amp; Fringes Ratio'!Y14</f>
        <v>3.7285191586382875E-2</v>
      </c>
      <c r="X50" s="49">
        <f>+'Pension &amp; Fringes Ratio'!Z14</f>
        <v>3.6023937414370495E-2</v>
      </c>
      <c r="Y50" s="49">
        <f>+'Pension &amp; Fringes Ratio'!AA14</f>
        <v>3.4805347957724608E-2</v>
      </c>
      <c r="Z50" s="49">
        <f>+'Pension &amp; Fringes Ratio'!AB14</f>
        <v>3.3628355514709773E-2</v>
      </c>
      <c r="AA50" s="49">
        <f>+'Pension &amp; Fringes Ratio'!AC14</f>
        <v>3.249116474851186E-2</v>
      </c>
    </row>
    <row r="51" spans="1:57" x14ac:dyDescent="0.35">
      <c r="A51" s="46">
        <f>MAX(A$6:A50)+1</f>
        <v>36</v>
      </c>
      <c r="B51" s="19" t="s">
        <v>113</v>
      </c>
      <c r="C51" s="101">
        <f t="shared" ref="C51" si="81">SUM(C48:C50)</f>
        <v>0.82548981409407141</v>
      </c>
      <c r="D51" s="101">
        <f t="shared" ref="D51:L51" si="82">SUM(D48:D50)</f>
        <v>0.8133562083222301</v>
      </c>
      <c r="E51" s="101">
        <f t="shared" si="82"/>
        <v>0.80168180833820069</v>
      </c>
      <c r="F51" s="101">
        <f t="shared" si="82"/>
        <v>0.8215048413441185</v>
      </c>
      <c r="G51" s="101">
        <f t="shared" si="82"/>
        <v>0.80627754979277999</v>
      </c>
      <c r="H51" s="101">
        <f t="shared" si="82"/>
        <v>0.79234830131095602</v>
      </c>
      <c r="I51" s="101">
        <f t="shared" si="82"/>
        <v>0.78583129061653723</v>
      </c>
      <c r="J51" s="101">
        <f t="shared" si="82"/>
        <v>0.77981093642928212</v>
      </c>
      <c r="K51" s="101">
        <f t="shared" si="82"/>
        <v>0.77189799085400601</v>
      </c>
      <c r="L51" s="101">
        <f t="shared" si="82"/>
        <v>0.76440424237154436</v>
      </c>
      <c r="M51" s="101">
        <f t="shared" ref="M51:AA51" si="83">SUM(M48:M50)</f>
        <v>0.75731675944263377</v>
      </c>
      <c r="N51" s="101">
        <f t="shared" si="83"/>
        <v>0.75062305807484253</v>
      </c>
      <c r="O51" s="101">
        <f t="shared" si="83"/>
        <v>0.74431108677127744</v>
      </c>
      <c r="P51" s="101">
        <f t="shared" si="83"/>
        <v>0.73836921198899086</v>
      </c>
      <c r="Q51" s="101">
        <f t="shared" si="83"/>
        <v>0.73278620408985273</v>
      </c>
      <c r="R51" s="101">
        <f t="shared" si="83"/>
        <v>0.72755122376724246</v>
      </c>
      <c r="S51" s="101">
        <f t="shared" si="83"/>
        <v>0.72265380893247222</v>
      </c>
      <c r="T51" s="101">
        <f t="shared" si="83"/>
        <v>0.71808386204540209</v>
      </c>
      <c r="U51" s="101">
        <f t="shared" si="83"/>
        <v>0.71383163787423054</v>
      </c>
      <c r="V51" s="101">
        <f t="shared" si="83"/>
        <v>0.70988773166995056</v>
      </c>
      <c r="W51" s="101">
        <f t="shared" si="83"/>
        <v>0.70624306774145695</v>
      </c>
      <c r="X51" s="101">
        <f t="shared" si="83"/>
        <v>0.7028888884177602</v>
      </c>
      <c r="Y51" s="101">
        <f t="shared" si="83"/>
        <v>0.69981674338421929</v>
      </c>
      <c r="Z51" s="101">
        <f t="shared" si="83"/>
        <v>0.69701885490689763</v>
      </c>
      <c r="AA51" s="101">
        <f t="shared" si="83"/>
        <v>0.69448695589711873</v>
      </c>
    </row>
    <row r="52" spans="1:57" x14ac:dyDescent="0.35">
      <c r="A52" s="48">
        <f>MAX(A$6:A51)+1</f>
        <v>37</v>
      </c>
      <c r="B52" s="17" t="s">
        <v>114</v>
      </c>
      <c r="C52" s="17"/>
      <c r="D52" s="51">
        <f>ROUND(+D$44*D48,-3)</f>
        <v>0</v>
      </c>
      <c r="E52" s="51">
        <f t="shared" ref="E52:H54" si="84">ROUND(+E$44*E48,-3)</f>
        <v>0</v>
      </c>
      <c r="F52" s="51">
        <f t="shared" si="84"/>
        <v>0</v>
      </c>
      <c r="G52" s="51">
        <f t="shared" si="84"/>
        <v>0</v>
      </c>
      <c r="H52" s="51">
        <f t="shared" si="84"/>
        <v>0</v>
      </c>
      <c r="I52" s="51">
        <f t="shared" ref="I52:L52" si="85">ROUND(+I$44*I48,-3)</f>
        <v>38000</v>
      </c>
      <c r="J52" s="51">
        <f t="shared" si="85"/>
        <v>113000</v>
      </c>
      <c r="K52" s="51">
        <f t="shared" si="85"/>
        <v>172000</v>
      </c>
      <c r="L52" s="51">
        <f t="shared" si="85"/>
        <v>285000</v>
      </c>
      <c r="M52" s="51">
        <f t="shared" ref="M52:AA52" si="86">ROUND(+M$44*M48,-3)</f>
        <v>342000</v>
      </c>
      <c r="N52" s="51">
        <f t="shared" si="86"/>
        <v>444000</v>
      </c>
      <c r="O52" s="51">
        <f t="shared" si="86"/>
        <v>463000</v>
      </c>
      <c r="P52" s="51">
        <f t="shared" si="86"/>
        <v>483000</v>
      </c>
      <c r="Q52" s="51">
        <f t="shared" si="86"/>
        <v>504000</v>
      </c>
      <c r="R52" s="51">
        <f t="shared" si="86"/>
        <v>526000</v>
      </c>
      <c r="S52" s="51">
        <f t="shared" si="86"/>
        <v>549000</v>
      </c>
      <c r="T52" s="51">
        <f t="shared" si="86"/>
        <v>573000</v>
      </c>
      <c r="U52" s="51">
        <f t="shared" si="86"/>
        <v>598000</v>
      </c>
      <c r="V52" s="51">
        <f t="shared" si="86"/>
        <v>624000</v>
      </c>
      <c r="W52" s="51">
        <f t="shared" si="86"/>
        <v>651000</v>
      </c>
      <c r="X52" s="51">
        <f t="shared" si="86"/>
        <v>680000</v>
      </c>
      <c r="Y52" s="51">
        <f t="shared" si="86"/>
        <v>709000</v>
      </c>
      <c r="Z52" s="51">
        <f t="shared" si="86"/>
        <v>740000</v>
      </c>
      <c r="AA52" s="51">
        <f t="shared" si="86"/>
        <v>772000</v>
      </c>
      <c r="AB52" s="1"/>
      <c r="AC52" s="1"/>
      <c r="AD52" t="s">
        <v>115</v>
      </c>
      <c r="AE52" s="1"/>
      <c r="AF52" s="5">
        <f>SUMIF(Assumptions!$E$27:$E$193,AD52,Assumptions!$D$27:$D$193)</f>
        <v>1</v>
      </c>
      <c r="AH52" s="105">
        <f t="shared" ref="AH52:AL54" si="87">+D52*$AF52</f>
        <v>0</v>
      </c>
      <c r="AI52" s="105">
        <f t="shared" si="87"/>
        <v>0</v>
      </c>
      <c r="AJ52" s="105">
        <f t="shared" si="87"/>
        <v>0</v>
      </c>
      <c r="AK52" s="105">
        <f t="shared" si="87"/>
        <v>0</v>
      </c>
      <c r="AL52" s="105">
        <f t="shared" si="87"/>
        <v>0</v>
      </c>
      <c r="AM52" s="105">
        <f t="shared" ref="AM52:AM54" si="88">+I52*$AF52</f>
        <v>38000</v>
      </c>
      <c r="AN52" s="105">
        <f t="shared" ref="AN52:AN54" si="89">+J52*$AF52</f>
        <v>113000</v>
      </c>
      <c r="AO52" s="105">
        <f t="shared" ref="AO52:AO54" si="90">+K52*$AF52</f>
        <v>172000</v>
      </c>
      <c r="AP52" s="105">
        <f t="shared" ref="AP52:AP54" si="91">+L52*$AF52</f>
        <v>285000</v>
      </c>
      <c r="AQ52" s="105">
        <f t="shared" ref="AQ52:AQ54" si="92">+M52*$AF52</f>
        <v>342000</v>
      </c>
      <c r="AR52" s="105">
        <f t="shared" ref="AR52:AR54" si="93">+N52*$AF52</f>
        <v>444000</v>
      </c>
      <c r="AS52" s="105">
        <f t="shared" ref="AS52:AS54" si="94">+O52*$AF52</f>
        <v>463000</v>
      </c>
      <c r="AT52" s="105">
        <f t="shared" ref="AT52:AT54" si="95">+P52*$AF52</f>
        <v>483000</v>
      </c>
      <c r="AU52" s="105">
        <f t="shared" ref="AU52:AU54" si="96">+Q52*$AF52</f>
        <v>504000</v>
      </c>
      <c r="AV52" s="105">
        <f t="shared" ref="AV52:AV54" si="97">+R52*$AF52</f>
        <v>526000</v>
      </c>
      <c r="AW52" s="105">
        <f t="shared" ref="AW52:AW54" si="98">+S52*$AF52</f>
        <v>549000</v>
      </c>
      <c r="AX52" s="105">
        <f t="shared" ref="AX52:AX54" si="99">+T52*$AF52</f>
        <v>573000</v>
      </c>
      <c r="AY52" s="105">
        <f t="shared" ref="AY52:AY54" si="100">+U52*$AF52</f>
        <v>598000</v>
      </c>
      <c r="AZ52" s="105">
        <f t="shared" ref="AZ52:AZ54" si="101">+V52*$AF52</f>
        <v>624000</v>
      </c>
      <c r="BA52" s="105">
        <f t="shared" ref="BA52:BA54" si="102">+W52*$AF52</f>
        <v>651000</v>
      </c>
      <c r="BB52" s="105">
        <f t="shared" ref="BB52:BB54" si="103">+X52*$AF52</f>
        <v>680000</v>
      </c>
      <c r="BC52" s="105">
        <f t="shared" ref="BC52:BC54" si="104">+Y52*$AF52</f>
        <v>709000</v>
      </c>
      <c r="BD52" s="105">
        <f t="shared" ref="BD52:BD54" si="105">+Z52*$AF52</f>
        <v>740000</v>
      </c>
      <c r="BE52" s="105">
        <f t="shared" ref="BE52:BE54" si="106">+AA52*$AF52</f>
        <v>772000</v>
      </c>
    </row>
    <row r="53" spans="1:57" x14ac:dyDescent="0.35">
      <c r="A53" s="46">
        <f>MAX(A$6:A52)+1</f>
        <v>38</v>
      </c>
      <c r="B53" s="19" t="s">
        <v>116</v>
      </c>
      <c r="C53" s="19"/>
      <c r="D53" s="52">
        <f>ROUND(+D$44*D49,-3)</f>
        <v>0</v>
      </c>
      <c r="E53" s="52">
        <f t="shared" si="84"/>
        <v>0</v>
      </c>
      <c r="F53" s="52">
        <f t="shared" si="84"/>
        <v>0</v>
      </c>
      <c r="G53" s="52">
        <f t="shared" si="84"/>
        <v>0</v>
      </c>
      <c r="H53" s="52">
        <f t="shared" si="84"/>
        <v>0</v>
      </c>
      <c r="I53" s="52">
        <f t="shared" ref="I53:L53" si="107">ROUND(+I$44*I49,-3)</f>
        <v>25000</v>
      </c>
      <c r="J53" s="52">
        <f t="shared" si="107"/>
        <v>73000</v>
      </c>
      <c r="K53" s="52">
        <f t="shared" si="107"/>
        <v>106000</v>
      </c>
      <c r="L53" s="52">
        <f t="shared" si="107"/>
        <v>168000</v>
      </c>
      <c r="M53" s="52">
        <f t="shared" ref="M53:AA53" si="108">ROUND(+M$44*M49,-3)</f>
        <v>194000</v>
      </c>
      <c r="N53" s="52">
        <f t="shared" si="108"/>
        <v>241000</v>
      </c>
      <c r="O53" s="52">
        <f t="shared" si="108"/>
        <v>241000</v>
      </c>
      <c r="P53" s="52">
        <f t="shared" si="108"/>
        <v>241000</v>
      </c>
      <c r="Q53" s="52">
        <f t="shared" si="108"/>
        <v>241000</v>
      </c>
      <c r="R53" s="52">
        <f t="shared" si="108"/>
        <v>241000</v>
      </c>
      <c r="S53" s="52">
        <f t="shared" si="108"/>
        <v>241000</v>
      </c>
      <c r="T53" s="52">
        <f t="shared" si="108"/>
        <v>241000</v>
      </c>
      <c r="U53" s="52">
        <f t="shared" si="108"/>
        <v>241000</v>
      </c>
      <c r="V53" s="52">
        <f t="shared" si="108"/>
        <v>241000</v>
      </c>
      <c r="W53" s="52">
        <f t="shared" si="108"/>
        <v>241000</v>
      </c>
      <c r="X53" s="52">
        <f t="shared" si="108"/>
        <v>241000</v>
      </c>
      <c r="Y53" s="52">
        <f t="shared" si="108"/>
        <v>241000</v>
      </c>
      <c r="Z53" s="52">
        <f t="shared" si="108"/>
        <v>241000</v>
      </c>
      <c r="AA53" s="52">
        <f t="shared" si="108"/>
        <v>241000</v>
      </c>
      <c r="AB53" s="2"/>
      <c r="AC53" s="2"/>
      <c r="AD53" t="s">
        <v>117</v>
      </c>
      <c r="AE53" s="2"/>
      <c r="AF53" s="5">
        <f>SUMIF(Assumptions!$E$27:$E$193,AD53,Assumptions!$D$27:$D$193)</f>
        <v>1</v>
      </c>
      <c r="AH53" s="105">
        <f t="shared" si="87"/>
        <v>0</v>
      </c>
      <c r="AI53" s="105">
        <f t="shared" si="87"/>
        <v>0</v>
      </c>
      <c r="AJ53" s="105">
        <f t="shared" si="87"/>
        <v>0</v>
      </c>
      <c r="AK53" s="105">
        <f t="shared" si="87"/>
        <v>0</v>
      </c>
      <c r="AL53" s="105">
        <f t="shared" si="87"/>
        <v>0</v>
      </c>
      <c r="AM53" s="105">
        <f t="shared" si="88"/>
        <v>25000</v>
      </c>
      <c r="AN53" s="105">
        <f t="shared" si="89"/>
        <v>73000</v>
      </c>
      <c r="AO53" s="105">
        <f t="shared" si="90"/>
        <v>106000</v>
      </c>
      <c r="AP53" s="105">
        <f t="shared" si="91"/>
        <v>168000</v>
      </c>
      <c r="AQ53" s="105">
        <f t="shared" si="92"/>
        <v>194000</v>
      </c>
      <c r="AR53" s="105">
        <f t="shared" si="93"/>
        <v>241000</v>
      </c>
      <c r="AS53" s="105">
        <f t="shared" si="94"/>
        <v>241000</v>
      </c>
      <c r="AT53" s="105">
        <f t="shared" si="95"/>
        <v>241000</v>
      </c>
      <c r="AU53" s="105">
        <f t="shared" si="96"/>
        <v>241000</v>
      </c>
      <c r="AV53" s="105">
        <f t="shared" si="97"/>
        <v>241000</v>
      </c>
      <c r="AW53" s="105">
        <f t="shared" si="98"/>
        <v>241000</v>
      </c>
      <c r="AX53" s="105">
        <f t="shared" si="99"/>
        <v>241000</v>
      </c>
      <c r="AY53" s="105">
        <f t="shared" si="100"/>
        <v>241000</v>
      </c>
      <c r="AZ53" s="105">
        <f t="shared" si="101"/>
        <v>241000</v>
      </c>
      <c r="BA53" s="105">
        <f t="shared" si="102"/>
        <v>241000</v>
      </c>
      <c r="BB53" s="105">
        <f t="shared" si="103"/>
        <v>241000</v>
      </c>
      <c r="BC53" s="105">
        <f t="shared" si="104"/>
        <v>241000</v>
      </c>
      <c r="BD53" s="105">
        <f t="shared" si="105"/>
        <v>241000</v>
      </c>
      <c r="BE53" s="105">
        <f t="shared" si="106"/>
        <v>241000</v>
      </c>
    </row>
    <row r="54" spans="1:57" x14ac:dyDescent="0.35">
      <c r="A54" s="48">
        <f>MAX(A$6:A53)+1</f>
        <v>39</v>
      </c>
      <c r="B54" s="17" t="s">
        <v>118</v>
      </c>
      <c r="C54" s="17"/>
      <c r="D54" s="51">
        <f>ROUND(+D$44*D50,-3)</f>
        <v>0</v>
      </c>
      <c r="E54" s="51">
        <f t="shared" si="84"/>
        <v>0</v>
      </c>
      <c r="F54" s="51">
        <f t="shared" si="84"/>
        <v>0</v>
      </c>
      <c r="G54" s="51">
        <f t="shared" si="84"/>
        <v>0</v>
      </c>
      <c r="H54" s="51">
        <f t="shared" si="84"/>
        <v>0</v>
      </c>
      <c r="I54" s="51">
        <f t="shared" ref="I54:L54" si="109">ROUND(+I$44*I50,-3)</f>
        <v>5000</v>
      </c>
      <c r="J54" s="51">
        <f t="shared" si="109"/>
        <v>15000</v>
      </c>
      <c r="K54" s="51">
        <f t="shared" si="109"/>
        <v>22000</v>
      </c>
      <c r="L54" s="51">
        <f t="shared" si="109"/>
        <v>35000</v>
      </c>
      <c r="M54" s="51">
        <f t="shared" ref="M54:AA54" si="110">ROUND(+M$44*M50,-3)</f>
        <v>40000</v>
      </c>
      <c r="N54" s="51">
        <f t="shared" si="110"/>
        <v>50000</v>
      </c>
      <c r="O54" s="51">
        <f t="shared" si="110"/>
        <v>50000</v>
      </c>
      <c r="P54" s="51">
        <f t="shared" si="110"/>
        <v>50000</v>
      </c>
      <c r="Q54" s="51">
        <f t="shared" si="110"/>
        <v>50000</v>
      </c>
      <c r="R54" s="51">
        <f t="shared" si="110"/>
        <v>50000</v>
      </c>
      <c r="S54" s="51">
        <f t="shared" si="110"/>
        <v>50000</v>
      </c>
      <c r="T54" s="51">
        <f t="shared" si="110"/>
        <v>50000</v>
      </c>
      <c r="U54" s="51">
        <f t="shared" si="110"/>
        <v>50000</v>
      </c>
      <c r="V54" s="51">
        <f t="shared" si="110"/>
        <v>50000</v>
      </c>
      <c r="W54" s="51">
        <f t="shared" si="110"/>
        <v>50000</v>
      </c>
      <c r="X54" s="51">
        <f t="shared" si="110"/>
        <v>50000</v>
      </c>
      <c r="Y54" s="51">
        <f t="shared" si="110"/>
        <v>50000</v>
      </c>
      <c r="Z54" s="51">
        <f t="shared" si="110"/>
        <v>50000</v>
      </c>
      <c r="AA54" s="51">
        <f t="shared" si="110"/>
        <v>50000</v>
      </c>
      <c r="AB54" s="2"/>
      <c r="AC54" s="2"/>
      <c r="AD54" t="s">
        <v>119</v>
      </c>
      <c r="AE54" s="2"/>
      <c r="AF54" s="5">
        <f>SUMIF(Assumptions!$E$27:$E$193,AD54,Assumptions!$D$27:$D$193)</f>
        <v>1</v>
      </c>
      <c r="AH54" s="105">
        <f t="shared" si="87"/>
        <v>0</v>
      </c>
      <c r="AI54" s="105">
        <f t="shared" si="87"/>
        <v>0</v>
      </c>
      <c r="AJ54" s="105">
        <f t="shared" si="87"/>
        <v>0</v>
      </c>
      <c r="AK54" s="105">
        <f t="shared" si="87"/>
        <v>0</v>
      </c>
      <c r="AL54" s="105">
        <f t="shared" si="87"/>
        <v>0</v>
      </c>
      <c r="AM54" s="105">
        <f t="shared" si="88"/>
        <v>5000</v>
      </c>
      <c r="AN54" s="105">
        <f t="shared" si="89"/>
        <v>15000</v>
      </c>
      <c r="AO54" s="105">
        <f t="shared" si="90"/>
        <v>22000</v>
      </c>
      <c r="AP54" s="105">
        <f t="shared" si="91"/>
        <v>35000</v>
      </c>
      <c r="AQ54" s="105">
        <f t="shared" si="92"/>
        <v>40000</v>
      </c>
      <c r="AR54" s="105">
        <f t="shared" si="93"/>
        <v>50000</v>
      </c>
      <c r="AS54" s="105">
        <f t="shared" si="94"/>
        <v>50000</v>
      </c>
      <c r="AT54" s="105">
        <f t="shared" si="95"/>
        <v>50000</v>
      </c>
      <c r="AU54" s="105">
        <f t="shared" si="96"/>
        <v>50000</v>
      </c>
      <c r="AV54" s="105">
        <f t="shared" si="97"/>
        <v>50000</v>
      </c>
      <c r="AW54" s="105">
        <f t="shared" si="98"/>
        <v>50000</v>
      </c>
      <c r="AX54" s="105">
        <f t="shared" si="99"/>
        <v>50000</v>
      </c>
      <c r="AY54" s="105">
        <f t="shared" si="100"/>
        <v>50000</v>
      </c>
      <c r="AZ54" s="105">
        <f t="shared" si="101"/>
        <v>50000</v>
      </c>
      <c r="BA54" s="105">
        <f t="shared" si="102"/>
        <v>50000</v>
      </c>
      <c r="BB54" s="105">
        <f t="shared" si="103"/>
        <v>50000</v>
      </c>
      <c r="BC54" s="105">
        <f t="shared" si="104"/>
        <v>50000</v>
      </c>
      <c r="BD54" s="105">
        <f t="shared" si="105"/>
        <v>50000</v>
      </c>
      <c r="BE54" s="105">
        <f t="shared" si="106"/>
        <v>50000</v>
      </c>
    </row>
    <row r="55" spans="1:57" x14ac:dyDescent="0.35">
      <c r="A55" s="46"/>
      <c r="B55" s="19"/>
      <c r="C55" s="19"/>
      <c r="D55" s="19"/>
      <c r="E55" s="19"/>
      <c r="F55" s="19"/>
      <c r="G55" s="19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</row>
    <row r="56" spans="1:57" x14ac:dyDescent="0.35">
      <c r="A56" s="48">
        <f>MAX(A$6:A55)+1</f>
        <v>40</v>
      </c>
      <c r="B56" s="34" t="s">
        <v>32</v>
      </c>
      <c r="C56" s="35"/>
      <c r="D56" s="35">
        <f t="shared" ref="D56:L56" si="111">SUM(D52:D55)</f>
        <v>0</v>
      </c>
      <c r="E56" s="35">
        <f t="shared" si="111"/>
        <v>0</v>
      </c>
      <c r="F56" s="35">
        <f t="shared" si="111"/>
        <v>0</v>
      </c>
      <c r="G56" s="35">
        <f t="shared" si="111"/>
        <v>0</v>
      </c>
      <c r="H56" s="35">
        <f t="shared" si="111"/>
        <v>0</v>
      </c>
      <c r="I56" s="35">
        <f t="shared" si="111"/>
        <v>68000</v>
      </c>
      <c r="J56" s="35">
        <f t="shared" si="111"/>
        <v>201000</v>
      </c>
      <c r="K56" s="35">
        <f t="shared" si="111"/>
        <v>300000</v>
      </c>
      <c r="L56" s="35">
        <f t="shared" si="111"/>
        <v>488000</v>
      </c>
      <c r="M56" s="35">
        <f t="shared" ref="M56:AA56" si="112">SUM(M52:M55)</f>
        <v>576000</v>
      </c>
      <c r="N56" s="35">
        <f t="shared" si="112"/>
        <v>735000</v>
      </c>
      <c r="O56" s="35">
        <f t="shared" si="112"/>
        <v>754000</v>
      </c>
      <c r="P56" s="35">
        <f t="shared" si="112"/>
        <v>774000</v>
      </c>
      <c r="Q56" s="35">
        <f t="shared" si="112"/>
        <v>795000</v>
      </c>
      <c r="R56" s="35">
        <f t="shared" si="112"/>
        <v>817000</v>
      </c>
      <c r="S56" s="35">
        <f t="shared" si="112"/>
        <v>840000</v>
      </c>
      <c r="T56" s="35">
        <f t="shared" si="112"/>
        <v>864000</v>
      </c>
      <c r="U56" s="35">
        <f t="shared" si="112"/>
        <v>889000</v>
      </c>
      <c r="V56" s="35">
        <f t="shared" si="112"/>
        <v>915000</v>
      </c>
      <c r="W56" s="35">
        <f t="shared" si="112"/>
        <v>942000</v>
      </c>
      <c r="X56" s="35">
        <f t="shared" si="112"/>
        <v>971000</v>
      </c>
      <c r="Y56" s="35">
        <f t="shared" si="112"/>
        <v>1000000</v>
      </c>
      <c r="Z56" s="35">
        <f t="shared" si="112"/>
        <v>1031000</v>
      </c>
      <c r="AA56" s="35">
        <f t="shared" si="112"/>
        <v>1063000</v>
      </c>
      <c r="AG56" s="35"/>
      <c r="AH56" s="35">
        <f>SUM(AH52:AH55)</f>
        <v>0</v>
      </c>
      <c r="AI56" s="35">
        <f>SUM(AI52:AI55)</f>
        <v>0</v>
      </c>
      <c r="AJ56" s="35">
        <f>SUM(AJ52:AJ55)</f>
        <v>0</v>
      </c>
      <c r="AK56" s="35">
        <f>SUM(AK52:AK55)</f>
        <v>0</v>
      </c>
      <c r="AL56" s="35">
        <f>SUM(AL52:AL55)</f>
        <v>0</v>
      </c>
      <c r="AM56" s="35">
        <f t="shared" ref="AM56:AP56" si="113">SUM(AM52:AM55)</f>
        <v>68000</v>
      </c>
      <c r="AN56" s="35">
        <f t="shared" si="113"/>
        <v>201000</v>
      </c>
      <c r="AO56" s="35">
        <f t="shared" si="113"/>
        <v>300000</v>
      </c>
      <c r="AP56" s="35">
        <f t="shared" si="113"/>
        <v>488000</v>
      </c>
      <c r="AQ56" s="35">
        <f t="shared" ref="AQ56:BE56" si="114">SUM(AQ52:AQ55)</f>
        <v>576000</v>
      </c>
      <c r="AR56" s="35">
        <f t="shared" si="114"/>
        <v>735000</v>
      </c>
      <c r="AS56" s="35">
        <f t="shared" si="114"/>
        <v>754000</v>
      </c>
      <c r="AT56" s="35">
        <f t="shared" si="114"/>
        <v>774000</v>
      </c>
      <c r="AU56" s="35">
        <f t="shared" si="114"/>
        <v>795000</v>
      </c>
      <c r="AV56" s="35">
        <f t="shared" si="114"/>
        <v>817000</v>
      </c>
      <c r="AW56" s="35">
        <f t="shared" si="114"/>
        <v>840000</v>
      </c>
      <c r="AX56" s="35">
        <f t="shared" si="114"/>
        <v>864000</v>
      </c>
      <c r="AY56" s="35">
        <f t="shared" si="114"/>
        <v>889000</v>
      </c>
      <c r="AZ56" s="35">
        <f t="shared" si="114"/>
        <v>915000</v>
      </c>
      <c r="BA56" s="35">
        <f t="shared" si="114"/>
        <v>942000</v>
      </c>
      <c r="BB56" s="35">
        <f t="shared" si="114"/>
        <v>971000</v>
      </c>
      <c r="BC56" s="35">
        <f t="shared" si="114"/>
        <v>1000000</v>
      </c>
      <c r="BD56" s="35">
        <f t="shared" si="114"/>
        <v>1031000</v>
      </c>
      <c r="BE56" s="35">
        <f t="shared" si="114"/>
        <v>1063000</v>
      </c>
    </row>
    <row r="57" spans="1:57" x14ac:dyDescent="0.35">
      <c r="A57" s="46"/>
      <c r="B57" s="19"/>
      <c r="C57" s="19"/>
      <c r="D57" s="19"/>
      <c r="E57" s="19"/>
      <c r="F57" s="19"/>
      <c r="G57" s="19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G57" s="19"/>
      <c r="AH57" s="19"/>
      <c r="AI57" s="19"/>
      <c r="AJ57" s="19"/>
      <c r="AK57" s="19"/>
      <c r="AL57" s="47"/>
      <c r="AM57" s="19"/>
      <c r="AN57" s="19"/>
      <c r="AO57" s="47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</row>
    <row r="58" spans="1:57" x14ac:dyDescent="0.35">
      <c r="A58" s="48">
        <f>MAX(A$6:A57)+1</f>
        <v>41</v>
      </c>
      <c r="B58" s="34" t="s">
        <v>59</v>
      </c>
      <c r="C58" s="35"/>
      <c r="D58" s="35">
        <f>+D56+D44</f>
        <v>0</v>
      </c>
      <c r="E58" s="35">
        <f>+E56+E44</f>
        <v>0</v>
      </c>
      <c r="F58" s="35">
        <f>+F56+F44</f>
        <v>0</v>
      </c>
      <c r="G58" s="35">
        <f>+G56+G44</f>
        <v>0</v>
      </c>
      <c r="H58" s="35">
        <f t="shared" ref="H58:I58" si="115">+H56+H44</f>
        <v>0</v>
      </c>
      <c r="I58" s="35">
        <f t="shared" si="115"/>
        <v>154860.49336999998</v>
      </c>
      <c r="J58" s="35">
        <f t="shared" ref="J58:L58" si="116">+J56+J44</f>
        <v>457858.887537</v>
      </c>
      <c r="K58" s="35">
        <f t="shared" si="116"/>
        <v>688601.66427135235</v>
      </c>
      <c r="L58" s="35">
        <f t="shared" si="116"/>
        <v>1126149.7310712789</v>
      </c>
      <c r="M58" s="35">
        <f t="shared" ref="M58:AA58" si="117">+M56+M44</f>
        <v>1336159.3856464839</v>
      </c>
      <c r="N58" s="35">
        <f t="shared" si="117"/>
        <v>1713353.4270304882</v>
      </c>
      <c r="O58" s="35">
        <f t="shared" si="117"/>
        <v>1766595.7969765551</v>
      </c>
      <c r="P58" s="35">
        <f t="shared" si="117"/>
        <v>1822036.6498707347</v>
      </c>
      <c r="Q58" s="35">
        <f t="shared" si="117"/>
        <v>1879717.9326162103</v>
      </c>
      <c r="R58" s="35">
        <f t="shared" si="117"/>
        <v>1939683.0602577776</v>
      </c>
      <c r="S58" s="35">
        <f t="shared" si="117"/>
        <v>2001976.9673667997</v>
      </c>
      <c r="T58" s="35">
        <f t="shared" si="117"/>
        <v>2066646.1612246376</v>
      </c>
      <c r="U58" s="35">
        <f t="shared" si="117"/>
        <v>2133738.7768674996</v>
      </c>
      <c r="V58" s="35">
        <f t="shared" si="117"/>
        <v>2203304.6340578622</v>
      </c>
      <c r="W58" s="35">
        <f t="shared" si="117"/>
        <v>2275395.296249887</v>
      </c>
      <c r="X58" s="35">
        <f t="shared" si="117"/>
        <v>2351064.1316186329</v>
      </c>
      <c r="Y58" s="35">
        <f t="shared" si="117"/>
        <v>2428366.3762252852</v>
      </c>
      <c r="Z58" s="35">
        <f t="shared" si="117"/>
        <v>2509359.19939317</v>
      </c>
      <c r="AA58" s="35">
        <f t="shared" si="117"/>
        <v>2593101.7713719308</v>
      </c>
      <c r="AG58" s="35"/>
      <c r="AH58" s="35">
        <f>+AH56+AH44</f>
        <v>0</v>
      </c>
      <c r="AI58" s="35">
        <f>+AI56+AI44</f>
        <v>0</v>
      </c>
      <c r="AJ58" s="35">
        <f>+AJ56+AJ44</f>
        <v>0</v>
      </c>
      <c r="AK58" s="35">
        <f>+AK56+AK44</f>
        <v>0</v>
      </c>
      <c r="AL58" s="35">
        <f t="shared" ref="AL58:AN58" si="118">+AL56+AL44</f>
        <v>0</v>
      </c>
      <c r="AM58" s="35">
        <f t="shared" si="118"/>
        <v>150725.8621409458</v>
      </c>
      <c r="AN58" s="35">
        <f t="shared" si="118"/>
        <v>445632.19233108254</v>
      </c>
      <c r="AO58" s="35">
        <f t="shared" ref="AO58:AP58" si="119">+AO56+AO44</f>
        <v>670103.90407656971</v>
      </c>
      <c r="AP58" s="35">
        <f t="shared" si="119"/>
        <v>1095773.2767762225</v>
      </c>
      <c r="AQ58" s="35">
        <f t="shared" ref="AQ58:BE58" si="120">+AQ56+AQ44</f>
        <v>1299975.1710166582</v>
      </c>
      <c r="AR58" s="35">
        <f t="shared" si="120"/>
        <v>1666782.9958078447</v>
      </c>
      <c r="AS58" s="35">
        <f t="shared" si="120"/>
        <v>1718395.4006611193</v>
      </c>
      <c r="AT58" s="35">
        <f t="shared" si="120"/>
        <v>1772149.2396842584</v>
      </c>
      <c r="AU58" s="35">
        <f t="shared" si="120"/>
        <v>1828084.4630732073</v>
      </c>
      <c r="AV58" s="35">
        <f t="shared" si="120"/>
        <v>1886242.4192807695</v>
      </c>
      <c r="AW58" s="35">
        <f t="shared" si="120"/>
        <v>1946665.9039555963</v>
      </c>
      <c r="AX58" s="35">
        <f t="shared" si="120"/>
        <v>2009399.2105940422</v>
      </c>
      <c r="AY58" s="35">
        <f t="shared" si="120"/>
        <v>2074488.1829648335</v>
      </c>
      <c r="AZ58" s="35">
        <f t="shared" si="120"/>
        <v>2141980.2693686029</v>
      </c>
      <c r="BA58" s="35">
        <f t="shared" si="120"/>
        <v>2211924.5787965031</v>
      </c>
      <c r="BB58" s="35">
        <f t="shared" si="120"/>
        <v>2285371.9390543811</v>
      </c>
      <c r="BC58" s="35">
        <f t="shared" si="120"/>
        <v>2360374.9569212841</v>
      </c>
      <c r="BD58" s="35">
        <f t="shared" si="120"/>
        <v>2438988.0804135292</v>
      </c>
      <c r="BE58" s="35">
        <f t="shared" si="120"/>
        <v>2520267.6632280024</v>
      </c>
    </row>
    <row r="59" spans="1:57" x14ac:dyDescent="0.35">
      <c r="A59" s="26"/>
      <c r="B59" s="25"/>
      <c r="C59" s="25"/>
      <c r="D59" s="25"/>
      <c r="E59" s="25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</row>
    <row r="60" spans="1:57" x14ac:dyDescent="0.35">
      <c r="A60" t="s">
        <v>16</v>
      </c>
    </row>
    <row r="65" spans="5:27" x14ac:dyDescent="0.35">
      <c r="E65" s="1">
        <f>ROUND(+E44,0)</f>
        <v>0</v>
      </c>
      <c r="F65" s="1">
        <f t="shared" ref="F65:AA65" si="121">ROUND(+F44,0)</f>
        <v>0</v>
      </c>
      <c r="G65" s="1">
        <f t="shared" si="121"/>
        <v>0</v>
      </c>
      <c r="H65" s="1">
        <f t="shared" si="121"/>
        <v>0</v>
      </c>
      <c r="I65" s="1">
        <f t="shared" si="121"/>
        <v>86860</v>
      </c>
      <c r="J65" s="1">
        <f t="shared" si="121"/>
        <v>256859</v>
      </c>
      <c r="K65" s="1">
        <f t="shared" si="121"/>
        <v>388602</v>
      </c>
      <c r="L65" s="1">
        <f t="shared" si="121"/>
        <v>638150</v>
      </c>
      <c r="M65" s="1">
        <f t="shared" si="121"/>
        <v>760159</v>
      </c>
      <c r="N65" s="1">
        <f t="shared" si="121"/>
        <v>978353</v>
      </c>
      <c r="O65" s="1">
        <f t="shared" si="121"/>
        <v>1012596</v>
      </c>
      <c r="P65" s="1">
        <f t="shared" si="121"/>
        <v>1048037</v>
      </c>
      <c r="Q65" s="1">
        <f t="shared" si="121"/>
        <v>1084718</v>
      </c>
      <c r="R65" s="1">
        <f t="shared" si="121"/>
        <v>1122683</v>
      </c>
      <c r="S65" s="1">
        <f t="shared" si="121"/>
        <v>1161977</v>
      </c>
      <c r="T65" s="1">
        <f t="shared" si="121"/>
        <v>1202646</v>
      </c>
      <c r="U65" s="1">
        <f t="shared" si="121"/>
        <v>1244739</v>
      </c>
      <c r="V65" s="1">
        <f t="shared" si="121"/>
        <v>1288305</v>
      </c>
      <c r="W65" s="1">
        <f t="shared" si="121"/>
        <v>1333395</v>
      </c>
      <c r="X65" s="1">
        <f t="shared" si="121"/>
        <v>1380064</v>
      </c>
      <c r="Y65" s="1">
        <f t="shared" si="121"/>
        <v>1428366</v>
      </c>
      <c r="Z65" s="1">
        <f t="shared" si="121"/>
        <v>1478359</v>
      </c>
      <c r="AA65" s="1">
        <f t="shared" si="121"/>
        <v>1530102</v>
      </c>
    </row>
    <row r="101" spans="1:57" x14ac:dyDescent="0.35">
      <c r="A101" s="85">
        <f>MAX(A$6:A100)+1</f>
        <v>42</v>
      </c>
      <c r="B101" s="72" t="s">
        <v>265</v>
      </c>
      <c r="C101" s="88">
        <f>+C44</f>
        <v>0</v>
      </c>
      <c r="D101" s="88">
        <f>+D44</f>
        <v>0</v>
      </c>
      <c r="E101" s="88">
        <f>+E44</f>
        <v>0</v>
      </c>
      <c r="F101" s="88">
        <f>+F44</f>
        <v>0</v>
      </c>
      <c r="G101" s="88">
        <f>+G44</f>
        <v>0</v>
      </c>
      <c r="H101" s="88">
        <f>+H44</f>
        <v>0</v>
      </c>
      <c r="I101" s="88">
        <f>+I44</f>
        <v>86860.493369999997</v>
      </c>
      <c r="J101" s="88">
        <f>+J44</f>
        <v>256858.88753699997</v>
      </c>
      <c r="K101" s="88">
        <f>+K44</f>
        <v>388601.66427135241</v>
      </c>
      <c r="L101" s="88">
        <f>+L44</f>
        <v>638149.7310712788</v>
      </c>
      <c r="M101" s="88">
        <f>+M44</f>
        <v>760159.38564648386</v>
      </c>
      <c r="N101" s="88">
        <f>+N44</f>
        <v>978353.42703048815</v>
      </c>
      <c r="O101" s="88">
        <f>+O44</f>
        <v>1012595.7969765553</v>
      </c>
      <c r="P101" s="88">
        <f>+P44</f>
        <v>1048036.6498707347</v>
      </c>
      <c r="Q101" s="88">
        <f>+Q44</f>
        <v>1084717.9326162103</v>
      </c>
      <c r="R101" s="88">
        <f>+R44</f>
        <v>1122683.0602577776</v>
      </c>
      <c r="S101" s="88">
        <f>+S44</f>
        <v>1161976.9673667997</v>
      </c>
      <c r="T101" s="88">
        <f>+T44</f>
        <v>1202646.1612246376</v>
      </c>
      <c r="U101" s="88">
        <f>+U44</f>
        <v>1244738.7768674998</v>
      </c>
      <c r="V101" s="88">
        <f>+V44</f>
        <v>1288304.6340578622</v>
      </c>
      <c r="W101" s="88">
        <f>+W44</f>
        <v>1333395.2962498872</v>
      </c>
      <c r="X101" s="88">
        <f>+X44</f>
        <v>1380064.1316186332</v>
      </c>
      <c r="Y101" s="88">
        <f>+Y44</f>
        <v>1428366.3762252852</v>
      </c>
      <c r="Z101" s="88">
        <f>+Z44</f>
        <v>1478359.1993931702</v>
      </c>
      <c r="AA101" s="88">
        <f>+AA44</f>
        <v>1530101.7713719311</v>
      </c>
      <c r="AE101" s="154" t="str">
        <f>B101</f>
        <v xml:space="preserve">PWD (Dept 28) Subtotal </v>
      </c>
      <c r="AF101" s="183"/>
      <c r="AG101" s="88">
        <f>+AG44</f>
        <v>0</v>
      </c>
      <c r="AH101" s="88">
        <f>+AH44</f>
        <v>0</v>
      </c>
      <c r="AI101" s="88">
        <f>+AI44</f>
        <v>0</v>
      </c>
      <c r="AJ101" s="88">
        <f>+AJ44</f>
        <v>0</v>
      </c>
      <c r="AK101" s="88">
        <f>+AK44</f>
        <v>0</v>
      </c>
      <c r="AL101" s="88">
        <f>+AL44</f>
        <v>0</v>
      </c>
      <c r="AM101" s="88">
        <f>+AM44</f>
        <v>82725.862140945785</v>
      </c>
      <c r="AN101" s="88">
        <f>+AN44</f>
        <v>244632.19233108251</v>
      </c>
      <c r="AO101" s="88">
        <f>+AO44</f>
        <v>370103.90407656966</v>
      </c>
      <c r="AP101" s="88">
        <f>+AP44</f>
        <v>607773.2767762224</v>
      </c>
      <c r="AQ101" s="88">
        <f>+AQ44</f>
        <v>723975.17101665831</v>
      </c>
      <c r="AR101" s="88">
        <f>+AR44</f>
        <v>931782.99580784456</v>
      </c>
      <c r="AS101" s="88">
        <f>+AS44</f>
        <v>964395.40066111914</v>
      </c>
      <c r="AT101" s="88">
        <f>+AT44</f>
        <v>998149.23968425835</v>
      </c>
      <c r="AU101" s="88">
        <f>+AU44</f>
        <v>1033084.4630732073</v>
      </c>
      <c r="AV101" s="88">
        <f>+AV44</f>
        <v>1069242.4192807695</v>
      </c>
      <c r="AW101" s="88">
        <f>+AW44</f>
        <v>1106665.9039555963</v>
      </c>
      <c r="AX101" s="88">
        <f>+AX44</f>
        <v>1145399.2105940422</v>
      </c>
      <c r="AY101" s="88">
        <f>+AY44</f>
        <v>1185488.1829648335</v>
      </c>
      <c r="AZ101" s="88">
        <f>+AZ44</f>
        <v>1226980.2693686027</v>
      </c>
      <c r="BA101" s="88">
        <f>+BA44</f>
        <v>1269924.5787965034</v>
      </c>
      <c r="BB101" s="88">
        <f>+BB44</f>
        <v>1314371.9390543811</v>
      </c>
      <c r="BC101" s="88">
        <f>+BC44</f>
        <v>1360374.9569212843</v>
      </c>
      <c r="BD101" s="88">
        <f>+BD44</f>
        <v>1407988.0804135292</v>
      </c>
      <c r="BE101" s="88">
        <f>+BE44</f>
        <v>1457267.6632280026</v>
      </c>
    </row>
    <row r="102" spans="1:57" x14ac:dyDescent="0.35">
      <c r="A102" s="86"/>
      <c r="B102" s="65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  <c r="BD102" s="81"/>
      <c r="BE102" s="81"/>
    </row>
    <row r="103" spans="1:57" x14ac:dyDescent="0.35">
      <c r="A103" s="85">
        <f>MAX(A$6:A102)+1</f>
        <v>43</v>
      </c>
      <c r="B103" s="72" t="s">
        <v>266</v>
      </c>
      <c r="C103" s="88">
        <f>+C56</f>
        <v>0</v>
      </c>
      <c r="D103" s="88">
        <f>+D56</f>
        <v>0</v>
      </c>
      <c r="E103" s="88">
        <f>+E56</f>
        <v>0</v>
      </c>
      <c r="F103" s="88">
        <f>+F56</f>
        <v>0</v>
      </c>
      <c r="G103" s="88">
        <f>+G56</f>
        <v>0</v>
      </c>
      <c r="H103" s="88">
        <f>+H56</f>
        <v>0</v>
      </c>
      <c r="I103" s="88">
        <f>+I56</f>
        <v>68000</v>
      </c>
      <c r="J103" s="88">
        <f>+J56</f>
        <v>201000</v>
      </c>
      <c r="K103" s="88">
        <f>+K56</f>
        <v>300000</v>
      </c>
      <c r="L103" s="88">
        <f>+L56</f>
        <v>488000</v>
      </c>
      <c r="M103" s="88">
        <f>+M56</f>
        <v>576000</v>
      </c>
      <c r="N103" s="88">
        <f>+N56</f>
        <v>735000</v>
      </c>
      <c r="O103" s="88">
        <f>+O56</f>
        <v>754000</v>
      </c>
      <c r="P103" s="88">
        <f>+P56</f>
        <v>774000</v>
      </c>
      <c r="Q103" s="88">
        <f>+Q56</f>
        <v>795000</v>
      </c>
      <c r="R103" s="88">
        <f>+R56</f>
        <v>817000</v>
      </c>
      <c r="S103" s="88">
        <f>+S56</f>
        <v>840000</v>
      </c>
      <c r="T103" s="88">
        <f>+T56</f>
        <v>864000</v>
      </c>
      <c r="U103" s="88">
        <f>+U56</f>
        <v>889000</v>
      </c>
      <c r="V103" s="88">
        <f>+V56</f>
        <v>915000</v>
      </c>
      <c r="W103" s="88">
        <f>+W56</f>
        <v>942000</v>
      </c>
      <c r="X103" s="88">
        <f>+X56</f>
        <v>971000</v>
      </c>
      <c r="Y103" s="88">
        <f>+Y56</f>
        <v>1000000</v>
      </c>
      <c r="Z103" s="88">
        <f>+Z56</f>
        <v>1031000</v>
      </c>
      <c r="AA103" s="88">
        <f>+AA56</f>
        <v>1063000</v>
      </c>
      <c r="AE103" s="154" t="str">
        <f>B103</f>
        <v>OD Subtotal</v>
      </c>
      <c r="AF103" s="183"/>
      <c r="AG103" s="88">
        <f>+AG56</f>
        <v>0</v>
      </c>
      <c r="AH103" s="88">
        <f>+AH56</f>
        <v>0</v>
      </c>
      <c r="AI103" s="88">
        <f>+AI56</f>
        <v>0</v>
      </c>
      <c r="AJ103" s="88">
        <f>+AJ56</f>
        <v>0</v>
      </c>
      <c r="AK103" s="88">
        <f>+AK56</f>
        <v>0</v>
      </c>
      <c r="AL103" s="88">
        <f>+AL56</f>
        <v>0</v>
      </c>
      <c r="AM103" s="88">
        <f>+AM56</f>
        <v>68000</v>
      </c>
      <c r="AN103" s="88">
        <f>+AN56</f>
        <v>201000</v>
      </c>
      <c r="AO103" s="88">
        <f>+AO56</f>
        <v>300000</v>
      </c>
      <c r="AP103" s="88">
        <f>+AP56</f>
        <v>488000</v>
      </c>
      <c r="AQ103" s="88">
        <f>+AQ56</f>
        <v>576000</v>
      </c>
      <c r="AR103" s="88">
        <f>+AR56</f>
        <v>735000</v>
      </c>
      <c r="AS103" s="88">
        <f>+AS56</f>
        <v>754000</v>
      </c>
      <c r="AT103" s="88">
        <f>+AT56</f>
        <v>774000</v>
      </c>
      <c r="AU103" s="88">
        <f>+AU56</f>
        <v>795000</v>
      </c>
      <c r="AV103" s="88">
        <f>+AV56</f>
        <v>817000</v>
      </c>
      <c r="AW103" s="88">
        <f>+AW56</f>
        <v>840000</v>
      </c>
      <c r="AX103" s="88">
        <f>+AX56</f>
        <v>864000</v>
      </c>
      <c r="AY103" s="88">
        <f>+AY56</f>
        <v>889000</v>
      </c>
      <c r="AZ103" s="88">
        <f>+AZ56</f>
        <v>915000</v>
      </c>
      <c r="BA103" s="88">
        <f>+BA56</f>
        <v>942000</v>
      </c>
      <c r="BB103" s="88">
        <f>+BB56</f>
        <v>971000</v>
      </c>
      <c r="BC103" s="88">
        <f>+BC56</f>
        <v>1000000</v>
      </c>
      <c r="BD103" s="88">
        <f>+BD56</f>
        <v>1031000</v>
      </c>
      <c r="BE103" s="88">
        <f>+BE56</f>
        <v>1063000</v>
      </c>
    </row>
    <row r="104" spans="1:57" x14ac:dyDescent="0.35">
      <c r="A104" s="87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</row>
    <row r="105" spans="1:57" x14ac:dyDescent="0.35">
      <c r="A105" s="87"/>
      <c r="B105" t="s">
        <v>267</v>
      </c>
      <c r="C105" s="78">
        <f>C58-C101-C103</f>
        <v>0</v>
      </c>
      <c r="D105" s="78">
        <f>D58-D101-D103</f>
        <v>0</v>
      </c>
      <c r="E105" s="78">
        <f>E58-E101-E103</f>
        <v>0</v>
      </c>
      <c r="F105" s="78">
        <f>F58-F101-F103</f>
        <v>0</v>
      </c>
      <c r="G105" s="78">
        <f>G58-G101-G103</f>
        <v>0</v>
      </c>
      <c r="H105" s="78">
        <f>H58-H101-H103</f>
        <v>0</v>
      </c>
      <c r="I105" s="78">
        <f>I58-I101-I103</f>
        <v>0</v>
      </c>
      <c r="J105" s="78">
        <f>J58-J101-J103</f>
        <v>0</v>
      </c>
      <c r="K105" s="78">
        <f>K58-K101-K103</f>
        <v>0</v>
      </c>
      <c r="L105" s="78">
        <f>L58-L101-L103</f>
        <v>0</v>
      </c>
      <c r="M105" s="78">
        <f>M58-M101-M103</f>
        <v>0</v>
      </c>
      <c r="N105" s="78">
        <f>N58-N101-N103</f>
        <v>0</v>
      </c>
      <c r="O105" s="78">
        <f>O58-O101-O103</f>
        <v>0</v>
      </c>
      <c r="P105" s="78">
        <f>P58-P101-P103</f>
        <v>0</v>
      </c>
      <c r="Q105" s="78">
        <f>Q58-Q101-Q103</f>
        <v>0</v>
      </c>
      <c r="R105" s="78">
        <f>R58-R101-R103</f>
        <v>0</v>
      </c>
      <c r="S105" s="78">
        <f>S58-S101-S103</f>
        <v>0</v>
      </c>
      <c r="T105" s="78">
        <f>T58-T101-T103</f>
        <v>0</v>
      </c>
      <c r="U105" s="78">
        <f>U58-U101-U103</f>
        <v>0</v>
      </c>
      <c r="V105" s="78">
        <f>V58-V101-V103</f>
        <v>0</v>
      </c>
      <c r="W105" s="78">
        <f>W58-W101-W103</f>
        <v>0</v>
      </c>
      <c r="X105" s="78">
        <f>X58-X101-X103</f>
        <v>0</v>
      </c>
      <c r="Y105" s="78">
        <f>Y58-Y101-Y103</f>
        <v>0</v>
      </c>
      <c r="Z105" s="78">
        <f>Z58-Z101-Z103</f>
        <v>0</v>
      </c>
      <c r="AA105" s="78">
        <f>AA58-AA101-AA103</f>
        <v>0</v>
      </c>
      <c r="AE105" t="str">
        <f>B105</f>
        <v xml:space="preserve">Check </v>
      </c>
      <c r="AG105" s="78">
        <f>AG58-AG101-AG103</f>
        <v>0</v>
      </c>
      <c r="AH105" s="78">
        <f>AH58-AH101-AH103</f>
        <v>0</v>
      </c>
      <c r="AI105" s="78">
        <f>AI58-AI101-AI103</f>
        <v>0</v>
      </c>
      <c r="AJ105" s="78">
        <f>AJ58-AJ101-AJ103</f>
        <v>0</v>
      </c>
      <c r="AK105" s="78">
        <f>AK58-AK101-AK103</f>
        <v>0</v>
      </c>
      <c r="AL105" s="78">
        <f>AL58-AL101-AL103</f>
        <v>0</v>
      </c>
      <c r="AM105" s="78">
        <f>AM58-AM101-AM103</f>
        <v>0</v>
      </c>
      <c r="AN105" s="78">
        <f>AN58-AN101-AN103</f>
        <v>0</v>
      </c>
      <c r="AO105" s="78">
        <f>AO58-AO101-AO103</f>
        <v>0</v>
      </c>
      <c r="AP105" s="78">
        <f>AP58-AP101-AP103</f>
        <v>0</v>
      </c>
      <c r="AQ105" s="78">
        <f>AQ58-AQ101-AQ103</f>
        <v>0</v>
      </c>
      <c r="AR105" s="78">
        <f>AR58-AR101-AR103</f>
        <v>0</v>
      </c>
      <c r="AS105" s="78">
        <f>AS58-AS101-AS103</f>
        <v>0</v>
      </c>
      <c r="AT105" s="78">
        <f>AT58-AT101-AT103</f>
        <v>0</v>
      </c>
      <c r="AU105" s="78">
        <f>AU58-AU101-AU103</f>
        <v>0</v>
      </c>
      <c r="AV105" s="78">
        <f>AV58-AV101-AV103</f>
        <v>0</v>
      </c>
      <c r="AW105" s="78">
        <f>AW58-AW101-AW103</f>
        <v>0</v>
      </c>
      <c r="AX105" s="78">
        <f>AX58-AX101-AX103</f>
        <v>0</v>
      </c>
      <c r="AY105" s="78">
        <f>AY58-AY101-AY103</f>
        <v>0</v>
      </c>
      <c r="AZ105" s="78">
        <f>AZ58-AZ101-AZ103</f>
        <v>0</v>
      </c>
      <c r="BA105" s="78">
        <f>BA58-BA101-BA103</f>
        <v>0</v>
      </c>
      <c r="BB105" s="78">
        <f>BB58-BB101-BB103</f>
        <v>0</v>
      </c>
      <c r="BC105" s="78">
        <f>BC58-BC101-BC103</f>
        <v>0</v>
      </c>
      <c r="BD105" s="78">
        <f>BD58-BD101-BD103</f>
        <v>0</v>
      </c>
      <c r="BE105" s="78">
        <f>BE58-BE101-BE103</f>
        <v>0</v>
      </c>
    </row>
  </sheetData>
  <mergeCells count="1">
    <mergeCell ref="AC1:AE1"/>
  </mergeCells>
  <phoneticPr fontId="112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E3AA37D5-A947-4033-8375-B2EA3991AA10}">
          <x14:formula1>
            <xm:f>Assumptions!$B$6:$B$20</xm:f>
          </x14:formula1>
          <xm:sqref>AC6</xm:sqref>
        </x14:dataValidation>
        <x14:dataValidation type="list" allowBlank="1" showInputMessage="1" showErrorMessage="1" xr:uid="{0C884326-CB3C-4E30-8861-8680EFA6587E}">
          <x14:formula1>
            <xm:f>Assumptions!$E$27:$E$193</xm:f>
          </x14:formula1>
          <xm:sqref>AD18 AD42 AD52:AD54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BE131"/>
  <sheetViews>
    <sheetView zoomScale="106" zoomScaleNormal="106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9.1796875" defaultRowHeight="14.5" x14ac:dyDescent="0.35"/>
  <cols>
    <col min="1" max="1" width="9.1796875" style="87"/>
    <col min="2" max="2" width="31.54296875" customWidth="1"/>
    <col min="3" max="3" width="15" style="78" bestFit="1" customWidth="1"/>
    <col min="4" max="5" width="13.54296875" customWidth="1"/>
    <col min="6" max="6" width="14.26953125" bestFit="1" customWidth="1"/>
    <col min="7" max="30" width="13.54296875" customWidth="1"/>
    <col min="31" max="31" width="27.1796875" customWidth="1"/>
    <col min="32" max="32" width="13.54296875" customWidth="1"/>
    <col min="33" max="57" width="12.81640625" customWidth="1"/>
  </cols>
  <sheetData>
    <row r="1" spans="1:57" ht="19" thickTop="1" x14ac:dyDescent="0.45">
      <c r="A1" s="89" t="s">
        <v>281</v>
      </c>
      <c r="B1" s="63"/>
      <c r="C1" s="77"/>
      <c r="D1" s="63"/>
      <c r="E1" s="63"/>
      <c r="F1" s="63"/>
      <c r="G1" s="63"/>
      <c r="H1" s="63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C1" s="188" t="s">
        <v>1</v>
      </c>
      <c r="AD1" s="188"/>
      <c r="AE1" s="188"/>
    </row>
    <row r="2" spans="1:57" ht="15" thickBot="1" x14ac:dyDescent="0.4">
      <c r="AF2" t="s">
        <v>2</v>
      </c>
    </row>
    <row r="3" spans="1:57" ht="16.5" thickTop="1" x14ac:dyDescent="0.5">
      <c r="A3" s="83" t="s">
        <v>146</v>
      </c>
      <c r="B3" s="58" t="s">
        <v>51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BE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si="16"/>
        <v>2032</v>
      </c>
      <c r="AR3" s="23">
        <f t="shared" si="16"/>
        <v>2033</v>
      </c>
      <c r="AS3" s="23">
        <f t="shared" si="16"/>
        <v>2034</v>
      </c>
      <c r="AT3" s="23">
        <f t="shared" si="16"/>
        <v>2035</v>
      </c>
      <c r="AU3" s="23">
        <f t="shared" si="16"/>
        <v>2036</v>
      </c>
      <c r="AV3" s="23">
        <f t="shared" si="16"/>
        <v>2037</v>
      </c>
      <c r="AW3" s="23">
        <f t="shared" si="16"/>
        <v>2038</v>
      </c>
      <c r="AX3" s="23">
        <f t="shared" si="16"/>
        <v>2039</v>
      </c>
      <c r="AY3" s="23">
        <f t="shared" si="16"/>
        <v>2040</v>
      </c>
      <c r="AZ3" s="23">
        <f t="shared" si="16"/>
        <v>2041</v>
      </c>
      <c r="BA3" s="23">
        <f t="shared" si="16"/>
        <v>2042</v>
      </c>
      <c r="BB3" s="23">
        <f t="shared" si="16"/>
        <v>2043</v>
      </c>
      <c r="BC3" s="23">
        <f t="shared" si="16"/>
        <v>2044</v>
      </c>
      <c r="BD3" s="23">
        <f t="shared" si="16"/>
        <v>2045</v>
      </c>
      <c r="BE3" s="23">
        <f t="shared" si="16"/>
        <v>2046</v>
      </c>
    </row>
    <row r="4" spans="1:57" ht="15.5" x14ac:dyDescent="0.35">
      <c r="A4" s="91"/>
      <c r="B4" s="92" t="s">
        <v>7</v>
      </c>
      <c r="C4" s="93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84"/>
      <c r="B5" s="31" t="s">
        <v>157</v>
      </c>
      <c r="C5" s="79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85">
        <v>1</v>
      </c>
      <c r="B6" s="17" t="s">
        <v>225</v>
      </c>
      <c r="C6" s="14"/>
      <c r="D6" s="5"/>
      <c r="E6" s="5"/>
      <c r="F6" s="5">
        <v>3.2500000000000001E-2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57" x14ac:dyDescent="0.35">
      <c r="A7" s="86">
        <f>MAX(A$6:A6)+1</f>
        <v>2</v>
      </c>
      <c r="B7" s="32" t="s">
        <v>20</v>
      </c>
      <c r="C7" s="75"/>
      <c r="D7" s="5"/>
      <c r="E7" s="5"/>
      <c r="F7" s="5">
        <v>0.05</v>
      </c>
      <c r="G7" s="112">
        <f>SUMIF(Assumptions!$B$6:$B$20,$AC$7,Assumptions!E$6:E$20)</f>
        <v>0.05</v>
      </c>
      <c r="H7" s="112">
        <f>SUMIF(Assumptions!$B$6:$B$20,$AC$7,Assumptions!F$6:F$20)</f>
        <v>3.5000000000000003E-2</v>
      </c>
      <c r="I7" s="112">
        <f>SUMIF(Assumptions!$B$6:$B$20,$AC$7,Assumptions!G$6:G$20)</f>
        <v>3.5000000000000003E-2</v>
      </c>
      <c r="J7" s="112">
        <f>SUMIF(Assumptions!$B$6:$B$20,$AC$7,Assumptions!H$6:H$20)</f>
        <v>3.5000000000000003E-2</v>
      </c>
      <c r="K7" s="112">
        <f>SUMIF(Assumptions!$B$6:$B$20,$AC$7,Assumptions!I$6:I$20)</f>
        <v>3.5000000000000003E-2</v>
      </c>
      <c r="L7" s="112">
        <f>SUMIF(Assumptions!$B$6:$B$20,$AC$7,Assumptions!J$6:J$20)</f>
        <v>3.5000000000000003E-2</v>
      </c>
      <c r="M7" s="112">
        <f>SUMIF(Assumptions!$B$6:$B$20,$AC$7,Assumptions!K$6:K$20)</f>
        <v>3.5000000000000003E-2</v>
      </c>
      <c r="N7" s="112">
        <f>SUMIF(Assumptions!$B$6:$B$20,$AC$7,Assumptions!L$6:L$20)</f>
        <v>3.5000000000000003E-2</v>
      </c>
      <c r="O7" s="112">
        <f>SUMIF(Assumptions!$B$6:$B$20,$AC$7,Assumptions!M$6:M$20)</f>
        <v>3.5000000000000003E-2</v>
      </c>
      <c r="P7" s="112">
        <f>SUMIF(Assumptions!$B$6:$B$20,$AC$7,Assumptions!N$6:N$20)</f>
        <v>3.5000000000000003E-2</v>
      </c>
      <c r="Q7" s="112">
        <f>SUMIF(Assumptions!$B$6:$B$20,$AC$7,Assumptions!O$6:O$20)</f>
        <v>3.5000000000000003E-2</v>
      </c>
      <c r="R7" s="112">
        <f>SUMIF(Assumptions!$B$6:$B$20,$AC$7,Assumptions!P$6:P$20)</f>
        <v>3.5000000000000003E-2</v>
      </c>
      <c r="S7" s="112">
        <f>SUMIF(Assumptions!$B$6:$B$20,$AC$7,Assumptions!Q$6:Q$20)</f>
        <v>3.5000000000000003E-2</v>
      </c>
      <c r="T7" s="112">
        <f>SUMIF(Assumptions!$B$6:$B$20,$AC$7,Assumptions!R$6:R$20)</f>
        <v>3.5000000000000003E-2</v>
      </c>
      <c r="U7" s="112">
        <f>SUMIF(Assumptions!$B$6:$B$20,$AC$7,Assumptions!S$6:S$20)</f>
        <v>3.5000000000000003E-2</v>
      </c>
      <c r="V7" s="112">
        <f>SUMIF(Assumptions!$B$6:$B$20,$AC$7,Assumptions!T$6:T$20)</f>
        <v>3.5000000000000003E-2</v>
      </c>
      <c r="W7" s="112">
        <f>SUMIF(Assumptions!$B$6:$B$20,$AC$7,Assumptions!U$6:U$20)</f>
        <v>3.5000000000000003E-2</v>
      </c>
      <c r="X7" s="112">
        <f>SUMIF(Assumptions!$B$6:$B$20,$AC$7,Assumptions!V$6:V$20)</f>
        <v>3.5000000000000003E-2</v>
      </c>
      <c r="Y7" s="112">
        <f>SUMIF(Assumptions!$B$6:$B$20,$AC$7,Assumptions!W$6:W$20)</f>
        <v>3.5000000000000003E-2</v>
      </c>
      <c r="Z7" s="112">
        <f>SUMIF(Assumptions!$B$6:$B$20,$AC$7,Assumptions!X$6:X$20)</f>
        <v>3.5000000000000003E-2</v>
      </c>
      <c r="AA7" s="112">
        <f>SUMIF(Assumptions!$B$6:$B$20,$AC$7,Assumptions!Y$6:Y$20)</f>
        <v>3.5000000000000003E-2</v>
      </c>
      <c r="AC7" s="172" t="s">
        <v>10</v>
      </c>
    </row>
    <row r="8" spans="1:57" x14ac:dyDescent="0.35">
      <c r="A8" s="86"/>
      <c r="B8" s="32"/>
      <c r="C8" s="42"/>
      <c r="D8" s="42"/>
      <c r="E8" s="42"/>
      <c r="F8" s="42"/>
      <c r="G8" s="42"/>
      <c r="H8" s="42"/>
      <c r="I8" s="42"/>
      <c r="J8" s="42"/>
      <c r="K8" s="42"/>
      <c r="L8" s="42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</row>
    <row r="9" spans="1:57" ht="15.5" x14ac:dyDescent="0.35">
      <c r="A9" s="84"/>
      <c r="B9" s="31" t="s">
        <v>228</v>
      </c>
      <c r="C9" s="7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1:57" x14ac:dyDescent="0.35">
      <c r="A10" s="86">
        <f>MAX(A$6:A9)+1</f>
        <v>3</v>
      </c>
      <c r="B10" s="32" t="s">
        <v>226</v>
      </c>
      <c r="C10" s="75"/>
      <c r="D10" s="75"/>
      <c r="E10" s="75"/>
      <c r="F10" s="80">
        <v>12147086.389802599</v>
      </c>
      <c r="G10" s="75"/>
      <c r="H10" s="75"/>
      <c r="I10" s="75"/>
      <c r="J10" s="75"/>
      <c r="K10" s="75"/>
      <c r="L10" s="75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</row>
    <row r="11" spans="1:57" x14ac:dyDescent="0.35">
      <c r="A11" s="85">
        <f>MAX(A$6:A10)+1</f>
        <v>4</v>
      </c>
      <c r="B11" s="17" t="s">
        <v>227</v>
      </c>
      <c r="C11" s="14"/>
      <c r="D11" s="14"/>
      <c r="E11" s="76"/>
      <c r="F11" s="80">
        <v>8273899.3454651944</v>
      </c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</row>
    <row r="12" spans="1:57" x14ac:dyDescent="0.35">
      <c r="A12" s="86">
        <f>MAX(A$6:A11)+1</f>
        <v>5</v>
      </c>
      <c r="B12" s="32" t="s">
        <v>231</v>
      </c>
      <c r="C12" s="174"/>
      <c r="D12" s="174"/>
      <c r="E12" s="174"/>
      <c r="F12" s="80">
        <v>13064810.057495043</v>
      </c>
      <c r="G12" s="174"/>
      <c r="H12" s="174"/>
      <c r="I12" s="174"/>
      <c r="J12" s="174"/>
      <c r="K12" s="174"/>
      <c r="L12" s="174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</row>
    <row r="13" spans="1:57" x14ac:dyDescent="0.35">
      <c r="A13" s="85">
        <f>MAX(A$6:A12)+1</f>
        <v>6</v>
      </c>
      <c r="B13" s="17" t="s">
        <v>232</v>
      </c>
      <c r="C13" s="14"/>
      <c r="D13" s="14"/>
      <c r="E13" s="76"/>
      <c r="F13" s="80">
        <v>104785312.25376078</v>
      </c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</row>
    <row r="14" spans="1:57" x14ac:dyDescent="0.35">
      <c r="A14" s="86">
        <f>MAX(A$6:A13)+1</f>
        <v>7</v>
      </c>
      <c r="B14" s="32" t="s">
        <v>233</v>
      </c>
      <c r="C14" s="174"/>
      <c r="D14" s="174"/>
      <c r="E14" s="174"/>
      <c r="F14" s="80">
        <v>25604058.006248266</v>
      </c>
      <c r="G14" s="174"/>
      <c r="H14" s="174"/>
      <c r="I14" s="174"/>
      <c r="J14" s="174"/>
      <c r="K14" s="174"/>
      <c r="L14" s="174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</row>
    <row r="15" spans="1:57" x14ac:dyDescent="0.35">
      <c r="A15" s="85">
        <f>MAX(A$6:A14)+1</f>
        <v>8</v>
      </c>
      <c r="B15" s="17" t="s">
        <v>234</v>
      </c>
      <c r="C15" s="14"/>
      <c r="D15" s="14"/>
      <c r="E15" s="76"/>
      <c r="F15" s="80">
        <v>6174263.2939790981</v>
      </c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</row>
    <row r="16" spans="1:57" x14ac:dyDescent="0.35">
      <c r="A16" s="86">
        <f>MAX(A$6:A15)+1</f>
        <v>9</v>
      </c>
      <c r="B16" s="32" t="s">
        <v>235</v>
      </c>
      <c r="C16" s="174"/>
      <c r="D16" s="174"/>
      <c r="E16" s="174"/>
      <c r="F16" s="80">
        <v>12331626</v>
      </c>
      <c r="G16" s="174"/>
      <c r="H16" s="174"/>
      <c r="I16" s="174"/>
      <c r="J16" s="174"/>
      <c r="K16" s="174"/>
      <c r="L16" s="174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</row>
    <row r="17" spans="1:57" x14ac:dyDescent="0.35">
      <c r="A17" s="85">
        <f>MAX(A$6:A16)+1</f>
        <v>10</v>
      </c>
      <c r="B17" s="17" t="s">
        <v>236</v>
      </c>
      <c r="C17" s="14"/>
      <c r="D17" s="14"/>
      <c r="E17" s="76"/>
      <c r="F17" s="80">
        <v>274424</v>
      </c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</row>
    <row r="18" spans="1:57" x14ac:dyDescent="0.35">
      <c r="A18" s="86">
        <f>MAX(A$6:A17)+1</f>
        <v>11</v>
      </c>
      <c r="B18" s="32" t="s">
        <v>237</v>
      </c>
      <c r="C18" s="174"/>
      <c r="D18" s="174"/>
      <c r="E18" s="174"/>
      <c r="F18" s="80">
        <v>59652</v>
      </c>
      <c r="G18" s="174"/>
      <c r="H18" s="174"/>
      <c r="I18" s="174"/>
      <c r="J18" s="174"/>
      <c r="K18" s="174"/>
      <c r="L18" s="174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</row>
    <row r="19" spans="1:57" x14ac:dyDescent="0.35">
      <c r="A19" s="85">
        <f>MAX(A$6:A18)+1</f>
        <v>12</v>
      </c>
      <c r="B19" s="17" t="s">
        <v>238</v>
      </c>
      <c r="C19" s="14"/>
      <c r="D19" s="14"/>
      <c r="E19" s="76"/>
      <c r="F19" s="80">
        <v>0</v>
      </c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</row>
    <row r="20" spans="1:57" x14ac:dyDescent="0.35">
      <c r="A20" s="86">
        <f>MAX(A$6:A19)+1</f>
        <v>13</v>
      </c>
      <c r="B20" s="32" t="s">
        <v>239</v>
      </c>
      <c r="C20" s="174"/>
      <c r="D20" s="174"/>
      <c r="E20" s="174"/>
      <c r="F20" s="80">
        <v>3703717</v>
      </c>
      <c r="G20" s="174"/>
      <c r="H20" s="174"/>
      <c r="I20" s="174"/>
      <c r="J20" s="174"/>
      <c r="K20" s="174"/>
      <c r="L20" s="174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</row>
    <row r="21" spans="1:57" x14ac:dyDescent="0.35">
      <c r="A21" s="85">
        <f>MAX(A$6:A20)+1</f>
        <v>14</v>
      </c>
      <c r="B21" s="17" t="s">
        <v>240</v>
      </c>
      <c r="C21" s="14"/>
      <c r="D21" s="14"/>
      <c r="E21" s="76"/>
      <c r="F21" s="80">
        <v>0</v>
      </c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</row>
    <row r="22" spans="1:57" x14ac:dyDescent="0.35">
      <c r="A22" s="86">
        <f>MAX(A$6:A21)+1</f>
        <v>15</v>
      </c>
      <c r="B22" s="32" t="s">
        <v>241</v>
      </c>
      <c r="C22" s="174"/>
      <c r="D22" s="174"/>
      <c r="E22" s="174"/>
      <c r="F22" s="80">
        <v>0</v>
      </c>
      <c r="G22" s="174"/>
      <c r="H22" s="174"/>
      <c r="I22" s="174"/>
      <c r="J22" s="174"/>
      <c r="K22" s="174"/>
      <c r="L22" s="174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</row>
    <row r="23" spans="1:57" x14ac:dyDescent="0.35">
      <c r="A23" s="85">
        <f>MAX(A$6:A22)+1</f>
        <v>16</v>
      </c>
      <c r="B23" s="17" t="s">
        <v>242</v>
      </c>
      <c r="C23" s="14"/>
      <c r="D23" s="14"/>
      <c r="E23" s="76"/>
      <c r="F23" s="80">
        <v>10792000</v>
      </c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</row>
    <row r="24" spans="1:57" x14ac:dyDescent="0.35">
      <c r="A24" s="86">
        <f>MAX(A$6:A23)+1</f>
        <v>17</v>
      </c>
      <c r="B24" s="32" t="s">
        <v>243</v>
      </c>
      <c r="C24" s="174"/>
      <c r="D24" s="174"/>
      <c r="E24" s="174"/>
      <c r="F24" s="80">
        <v>112870</v>
      </c>
      <c r="G24" s="174"/>
      <c r="H24" s="174"/>
      <c r="I24" s="174"/>
      <c r="J24" s="174"/>
      <c r="K24" s="174"/>
      <c r="L24" s="174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</row>
    <row r="25" spans="1:57" x14ac:dyDescent="0.35">
      <c r="A25" s="85">
        <f>MAX(A$6:A24)+1</f>
        <v>18</v>
      </c>
      <c r="B25" s="17" t="s">
        <v>244</v>
      </c>
      <c r="C25" s="14"/>
      <c r="D25" s="14"/>
      <c r="E25" s="76"/>
      <c r="F25" s="80">
        <v>3481095</v>
      </c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</row>
    <row r="26" spans="1:57" x14ac:dyDescent="0.35">
      <c r="A26" s="178">
        <f>MAX(A$6:A25)+1</f>
        <v>19</v>
      </c>
      <c r="B26" s="65" t="s">
        <v>159</v>
      </c>
      <c r="C26" s="179"/>
      <c r="D26" s="179"/>
      <c r="E26" s="179"/>
      <c r="F26" s="179">
        <f t="shared" ref="F26:AA26" si="17">SUM(F10:F25)</f>
        <v>200804813.346751</v>
      </c>
      <c r="G26" s="179">
        <f t="shared" si="17"/>
        <v>0</v>
      </c>
      <c r="H26" s="179">
        <f t="shared" si="17"/>
        <v>0</v>
      </c>
      <c r="I26" s="179">
        <f t="shared" si="17"/>
        <v>0</v>
      </c>
      <c r="J26" s="179">
        <f t="shared" si="17"/>
        <v>0</v>
      </c>
      <c r="K26" s="179">
        <f t="shared" si="17"/>
        <v>0</v>
      </c>
      <c r="L26" s="179">
        <f t="shared" si="17"/>
        <v>0</v>
      </c>
      <c r="M26" s="179">
        <f t="shared" si="17"/>
        <v>0</v>
      </c>
      <c r="N26" s="179">
        <f t="shared" si="17"/>
        <v>0</v>
      </c>
      <c r="O26" s="179">
        <f t="shared" si="17"/>
        <v>0</v>
      </c>
      <c r="P26" s="179">
        <f t="shared" si="17"/>
        <v>0</v>
      </c>
      <c r="Q26" s="179">
        <f t="shared" si="17"/>
        <v>0</v>
      </c>
      <c r="R26" s="179">
        <f t="shared" si="17"/>
        <v>0</v>
      </c>
      <c r="S26" s="179">
        <f t="shared" si="17"/>
        <v>0</v>
      </c>
      <c r="T26" s="179">
        <f t="shared" si="17"/>
        <v>0</v>
      </c>
      <c r="U26" s="179">
        <f t="shared" si="17"/>
        <v>0</v>
      </c>
      <c r="V26" s="179">
        <f t="shared" si="17"/>
        <v>0</v>
      </c>
      <c r="W26" s="179">
        <f t="shared" si="17"/>
        <v>0</v>
      </c>
      <c r="X26" s="179">
        <f t="shared" si="17"/>
        <v>0</v>
      </c>
      <c r="Y26" s="179">
        <f t="shared" si="17"/>
        <v>0</v>
      </c>
      <c r="Z26" s="179">
        <f t="shared" si="17"/>
        <v>0</v>
      </c>
      <c r="AA26" s="179">
        <f t="shared" si="17"/>
        <v>0</v>
      </c>
    </row>
    <row r="27" spans="1:57" ht="15.5" x14ac:dyDescent="0.35">
      <c r="A27" s="84"/>
      <c r="B27" s="31" t="s">
        <v>249</v>
      </c>
      <c r="C27" s="79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</row>
    <row r="28" spans="1:57" x14ac:dyDescent="0.35">
      <c r="A28" s="85"/>
      <c r="B28" s="17" t="s">
        <v>158</v>
      </c>
      <c r="C28" s="14"/>
      <c r="D28" s="17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</row>
    <row r="29" spans="1:57" x14ac:dyDescent="0.35">
      <c r="A29" s="86">
        <f>MAX(A$6:A28)+1</f>
        <v>20</v>
      </c>
      <c r="B29" s="32" t="s">
        <v>226</v>
      </c>
      <c r="C29" s="74"/>
      <c r="D29" s="74"/>
      <c r="E29" s="74"/>
      <c r="F29" s="74">
        <f t="shared" ref="F29:F44" si="18">ROUND(+F10/(1+F$6)*(1+F$7)-F10,-3)</f>
        <v>206000</v>
      </c>
      <c r="G29" s="74">
        <f t="shared" ref="G29:G44" si="19">ROUND(+F29*(1+G$7),-3)</f>
        <v>216000</v>
      </c>
      <c r="H29" s="74">
        <f t="shared" ref="H29:AA30" si="20">ROUND(+G29*(1+H$7),-3)</f>
        <v>224000</v>
      </c>
      <c r="I29" s="74">
        <f t="shared" si="20"/>
        <v>232000</v>
      </c>
      <c r="J29" s="74">
        <f t="shared" si="20"/>
        <v>240000</v>
      </c>
      <c r="K29" s="74">
        <f t="shared" si="20"/>
        <v>248000</v>
      </c>
      <c r="L29" s="74">
        <f t="shared" si="20"/>
        <v>257000</v>
      </c>
      <c r="M29" s="74">
        <f t="shared" si="20"/>
        <v>266000</v>
      </c>
      <c r="N29" s="74">
        <f t="shared" si="20"/>
        <v>275000</v>
      </c>
      <c r="O29" s="74">
        <f t="shared" si="20"/>
        <v>285000</v>
      </c>
      <c r="P29" s="74">
        <f t="shared" si="20"/>
        <v>295000</v>
      </c>
      <c r="Q29" s="74">
        <f t="shared" si="20"/>
        <v>305000</v>
      </c>
      <c r="R29" s="74">
        <f t="shared" si="20"/>
        <v>316000</v>
      </c>
      <c r="S29" s="74">
        <f t="shared" si="20"/>
        <v>327000</v>
      </c>
      <c r="T29" s="74">
        <f t="shared" si="20"/>
        <v>338000</v>
      </c>
      <c r="U29" s="74">
        <f t="shared" si="20"/>
        <v>350000</v>
      </c>
      <c r="V29" s="74">
        <f t="shared" si="20"/>
        <v>362000</v>
      </c>
      <c r="W29" s="74">
        <f t="shared" si="20"/>
        <v>375000</v>
      </c>
      <c r="X29" s="74">
        <f t="shared" si="20"/>
        <v>388000</v>
      </c>
      <c r="Y29" s="74">
        <f t="shared" si="20"/>
        <v>402000</v>
      </c>
      <c r="Z29" s="74">
        <f t="shared" si="20"/>
        <v>416000</v>
      </c>
      <c r="AA29" s="74">
        <f t="shared" si="20"/>
        <v>431000</v>
      </c>
      <c r="AE29" s="172" t="s">
        <v>125</v>
      </c>
      <c r="AF29" s="173">
        <f>SUMIF(Assumptions!$E$27:$E$193,AE29,Assumptions!$D$27:$D$193)</f>
        <v>1</v>
      </c>
      <c r="AG29" s="105">
        <f>ROUND(+C29*$AF29, 0)</f>
        <v>0</v>
      </c>
      <c r="AH29" s="105">
        <f t="shared" ref="AH29:BE29" si="21">ROUND(+D29*$AF29, 0)</f>
        <v>0</v>
      </c>
      <c r="AI29" s="105">
        <f t="shared" si="21"/>
        <v>0</v>
      </c>
      <c r="AJ29" s="105">
        <f t="shared" si="21"/>
        <v>206000</v>
      </c>
      <c r="AK29" s="105">
        <f t="shared" si="21"/>
        <v>216000</v>
      </c>
      <c r="AL29" s="105">
        <f t="shared" si="21"/>
        <v>224000</v>
      </c>
      <c r="AM29" s="105">
        <f t="shared" si="21"/>
        <v>232000</v>
      </c>
      <c r="AN29" s="105">
        <f t="shared" si="21"/>
        <v>240000</v>
      </c>
      <c r="AO29" s="105">
        <f t="shared" si="21"/>
        <v>248000</v>
      </c>
      <c r="AP29" s="105">
        <f t="shared" si="21"/>
        <v>257000</v>
      </c>
      <c r="AQ29" s="105">
        <f t="shared" si="21"/>
        <v>266000</v>
      </c>
      <c r="AR29" s="105">
        <f t="shared" si="21"/>
        <v>275000</v>
      </c>
      <c r="AS29" s="105">
        <f t="shared" si="21"/>
        <v>285000</v>
      </c>
      <c r="AT29" s="105">
        <f t="shared" si="21"/>
        <v>295000</v>
      </c>
      <c r="AU29" s="105">
        <f t="shared" si="21"/>
        <v>305000</v>
      </c>
      <c r="AV29" s="105">
        <f t="shared" si="21"/>
        <v>316000</v>
      </c>
      <c r="AW29" s="105">
        <f t="shared" si="21"/>
        <v>327000</v>
      </c>
      <c r="AX29" s="105">
        <f t="shared" si="21"/>
        <v>338000</v>
      </c>
      <c r="AY29" s="105">
        <f t="shared" si="21"/>
        <v>350000</v>
      </c>
      <c r="AZ29" s="105">
        <f t="shared" si="21"/>
        <v>362000</v>
      </c>
      <c r="BA29" s="105">
        <f t="shared" si="21"/>
        <v>375000</v>
      </c>
      <c r="BB29" s="105">
        <f t="shared" si="21"/>
        <v>388000</v>
      </c>
      <c r="BC29" s="105">
        <f t="shared" si="21"/>
        <v>402000</v>
      </c>
      <c r="BD29" s="105">
        <f t="shared" si="21"/>
        <v>416000</v>
      </c>
      <c r="BE29" s="105">
        <f t="shared" si="21"/>
        <v>431000</v>
      </c>
    </row>
    <row r="30" spans="1:57" x14ac:dyDescent="0.35">
      <c r="A30" s="85">
        <f>MAX(A$6:A29)+1</f>
        <v>21</v>
      </c>
      <c r="B30" s="17" t="s">
        <v>227</v>
      </c>
      <c r="C30" s="17"/>
      <c r="D30" s="14"/>
      <c r="E30" s="76"/>
      <c r="F30" s="76">
        <f t="shared" si="18"/>
        <v>140000</v>
      </c>
      <c r="G30" s="76">
        <f t="shared" si="19"/>
        <v>147000</v>
      </c>
      <c r="H30" s="76">
        <f t="shared" si="20"/>
        <v>152000</v>
      </c>
      <c r="I30" s="76">
        <f t="shared" si="20"/>
        <v>157000</v>
      </c>
      <c r="J30" s="76">
        <f t="shared" si="20"/>
        <v>162000</v>
      </c>
      <c r="K30" s="76">
        <f t="shared" si="20"/>
        <v>168000</v>
      </c>
      <c r="L30" s="76">
        <f t="shared" si="20"/>
        <v>174000</v>
      </c>
      <c r="M30" s="76">
        <f t="shared" si="20"/>
        <v>180000</v>
      </c>
      <c r="N30" s="76">
        <f t="shared" si="20"/>
        <v>186000</v>
      </c>
      <c r="O30" s="76">
        <f t="shared" si="20"/>
        <v>193000</v>
      </c>
      <c r="P30" s="76">
        <f t="shared" si="20"/>
        <v>200000</v>
      </c>
      <c r="Q30" s="76">
        <f t="shared" si="20"/>
        <v>207000</v>
      </c>
      <c r="R30" s="76">
        <f t="shared" si="20"/>
        <v>214000</v>
      </c>
      <c r="S30" s="76">
        <f t="shared" si="20"/>
        <v>221000</v>
      </c>
      <c r="T30" s="76">
        <f t="shared" si="20"/>
        <v>229000</v>
      </c>
      <c r="U30" s="76">
        <f t="shared" si="20"/>
        <v>237000</v>
      </c>
      <c r="V30" s="76">
        <f t="shared" si="20"/>
        <v>245000</v>
      </c>
      <c r="W30" s="76">
        <f t="shared" si="20"/>
        <v>254000</v>
      </c>
      <c r="X30" s="76">
        <f t="shared" si="20"/>
        <v>263000</v>
      </c>
      <c r="Y30" s="76">
        <f t="shared" si="20"/>
        <v>272000</v>
      </c>
      <c r="Z30" s="76">
        <f t="shared" si="20"/>
        <v>282000</v>
      </c>
      <c r="AA30" s="76">
        <f t="shared" si="20"/>
        <v>292000</v>
      </c>
      <c r="AE30" s="172" t="s">
        <v>126</v>
      </c>
      <c r="AF30" s="181">
        <f>SUMIF(Assumptions!$E$27:$E$193,AE30,Assumptions!$D$27:$D$193)</f>
        <v>0.71817541036395338</v>
      </c>
      <c r="AG30" s="105">
        <f t="shared" ref="AG30:AG44" si="22">ROUND(+C30*$AF30, 0)</f>
        <v>0</v>
      </c>
      <c r="AH30" s="105">
        <f t="shared" ref="AH30:AH44" si="23">ROUND(+D30*$AF30, 0)</f>
        <v>0</v>
      </c>
      <c r="AI30" s="105">
        <f t="shared" ref="AI30:AI44" si="24">ROUND(+E30*$AF30, 0)</f>
        <v>0</v>
      </c>
      <c r="AJ30" s="105">
        <f t="shared" ref="AJ30:AJ44" si="25">ROUND(+F30*$AF30, 0)</f>
        <v>100545</v>
      </c>
      <c r="AK30" s="105">
        <f t="shared" ref="AK30:AK44" si="26">ROUND(+G30*$AF30, 0)</f>
        <v>105572</v>
      </c>
      <c r="AL30" s="105">
        <f t="shared" ref="AL30:AL44" si="27">ROUND(+H30*$AF30, 0)</f>
        <v>109163</v>
      </c>
      <c r="AM30" s="105">
        <f t="shared" ref="AM30:AM44" si="28">ROUND(+I30*$AF30, 0)</f>
        <v>112754</v>
      </c>
      <c r="AN30" s="105">
        <f t="shared" ref="AN30:AN44" si="29">ROUND(+J30*$AF30, 0)</f>
        <v>116344</v>
      </c>
      <c r="AO30" s="105">
        <f t="shared" ref="AO30:AO44" si="30">ROUND(+K30*$AF30, 0)</f>
        <v>120653</v>
      </c>
      <c r="AP30" s="105">
        <f t="shared" ref="AP30:AP44" si="31">ROUND(+L30*$AF30, 0)</f>
        <v>124963</v>
      </c>
      <c r="AQ30" s="105">
        <f t="shared" ref="AQ30:AQ44" si="32">ROUND(+M30*$AF30, 0)</f>
        <v>129272</v>
      </c>
      <c r="AR30" s="105">
        <f t="shared" ref="AR30:AR44" si="33">ROUND(+N30*$AF30, 0)</f>
        <v>133581</v>
      </c>
      <c r="AS30" s="105">
        <f t="shared" ref="AS30:AS44" si="34">ROUND(+O30*$AF30, 0)</f>
        <v>138608</v>
      </c>
      <c r="AT30" s="105">
        <f t="shared" ref="AT30:AT44" si="35">ROUND(+P30*$AF30, 0)</f>
        <v>143635</v>
      </c>
      <c r="AU30" s="105">
        <f t="shared" ref="AU30:AU44" si="36">ROUND(+Q30*$AF30, 0)</f>
        <v>148662</v>
      </c>
      <c r="AV30" s="105">
        <f t="shared" ref="AV30:AV44" si="37">ROUND(+R30*$AF30, 0)</f>
        <v>153690</v>
      </c>
      <c r="AW30" s="105">
        <f t="shared" ref="AW30:AW44" si="38">ROUND(+S30*$AF30, 0)</f>
        <v>158717</v>
      </c>
      <c r="AX30" s="105">
        <f t="shared" ref="AX30:AX44" si="39">ROUND(+T30*$AF30, 0)</f>
        <v>164462</v>
      </c>
      <c r="AY30" s="105">
        <f t="shared" ref="AY30:AY44" si="40">ROUND(+U30*$AF30, 0)</f>
        <v>170208</v>
      </c>
      <c r="AZ30" s="105">
        <f t="shared" ref="AZ30:AZ44" si="41">ROUND(+V30*$AF30, 0)</f>
        <v>175953</v>
      </c>
      <c r="BA30" s="105">
        <f t="shared" ref="BA30:BA44" si="42">ROUND(+W30*$AF30, 0)</f>
        <v>182417</v>
      </c>
      <c r="BB30" s="105">
        <f t="shared" ref="BB30:BB44" si="43">ROUND(+X30*$AF30, 0)</f>
        <v>188880</v>
      </c>
      <c r="BC30" s="105">
        <f t="shared" ref="BC30:BC44" si="44">ROUND(+Y30*$AF30, 0)</f>
        <v>195344</v>
      </c>
      <c r="BD30" s="105">
        <f t="shared" ref="BD30:BD44" si="45">ROUND(+Z30*$AF30, 0)</f>
        <v>202525</v>
      </c>
      <c r="BE30" s="105">
        <f t="shared" ref="BE30:BE44" si="46">ROUND(+AA30*$AF30, 0)</f>
        <v>209707</v>
      </c>
    </row>
    <row r="31" spans="1:57" x14ac:dyDescent="0.35">
      <c r="A31" s="86">
        <f>MAX(A$6:A30)+1</f>
        <v>22</v>
      </c>
      <c r="B31" s="32" t="s">
        <v>231</v>
      </c>
      <c r="C31" s="177"/>
      <c r="D31" s="177"/>
      <c r="E31" s="177"/>
      <c r="F31" s="177">
        <f t="shared" si="18"/>
        <v>221000</v>
      </c>
      <c r="G31" s="177">
        <f t="shared" si="19"/>
        <v>232000</v>
      </c>
      <c r="H31" s="177">
        <f t="shared" ref="H31:AA31" si="47">ROUND(+G31*(1+H$7),-3)</f>
        <v>240000</v>
      </c>
      <c r="I31" s="177">
        <f t="shared" si="47"/>
        <v>248000</v>
      </c>
      <c r="J31" s="177">
        <f t="shared" si="47"/>
        <v>257000</v>
      </c>
      <c r="K31" s="177">
        <f t="shared" si="47"/>
        <v>266000</v>
      </c>
      <c r="L31" s="177">
        <f t="shared" si="47"/>
        <v>275000</v>
      </c>
      <c r="M31" s="177">
        <f t="shared" si="47"/>
        <v>285000</v>
      </c>
      <c r="N31" s="177">
        <f t="shared" si="47"/>
        <v>295000</v>
      </c>
      <c r="O31" s="177">
        <f t="shared" si="47"/>
        <v>305000</v>
      </c>
      <c r="P31" s="177">
        <f t="shared" si="47"/>
        <v>316000</v>
      </c>
      <c r="Q31" s="177">
        <f t="shared" si="47"/>
        <v>327000</v>
      </c>
      <c r="R31" s="177">
        <f t="shared" si="47"/>
        <v>338000</v>
      </c>
      <c r="S31" s="177">
        <f t="shared" si="47"/>
        <v>350000</v>
      </c>
      <c r="T31" s="177">
        <f t="shared" si="47"/>
        <v>362000</v>
      </c>
      <c r="U31" s="177">
        <f t="shared" si="47"/>
        <v>375000</v>
      </c>
      <c r="V31" s="177">
        <f t="shared" si="47"/>
        <v>388000</v>
      </c>
      <c r="W31" s="177">
        <f t="shared" si="47"/>
        <v>402000</v>
      </c>
      <c r="X31" s="177">
        <f t="shared" si="47"/>
        <v>416000</v>
      </c>
      <c r="Y31" s="177">
        <f t="shared" si="47"/>
        <v>431000</v>
      </c>
      <c r="Z31" s="177">
        <f t="shared" si="47"/>
        <v>446000</v>
      </c>
      <c r="AA31" s="177">
        <f t="shared" si="47"/>
        <v>462000</v>
      </c>
      <c r="AE31" s="172" t="s">
        <v>29</v>
      </c>
      <c r="AF31" s="181">
        <f>SUMIF(Assumptions!$E$27:$E$193,AE31,Assumptions!$D$27:$D$193)</f>
        <v>0.89208423081395782</v>
      </c>
      <c r="AG31" s="105">
        <f t="shared" si="22"/>
        <v>0</v>
      </c>
      <c r="AH31" s="105">
        <f t="shared" si="23"/>
        <v>0</v>
      </c>
      <c r="AI31" s="105">
        <f t="shared" si="24"/>
        <v>0</v>
      </c>
      <c r="AJ31" s="105">
        <f t="shared" si="25"/>
        <v>197151</v>
      </c>
      <c r="AK31" s="105">
        <f t="shared" si="26"/>
        <v>206964</v>
      </c>
      <c r="AL31" s="105">
        <f t="shared" si="27"/>
        <v>214100</v>
      </c>
      <c r="AM31" s="105">
        <f t="shared" si="28"/>
        <v>221237</v>
      </c>
      <c r="AN31" s="105">
        <f t="shared" si="29"/>
        <v>229266</v>
      </c>
      <c r="AO31" s="105">
        <f t="shared" si="30"/>
        <v>237294</v>
      </c>
      <c r="AP31" s="105">
        <f t="shared" si="31"/>
        <v>245323</v>
      </c>
      <c r="AQ31" s="105">
        <f t="shared" si="32"/>
        <v>254244</v>
      </c>
      <c r="AR31" s="105">
        <f t="shared" si="33"/>
        <v>263165</v>
      </c>
      <c r="AS31" s="105">
        <f t="shared" si="34"/>
        <v>272086</v>
      </c>
      <c r="AT31" s="105">
        <f t="shared" si="35"/>
        <v>281899</v>
      </c>
      <c r="AU31" s="105">
        <f t="shared" si="36"/>
        <v>291712</v>
      </c>
      <c r="AV31" s="105">
        <f t="shared" si="37"/>
        <v>301524</v>
      </c>
      <c r="AW31" s="105">
        <f t="shared" si="38"/>
        <v>312229</v>
      </c>
      <c r="AX31" s="105">
        <f t="shared" si="39"/>
        <v>322934</v>
      </c>
      <c r="AY31" s="105">
        <f t="shared" si="40"/>
        <v>334532</v>
      </c>
      <c r="AZ31" s="105">
        <f t="shared" si="41"/>
        <v>346129</v>
      </c>
      <c r="BA31" s="105">
        <f t="shared" si="42"/>
        <v>358618</v>
      </c>
      <c r="BB31" s="105">
        <f t="shared" si="43"/>
        <v>371107</v>
      </c>
      <c r="BC31" s="105">
        <f t="shared" si="44"/>
        <v>384488</v>
      </c>
      <c r="BD31" s="105">
        <f t="shared" si="45"/>
        <v>397870</v>
      </c>
      <c r="BE31" s="105">
        <f t="shared" si="46"/>
        <v>412143</v>
      </c>
    </row>
    <row r="32" spans="1:57" x14ac:dyDescent="0.35">
      <c r="A32" s="85">
        <f>MAX(A$6:A31)+1</f>
        <v>23</v>
      </c>
      <c r="B32" s="17" t="s">
        <v>232</v>
      </c>
      <c r="C32" s="17"/>
      <c r="D32" s="14"/>
      <c r="E32" s="76"/>
      <c r="F32" s="76">
        <f t="shared" si="18"/>
        <v>1776000</v>
      </c>
      <c r="G32" s="76">
        <f t="shared" si="19"/>
        <v>1865000</v>
      </c>
      <c r="H32" s="76">
        <f t="shared" ref="H32:AA32" si="48">ROUND(+G32*(1+H$7),-3)</f>
        <v>1930000</v>
      </c>
      <c r="I32" s="76">
        <f t="shared" si="48"/>
        <v>1998000</v>
      </c>
      <c r="J32" s="76">
        <f t="shared" si="48"/>
        <v>2068000</v>
      </c>
      <c r="K32" s="76">
        <f t="shared" si="48"/>
        <v>2140000</v>
      </c>
      <c r="L32" s="76">
        <f t="shared" si="48"/>
        <v>2215000</v>
      </c>
      <c r="M32" s="76">
        <f t="shared" si="48"/>
        <v>2293000</v>
      </c>
      <c r="N32" s="76">
        <f t="shared" si="48"/>
        <v>2373000</v>
      </c>
      <c r="O32" s="76">
        <f t="shared" si="48"/>
        <v>2456000</v>
      </c>
      <c r="P32" s="76">
        <f t="shared" si="48"/>
        <v>2542000</v>
      </c>
      <c r="Q32" s="76">
        <f t="shared" si="48"/>
        <v>2631000</v>
      </c>
      <c r="R32" s="76">
        <f t="shared" si="48"/>
        <v>2723000</v>
      </c>
      <c r="S32" s="76">
        <f t="shared" si="48"/>
        <v>2818000</v>
      </c>
      <c r="T32" s="76">
        <f t="shared" si="48"/>
        <v>2917000</v>
      </c>
      <c r="U32" s="76">
        <f t="shared" si="48"/>
        <v>3019000</v>
      </c>
      <c r="V32" s="76">
        <f t="shared" si="48"/>
        <v>3125000</v>
      </c>
      <c r="W32" s="76">
        <f t="shared" si="48"/>
        <v>3234000</v>
      </c>
      <c r="X32" s="76">
        <f t="shared" si="48"/>
        <v>3347000</v>
      </c>
      <c r="Y32" s="76">
        <f t="shared" si="48"/>
        <v>3464000</v>
      </c>
      <c r="Z32" s="76">
        <f t="shared" si="48"/>
        <v>3585000</v>
      </c>
      <c r="AA32" s="76">
        <f t="shared" si="48"/>
        <v>3710000</v>
      </c>
      <c r="AE32" s="172" t="s">
        <v>88</v>
      </c>
      <c r="AF32" s="181">
        <f>SUMIF(Assumptions!$E$27:$E$193,AE32,Assumptions!$D$27:$D$193)</f>
        <v>0.95239917402446805</v>
      </c>
      <c r="AG32" s="105">
        <f t="shared" si="22"/>
        <v>0</v>
      </c>
      <c r="AH32" s="105">
        <f t="shared" si="23"/>
        <v>0</v>
      </c>
      <c r="AI32" s="105">
        <f t="shared" si="24"/>
        <v>0</v>
      </c>
      <c r="AJ32" s="105">
        <f t="shared" si="25"/>
        <v>1691461</v>
      </c>
      <c r="AK32" s="105">
        <f t="shared" si="26"/>
        <v>1776224</v>
      </c>
      <c r="AL32" s="105">
        <f t="shared" si="27"/>
        <v>1838130</v>
      </c>
      <c r="AM32" s="105">
        <f t="shared" si="28"/>
        <v>1902894</v>
      </c>
      <c r="AN32" s="105">
        <f t="shared" si="29"/>
        <v>1969561</v>
      </c>
      <c r="AO32" s="105">
        <f t="shared" si="30"/>
        <v>2038134</v>
      </c>
      <c r="AP32" s="105">
        <f t="shared" si="31"/>
        <v>2109564</v>
      </c>
      <c r="AQ32" s="105">
        <f t="shared" si="32"/>
        <v>2183851</v>
      </c>
      <c r="AR32" s="105">
        <f t="shared" si="33"/>
        <v>2260043</v>
      </c>
      <c r="AS32" s="105">
        <f t="shared" si="34"/>
        <v>2339092</v>
      </c>
      <c r="AT32" s="105">
        <f t="shared" si="35"/>
        <v>2420999</v>
      </c>
      <c r="AU32" s="105">
        <f t="shared" si="36"/>
        <v>2505762</v>
      </c>
      <c r="AV32" s="105">
        <f t="shared" si="37"/>
        <v>2593383</v>
      </c>
      <c r="AW32" s="105">
        <f t="shared" si="38"/>
        <v>2683861</v>
      </c>
      <c r="AX32" s="105">
        <f t="shared" si="39"/>
        <v>2778148</v>
      </c>
      <c r="AY32" s="105">
        <f t="shared" si="40"/>
        <v>2875293</v>
      </c>
      <c r="AZ32" s="105">
        <f t="shared" si="41"/>
        <v>2976247</v>
      </c>
      <c r="BA32" s="105">
        <f t="shared" si="42"/>
        <v>3080059</v>
      </c>
      <c r="BB32" s="105">
        <f t="shared" si="43"/>
        <v>3187680</v>
      </c>
      <c r="BC32" s="105">
        <f t="shared" si="44"/>
        <v>3299111</v>
      </c>
      <c r="BD32" s="105">
        <f t="shared" si="45"/>
        <v>3414351</v>
      </c>
      <c r="BE32" s="105">
        <f t="shared" si="46"/>
        <v>3533401</v>
      </c>
    </row>
    <row r="33" spans="1:57" x14ac:dyDescent="0.35">
      <c r="A33" s="86">
        <f>MAX(A$6:A32)+1</f>
        <v>24</v>
      </c>
      <c r="B33" s="32" t="s">
        <v>233</v>
      </c>
      <c r="C33" s="177"/>
      <c r="D33" s="177"/>
      <c r="E33" s="177"/>
      <c r="F33" s="177">
        <f t="shared" si="18"/>
        <v>434000</v>
      </c>
      <c r="G33" s="177">
        <f t="shared" si="19"/>
        <v>456000</v>
      </c>
      <c r="H33" s="177">
        <f t="shared" ref="H33:AA33" si="49">ROUND(+G33*(1+H$7),-3)</f>
        <v>472000</v>
      </c>
      <c r="I33" s="177">
        <f t="shared" si="49"/>
        <v>489000</v>
      </c>
      <c r="J33" s="177">
        <f t="shared" si="49"/>
        <v>506000</v>
      </c>
      <c r="K33" s="177">
        <f t="shared" si="49"/>
        <v>524000</v>
      </c>
      <c r="L33" s="177">
        <f t="shared" si="49"/>
        <v>542000</v>
      </c>
      <c r="M33" s="177">
        <f t="shared" si="49"/>
        <v>561000</v>
      </c>
      <c r="N33" s="177">
        <f t="shared" si="49"/>
        <v>581000</v>
      </c>
      <c r="O33" s="177">
        <f t="shared" si="49"/>
        <v>601000</v>
      </c>
      <c r="P33" s="177">
        <f t="shared" si="49"/>
        <v>622000</v>
      </c>
      <c r="Q33" s="177">
        <f t="shared" si="49"/>
        <v>644000</v>
      </c>
      <c r="R33" s="177">
        <f t="shared" si="49"/>
        <v>667000</v>
      </c>
      <c r="S33" s="177">
        <f t="shared" si="49"/>
        <v>690000</v>
      </c>
      <c r="T33" s="177">
        <f t="shared" si="49"/>
        <v>714000</v>
      </c>
      <c r="U33" s="177">
        <f t="shared" si="49"/>
        <v>739000</v>
      </c>
      <c r="V33" s="177">
        <f t="shared" si="49"/>
        <v>765000</v>
      </c>
      <c r="W33" s="177">
        <f t="shared" si="49"/>
        <v>792000</v>
      </c>
      <c r="X33" s="177">
        <f t="shared" si="49"/>
        <v>820000</v>
      </c>
      <c r="Y33" s="177">
        <f t="shared" si="49"/>
        <v>849000</v>
      </c>
      <c r="Z33" s="177">
        <f t="shared" si="49"/>
        <v>879000</v>
      </c>
      <c r="AA33" s="177">
        <f t="shared" si="49"/>
        <v>910000</v>
      </c>
      <c r="AE33" s="172" t="s">
        <v>27</v>
      </c>
      <c r="AF33" s="181">
        <f>SUMIF(Assumptions!$E$27:$E$193,AE33,Assumptions!$D$27:$D$193)</f>
        <v>0.92802791780217886</v>
      </c>
      <c r="AG33" s="105">
        <f t="shared" si="22"/>
        <v>0</v>
      </c>
      <c r="AH33" s="105">
        <f t="shared" si="23"/>
        <v>0</v>
      </c>
      <c r="AI33" s="105">
        <f t="shared" si="24"/>
        <v>0</v>
      </c>
      <c r="AJ33" s="105">
        <f t="shared" si="25"/>
        <v>402764</v>
      </c>
      <c r="AK33" s="105">
        <f t="shared" si="26"/>
        <v>423181</v>
      </c>
      <c r="AL33" s="105">
        <f t="shared" si="27"/>
        <v>438029</v>
      </c>
      <c r="AM33" s="105">
        <f t="shared" si="28"/>
        <v>453806</v>
      </c>
      <c r="AN33" s="105">
        <f t="shared" si="29"/>
        <v>469582</v>
      </c>
      <c r="AO33" s="105">
        <f t="shared" si="30"/>
        <v>486287</v>
      </c>
      <c r="AP33" s="105">
        <f t="shared" si="31"/>
        <v>502991</v>
      </c>
      <c r="AQ33" s="105">
        <f t="shared" si="32"/>
        <v>520624</v>
      </c>
      <c r="AR33" s="105">
        <f t="shared" si="33"/>
        <v>539184</v>
      </c>
      <c r="AS33" s="105">
        <f t="shared" si="34"/>
        <v>557745</v>
      </c>
      <c r="AT33" s="105">
        <f t="shared" si="35"/>
        <v>577233</v>
      </c>
      <c r="AU33" s="105">
        <f t="shared" si="36"/>
        <v>597650</v>
      </c>
      <c r="AV33" s="105">
        <f t="shared" si="37"/>
        <v>618995</v>
      </c>
      <c r="AW33" s="105">
        <f t="shared" si="38"/>
        <v>640339</v>
      </c>
      <c r="AX33" s="105">
        <f t="shared" si="39"/>
        <v>662612</v>
      </c>
      <c r="AY33" s="105">
        <f t="shared" si="40"/>
        <v>685813</v>
      </c>
      <c r="AZ33" s="105">
        <f t="shared" si="41"/>
        <v>709941</v>
      </c>
      <c r="BA33" s="105">
        <f t="shared" si="42"/>
        <v>734998</v>
      </c>
      <c r="BB33" s="105">
        <f t="shared" si="43"/>
        <v>760983</v>
      </c>
      <c r="BC33" s="105">
        <f t="shared" si="44"/>
        <v>787896</v>
      </c>
      <c r="BD33" s="105">
        <f t="shared" si="45"/>
        <v>815737</v>
      </c>
      <c r="BE33" s="105">
        <f t="shared" si="46"/>
        <v>844505</v>
      </c>
    </row>
    <row r="34" spans="1:57" x14ac:dyDescent="0.35">
      <c r="A34" s="85">
        <f>MAX(A$6:A33)+1</f>
        <v>25</v>
      </c>
      <c r="B34" s="17" t="s">
        <v>234</v>
      </c>
      <c r="C34" s="17"/>
      <c r="D34" s="14"/>
      <c r="E34" s="76"/>
      <c r="F34" s="76">
        <f t="shared" si="18"/>
        <v>105000</v>
      </c>
      <c r="G34" s="76">
        <f t="shared" si="19"/>
        <v>110000</v>
      </c>
      <c r="H34" s="76">
        <f t="shared" ref="H34:AA34" si="50">ROUND(+G34*(1+H$7),-3)</f>
        <v>114000</v>
      </c>
      <c r="I34" s="76">
        <f t="shared" si="50"/>
        <v>118000</v>
      </c>
      <c r="J34" s="76">
        <f t="shared" si="50"/>
        <v>122000</v>
      </c>
      <c r="K34" s="76">
        <f t="shared" si="50"/>
        <v>126000</v>
      </c>
      <c r="L34" s="76">
        <f t="shared" si="50"/>
        <v>130000</v>
      </c>
      <c r="M34" s="76">
        <f t="shared" si="50"/>
        <v>135000</v>
      </c>
      <c r="N34" s="76">
        <f t="shared" si="50"/>
        <v>140000</v>
      </c>
      <c r="O34" s="76">
        <f t="shared" si="50"/>
        <v>145000</v>
      </c>
      <c r="P34" s="76">
        <f t="shared" si="50"/>
        <v>150000</v>
      </c>
      <c r="Q34" s="76">
        <f t="shared" si="50"/>
        <v>155000</v>
      </c>
      <c r="R34" s="76">
        <f t="shared" si="50"/>
        <v>160000</v>
      </c>
      <c r="S34" s="76">
        <f t="shared" si="50"/>
        <v>166000</v>
      </c>
      <c r="T34" s="76">
        <f t="shared" si="50"/>
        <v>172000</v>
      </c>
      <c r="U34" s="76">
        <f t="shared" si="50"/>
        <v>178000</v>
      </c>
      <c r="V34" s="76">
        <f t="shared" si="50"/>
        <v>184000</v>
      </c>
      <c r="W34" s="76">
        <f t="shared" si="50"/>
        <v>190000</v>
      </c>
      <c r="X34" s="76">
        <f t="shared" si="50"/>
        <v>197000</v>
      </c>
      <c r="Y34" s="76">
        <f t="shared" si="50"/>
        <v>204000</v>
      </c>
      <c r="Z34" s="76">
        <f t="shared" si="50"/>
        <v>211000</v>
      </c>
      <c r="AA34" s="76">
        <f t="shared" si="50"/>
        <v>218000</v>
      </c>
      <c r="AE34" s="172" t="s">
        <v>127</v>
      </c>
      <c r="AF34" s="181">
        <f>SUMIF(Assumptions!$E$27:$E$193,AE34,Assumptions!$D$27:$D$193)</f>
        <v>0.89517082239955581</v>
      </c>
      <c r="AG34" s="105">
        <f t="shared" si="22"/>
        <v>0</v>
      </c>
      <c r="AH34" s="105">
        <f t="shared" si="23"/>
        <v>0</v>
      </c>
      <c r="AI34" s="105">
        <f t="shared" si="24"/>
        <v>0</v>
      </c>
      <c r="AJ34" s="105">
        <f t="shared" si="25"/>
        <v>93993</v>
      </c>
      <c r="AK34" s="105">
        <f t="shared" si="26"/>
        <v>98469</v>
      </c>
      <c r="AL34" s="105">
        <f t="shared" si="27"/>
        <v>102049</v>
      </c>
      <c r="AM34" s="105">
        <f t="shared" si="28"/>
        <v>105630</v>
      </c>
      <c r="AN34" s="105">
        <f t="shared" si="29"/>
        <v>109211</v>
      </c>
      <c r="AO34" s="105">
        <f t="shared" si="30"/>
        <v>112792</v>
      </c>
      <c r="AP34" s="105">
        <f t="shared" si="31"/>
        <v>116372</v>
      </c>
      <c r="AQ34" s="105">
        <f t="shared" si="32"/>
        <v>120848</v>
      </c>
      <c r="AR34" s="105">
        <f t="shared" si="33"/>
        <v>125324</v>
      </c>
      <c r="AS34" s="105">
        <f t="shared" si="34"/>
        <v>129800</v>
      </c>
      <c r="AT34" s="105">
        <f t="shared" si="35"/>
        <v>134276</v>
      </c>
      <c r="AU34" s="105">
        <f t="shared" si="36"/>
        <v>138751</v>
      </c>
      <c r="AV34" s="105">
        <f t="shared" si="37"/>
        <v>143227</v>
      </c>
      <c r="AW34" s="105">
        <f t="shared" si="38"/>
        <v>148598</v>
      </c>
      <c r="AX34" s="105">
        <f t="shared" si="39"/>
        <v>153969</v>
      </c>
      <c r="AY34" s="105">
        <f t="shared" si="40"/>
        <v>159340</v>
      </c>
      <c r="AZ34" s="105">
        <f t="shared" si="41"/>
        <v>164711</v>
      </c>
      <c r="BA34" s="105">
        <f t="shared" si="42"/>
        <v>170082</v>
      </c>
      <c r="BB34" s="105">
        <f t="shared" si="43"/>
        <v>176349</v>
      </c>
      <c r="BC34" s="105">
        <f t="shared" si="44"/>
        <v>182615</v>
      </c>
      <c r="BD34" s="105">
        <f t="shared" si="45"/>
        <v>188881</v>
      </c>
      <c r="BE34" s="105">
        <f t="shared" si="46"/>
        <v>195147</v>
      </c>
    </row>
    <row r="35" spans="1:57" x14ac:dyDescent="0.35">
      <c r="A35" s="86">
        <f>MAX(A$6:A34)+1</f>
        <v>26</v>
      </c>
      <c r="B35" s="32" t="s">
        <v>235</v>
      </c>
      <c r="C35" s="177"/>
      <c r="D35" s="177"/>
      <c r="E35" s="177"/>
      <c r="F35" s="177">
        <f t="shared" si="18"/>
        <v>209000</v>
      </c>
      <c r="G35" s="177">
        <f t="shared" si="19"/>
        <v>219000</v>
      </c>
      <c r="H35" s="177">
        <f t="shared" ref="H35:AA35" si="51">ROUND(+G35*(1+H$7),-3)</f>
        <v>227000</v>
      </c>
      <c r="I35" s="177">
        <f t="shared" si="51"/>
        <v>235000</v>
      </c>
      <c r="J35" s="177">
        <f t="shared" si="51"/>
        <v>243000</v>
      </c>
      <c r="K35" s="177">
        <f t="shared" si="51"/>
        <v>252000</v>
      </c>
      <c r="L35" s="177">
        <f t="shared" si="51"/>
        <v>261000</v>
      </c>
      <c r="M35" s="177">
        <f t="shared" si="51"/>
        <v>270000</v>
      </c>
      <c r="N35" s="177">
        <f t="shared" si="51"/>
        <v>279000</v>
      </c>
      <c r="O35" s="177">
        <f t="shared" si="51"/>
        <v>289000</v>
      </c>
      <c r="P35" s="177">
        <f t="shared" si="51"/>
        <v>299000</v>
      </c>
      <c r="Q35" s="177">
        <f t="shared" si="51"/>
        <v>309000</v>
      </c>
      <c r="R35" s="177">
        <f t="shared" si="51"/>
        <v>320000</v>
      </c>
      <c r="S35" s="177">
        <f t="shared" si="51"/>
        <v>331000</v>
      </c>
      <c r="T35" s="177">
        <f t="shared" si="51"/>
        <v>343000</v>
      </c>
      <c r="U35" s="177">
        <f t="shared" si="51"/>
        <v>355000</v>
      </c>
      <c r="V35" s="177">
        <f t="shared" si="51"/>
        <v>367000</v>
      </c>
      <c r="W35" s="177">
        <f t="shared" si="51"/>
        <v>380000</v>
      </c>
      <c r="X35" s="177">
        <f t="shared" si="51"/>
        <v>393000</v>
      </c>
      <c r="Y35" s="177">
        <f t="shared" si="51"/>
        <v>407000</v>
      </c>
      <c r="Z35" s="177">
        <f t="shared" si="51"/>
        <v>421000</v>
      </c>
      <c r="AA35" s="177">
        <f t="shared" si="51"/>
        <v>436000</v>
      </c>
      <c r="AE35" s="172" t="s">
        <v>255</v>
      </c>
      <c r="AF35" s="181">
        <f>SUMIF(Assumptions!$E$27:$E$193,AE35,Assumptions!$D$27:$D$193)</f>
        <v>0.77028983671698958</v>
      </c>
      <c r="AG35" s="105">
        <f t="shared" si="22"/>
        <v>0</v>
      </c>
      <c r="AH35" s="105">
        <f t="shared" si="23"/>
        <v>0</v>
      </c>
      <c r="AI35" s="105">
        <f t="shared" si="24"/>
        <v>0</v>
      </c>
      <c r="AJ35" s="105">
        <f t="shared" si="25"/>
        <v>160991</v>
      </c>
      <c r="AK35" s="105">
        <f t="shared" si="26"/>
        <v>168693</v>
      </c>
      <c r="AL35" s="105">
        <f t="shared" si="27"/>
        <v>174856</v>
      </c>
      <c r="AM35" s="105">
        <f t="shared" si="28"/>
        <v>181018</v>
      </c>
      <c r="AN35" s="105">
        <f t="shared" si="29"/>
        <v>187180</v>
      </c>
      <c r="AO35" s="105">
        <f t="shared" si="30"/>
        <v>194113</v>
      </c>
      <c r="AP35" s="105">
        <f t="shared" si="31"/>
        <v>201046</v>
      </c>
      <c r="AQ35" s="105">
        <f t="shared" si="32"/>
        <v>207978</v>
      </c>
      <c r="AR35" s="105">
        <f t="shared" si="33"/>
        <v>214911</v>
      </c>
      <c r="AS35" s="105">
        <f t="shared" si="34"/>
        <v>222614</v>
      </c>
      <c r="AT35" s="105">
        <f t="shared" si="35"/>
        <v>230317</v>
      </c>
      <c r="AU35" s="105">
        <f t="shared" si="36"/>
        <v>238020</v>
      </c>
      <c r="AV35" s="105">
        <f t="shared" si="37"/>
        <v>246493</v>
      </c>
      <c r="AW35" s="105">
        <f t="shared" si="38"/>
        <v>254966</v>
      </c>
      <c r="AX35" s="105">
        <f t="shared" si="39"/>
        <v>264209</v>
      </c>
      <c r="AY35" s="105">
        <f t="shared" si="40"/>
        <v>273453</v>
      </c>
      <c r="AZ35" s="105">
        <f t="shared" si="41"/>
        <v>282696</v>
      </c>
      <c r="BA35" s="105">
        <f t="shared" si="42"/>
        <v>292710</v>
      </c>
      <c r="BB35" s="105">
        <f t="shared" si="43"/>
        <v>302724</v>
      </c>
      <c r="BC35" s="105">
        <f t="shared" si="44"/>
        <v>313508</v>
      </c>
      <c r="BD35" s="105">
        <f t="shared" si="45"/>
        <v>324292</v>
      </c>
      <c r="BE35" s="105">
        <f t="shared" si="46"/>
        <v>335846</v>
      </c>
    </row>
    <row r="36" spans="1:57" x14ac:dyDescent="0.35">
      <c r="A36" s="85">
        <f>MAX(A$6:A35)+1</f>
        <v>27</v>
      </c>
      <c r="B36" s="17" t="s">
        <v>236</v>
      </c>
      <c r="C36" s="17"/>
      <c r="D36" s="14"/>
      <c r="E36" s="76"/>
      <c r="F36" s="76">
        <f t="shared" si="18"/>
        <v>5000</v>
      </c>
      <c r="G36" s="76">
        <f t="shared" si="19"/>
        <v>5000</v>
      </c>
      <c r="H36" s="76">
        <f t="shared" ref="H36:AA36" si="52">ROUND(+G36*(1+H$7),-3)</f>
        <v>5000</v>
      </c>
      <c r="I36" s="76">
        <f t="shared" si="52"/>
        <v>5000</v>
      </c>
      <c r="J36" s="76">
        <f t="shared" si="52"/>
        <v>5000</v>
      </c>
      <c r="K36" s="76">
        <f t="shared" si="52"/>
        <v>5000</v>
      </c>
      <c r="L36" s="76">
        <f t="shared" si="52"/>
        <v>5000</v>
      </c>
      <c r="M36" s="76">
        <f t="shared" si="52"/>
        <v>5000</v>
      </c>
      <c r="N36" s="76">
        <f t="shared" si="52"/>
        <v>5000</v>
      </c>
      <c r="O36" s="76">
        <f t="shared" si="52"/>
        <v>5000</v>
      </c>
      <c r="P36" s="76">
        <f t="shared" si="52"/>
        <v>5000</v>
      </c>
      <c r="Q36" s="76">
        <f t="shared" si="52"/>
        <v>5000</v>
      </c>
      <c r="R36" s="76">
        <f t="shared" si="52"/>
        <v>5000</v>
      </c>
      <c r="S36" s="76">
        <f t="shared" si="52"/>
        <v>5000</v>
      </c>
      <c r="T36" s="76">
        <f t="shared" si="52"/>
        <v>5000</v>
      </c>
      <c r="U36" s="76">
        <f t="shared" si="52"/>
        <v>5000</v>
      </c>
      <c r="V36" s="76">
        <f t="shared" si="52"/>
        <v>5000</v>
      </c>
      <c r="W36" s="76">
        <f t="shared" si="52"/>
        <v>5000</v>
      </c>
      <c r="X36" s="76">
        <f t="shared" si="52"/>
        <v>5000</v>
      </c>
      <c r="Y36" s="76">
        <f t="shared" si="52"/>
        <v>5000</v>
      </c>
      <c r="Z36" s="76">
        <f t="shared" si="52"/>
        <v>5000</v>
      </c>
      <c r="AA36" s="76">
        <f t="shared" si="52"/>
        <v>5000</v>
      </c>
      <c r="AE36" s="172" t="s">
        <v>256</v>
      </c>
      <c r="AF36" s="181">
        <f>SUMIF(Assumptions!$E$27:$E$193,AE36,Assumptions!$D$27:$D$193)</f>
        <v>0.4253199349622272</v>
      </c>
      <c r="AG36" s="105">
        <f t="shared" si="22"/>
        <v>0</v>
      </c>
      <c r="AH36" s="105">
        <f t="shared" si="23"/>
        <v>0</v>
      </c>
      <c r="AI36" s="105">
        <f t="shared" si="24"/>
        <v>0</v>
      </c>
      <c r="AJ36" s="105">
        <f t="shared" si="25"/>
        <v>2127</v>
      </c>
      <c r="AK36" s="105">
        <f t="shared" si="26"/>
        <v>2127</v>
      </c>
      <c r="AL36" s="105">
        <f t="shared" si="27"/>
        <v>2127</v>
      </c>
      <c r="AM36" s="105">
        <f t="shared" si="28"/>
        <v>2127</v>
      </c>
      <c r="AN36" s="105">
        <f t="shared" si="29"/>
        <v>2127</v>
      </c>
      <c r="AO36" s="105">
        <f t="shared" si="30"/>
        <v>2127</v>
      </c>
      <c r="AP36" s="105">
        <f t="shared" si="31"/>
        <v>2127</v>
      </c>
      <c r="AQ36" s="105">
        <f t="shared" si="32"/>
        <v>2127</v>
      </c>
      <c r="AR36" s="105">
        <f t="shared" si="33"/>
        <v>2127</v>
      </c>
      <c r="AS36" s="105">
        <f t="shared" si="34"/>
        <v>2127</v>
      </c>
      <c r="AT36" s="105">
        <f t="shared" si="35"/>
        <v>2127</v>
      </c>
      <c r="AU36" s="105">
        <f t="shared" si="36"/>
        <v>2127</v>
      </c>
      <c r="AV36" s="105">
        <f t="shared" si="37"/>
        <v>2127</v>
      </c>
      <c r="AW36" s="105">
        <f t="shared" si="38"/>
        <v>2127</v>
      </c>
      <c r="AX36" s="105">
        <f t="shared" si="39"/>
        <v>2127</v>
      </c>
      <c r="AY36" s="105">
        <f t="shared" si="40"/>
        <v>2127</v>
      </c>
      <c r="AZ36" s="105">
        <f t="shared" si="41"/>
        <v>2127</v>
      </c>
      <c r="BA36" s="105">
        <f t="shared" si="42"/>
        <v>2127</v>
      </c>
      <c r="BB36" s="105">
        <f t="shared" si="43"/>
        <v>2127</v>
      </c>
      <c r="BC36" s="105">
        <f t="shared" si="44"/>
        <v>2127</v>
      </c>
      <c r="BD36" s="105">
        <f t="shared" si="45"/>
        <v>2127</v>
      </c>
      <c r="BE36" s="105">
        <f t="shared" si="46"/>
        <v>2127</v>
      </c>
    </row>
    <row r="37" spans="1:57" x14ac:dyDescent="0.35">
      <c r="A37" s="86">
        <f>MAX(A$6:A36)+1</f>
        <v>28</v>
      </c>
      <c r="B37" s="32" t="s">
        <v>237</v>
      </c>
      <c r="C37" s="177"/>
      <c r="D37" s="177"/>
      <c r="E37" s="177"/>
      <c r="F37" s="177">
        <f t="shared" si="18"/>
        <v>1000</v>
      </c>
      <c r="G37" s="177">
        <f t="shared" si="19"/>
        <v>1000</v>
      </c>
      <c r="H37" s="177">
        <f t="shared" ref="H37:AA37" si="53">ROUND(+G37*(1+H$7),-3)</f>
        <v>1000</v>
      </c>
      <c r="I37" s="177">
        <f t="shared" si="53"/>
        <v>1000</v>
      </c>
      <c r="J37" s="177">
        <f t="shared" si="53"/>
        <v>1000</v>
      </c>
      <c r="K37" s="177">
        <f t="shared" si="53"/>
        <v>1000</v>
      </c>
      <c r="L37" s="177">
        <f t="shared" si="53"/>
        <v>1000</v>
      </c>
      <c r="M37" s="177">
        <f t="shared" si="53"/>
        <v>1000</v>
      </c>
      <c r="N37" s="177">
        <f t="shared" si="53"/>
        <v>1000</v>
      </c>
      <c r="O37" s="177">
        <f t="shared" si="53"/>
        <v>1000</v>
      </c>
      <c r="P37" s="177">
        <f t="shared" si="53"/>
        <v>1000</v>
      </c>
      <c r="Q37" s="177">
        <f t="shared" si="53"/>
        <v>1000</v>
      </c>
      <c r="R37" s="177">
        <f t="shared" si="53"/>
        <v>1000</v>
      </c>
      <c r="S37" s="177">
        <f t="shared" si="53"/>
        <v>1000</v>
      </c>
      <c r="T37" s="177">
        <f t="shared" si="53"/>
        <v>1000</v>
      </c>
      <c r="U37" s="177">
        <f t="shared" si="53"/>
        <v>1000</v>
      </c>
      <c r="V37" s="177">
        <f t="shared" si="53"/>
        <v>1000</v>
      </c>
      <c r="W37" s="177">
        <f t="shared" si="53"/>
        <v>1000</v>
      </c>
      <c r="X37" s="177">
        <f t="shared" si="53"/>
        <v>1000</v>
      </c>
      <c r="Y37" s="177">
        <f t="shared" si="53"/>
        <v>1000</v>
      </c>
      <c r="Z37" s="177">
        <f t="shared" si="53"/>
        <v>1000</v>
      </c>
      <c r="AA37" s="177">
        <f t="shared" si="53"/>
        <v>1000</v>
      </c>
      <c r="AE37" s="172" t="s">
        <v>257</v>
      </c>
      <c r="AF37" s="181">
        <f>SUMIF(Assumptions!$E$27:$E$193,AE37,Assumptions!$D$27:$D$193)</f>
        <v>0.9314709552197421</v>
      </c>
      <c r="AG37" s="105">
        <f t="shared" si="22"/>
        <v>0</v>
      </c>
      <c r="AH37" s="105">
        <f t="shared" si="23"/>
        <v>0</v>
      </c>
      <c r="AI37" s="105">
        <f t="shared" si="24"/>
        <v>0</v>
      </c>
      <c r="AJ37" s="105">
        <f t="shared" si="25"/>
        <v>931</v>
      </c>
      <c r="AK37" s="105">
        <f t="shared" si="26"/>
        <v>931</v>
      </c>
      <c r="AL37" s="105">
        <f t="shared" si="27"/>
        <v>931</v>
      </c>
      <c r="AM37" s="105">
        <f t="shared" si="28"/>
        <v>931</v>
      </c>
      <c r="AN37" s="105">
        <f t="shared" si="29"/>
        <v>931</v>
      </c>
      <c r="AO37" s="105">
        <f t="shared" si="30"/>
        <v>931</v>
      </c>
      <c r="AP37" s="105">
        <f t="shared" si="31"/>
        <v>931</v>
      </c>
      <c r="AQ37" s="105">
        <f t="shared" si="32"/>
        <v>931</v>
      </c>
      <c r="AR37" s="105">
        <f t="shared" si="33"/>
        <v>931</v>
      </c>
      <c r="AS37" s="105">
        <f t="shared" si="34"/>
        <v>931</v>
      </c>
      <c r="AT37" s="105">
        <f t="shared" si="35"/>
        <v>931</v>
      </c>
      <c r="AU37" s="105">
        <f t="shared" si="36"/>
        <v>931</v>
      </c>
      <c r="AV37" s="105">
        <f t="shared" si="37"/>
        <v>931</v>
      </c>
      <c r="AW37" s="105">
        <f t="shared" si="38"/>
        <v>931</v>
      </c>
      <c r="AX37" s="105">
        <f t="shared" si="39"/>
        <v>931</v>
      </c>
      <c r="AY37" s="105">
        <f t="shared" si="40"/>
        <v>931</v>
      </c>
      <c r="AZ37" s="105">
        <f t="shared" si="41"/>
        <v>931</v>
      </c>
      <c r="BA37" s="105">
        <f t="shared" si="42"/>
        <v>931</v>
      </c>
      <c r="BB37" s="105">
        <f t="shared" si="43"/>
        <v>931</v>
      </c>
      <c r="BC37" s="105">
        <f t="shared" si="44"/>
        <v>931</v>
      </c>
      <c r="BD37" s="105">
        <f t="shared" si="45"/>
        <v>931</v>
      </c>
      <c r="BE37" s="105">
        <f t="shared" si="46"/>
        <v>931</v>
      </c>
    </row>
    <row r="38" spans="1:57" x14ac:dyDescent="0.35">
      <c r="A38" s="85">
        <f>MAX(A$6:A37)+1</f>
        <v>29</v>
      </c>
      <c r="B38" s="17" t="s">
        <v>238</v>
      </c>
      <c r="C38" s="17"/>
      <c r="D38" s="14"/>
      <c r="E38" s="76"/>
      <c r="F38" s="76">
        <f t="shared" si="18"/>
        <v>0</v>
      </c>
      <c r="G38" s="76">
        <f t="shared" si="19"/>
        <v>0</v>
      </c>
      <c r="H38" s="76">
        <f t="shared" ref="H38:AA38" si="54">ROUND(+G38*(1+H$7),-3)</f>
        <v>0</v>
      </c>
      <c r="I38" s="76">
        <f t="shared" si="54"/>
        <v>0</v>
      </c>
      <c r="J38" s="76">
        <f t="shared" si="54"/>
        <v>0</v>
      </c>
      <c r="K38" s="76">
        <f t="shared" si="54"/>
        <v>0</v>
      </c>
      <c r="L38" s="76">
        <f t="shared" si="54"/>
        <v>0</v>
      </c>
      <c r="M38" s="76">
        <f t="shared" si="54"/>
        <v>0</v>
      </c>
      <c r="N38" s="76">
        <f t="shared" si="54"/>
        <v>0</v>
      </c>
      <c r="O38" s="76">
        <f t="shared" si="54"/>
        <v>0</v>
      </c>
      <c r="P38" s="76">
        <f t="shared" si="54"/>
        <v>0</v>
      </c>
      <c r="Q38" s="76">
        <f t="shared" si="54"/>
        <v>0</v>
      </c>
      <c r="R38" s="76">
        <f t="shared" si="54"/>
        <v>0</v>
      </c>
      <c r="S38" s="76">
        <f t="shared" si="54"/>
        <v>0</v>
      </c>
      <c r="T38" s="76">
        <f t="shared" si="54"/>
        <v>0</v>
      </c>
      <c r="U38" s="76">
        <f t="shared" si="54"/>
        <v>0</v>
      </c>
      <c r="V38" s="76">
        <f t="shared" si="54"/>
        <v>0</v>
      </c>
      <c r="W38" s="76">
        <f t="shared" si="54"/>
        <v>0</v>
      </c>
      <c r="X38" s="76">
        <f t="shared" si="54"/>
        <v>0</v>
      </c>
      <c r="Y38" s="76">
        <f t="shared" si="54"/>
        <v>0</v>
      </c>
      <c r="Z38" s="76">
        <f t="shared" si="54"/>
        <v>0</v>
      </c>
      <c r="AA38" s="76">
        <f t="shared" si="54"/>
        <v>0</v>
      </c>
      <c r="AE38" s="172" t="s">
        <v>258</v>
      </c>
      <c r="AF38" s="181">
        <f>SUMIF(Assumptions!$E$27:$E$193,AE38,Assumptions!$D$27:$D$193)</f>
        <v>9.9999999999999995E-7</v>
      </c>
      <c r="AG38" s="105">
        <f t="shared" si="22"/>
        <v>0</v>
      </c>
      <c r="AH38" s="105">
        <f t="shared" si="23"/>
        <v>0</v>
      </c>
      <c r="AI38" s="105">
        <f t="shared" si="24"/>
        <v>0</v>
      </c>
      <c r="AJ38" s="105">
        <f t="shared" si="25"/>
        <v>0</v>
      </c>
      <c r="AK38" s="105">
        <f t="shared" si="26"/>
        <v>0</v>
      </c>
      <c r="AL38" s="105">
        <f t="shared" si="27"/>
        <v>0</v>
      </c>
      <c r="AM38" s="105">
        <f t="shared" si="28"/>
        <v>0</v>
      </c>
      <c r="AN38" s="105">
        <f t="shared" si="29"/>
        <v>0</v>
      </c>
      <c r="AO38" s="105">
        <f t="shared" si="30"/>
        <v>0</v>
      </c>
      <c r="AP38" s="105">
        <f t="shared" si="31"/>
        <v>0</v>
      </c>
      <c r="AQ38" s="105">
        <f t="shared" si="32"/>
        <v>0</v>
      </c>
      <c r="AR38" s="105">
        <f t="shared" si="33"/>
        <v>0</v>
      </c>
      <c r="AS38" s="105">
        <f t="shared" si="34"/>
        <v>0</v>
      </c>
      <c r="AT38" s="105">
        <f t="shared" si="35"/>
        <v>0</v>
      </c>
      <c r="AU38" s="105">
        <f t="shared" si="36"/>
        <v>0</v>
      </c>
      <c r="AV38" s="105">
        <f t="shared" si="37"/>
        <v>0</v>
      </c>
      <c r="AW38" s="105">
        <f t="shared" si="38"/>
        <v>0</v>
      </c>
      <c r="AX38" s="105">
        <f t="shared" si="39"/>
        <v>0</v>
      </c>
      <c r="AY38" s="105">
        <f t="shared" si="40"/>
        <v>0</v>
      </c>
      <c r="AZ38" s="105">
        <f t="shared" si="41"/>
        <v>0</v>
      </c>
      <c r="BA38" s="105">
        <f t="shared" si="42"/>
        <v>0</v>
      </c>
      <c r="BB38" s="105">
        <f t="shared" si="43"/>
        <v>0</v>
      </c>
      <c r="BC38" s="105">
        <f t="shared" si="44"/>
        <v>0</v>
      </c>
      <c r="BD38" s="105">
        <f t="shared" si="45"/>
        <v>0</v>
      </c>
      <c r="BE38" s="105">
        <f t="shared" si="46"/>
        <v>0</v>
      </c>
    </row>
    <row r="39" spans="1:57" x14ac:dyDescent="0.35">
      <c r="A39" s="86">
        <f>MAX(A$6:A38)+1</f>
        <v>30</v>
      </c>
      <c r="B39" s="32" t="s">
        <v>239</v>
      </c>
      <c r="C39" s="177"/>
      <c r="D39" s="177"/>
      <c r="E39" s="177"/>
      <c r="F39" s="177">
        <f t="shared" si="18"/>
        <v>63000</v>
      </c>
      <c r="G39" s="177">
        <f t="shared" si="19"/>
        <v>66000</v>
      </c>
      <c r="H39" s="177">
        <f t="shared" ref="H39:AA39" si="55">ROUND(+G39*(1+H$7),-3)</f>
        <v>68000</v>
      </c>
      <c r="I39" s="177">
        <f t="shared" si="55"/>
        <v>70000</v>
      </c>
      <c r="J39" s="177">
        <f t="shared" si="55"/>
        <v>72000</v>
      </c>
      <c r="K39" s="177">
        <f t="shared" si="55"/>
        <v>75000</v>
      </c>
      <c r="L39" s="177">
        <f t="shared" si="55"/>
        <v>78000</v>
      </c>
      <c r="M39" s="177">
        <f t="shared" si="55"/>
        <v>81000</v>
      </c>
      <c r="N39" s="177">
        <f t="shared" si="55"/>
        <v>84000</v>
      </c>
      <c r="O39" s="177">
        <f t="shared" si="55"/>
        <v>87000</v>
      </c>
      <c r="P39" s="177">
        <f t="shared" si="55"/>
        <v>90000</v>
      </c>
      <c r="Q39" s="177">
        <f t="shared" si="55"/>
        <v>93000</v>
      </c>
      <c r="R39" s="177">
        <f t="shared" si="55"/>
        <v>96000</v>
      </c>
      <c r="S39" s="177">
        <f t="shared" si="55"/>
        <v>99000</v>
      </c>
      <c r="T39" s="177">
        <f t="shared" si="55"/>
        <v>102000</v>
      </c>
      <c r="U39" s="177">
        <f t="shared" si="55"/>
        <v>106000</v>
      </c>
      <c r="V39" s="177">
        <f t="shared" si="55"/>
        <v>110000</v>
      </c>
      <c r="W39" s="177">
        <f t="shared" si="55"/>
        <v>114000</v>
      </c>
      <c r="X39" s="177">
        <f t="shared" si="55"/>
        <v>118000</v>
      </c>
      <c r="Y39" s="177">
        <f t="shared" si="55"/>
        <v>122000</v>
      </c>
      <c r="Z39" s="177">
        <f t="shared" si="55"/>
        <v>126000</v>
      </c>
      <c r="AA39" s="177">
        <f t="shared" si="55"/>
        <v>130000</v>
      </c>
      <c r="AE39" s="172" t="s">
        <v>259</v>
      </c>
      <c r="AF39" s="181">
        <f>SUMIF(Assumptions!$E$27:$E$193,AE39,Assumptions!$D$27:$D$193)</f>
        <v>0.77398600146777852</v>
      </c>
      <c r="AG39" s="105">
        <f t="shared" si="22"/>
        <v>0</v>
      </c>
      <c r="AH39" s="105">
        <f t="shared" si="23"/>
        <v>0</v>
      </c>
      <c r="AI39" s="105">
        <f t="shared" si="24"/>
        <v>0</v>
      </c>
      <c r="AJ39" s="105">
        <f t="shared" si="25"/>
        <v>48761</v>
      </c>
      <c r="AK39" s="105">
        <f t="shared" si="26"/>
        <v>51083</v>
      </c>
      <c r="AL39" s="105">
        <f t="shared" si="27"/>
        <v>52631</v>
      </c>
      <c r="AM39" s="105">
        <f t="shared" si="28"/>
        <v>54179</v>
      </c>
      <c r="AN39" s="105">
        <f t="shared" si="29"/>
        <v>55727</v>
      </c>
      <c r="AO39" s="105">
        <f t="shared" si="30"/>
        <v>58049</v>
      </c>
      <c r="AP39" s="105">
        <f t="shared" si="31"/>
        <v>60371</v>
      </c>
      <c r="AQ39" s="105">
        <f t="shared" si="32"/>
        <v>62693</v>
      </c>
      <c r="AR39" s="105">
        <f t="shared" si="33"/>
        <v>65015</v>
      </c>
      <c r="AS39" s="105">
        <f t="shared" si="34"/>
        <v>67337</v>
      </c>
      <c r="AT39" s="105">
        <f t="shared" si="35"/>
        <v>69659</v>
      </c>
      <c r="AU39" s="105">
        <f t="shared" si="36"/>
        <v>71981</v>
      </c>
      <c r="AV39" s="105">
        <f t="shared" si="37"/>
        <v>74303</v>
      </c>
      <c r="AW39" s="105">
        <f t="shared" si="38"/>
        <v>76625</v>
      </c>
      <c r="AX39" s="105">
        <f t="shared" si="39"/>
        <v>78947</v>
      </c>
      <c r="AY39" s="105">
        <f t="shared" si="40"/>
        <v>82043</v>
      </c>
      <c r="AZ39" s="105">
        <f t="shared" si="41"/>
        <v>85138</v>
      </c>
      <c r="BA39" s="105">
        <f t="shared" si="42"/>
        <v>88234</v>
      </c>
      <c r="BB39" s="105">
        <f t="shared" si="43"/>
        <v>91330</v>
      </c>
      <c r="BC39" s="105">
        <f t="shared" si="44"/>
        <v>94426</v>
      </c>
      <c r="BD39" s="105">
        <f t="shared" si="45"/>
        <v>97522</v>
      </c>
      <c r="BE39" s="105">
        <f t="shared" si="46"/>
        <v>100618</v>
      </c>
    </row>
    <row r="40" spans="1:57" x14ac:dyDescent="0.35">
      <c r="A40" s="85">
        <f>MAX(A$6:A39)+1</f>
        <v>31</v>
      </c>
      <c r="B40" s="17" t="s">
        <v>240</v>
      </c>
      <c r="C40" s="17"/>
      <c r="D40" s="14"/>
      <c r="E40" s="76"/>
      <c r="F40" s="76">
        <f t="shared" si="18"/>
        <v>0</v>
      </c>
      <c r="G40" s="76">
        <f t="shared" si="19"/>
        <v>0</v>
      </c>
      <c r="H40" s="76">
        <f t="shared" ref="H40:AA40" si="56">ROUND(+G40*(1+H$7),-3)</f>
        <v>0</v>
      </c>
      <c r="I40" s="76">
        <f t="shared" si="56"/>
        <v>0</v>
      </c>
      <c r="J40" s="76">
        <f t="shared" si="56"/>
        <v>0</v>
      </c>
      <c r="K40" s="76">
        <f t="shared" si="56"/>
        <v>0</v>
      </c>
      <c r="L40" s="76">
        <f t="shared" si="56"/>
        <v>0</v>
      </c>
      <c r="M40" s="76">
        <f t="shared" si="56"/>
        <v>0</v>
      </c>
      <c r="N40" s="76">
        <f t="shared" si="56"/>
        <v>0</v>
      </c>
      <c r="O40" s="76">
        <f t="shared" si="56"/>
        <v>0</v>
      </c>
      <c r="P40" s="76">
        <f t="shared" si="56"/>
        <v>0</v>
      </c>
      <c r="Q40" s="76">
        <f t="shared" si="56"/>
        <v>0</v>
      </c>
      <c r="R40" s="76">
        <f t="shared" si="56"/>
        <v>0</v>
      </c>
      <c r="S40" s="76">
        <f t="shared" si="56"/>
        <v>0</v>
      </c>
      <c r="T40" s="76">
        <f t="shared" si="56"/>
        <v>0</v>
      </c>
      <c r="U40" s="76">
        <f t="shared" si="56"/>
        <v>0</v>
      </c>
      <c r="V40" s="76">
        <f t="shared" si="56"/>
        <v>0</v>
      </c>
      <c r="W40" s="76">
        <f t="shared" si="56"/>
        <v>0</v>
      </c>
      <c r="X40" s="76">
        <f t="shared" si="56"/>
        <v>0</v>
      </c>
      <c r="Y40" s="76">
        <f t="shared" si="56"/>
        <v>0</v>
      </c>
      <c r="Z40" s="76">
        <f t="shared" si="56"/>
        <v>0</v>
      </c>
      <c r="AA40" s="76">
        <f t="shared" si="56"/>
        <v>0</v>
      </c>
      <c r="AE40" s="172" t="s">
        <v>260</v>
      </c>
      <c r="AF40" s="181">
        <f>SUMIF(Assumptions!$E$27:$E$193,AE40,Assumptions!$D$27:$D$193)</f>
        <v>9.9999999999999995E-7</v>
      </c>
      <c r="AG40" s="105">
        <f t="shared" si="22"/>
        <v>0</v>
      </c>
      <c r="AH40" s="105">
        <f t="shared" si="23"/>
        <v>0</v>
      </c>
      <c r="AI40" s="105">
        <f t="shared" si="24"/>
        <v>0</v>
      </c>
      <c r="AJ40" s="105">
        <f t="shared" si="25"/>
        <v>0</v>
      </c>
      <c r="AK40" s="105">
        <f t="shared" si="26"/>
        <v>0</v>
      </c>
      <c r="AL40" s="105">
        <f t="shared" si="27"/>
        <v>0</v>
      </c>
      <c r="AM40" s="105">
        <f t="shared" si="28"/>
        <v>0</v>
      </c>
      <c r="AN40" s="105">
        <f t="shared" si="29"/>
        <v>0</v>
      </c>
      <c r="AO40" s="105">
        <f t="shared" si="30"/>
        <v>0</v>
      </c>
      <c r="AP40" s="105">
        <f t="shared" si="31"/>
        <v>0</v>
      </c>
      <c r="AQ40" s="105">
        <f t="shared" si="32"/>
        <v>0</v>
      </c>
      <c r="AR40" s="105">
        <f t="shared" si="33"/>
        <v>0</v>
      </c>
      <c r="AS40" s="105">
        <f t="shared" si="34"/>
        <v>0</v>
      </c>
      <c r="AT40" s="105">
        <f t="shared" si="35"/>
        <v>0</v>
      </c>
      <c r="AU40" s="105">
        <f t="shared" si="36"/>
        <v>0</v>
      </c>
      <c r="AV40" s="105">
        <f t="shared" si="37"/>
        <v>0</v>
      </c>
      <c r="AW40" s="105">
        <f t="shared" si="38"/>
        <v>0</v>
      </c>
      <c r="AX40" s="105">
        <f t="shared" si="39"/>
        <v>0</v>
      </c>
      <c r="AY40" s="105">
        <f t="shared" si="40"/>
        <v>0</v>
      </c>
      <c r="AZ40" s="105">
        <f t="shared" si="41"/>
        <v>0</v>
      </c>
      <c r="BA40" s="105">
        <f t="shared" si="42"/>
        <v>0</v>
      </c>
      <c r="BB40" s="105">
        <f t="shared" si="43"/>
        <v>0</v>
      </c>
      <c r="BC40" s="105">
        <f t="shared" si="44"/>
        <v>0</v>
      </c>
      <c r="BD40" s="105">
        <f t="shared" si="45"/>
        <v>0</v>
      </c>
      <c r="BE40" s="105">
        <f t="shared" si="46"/>
        <v>0</v>
      </c>
    </row>
    <row r="41" spans="1:57" x14ac:dyDescent="0.35">
      <c r="A41" s="86">
        <f>MAX(A$6:A40)+1</f>
        <v>32</v>
      </c>
      <c r="B41" s="32" t="s">
        <v>241</v>
      </c>
      <c r="C41" s="177"/>
      <c r="D41" s="177"/>
      <c r="E41" s="177"/>
      <c r="F41" s="177">
        <f t="shared" si="18"/>
        <v>0</v>
      </c>
      <c r="G41" s="177">
        <f t="shared" si="19"/>
        <v>0</v>
      </c>
      <c r="H41" s="177">
        <f t="shared" ref="H41:AA41" si="57">ROUND(+G41*(1+H$7),-3)</f>
        <v>0</v>
      </c>
      <c r="I41" s="177">
        <f t="shared" si="57"/>
        <v>0</v>
      </c>
      <c r="J41" s="177">
        <f t="shared" si="57"/>
        <v>0</v>
      </c>
      <c r="K41" s="177">
        <f t="shared" si="57"/>
        <v>0</v>
      </c>
      <c r="L41" s="177">
        <f t="shared" si="57"/>
        <v>0</v>
      </c>
      <c r="M41" s="177">
        <f t="shared" si="57"/>
        <v>0</v>
      </c>
      <c r="N41" s="177">
        <f t="shared" si="57"/>
        <v>0</v>
      </c>
      <c r="O41" s="177">
        <f t="shared" si="57"/>
        <v>0</v>
      </c>
      <c r="P41" s="177">
        <f t="shared" si="57"/>
        <v>0</v>
      </c>
      <c r="Q41" s="177">
        <f t="shared" si="57"/>
        <v>0</v>
      </c>
      <c r="R41" s="177">
        <f t="shared" si="57"/>
        <v>0</v>
      </c>
      <c r="S41" s="177">
        <f t="shared" si="57"/>
        <v>0</v>
      </c>
      <c r="T41" s="177">
        <f t="shared" si="57"/>
        <v>0</v>
      </c>
      <c r="U41" s="177">
        <f t="shared" si="57"/>
        <v>0</v>
      </c>
      <c r="V41" s="177">
        <f t="shared" si="57"/>
        <v>0</v>
      </c>
      <c r="W41" s="177">
        <f t="shared" si="57"/>
        <v>0</v>
      </c>
      <c r="X41" s="177">
        <f t="shared" si="57"/>
        <v>0</v>
      </c>
      <c r="Y41" s="177">
        <f t="shared" si="57"/>
        <v>0</v>
      </c>
      <c r="Z41" s="177">
        <f t="shared" si="57"/>
        <v>0</v>
      </c>
      <c r="AA41" s="177">
        <f t="shared" si="57"/>
        <v>0</v>
      </c>
      <c r="AE41" s="172" t="s">
        <v>261</v>
      </c>
      <c r="AF41" s="181">
        <f>SUMIF(Assumptions!$E$27:$E$193,AE41,Assumptions!$D$27:$D$193)</f>
        <v>9.9999999999999995E-7</v>
      </c>
      <c r="AG41" s="105">
        <f t="shared" si="22"/>
        <v>0</v>
      </c>
      <c r="AH41" s="105">
        <f t="shared" si="23"/>
        <v>0</v>
      </c>
      <c r="AI41" s="105">
        <f t="shared" si="24"/>
        <v>0</v>
      </c>
      <c r="AJ41" s="105">
        <f t="shared" si="25"/>
        <v>0</v>
      </c>
      <c r="AK41" s="105">
        <f t="shared" si="26"/>
        <v>0</v>
      </c>
      <c r="AL41" s="105">
        <f t="shared" si="27"/>
        <v>0</v>
      </c>
      <c r="AM41" s="105">
        <f t="shared" si="28"/>
        <v>0</v>
      </c>
      <c r="AN41" s="105">
        <f t="shared" si="29"/>
        <v>0</v>
      </c>
      <c r="AO41" s="105">
        <f t="shared" si="30"/>
        <v>0</v>
      </c>
      <c r="AP41" s="105">
        <f t="shared" si="31"/>
        <v>0</v>
      </c>
      <c r="AQ41" s="105">
        <f t="shared" si="32"/>
        <v>0</v>
      </c>
      <c r="AR41" s="105">
        <f t="shared" si="33"/>
        <v>0</v>
      </c>
      <c r="AS41" s="105">
        <f t="shared" si="34"/>
        <v>0</v>
      </c>
      <c r="AT41" s="105">
        <f t="shared" si="35"/>
        <v>0</v>
      </c>
      <c r="AU41" s="105">
        <f t="shared" si="36"/>
        <v>0</v>
      </c>
      <c r="AV41" s="105">
        <f t="shared" si="37"/>
        <v>0</v>
      </c>
      <c r="AW41" s="105">
        <f t="shared" si="38"/>
        <v>0</v>
      </c>
      <c r="AX41" s="105">
        <f t="shared" si="39"/>
        <v>0</v>
      </c>
      <c r="AY41" s="105">
        <f t="shared" si="40"/>
        <v>0</v>
      </c>
      <c r="AZ41" s="105">
        <f t="shared" si="41"/>
        <v>0</v>
      </c>
      <c r="BA41" s="105">
        <f t="shared" si="42"/>
        <v>0</v>
      </c>
      <c r="BB41" s="105">
        <f t="shared" si="43"/>
        <v>0</v>
      </c>
      <c r="BC41" s="105">
        <f t="shared" si="44"/>
        <v>0</v>
      </c>
      <c r="BD41" s="105">
        <f t="shared" si="45"/>
        <v>0</v>
      </c>
      <c r="BE41" s="105">
        <f t="shared" si="46"/>
        <v>0</v>
      </c>
    </row>
    <row r="42" spans="1:57" x14ac:dyDescent="0.35">
      <c r="A42" s="85">
        <f>MAX(A$6:A41)+1</f>
        <v>33</v>
      </c>
      <c r="B42" s="17" t="s">
        <v>242</v>
      </c>
      <c r="C42" s="17"/>
      <c r="D42" s="14"/>
      <c r="E42" s="76"/>
      <c r="F42" s="76">
        <f t="shared" si="18"/>
        <v>183000</v>
      </c>
      <c r="G42" s="76">
        <f t="shared" si="19"/>
        <v>192000</v>
      </c>
      <c r="H42" s="76">
        <f t="shared" ref="H42:AA42" si="58">ROUND(+G42*(1+H$7),-3)</f>
        <v>199000</v>
      </c>
      <c r="I42" s="76">
        <f t="shared" si="58"/>
        <v>206000</v>
      </c>
      <c r="J42" s="76">
        <f t="shared" si="58"/>
        <v>213000</v>
      </c>
      <c r="K42" s="76">
        <f t="shared" si="58"/>
        <v>220000</v>
      </c>
      <c r="L42" s="76">
        <f t="shared" si="58"/>
        <v>228000</v>
      </c>
      <c r="M42" s="76">
        <f t="shared" si="58"/>
        <v>236000</v>
      </c>
      <c r="N42" s="76">
        <f t="shared" si="58"/>
        <v>244000</v>
      </c>
      <c r="O42" s="76">
        <f t="shared" si="58"/>
        <v>253000</v>
      </c>
      <c r="P42" s="76">
        <f t="shared" si="58"/>
        <v>262000</v>
      </c>
      <c r="Q42" s="76">
        <f t="shared" si="58"/>
        <v>271000</v>
      </c>
      <c r="R42" s="76">
        <f t="shared" si="58"/>
        <v>280000</v>
      </c>
      <c r="S42" s="76">
        <f t="shared" si="58"/>
        <v>290000</v>
      </c>
      <c r="T42" s="76">
        <f t="shared" si="58"/>
        <v>300000</v>
      </c>
      <c r="U42" s="76">
        <f t="shared" si="58"/>
        <v>311000</v>
      </c>
      <c r="V42" s="76">
        <f t="shared" si="58"/>
        <v>322000</v>
      </c>
      <c r="W42" s="76">
        <f t="shared" si="58"/>
        <v>333000</v>
      </c>
      <c r="X42" s="76">
        <f t="shared" si="58"/>
        <v>345000</v>
      </c>
      <c r="Y42" s="76">
        <f t="shared" si="58"/>
        <v>357000</v>
      </c>
      <c r="Z42" s="76">
        <f t="shared" si="58"/>
        <v>369000</v>
      </c>
      <c r="AA42" s="76">
        <f t="shared" si="58"/>
        <v>382000</v>
      </c>
      <c r="AE42" s="172" t="s">
        <v>262</v>
      </c>
      <c r="AF42" s="181">
        <f>SUMIF(Assumptions!$E$27:$E$193,AE42,Assumptions!$D$27:$D$193)</f>
        <v>0.88531776700788278</v>
      </c>
      <c r="AG42" s="105">
        <f t="shared" si="22"/>
        <v>0</v>
      </c>
      <c r="AH42" s="105">
        <f t="shared" si="23"/>
        <v>0</v>
      </c>
      <c r="AI42" s="105">
        <f t="shared" si="24"/>
        <v>0</v>
      </c>
      <c r="AJ42" s="105">
        <f t="shared" si="25"/>
        <v>162013</v>
      </c>
      <c r="AK42" s="105">
        <f t="shared" si="26"/>
        <v>169981</v>
      </c>
      <c r="AL42" s="105">
        <f t="shared" si="27"/>
        <v>176178</v>
      </c>
      <c r="AM42" s="105">
        <f t="shared" si="28"/>
        <v>182375</v>
      </c>
      <c r="AN42" s="105">
        <f t="shared" si="29"/>
        <v>188573</v>
      </c>
      <c r="AO42" s="105">
        <f t="shared" si="30"/>
        <v>194770</v>
      </c>
      <c r="AP42" s="105">
        <f t="shared" si="31"/>
        <v>201852</v>
      </c>
      <c r="AQ42" s="105">
        <f t="shared" si="32"/>
        <v>208935</v>
      </c>
      <c r="AR42" s="105">
        <f t="shared" si="33"/>
        <v>216018</v>
      </c>
      <c r="AS42" s="105">
        <f t="shared" si="34"/>
        <v>223985</v>
      </c>
      <c r="AT42" s="105">
        <f t="shared" si="35"/>
        <v>231953</v>
      </c>
      <c r="AU42" s="105">
        <f t="shared" si="36"/>
        <v>239921</v>
      </c>
      <c r="AV42" s="105">
        <f t="shared" si="37"/>
        <v>247889</v>
      </c>
      <c r="AW42" s="105">
        <f t="shared" si="38"/>
        <v>256742</v>
      </c>
      <c r="AX42" s="105">
        <f t="shared" si="39"/>
        <v>265595</v>
      </c>
      <c r="AY42" s="105">
        <f t="shared" si="40"/>
        <v>275334</v>
      </c>
      <c r="AZ42" s="105">
        <f t="shared" si="41"/>
        <v>285072</v>
      </c>
      <c r="BA42" s="105">
        <f t="shared" si="42"/>
        <v>294811</v>
      </c>
      <c r="BB42" s="105">
        <f t="shared" si="43"/>
        <v>305435</v>
      </c>
      <c r="BC42" s="105">
        <f t="shared" si="44"/>
        <v>316058</v>
      </c>
      <c r="BD42" s="105">
        <f t="shared" si="45"/>
        <v>326682</v>
      </c>
      <c r="BE42" s="105">
        <f t="shared" si="46"/>
        <v>338191</v>
      </c>
    </row>
    <row r="43" spans="1:57" x14ac:dyDescent="0.35">
      <c r="A43" s="86">
        <f>MAX(A$6:A42)+1</f>
        <v>34</v>
      </c>
      <c r="B43" s="32" t="s">
        <v>243</v>
      </c>
      <c r="C43" s="177"/>
      <c r="D43" s="177"/>
      <c r="E43" s="177"/>
      <c r="F43" s="177">
        <f t="shared" si="18"/>
        <v>2000</v>
      </c>
      <c r="G43" s="177">
        <f t="shared" si="19"/>
        <v>2000</v>
      </c>
      <c r="H43" s="177">
        <f t="shared" ref="H43:AA43" si="59">ROUND(+G43*(1+H$7),-3)</f>
        <v>2000</v>
      </c>
      <c r="I43" s="177">
        <f t="shared" si="59"/>
        <v>2000</v>
      </c>
      <c r="J43" s="177">
        <f t="shared" si="59"/>
        <v>2000</v>
      </c>
      <c r="K43" s="177">
        <f t="shared" si="59"/>
        <v>2000</v>
      </c>
      <c r="L43" s="177">
        <f t="shared" si="59"/>
        <v>2000</v>
      </c>
      <c r="M43" s="177">
        <f t="shared" si="59"/>
        <v>2000</v>
      </c>
      <c r="N43" s="177">
        <f t="shared" si="59"/>
        <v>2000</v>
      </c>
      <c r="O43" s="177">
        <f t="shared" si="59"/>
        <v>2000</v>
      </c>
      <c r="P43" s="177">
        <f t="shared" si="59"/>
        <v>2000</v>
      </c>
      <c r="Q43" s="177">
        <f t="shared" si="59"/>
        <v>2000</v>
      </c>
      <c r="R43" s="177">
        <f t="shared" si="59"/>
        <v>2000</v>
      </c>
      <c r="S43" s="177">
        <f t="shared" si="59"/>
        <v>2000</v>
      </c>
      <c r="T43" s="177">
        <f t="shared" si="59"/>
        <v>2000</v>
      </c>
      <c r="U43" s="177">
        <f t="shared" si="59"/>
        <v>2000</v>
      </c>
      <c r="V43" s="177">
        <f t="shared" si="59"/>
        <v>2000</v>
      </c>
      <c r="W43" s="177">
        <f t="shared" si="59"/>
        <v>2000</v>
      </c>
      <c r="X43" s="177">
        <f t="shared" si="59"/>
        <v>2000</v>
      </c>
      <c r="Y43" s="177">
        <f t="shared" si="59"/>
        <v>2000</v>
      </c>
      <c r="Z43" s="177">
        <f t="shared" si="59"/>
        <v>2000</v>
      </c>
      <c r="AA43" s="177">
        <f t="shared" si="59"/>
        <v>2000</v>
      </c>
      <c r="AE43" s="172" t="s">
        <v>263</v>
      </c>
      <c r="AF43" s="181">
        <f>SUMIF(Assumptions!$E$27:$E$193,AE43,Assumptions!$D$27:$D$193)</f>
        <v>0.55717179208418666</v>
      </c>
      <c r="AG43" s="105">
        <f t="shared" si="22"/>
        <v>0</v>
      </c>
      <c r="AH43" s="105">
        <f t="shared" si="23"/>
        <v>0</v>
      </c>
      <c r="AI43" s="105">
        <f t="shared" si="24"/>
        <v>0</v>
      </c>
      <c r="AJ43" s="105">
        <f t="shared" si="25"/>
        <v>1114</v>
      </c>
      <c r="AK43" s="105">
        <f t="shared" si="26"/>
        <v>1114</v>
      </c>
      <c r="AL43" s="105">
        <f t="shared" si="27"/>
        <v>1114</v>
      </c>
      <c r="AM43" s="105">
        <f t="shared" si="28"/>
        <v>1114</v>
      </c>
      <c r="AN43" s="105">
        <f t="shared" si="29"/>
        <v>1114</v>
      </c>
      <c r="AO43" s="105">
        <f t="shared" si="30"/>
        <v>1114</v>
      </c>
      <c r="AP43" s="105">
        <f t="shared" si="31"/>
        <v>1114</v>
      </c>
      <c r="AQ43" s="105">
        <f t="shared" si="32"/>
        <v>1114</v>
      </c>
      <c r="AR43" s="105">
        <f t="shared" si="33"/>
        <v>1114</v>
      </c>
      <c r="AS43" s="105">
        <f t="shared" si="34"/>
        <v>1114</v>
      </c>
      <c r="AT43" s="105">
        <f t="shared" si="35"/>
        <v>1114</v>
      </c>
      <c r="AU43" s="105">
        <f t="shared" si="36"/>
        <v>1114</v>
      </c>
      <c r="AV43" s="105">
        <f t="shared" si="37"/>
        <v>1114</v>
      </c>
      <c r="AW43" s="105">
        <f t="shared" si="38"/>
        <v>1114</v>
      </c>
      <c r="AX43" s="105">
        <f t="shared" si="39"/>
        <v>1114</v>
      </c>
      <c r="AY43" s="105">
        <f t="shared" si="40"/>
        <v>1114</v>
      </c>
      <c r="AZ43" s="105">
        <f t="shared" si="41"/>
        <v>1114</v>
      </c>
      <c r="BA43" s="105">
        <f t="shared" si="42"/>
        <v>1114</v>
      </c>
      <c r="BB43" s="105">
        <f t="shared" si="43"/>
        <v>1114</v>
      </c>
      <c r="BC43" s="105">
        <f t="shared" si="44"/>
        <v>1114</v>
      </c>
      <c r="BD43" s="105">
        <f t="shared" si="45"/>
        <v>1114</v>
      </c>
      <c r="BE43" s="105">
        <f t="shared" si="46"/>
        <v>1114</v>
      </c>
    </row>
    <row r="44" spans="1:57" x14ac:dyDescent="0.35">
      <c r="A44" s="85">
        <f>MAX(A$6:A43)+1</f>
        <v>35</v>
      </c>
      <c r="B44" s="17" t="s">
        <v>244</v>
      </c>
      <c r="C44" s="17"/>
      <c r="D44" s="14"/>
      <c r="E44" s="76"/>
      <c r="F44" s="76">
        <f t="shared" si="18"/>
        <v>59000</v>
      </c>
      <c r="G44" s="76">
        <f t="shared" si="19"/>
        <v>62000</v>
      </c>
      <c r="H44" s="76">
        <f t="shared" ref="H44:AA44" si="60">ROUND(+G44*(1+H$7),-3)</f>
        <v>64000</v>
      </c>
      <c r="I44" s="76">
        <f t="shared" si="60"/>
        <v>66000</v>
      </c>
      <c r="J44" s="76">
        <f t="shared" si="60"/>
        <v>68000</v>
      </c>
      <c r="K44" s="76">
        <f t="shared" si="60"/>
        <v>70000</v>
      </c>
      <c r="L44" s="76">
        <f t="shared" si="60"/>
        <v>72000</v>
      </c>
      <c r="M44" s="76">
        <f t="shared" si="60"/>
        <v>75000</v>
      </c>
      <c r="N44" s="76">
        <f t="shared" si="60"/>
        <v>78000</v>
      </c>
      <c r="O44" s="76">
        <f t="shared" si="60"/>
        <v>81000</v>
      </c>
      <c r="P44" s="76">
        <f t="shared" si="60"/>
        <v>84000</v>
      </c>
      <c r="Q44" s="76">
        <f t="shared" si="60"/>
        <v>87000</v>
      </c>
      <c r="R44" s="76">
        <f t="shared" si="60"/>
        <v>90000</v>
      </c>
      <c r="S44" s="76">
        <f t="shared" si="60"/>
        <v>93000</v>
      </c>
      <c r="T44" s="76">
        <f t="shared" si="60"/>
        <v>96000</v>
      </c>
      <c r="U44" s="76">
        <f t="shared" si="60"/>
        <v>99000</v>
      </c>
      <c r="V44" s="76">
        <f t="shared" si="60"/>
        <v>102000</v>
      </c>
      <c r="W44" s="76">
        <f t="shared" si="60"/>
        <v>106000</v>
      </c>
      <c r="X44" s="76">
        <f t="shared" si="60"/>
        <v>110000</v>
      </c>
      <c r="Y44" s="76">
        <f t="shared" si="60"/>
        <v>114000</v>
      </c>
      <c r="Z44" s="76">
        <f t="shared" si="60"/>
        <v>118000</v>
      </c>
      <c r="AA44" s="76">
        <f t="shared" si="60"/>
        <v>122000</v>
      </c>
      <c r="AE44" s="172" t="s">
        <v>264</v>
      </c>
      <c r="AF44" s="181">
        <f>SUMIF(Assumptions!$E$27:$E$193,AE44,Assumptions!$D$27:$D$193)</f>
        <v>0.96020384529463343</v>
      </c>
      <c r="AG44" s="105">
        <f t="shared" si="22"/>
        <v>0</v>
      </c>
      <c r="AH44" s="105">
        <f t="shared" si="23"/>
        <v>0</v>
      </c>
      <c r="AI44" s="105">
        <f t="shared" si="24"/>
        <v>0</v>
      </c>
      <c r="AJ44" s="105">
        <f t="shared" si="25"/>
        <v>56652</v>
      </c>
      <c r="AK44" s="105">
        <f t="shared" si="26"/>
        <v>59533</v>
      </c>
      <c r="AL44" s="105">
        <f t="shared" si="27"/>
        <v>61453</v>
      </c>
      <c r="AM44" s="105">
        <f t="shared" si="28"/>
        <v>63373</v>
      </c>
      <c r="AN44" s="105">
        <f t="shared" si="29"/>
        <v>65294</v>
      </c>
      <c r="AO44" s="105">
        <f t="shared" si="30"/>
        <v>67214</v>
      </c>
      <c r="AP44" s="105">
        <f t="shared" si="31"/>
        <v>69135</v>
      </c>
      <c r="AQ44" s="105">
        <f t="shared" si="32"/>
        <v>72015</v>
      </c>
      <c r="AR44" s="105">
        <f t="shared" si="33"/>
        <v>74896</v>
      </c>
      <c r="AS44" s="105">
        <f t="shared" si="34"/>
        <v>77777</v>
      </c>
      <c r="AT44" s="105">
        <f t="shared" si="35"/>
        <v>80657</v>
      </c>
      <c r="AU44" s="105">
        <f t="shared" si="36"/>
        <v>83538</v>
      </c>
      <c r="AV44" s="105">
        <f t="shared" si="37"/>
        <v>86418</v>
      </c>
      <c r="AW44" s="105">
        <f t="shared" si="38"/>
        <v>89299</v>
      </c>
      <c r="AX44" s="105">
        <f t="shared" si="39"/>
        <v>92180</v>
      </c>
      <c r="AY44" s="105">
        <f t="shared" si="40"/>
        <v>95060</v>
      </c>
      <c r="AZ44" s="105">
        <f t="shared" si="41"/>
        <v>97941</v>
      </c>
      <c r="BA44" s="105">
        <f t="shared" si="42"/>
        <v>101782</v>
      </c>
      <c r="BB44" s="105">
        <f t="shared" si="43"/>
        <v>105622</v>
      </c>
      <c r="BC44" s="105">
        <f t="shared" si="44"/>
        <v>109463</v>
      </c>
      <c r="BD44" s="105">
        <f t="shared" si="45"/>
        <v>113304</v>
      </c>
      <c r="BE44" s="105">
        <f t="shared" si="46"/>
        <v>117145</v>
      </c>
    </row>
    <row r="45" spans="1:57" s="4" customFormat="1" x14ac:dyDescent="0.35">
      <c r="A45" s="178">
        <f>MAX(A$6:A44)+1</f>
        <v>36</v>
      </c>
      <c r="B45" s="65" t="s">
        <v>159</v>
      </c>
      <c r="C45" s="179"/>
      <c r="D45" s="179"/>
      <c r="E45" s="179"/>
      <c r="F45" s="179">
        <f t="shared" ref="F45:AA45" si="61">SUM(F29:F44)</f>
        <v>3404000</v>
      </c>
      <c r="G45" s="179">
        <f t="shared" si="61"/>
        <v>3573000</v>
      </c>
      <c r="H45" s="179">
        <f t="shared" si="61"/>
        <v>3698000</v>
      </c>
      <c r="I45" s="179">
        <f t="shared" si="61"/>
        <v>3827000</v>
      </c>
      <c r="J45" s="179">
        <f t="shared" si="61"/>
        <v>3959000</v>
      </c>
      <c r="K45" s="179">
        <f t="shared" si="61"/>
        <v>4097000</v>
      </c>
      <c r="L45" s="179">
        <f t="shared" si="61"/>
        <v>4240000</v>
      </c>
      <c r="M45" s="179">
        <f t="shared" si="61"/>
        <v>4390000</v>
      </c>
      <c r="N45" s="179">
        <f t="shared" si="61"/>
        <v>4543000</v>
      </c>
      <c r="O45" s="179">
        <f t="shared" si="61"/>
        <v>4703000</v>
      </c>
      <c r="P45" s="179">
        <f t="shared" si="61"/>
        <v>4868000</v>
      </c>
      <c r="Q45" s="179">
        <f t="shared" si="61"/>
        <v>5037000</v>
      </c>
      <c r="R45" s="179">
        <f t="shared" si="61"/>
        <v>5212000</v>
      </c>
      <c r="S45" s="179">
        <f t="shared" si="61"/>
        <v>5393000</v>
      </c>
      <c r="T45" s="179">
        <f t="shared" si="61"/>
        <v>5581000</v>
      </c>
      <c r="U45" s="179">
        <f t="shared" si="61"/>
        <v>5777000</v>
      </c>
      <c r="V45" s="179">
        <f t="shared" si="61"/>
        <v>5978000</v>
      </c>
      <c r="W45" s="179">
        <f t="shared" si="61"/>
        <v>6188000</v>
      </c>
      <c r="X45" s="179">
        <f t="shared" si="61"/>
        <v>6405000</v>
      </c>
      <c r="Y45" s="179">
        <f t="shared" si="61"/>
        <v>6630000</v>
      </c>
      <c r="Z45" s="179">
        <f t="shared" si="61"/>
        <v>6861000</v>
      </c>
      <c r="AA45" s="179">
        <f t="shared" si="61"/>
        <v>7101000</v>
      </c>
    </row>
    <row r="46" spans="1:57" x14ac:dyDescent="0.35">
      <c r="A46" s="86"/>
      <c r="B46" s="65"/>
      <c r="C46" s="81"/>
      <c r="D46" s="42"/>
      <c r="E46" s="42"/>
      <c r="F46" s="117"/>
      <c r="G46" s="42"/>
      <c r="H46" s="42"/>
      <c r="I46" s="42"/>
      <c r="J46" s="42"/>
      <c r="K46" s="42"/>
      <c r="L46" s="42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</row>
    <row r="47" spans="1:57" ht="15.5" x14ac:dyDescent="0.35">
      <c r="A47" s="84"/>
      <c r="B47" s="31" t="s">
        <v>246</v>
      </c>
      <c r="C47" s="79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</row>
    <row r="48" spans="1:57" x14ac:dyDescent="0.35">
      <c r="A48" s="85">
        <f>MAX(A$6:A47)+1</f>
        <v>37</v>
      </c>
      <c r="B48" s="82" t="s">
        <v>245</v>
      </c>
      <c r="C48" s="14"/>
      <c r="D48" s="49"/>
      <c r="E48" s="49"/>
      <c r="F48" s="80">
        <v>1400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</row>
    <row r="49" spans="1:27" ht="15.5" x14ac:dyDescent="0.35">
      <c r="A49" s="84"/>
      <c r="B49" s="31" t="s">
        <v>247</v>
      </c>
      <c r="C49" s="79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</row>
    <row r="50" spans="1:27" x14ac:dyDescent="0.35">
      <c r="A50" s="86">
        <f>MAX(A$6:A49)+1</f>
        <v>38</v>
      </c>
      <c r="B50" s="32" t="s">
        <v>226</v>
      </c>
      <c r="C50" s="75"/>
      <c r="D50" s="75"/>
      <c r="E50" s="75"/>
      <c r="F50" s="90">
        <v>138</v>
      </c>
      <c r="G50" s="75"/>
      <c r="H50" s="75"/>
      <c r="I50" s="75"/>
      <c r="J50" s="75"/>
      <c r="K50" s="75"/>
      <c r="L50" s="75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</row>
    <row r="51" spans="1:27" x14ac:dyDescent="0.35">
      <c r="A51" s="85">
        <f>MAX(A$6:A50)+1</f>
        <v>39</v>
      </c>
      <c r="B51" s="17" t="s">
        <v>227</v>
      </c>
      <c r="C51" s="14"/>
      <c r="D51" s="14"/>
      <c r="E51" s="76"/>
      <c r="F51" s="90">
        <v>47</v>
      </c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7" x14ac:dyDescent="0.35">
      <c r="A52" s="86">
        <f>MAX(A$6:A51)+1</f>
        <v>40</v>
      </c>
      <c r="B52" s="32" t="s">
        <v>231</v>
      </c>
      <c r="C52" s="174"/>
      <c r="D52" s="174"/>
      <c r="E52" s="174"/>
      <c r="F52" s="90">
        <v>147</v>
      </c>
      <c r="G52" s="174"/>
      <c r="H52" s="174"/>
      <c r="I52" s="174"/>
      <c r="J52" s="174"/>
      <c r="K52" s="174"/>
      <c r="L52" s="174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</row>
    <row r="53" spans="1:27" x14ac:dyDescent="0.35">
      <c r="A53" s="85">
        <f>MAX(A$6:A52)+1</f>
        <v>41</v>
      </c>
      <c r="B53" s="17" t="s">
        <v>232</v>
      </c>
      <c r="C53" s="14"/>
      <c r="D53" s="14"/>
      <c r="E53" s="76"/>
      <c r="F53" s="90">
        <v>1344</v>
      </c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7" x14ac:dyDescent="0.35">
      <c r="A54" s="86">
        <f>MAX(A$6:A53)+1</f>
        <v>42</v>
      </c>
      <c r="B54" s="32" t="s">
        <v>233</v>
      </c>
      <c r="C54" s="174"/>
      <c r="D54" s="174"/>
      <c r="E54" s="174"/>
      <c r="F54" s="90">
        <v>275</v>
      </c>
      <c r="G54" s="174"/>
      <c r="H54" s="174"/>
      <c r="I54" s="174"/>
      <c r="J54" s="174"/>
      <c r="K54" s="174"/>
      <c r="L54" s="174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</row>
    <row r="55" spans="1:27" x14ac:dyDescent="0.35">
      <c r="A55" s="85">
        <f>MAX(A$6:A54)+1</f>
        <v>43</v>
      </c>
      <c r="B55" s="17" t="s">
        <v>234</v>
      </c>
      <c r="C55" s="14"/>
      <c r="D55" s="14"/>
      <c r="E55" s="76"/>
      <c r="F55" s="90">
        <v>78</v>
      </c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7" x14ac:dyDescent="0.35">
      <c r="A56" s="86">
        <f>MAX(A$6:A55)+1</f>
        <v>44</v>
      </c>
      <c r="B56" s="32" t="s">
        <v>235</v>
      </c>
      <c r="C56" s="174"/>
      <c r="D56" s="174"/>
      <c r="E56" s="174"/>
      <c r="F56" s="90">
        <v>24</v>
      </c>
      <c r="G56" s="174"/>
      <c r="H56" s="174"/>
      <c r="I56" s="174"/>
      <c r="J56" s="174"/>
      <c r="K56" s="174"/>
      <c r="L56" s="174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</row>
    <row r="57" spans="1:27" x14ac:dyDescent="0.35">
      <c r="A57" s="85">
        <f>MAX(A$6:A56)+1</f>
        <v>45</v>
      </c>
      <c r="B57" s="17" t="s">
        <v>236</v>
      </c>
      <c r="C57" s="14"/>
      <c r="D57" s="14"/>
      <c r="E57" s="76"/>
      <c r="F57" s="90">
        <v>0</v>
      </c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7" x14ac:dyDescent="0.35">
      <c r="A58" s="86">
        <f>MAX(A$6:A57)+1</f>
        <v>46</v>
      </c>
      <c r="B58" s="32" t="s">
        <v>237</v>
      </c>
      <c r="C58" s="174"/>
      <c r="D58" s="174"/>
      <c r="E58" s="174"/>
      <c r="F58" s="90">
        <v>0</v>
      </c>
      <c r="G58" s="174"/>
      <c r="H58" s="174"/>
      <c r="I58" s="174"/>
      <c r="J58" s="174"/>
      <c r="K58" s="174"/>
      <c r="L58" s="174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</row>
    <row r="59" spans="1:27" x14ac:dyDescent="0.35">
      <c r="A59" s="85">
        <f>MAX(A$6:A58)+1</f>
        <v>47</v>
      </c>
      <c r="B59" s="17" t="s">
        <v>238</v>
      </c>
      <c r="C59" s="14"/>
      <c r="D59" s="14"/>
      <c r="E59" s="76"/>
      <c r="F59" s="90">
        <v>0</v>
      </c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</row>
    <row r="60" spans="1:27" x14ac:dyDescent="0.35">
      <c r="A60" s="86">
        <f>MAX(A$6:A59)+1</f>
        <v>48</v>
      </c>
      <c r="B60" s="32" t="s">
        <v>239</v>
      </c>
      <c r="C60" s="174"/>
      <c r="D60" s="174"/>
      <c r="E60" s="174"/>
      <c r="F60" s="90">
        <v>43</v>
      </c>
      <c r="G60" s="174"/>
      <c r="H60" s="174"/>
      <c r="I60" s="174"/>
      <c r="J60" s="174"/>
      <c r="K60" s="174"/>
      <c r="L60" s="174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</row>
    <row r="61" spans="1:27" x14ac:dyDescent="0.35">
      <c r="A61" s="85">
        <f>MAX(A$6:A60)+1</f>
        <v>49</v>
      </c>
      <c r="B61" s="17" t="s">
        <v>240</v>
      </c>
      <c r="C61" s="14"/>
      <c r="D61" s="14"/>
      <c r="E61" s="76"/>
      <c r="F61" s="90">
        <v>0</v>
      </c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</row>
    <row r="62" spans="1:27" x14ac:dyDescent="0.35">
      <c r="A62" s="86">
        <f>MAX(A$6:A61)+1</f>
        <v>50</v>
      </c>
      <c r="B62" s="32" t="s">
        <v>241</v>
      </c>
      <c r="C62" s="174"/>
      <c r="D62" s="174"/>
      <c r="E62" s="174"/>
      <c r="F62" s="90">
        <v>0</v>
      </c>
      <c r="G62" s="174"/>
      <c r="H62" s="174"/>
      <c r="I62" s="174"/>
      <c r="J62" s="174"/>
      <c r="K62" s="174"/>
      <c r="L62" s="174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</row>
    <row r="63" spans="1:27" x14ac:dyDescent="0.35">
      <c r="A63" s="85">
        <f>MAX(A$6:A62)+1</f>
        <v>51</v>
      </c>
      <c r="B63" s="17" t="s">
        <v>242</v>
      </c>
      <c r="C63" s="14"/>
      <c r="D63" s="14"/>
      <c r="E63" s="76"/>
      <c r="F63" s="90">
        <v>186</v>
      </c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</row>
    <row r="64" spans="1:27" x14ac:dyDescent="0.35">
      <c r="A64" s="86">
        <f>MAX(A$6:A63)+1</f>
        <v>52</v>
      </c>
      <c r="B64" s="32" t="s">
        <v>243</v>
      </c>
      <c r="C64" s="174"/>
      <c r="D64" s="174"/>
      <c r="E64" s="174"/>
      <c r="F64" s="90">
        <v>2</v>
      </c>
      <c r="G64" s="174"/>
      <c r="H64" s="174"/>
      <c r="I64" s="174"/>
      <c r="J64" s="174"/>
      <c r="K64" s="174"/>
      <c r="L64" s="174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</row>
    <row r="65" spans="1:57" x14ac:dyDescent="0.35">
      <c r="A65" s="85">
        <f>MAX(A$6:A64)+1</f>
        <v>53</v>
      </c>
      <c r="B65" s="17" t="s">
        <v>244</v>
      </c>
      <c r="C65" s="14"/>
      <c r="D65" s="14"/>
      <c r="E65" s="76"/>
      <c r="F65" s="90">
        <v>1</v>
      </c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</row>
    <row r="66" spans="1:57" s="4" customFormat="1" x14ac:dyDescent="0.35">
      <c r="A66" s="178">
        <f>MAX(A$6:A65)+1</f>
        <v>54</v>
      </c>
      <c r="B66" s="65" t="s">
        <v>159</v>
      </c>
      <c r="C66" s="179"/>
      <c r="D66" s="179"/>
      <c r="E66" s="179"/>
      <c r="F66" s="184">
        <f t="shared" ref="F66:AA66" si="62">SUM(F50:F65)</f>
        <v>2285</v>
      </c>
      <c r="G66" s="184">
        <f t="shared" si="62"/>
        <v>0</v>
      </c>
      <c r="H66" s="184">
        <f t="shared" si="62"/>
        <v>0</v>
      </c>
      <c r="I66" s="184">
        <f t="shared" si="62"/>
        <v>0</v>
      </c>
      <c r="J66" s="184">
        <f t="shared" si="62"/>
        <v>0</v>
      </c>
      <c r="K66" s="184">
        <f t="shared" si="62"/>
        <v>0</v>
      </c>
      <c r="L66" s="184">
        <f t="shared" si="62"/>
        <v>0</v>
      </c>
      <c r="M66" s="184">
        <f t="shared" si="62"/>
        <v>0</v>
      </c>
      <c r="N66" s="184">
        <f t="shared" si="62"/>
        <v>0</v>
      </c>
      <c r="O66" s="184">
        <f t="shared" si="62"/>
        <v>0</v>
      </c>
      <c r="P66" s="184">
        <f t="shared" si="62"/>
        <v>0</v>
      </c>
      <c r="Q66" s="184">
        <f t="shared" si="62"/>
        <v>0</v>
      </c>
      <c r="R66" s="184">
        <f t="shared" si="62"/>
        <v>0</v>
      </c>
      <c r="S66" s="184">
        <f t="shared" si="62"/>
        <v>0</v>
      </c>
      <c r="T66" s="184">
        <f t="shared" si="62"/>
        <v>0</v>
      </c>
      <c r="U66" s="184">
        <f t="shared" si="62"/>
        <v>0</v>
      </c>
      <c r="V66" s="184">
        <f t="shared" si="62"/>
        <v>0</v>
      </c>
      <c r="W66" s="184">
        <f t="shared" si="62"/>
        <v>0</v>
      </c>
      <c r="X66" s="184">
        <f t="shared" si="62"/>
        <v>0</v>
      </c>
      <c r="Y66" s="184">
        <f t="shared" si="62"/>
        <v>0</v>
      </c>
      <c r="Z66" s="184">
        <f t="shared" si="62"/>
        <v>0</v>
      </c>
      <c r="AA66" s="184">
        <f t="shared" si="62"/>
        <v>0</v>
      </c>
    </row>
    <row r="67" spans="1:57" ht="15.5" x14ac:dyDescent="0.35">
      <c r="A67" s="84"/>
      <c r="B67" s="31" t="s">
        <v>249</v>
      </c>
      <c r="C67" s="79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F67" t="s">
        <v>248</v>
      </c>
    </row>
    <row r="68" spans="1:57" x14ac:dyDescent="0.35">
      <c r="A68" s="85"/>
      <c r="B68" s="17" t="s">
        <v>158</v>
      </c>
      <c r="C68" s="14"/>
      <c r="D68" s="17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</row>
    <row r="69" spans="1:57" x14ac:dyDescent="0.35">
      <c r="A69" s="86">
        <f>MAX(A$6:A68)+1</f>
        <v>55</v>
      </c>
      <c r="B69" s="32" t="s">
        <v>226</v>
      </c>
      <c r="C69" s="74"/>
      <c r="D69" s="74"/>
      <c r="E69" s="74"/>
      <c r="F69" s="74">
        <f t="shared" ref="F69:F84" si="63">+F50*F$48</f>
        <v>193200</v>
      </c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F69" s="5">
        <v>1</v>
      </c>
      <c r="AG69" s="105">
        <f t="shared" ref="AG69" si="64">+C69*$AF69</f>
        <v>0</v>
      </c>
      <c r="AH69" s="105">
        <f t="shared" ref="AH69" si="65">+D69*$AF69</f>
        <v>0</v>
      </c>
      <c r="AI69" s="105">
        <f t="shared" ref="AI69" si="66">+E69*$AF69</f>
        <v>0</v>
      </c>
      <c r="AJ69" s="105">
        <f t="shared" ref="AJ69" si="67">+F69*$AF69</f>
        <v>193200</v>
      </c>
      <c r="AK69" s="105">
        <f t="shared" ref="AK69" si="68">+G69*$AF69</f>
        <v>0</v>
      </c>
      <c r="AL69" s="105">
        <f t="shared" ref="AL69" si="69">+H69*$AF69</f>
        <v>0</v>
      </c>
      <c r="AM69" s="105">
        <f t="shared" ref="AM69" si="70">+I69*$AF69</f>
        <v>0</v>
      </c>
      <c r="AN69" s="105">
        <f t="shared" ref="AN69" si="71">+J69*$AF69</f>
        <v>0</v>
      </c>
      <c r="AO69" s="105">
        <f t="shared" ref="AO69" si="72">+K69*$AF69</f>
        <v>0</v>
      </c>
      <c r="AP69" s="105">
        <f t="shared" ref="AP69" si="73">+L69*$AF69</f>
        <v>0</v>
      </c>
      <c r="AQ69" s="105">
        <f t="shared" ref="AQ69" si="74">+M69*$AF69</f>
        <v>0</v>
      </c>
      <c r="AR69" s="105">
        <f t="shared" ref="AR69" si="75">+N69*$AF69</f>
        <v>0</v>
      </c>
      <c r="AS69" s="105">
        <f t="shared" ref="AS69" si="76">+O69*$AF69</f>
        <v>0</v>
      </c>
      <c r="AT69" s="105">
        <f t="shared" ref="AT69" si="77">+P69*$AF69</f>
        <v>0</v>
      </c>
      <c r="AU69" s="105">
        <f t="shared" ref="AU69" si="78">+Q69*$AF69</f>
        <v>0</v>
      </c>
      <c r="AV69" s="105">
        <f t="shared" ref="AV69" si="79">+R69*$AF69</f>
        <v>0</v>
      </c>
      <c r="AW69" s="105">
        <f t="shared" ref="AW69" si="80">+S69*$AF69</f>
        <v>0</v>
      </c>
      <c r="AX69" s="105">
        <f t="shared" ref="AX69" si="81">+T69*$AF69</f>
        <v>0</v>
      </c>
      <c r="AY69" s="105">
        <f t="shared" ref="AY69" si="82">+U69*$AF69</f>
        <v>0</v>
      </c>
      <c r="AZ69" s="105">
        <f t="shared" ref="AZ69" si="83">+V69*$AF69</f>
        <v>0</v>
      </c>
      <c r="BA69" s="105">
        <f t="shared" ref="BA69" si="84">+W69*$AF69</f>
        <v>0</v>
      </c>
      <c r="BB69" s="105">
        <f t="shared" ref="BB69" si="85">+X69*$AF69</f>
        <v>0</v>
      </c>
      <c r="BC69" s="105">
        <f t="shared" ref="BC69" si="86">+Y69*$AF69</f>
        <v>0</v>
      </c>
      <c r="BD69" s="105">
        <f t="shared" ref="BD69:BD84" si="87">+Z69*$AF69</f>
        <v>0</v>
      </c>
      <c r="BE69" s="105">
        <f t="shared" ref="BE69" si="88">+AA69*$AF69</f>
        <v>0</v>
      </c>
    </row>
    <row r="70" spans="1:57" x14ac:dyDescent="0.35">
      <c r="A70" s="85">
        <f>MAX(A$6:A69)+1</f>
        <v>56</v>
      </c>
      <c r="B70" s="17" t="s">
        <v>227</v>
      </c>
      <c r="C70" s="17"/>
      <c r="D70" s="14"/>
      <c r="E70" s="76"/>
      <c r="F70" s="76">
        <f t="shared" si="63"/>
        <v>65800</v>
      </c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F70" s="5">
        <v>1</v>
      </c>
      <c r="AG70" s="105">
        <f t="shared" ref="AG70:AG79" si="89">+C70*$AF70</f>
        <v>0</v>
      </c>
      <c r="AH70" s="105">
        <f t="shared" ref="AH70:AH79" si="90">+D70*$AF70</f>
        <v>0</v>
      </c>
      <c r="AI70" s="105">
        <f t="shared" ref="AI70:AI79" si="91">+E70*$AF70</f>
        <v>0</v>
      </c>
      <c r="AJ70" s="105">
        <f t="shared" ref="AJ70:AJ79" si="92">+F70*$AF70</f>
        <v>65800</v>
      </c>
      <c r="AK70" s="105">
        <f t="shared" ref="AK70:AK79" si="93">+G70*$AF70</f>
        <v>0</v>
      </c>
      <c r="AL70" s="105">
        <f t="shared" ref="AL70:AL79" si="94">+H70*$AF70</f>
        <v>0</v>
      </c>
      <c r="AM70" s="105">
        <f t="shared" ref="AM70:AM79" si="95">+I70*$AF70</f>
        <v>0</v>
      </c>
      <c r="AN70" s="105">
        <f t="shared" ref="AN70:AN79" si="96">+J70*$AF70</f>
        <v>0</v>
      </c>
      <c r="AO70" s="105">
        <f t="shared" ref="AO70:AO79" si="97">+K70*$AF70</f>
        <v>0</v>
      </c>
      <c r="AP70" s="105">
        <f t="shared" ref="AP70:AP79" si="98">+L70*$AF70</f>
        <v>0</v>
      </c>
      <c r="AQ70" s="105">
        <f t="shared" ref="AQ70:AQ79" si="99">+M70*$AF70</f>
        <v>0</v>
      </c>
      <c r="AR70" s="105">
        <f t="shared" ref="AR70:AR79" si="100">+N70*$AF70</f>
        <v>0</v>
      </c>
      <c r="AS70" s="105">
        <f t="shared" ref="AS70:AS79" si="101">+O70*$AF70</f>
        <v>0</v>
      </c>
      <c r="AT70" s="105">
        <f t="shared" ref="AT70:AT79" si="102">+P70*$AF70</f>
        <v>0</v>
      </c>
      <c r="AU70" s="105">
        <f t="shared" ref="AU70:AU79" si="103">+Q70*$AF70</f>
        <v>0</v>
      </c>
      <c r="AV70" s="105">
        <f t="shared" ref="AV70:AV79" si="104">+R70*$AF70</f>
        <v>0</v>
      </c>
      <c r="AW70" s="105">
        <f t="shared" ref="AW70:AW79" si="105">+S70*$AF70</f>
        <v>0</v>
      </c>
      <c r="AX70" s="105">
        <f t="shared" ref="AX70:AX79" si="106">+T70*$AF70</f>
        <v>0</v>
      </c>
      <c r="AY70" s="105">
        <f t="shared" ref="AY70:AY79" si="107">+U70*$AF70</f>
        <v>0</v>
      </c>
      <c r="AZ70" s="105">
        <f t="shared" ref="AZ70:AZ79" si="108">+V70*$AF70</f>
        <v>0</v>
      </c>
      <c r="BA70" s="105">
        <f t="shared" ref="BA70:BA79" si="109">+W70*$AF70</f>
        <v>0</v>
      </c>
      <c r="BB70" s="105">
        <f t="shared" ref="BB70:BB79" si="110">+X70*$AF70</f>
        <v>0</v>
      </c>
      <c r="BC70" s="105">
        <f t="shared" ref="BC70:BC79" si="111">+Y70*$AF70</f>
        <v>0</v>
      </c>
      <c r="BD70" s="105">
        <f t="shared" si="87"/>
        <v>0</v>
      </c>
      <c r="BE70" s="105">
        <f t="shared" ref="BE70:BE79" si="112">+AA70*$AF70</f>
        <v>0</v>
      </c>
    </row>
    <row r="71" spans="1:57" x14ac:dyDescent="0.35">
      <c r="A71" s="86">
        <f>MAX(A$6:A70)+1</f>
        <v>57</v>
      </c>
      <c r="B71" s="32" t="s">
        <v>231</v>
      </c>
      <c r="C71" s="177"/>
      <c r="D71" s="177"/>
      <c r="E71" s="177"/>
      <c r="F71" s="177">
        <f t="shared" si="63"/>
        <v>205800</v>
      </c>
      <c r="G71" s="177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F71" s="5">
        <v>1</v>
      </c>
      <c r="AG71" s="105">
        <f t="shared" si="89"/>
        <v>0</v>
      </c>
      <c r="AH71" s="105">
        <f t="shared" si="90"/>
        <v>0</v>
      </c>
      <c r="AI71" s="105">
        <f t="shared" si="91"/>
        <v>0</v>
      </c>
      <c r="AJ71" s="105">
        <f t="shared" si="92"/>
        <v>205800</v>
      </c>
      <c r="AK71" s="105">
        <f t="shared" si="93"/>
        <v>0</v>
      </c>
      <c r="AL71" s="105">
        <f t="shared" si="94"/>
        <v>0</v>
      </c>
      <c r="AM71" s="105">
        <f t="shared" si="95"/>
        <v>0</v>
      </c>
      <c r="AN71" s="105">
        <f t="shared" si="96"/>
        <v>0</v>
      </c>
      <c r="AO71" s="105">
        <f t="shared" si="97"/>
        <v>0</v>
      </c>
      <c r="AP71" s="105">
        <f t="shared" si="98"/>
        <v>0</v>
      </c>
      <c r="AQ71" s="105">
        <f t="shared" si="99"/>
        <v>0</v>
      </c>
      <c r="AR71" s="105">
        <f t="shared" si="100"/>
        <v>0</v>
      </c>
      <c r="AS71" s="105">
        <f t="shared" si="101"/>
        <v>0</v>
      </c>
      <c r="AT71" s="105">
        <f t="shared" si="102"/>
        <v>0</v>
      </c>
      <c r="AU71" s="105">
        <f t="shared" si="103"/>
        <v>0</v>
      </c>
      <c r="AV71" s="105">
        <f t="shared" si="104"/>
        <v>0</v>
      </c>
      <c r="AW71" s="105">
        <f t="shared" si="105"/>
        <v>0</v>
      </c>
      <c r="AX71" s="105">
        <f t="shared" si="106"/>
        <v>0</v>
      </c>
      <c r="AY71" s="105">
        <f t="shared" si="107"/>
        <v>0</v>
      </c>
      <c r="AZ71" s="105">
        <f t="shared" si="108"/>
        <v>0</v>
      </c>
      <c r="BA71" s="105">
        <f t="shared" si="109"/>
        <v>0</v>
      </c>
      <c r="BB71" s="105">
        <f t="shared" si="110"/>
        <v>0</v>
      </c>
      <c r="BC71" s="105">
        <f t="shared" si="111"/>
        <v>0</v>
      </c>
      <c r="BD71" s="105">
        <f t="shared" si="87"/>
        <v>0</v>
      </c>
      <c r="BE71" s="105">
        <f t="shared" si="112"/>
        <v>0</v>
      </c>
    </row>
    <row r="72" spans="1:57" x14ac:dyDescent="0.35">
      <c r="A72" s="85">
        <f>MAX(A$6:A71)+1</f>
        <v>58</v>
      </c>
      <c r="B72" s="17" t="s">
        <v>232</v>
      </c>
      <c r="C72" s="17"/>
      <c r="D72" s="14"/>
      <c r="E72" s="76"/>
      <c r="F72" s="76">
        <f t="shared" si="63"/>
        <v>1881600</v>
      </c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F72" s="5">
        <v>1</v>
      </c>
      <c r="AG72" s="105">
        <f t="shared" si="89"/>
        <v>0</v>
      </c>
      <c r="AH72" s="105">
        <f t="shared" si="90"/>
        <v>0</v>
      </c>
      <c r="AI72" s="105">
        <f t="shared" si="91"/>
        <v>0</v>
      </c>
      <c r="AJ72" s="105">
        <f t="shared" si="92"/>
        <v>1881600</v>
      </c>
      <c r="AK72" s="105">
        <f t="shared" si="93"/>
        <v>0</v>
      </c>
      <c r="AL72" s="105">
        <f t="shared" si="94"/>
        <v>0</v>
      </c>
      <c r="AM72" s="105">
        <f t="shared" si="95"/>
        <v>0</v>
      </c>
      <c r="AN72" s="105">
        <f t="shared" si="96"/>
        <v>0</v>
      </c>
      <c r="AO72" s="105">
        <f t="shared" si="97"/>
        <v>0</v>
      </c>
      <c r="AP72" s="105">
        <f t="shared" si="98"/>
        <v>0</v>
      </c>
      <c r="AQ72" s="105">
        <f t="shared" si="99"/>
        <v>0</v>
      </c>
      <c r="AR72" s="105">
        <f t="shared" si="100"/>
        <v>0</v>
      </c>
      <c r="AS72" s="105">
        <f t="shared" si="101"/>
        <v>0</v>
      </c>
      <c r="AT72" s="105">
        <f t="shared" si="102"/>
        <v>0</v>
      </c>
      <c r="AU72" s="105">
        <f t="shared" si="103"/>
        <v>0</v>
      </c>
      <c r="AV72" s="105">
        <f t="shared" si="104"/>
        <v>0</v>
      </c>
      <c r="AW72" s="105">
        <f t="shared" si="105"/>
        <v>0</v>
      </c>
      <c r="AX72" s="105">
        <f t="shared" si="106"/>
        <v>0</v>
      </c>
      <c r="AY72" s="105">
        <f t="shared" si="107"/>
        <v>0</v>
      </c>
      <c r="AZ72" s="105">
        <f t="shared" si="108"/>
        <v>0</v>
      </c>
      <c r="BA72" s="105">
        <f t="shared" si="109"/>
        <v>0</v>
      </c>
      <c r="BB72" s="105">
        <f t="shared" si="110"/>
        <v>0</v>
      </c>
      <c r="BC72" s="105">
        <f t="shared" si="111"/>
        <v>0</v>
      </c>
      <c r="BD72" s="105">
        <f t="shared" si="87"/>
        <v>0</v>
      </c>
      <c r="BE72" s="105">
        <f t="shared" si="112"/>
        <v>0</v>
      </c>
    </row>
    <row r="73" spans="1:57" x14ac:dyDescent="0.35">
      <c r="A73" s="86">
        <f>MAX(A$6:A72)+1</f>
        <v>59</v>
      </c>
      <c r="B73" s="32" t="s">
        <v>233</v>
      </c>
      <c r="C73" s="177"/>
      <c r="D73" s="177"/>
      <c r="E73" s="177"/>
      <c r="F73" s="177">
        <f t="shared" si="63"/>
        <v>385000</v>
      </c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F73" s="5">
        <v>1</v>
      </c>
      <c r="AG73" s="105">
        <f t="shared" si="89"/>
        <v>0</v>
      </c>
      <c r="AH73" s="105">
        <f t="shared" si="90"/>
        <v>0</v>
      </c>
      <c r="AI73" s="105">
        <f t="shared" si="91"/>
        <v>0</v>
      </c>
      <c r="AJ73" s="105">
        <f t="shared" si="92"/>
        <v>385000</v>
      </c>
      <c r="AK73" s="105">
        <f t="shared" si="93"/>
        <v>0</v>
      </c>
      <c r="AL73" s="105">
        <f t="shared" si="94"/>
        <v>0</v>
      </c>
      <c r="AM73" s="105">
        <f t="shared" si="95"/>
        <v>0</v>
      </c>
      <c r="AN73" s="105">
        <f t="shared" si="96"/>
        <v>0</v>
      </c>
      <c r="AO73" s="105">
        <f t="shared" si="97"/>
        <v>0</v>
      </c>
      <c r="AP73" s="105">
        <f t="shared" si="98"/>
        <v>0</v>
      </c>
      <c r="AQ73" s="105">
        <f t="shared" si="99"/>
        <v>0</v>
      </c>
      <c r="AR73" s="105">
        <f t="shared" si="100"/>
        <v>0</v>
      </c>
      <c r="AS73" s="105">
        <f t="shared" si="101"/>
        <v>0</v>
      </c>
      <c r="AT73" s="105">
        <f t="shared" si="102"/>
        <v>0</v>
      </c>
      <c r="AU73" s="105">
        <f t="shared" si="103"/>
        <v>0</v>
      </c>
      <c r="AV73" s="105">
        <f t="shared" si="104"/>
        <v>0</v>
      </c>
      <c r="AW73" s="105">
        <f t="shared" si="105"/>
        <v>0</v>
      </c>
      <c r="AX73" s="105">
        <f t="shared" si="106"/>
        <v>0</v>
      </c>
      <c r="AY73" s="105">
        <f t="shared" si="107"/>
        <v>0</v>
      </c>
      <c r="AZ73" s="105">
        <f t="shared" si="108"/>
        <v>0</v>
      </c>
      <c r="BA73" s="105">
        <f t="shared" si="109"/>
        <v>0</v>
      </c>
      <c r="BB73" s="105">
        <f t="shared" si="110"/>
        <v>0</v>
      </c>
      <c r="BC73" s="105">
        <f t="shared" si="111"/>
        <v>0</v>
      </c>
      <c r="BD73" s="105">
        <f t="shared" si="87"/>
        <v>0</v>
      </c>
      <c r="BE73" s="105">
        <f t="shared" si="112"/>
        <v>0</v>
      </c>
    </row>
    <row r="74" spans="1:57" x14ac:dyDescent="0.35">
      <c r="A74" s="85">
        <f>MAX(A$6:A73)+1</f>
        <v>60</v>
      </c>
      <c r="B74" s="17" t="s">
        <v>234</v>
      </c>
      <c r="C74" s="17"/>
      <c r="D74" s="14"/>
      <c r="E74" s="76"/>
      <c r="F74" s="76">
        <f t="shared" si="63"/>
        <v>109200</v>
      </c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F74" s="5">
        <v>1</v>
      </c>
      <c r="AG74" s="105">
        <f t="shared" si="89"/>
        <v>0</v>
      </c>
      <c r="AH74" s="105">
        <f t="shared" si="90"/>
        <v>0</v>
      </c>
      <c r="AI74" s="105">
        <f t="shared" si="91"/>
        <v>0</v>
      </c>
      <c r="AJ74" s="105">
        <f t="shared" si="92"/>
        <v>109200</v>
      </c>
      <c r="AK74" s="105">
        <f t="shared" si="93"/>
        <v>0</v>
      </c>
      <c r="AL74" s="105">
        <f t="shared" si="94"/>
        <v>0</v>
      </c>
      <c r="AM74" s="105">
        <f t="shared" si="95"/>
        <v>0</v>
      </c>
      <c r="AN74" s="105">
        <f t="shared" si="96"/>
        <v>0</v>
      </c>
      <c r="AO74" s="105">
        <f t="shared" si="97"/>
        <v>0</v>
      </c>
      <c r="AP74" s="105">
        <f t="shared" si="98"/>
        <v>0</v>
      </c>
      <c r="AQ74" s="105">
        <f t="shared" si="99"/>
        <v>0</v>
      </c>
      <c r="AR74" s="105">
        <f t="shared" si="100"/>
        <v>0</v>
      </c>
      <c r="AS74" s="105">
        <f t="shared" si="101"/>
        <v>0</v>
      </c>
      <c r="AT74" s="105">
        <f t="shared" si="102"/>
        <v>0</v>
      </c>
      <c r="AU74" s="105">
        <f t="shared" si="103"/>
        <v>0</v>
      </c>
      <c r="AV74" s="105">
        <f t="shared" si="104"/>
        <v>0</v>
      </c>
      <c r="AW74" s="105">
        <f t="shared" si="105"/>
        <v>0</v>
      </c>
      <c r="AX74" s="105">
        <f t="shared" si="106"/>
        <v>0</v>
      </c>
      <c r="AY74" s="105">
        <f t="shared" si="107"/>
        <v>0</v>
      </c>
      <c r="AZ74" s="105">
        <f t="shared" si="108"/>
        <v>0</v>
      </c>
      <c r="BA74" s="105">
        <f t="shared" si="109"/>
        <v>0</v>
      </c>
      <c r="BB74" s="105">
        <f t="shared" si="110"/>
        <v>0</v>
      </c>
      <c r="BC74" s="105">
        <f t="shared" si="111"/>
        <v>0</v>
      </c>
      <c r="BD74" s="105">
        <f t="shared" si="87"/>
        <v>0</v>
      </c>
      <c r="BE74" s="105">
        <f t="shared" si="112"/>
        <v>0</v>
      </c>
    </row>
    <row r="75" spans="1:57" x14ac:dyDescent="0.35">
      <c r="A75" s="86">
        <f>MAX(A$6:A74)+1</f>
        <v>61</v>
      </c>
      <c r="B75" s="32" t="s">
        <v>235</v>
      </c>
      <c r="C75" s="177"/>
      <c r="D75" s="177"/>
      <c r="E75" s="177"/>
      <c r="F75" s="177">
        <f t="shared" si="63"/>
        <v>33600</v>
      </c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F75" s="5">
        <v>1</v>
      </c>
      <c r="AG75" s="105">
        <f t="shared" si="89"/>
        <v>0</v>
      </c>
      <c r="AH75" s="105">
        <f t="shared" si="90"/>
        <v>0</v>
      </c>
      <c r="AI75" s="105">
        <f t="shared" si="91"/>
        <v>0</v>
      </c>
      <c r="AJ75" s="105">
        <f t="shared" si="92"/>
        <v>33600</v>
      </c>
      <c r="AK75" s="105">
        <f t="shared" si="93"/>
        <v>0</v>
      </c>
      <c r="AL75" s="105">
        <f t="shared" si="94"/>
        <v>0</v>
      </c>
      <c r="AM75" s="105">
        <f t="shared" si="95"/>
        <v>0</v>
      </c>
      <c r="AN75" s="105">
        <f t="shared" si="96"/>
        <v>0</v>
      </c>
      <c r="AO75" s="105">
        <f t="shared" si="97"/>
        <v>0</v>
      </c>
      <c r="AP75" s="105">
        <f t="shared" si="98"/>
        <v>0</v>
      </c>
      <c r="AQ75" s="105">
        <f t="shared" si="99"/>
        <v>0</v>
      </c>
      <c r="AR75" s="105">
        <f t="shared" si="100"/>
        <v>0</v>
      </c>
      <c r="AS75" s="105">
        <f t="shared" si="101"/>
        <v>0</v>
      </c>
      <c r="AT75" s="105">
        <f t="shared" si="102"/>
        <v>0</v>
      </c>
      <c r="AU75" s="105">
        <f t="shared" si="103"/>
        <v>0</v>
      </c>
      <c r="AV75" s="105">
        <f t="shared" si="104"/>
        <v>0</v>
      </c>
      <c r="AW75" s="105">
        <f t="shared" si="105"/>
        <v>0</v>
      </c>
      <c r="AX75" s="105">
        <f t="shared" si="106"/>
        <v>0</v>
      </c>
      <c r="AY75" s="105">
        <f t="shared" si="107"/>
        <v>0</v>
      </c>
      <c r="AZ75" s="105">
        <f t="shared" si="108"/>
        <v>0</v>
      </c>
      <c r="BA75" s="105">
        <f t="shared" si="109"/>
        <v>0</v>
      </c>
      <c r="BB75" s="105">
        <f t="shared" si="110"/>
        <v>0</v>
      </c>
      <c r="BC75" s="105">
        <f t="shared" si="111"/>
        <v>0</v>
      </c>
      <c r="BD75" s="105">
        <f t="shared" si="87"/>
        <v>0</v>
      </c>
      <c r="BE75" s="105">
        <f t="shared" si="112"/>
        <v>0</v>
      </c>
    </row>
    <row r="76" spans="1:57" x14ac:dyDescent="0.35">
      <c r="A76" s="85">
        <f>MAX(A$6:A75)+1</f>
        <v>62</v>
      </c>
      <c r="B76" s="17" t="s">
        <v>236</v>
      </c>
      <c r="C76" s="17"/>
      <c r="D76" s="14"/>
      <c r="E76" s="76"/>
      <c r="F76" s="76">
        <f t="shared" si="63"/>
        <v>0</v>
      </c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F76" s="5">
        <v>1</v>
      </c>
      <c r="AG76" s="105">
        <f t="shared" si="89"/>
        <v>0</v>
      </c>
      <c r="AH76" s="105">
        <f t="shared" si="90"/>
        <v>0</v>
      </c>
      <c r="AI76" s="105">
        <f t="shared" si="91"/>
        <v>0</v>
      </c>
      <c r="AJ76" s="105">
        <f t="shared" si="92"/>
        <v>0</v>
      </c>
      <c r="AK76" s="105">
        <f t="shared" si="93"/>
        <v>0</v>
      </c>
      <c r="AL76" s="105">
        <f t="shared" si="94"/>
        <v>0</v>
      </c>
      <c r="AM76" s="105">
        <f t="shared" si="95"/>
        <v>0</v>
      </c>
      <c r="AN76" s="105">
        <f t="shared" si="96"/>
        <v>0</v>
      </c>
      <c r="AO76" s="105">
        <f t="shared" si="97"/>
        <v>0</v>
      </c>
      <c r="AP76" s="105">
        <f t="shared" si="98"/>
        <v>0</v>
      </c>
      <c r="AQ76" s="105">
        <f t="shared" si="99"/>
        <v>0</v>
      </c>
      <c r="AR76" s="105">
        <f t="shared" si="100"/>
        <v>0</v>
      </c>
      <c r="AS76" s="105">
        <f t="shared" si="101"/>
        <v>0</v>
      </c>
      <c r="AT76" s="105">
        <f t="shared" si="102"/>
        <v>0</v>
      </c>
      <c r="AU76" s="105">
        <f t="shared" si="103"/>
        <v>0</v>
      </c>
      <c r="AV76" s="105">
        <f t="shared" si="104"/>
        <v>0</v>
      </c>
      <c r="AW76" s="105">
        <f t="shared" si="105"/>
        <v>0</v>
      </c>
      <c r="AX76" s="105">
        <f t="shared" si="106"/>
        <v>0</v>
      </c>
      <c r="AY76" s="105">
        <f t="shared" si="107"/>
        <v>0</v>
      </c>
      <c r="AZ76" s="105">
        <f t="shared" si="108"/>
        <v>0</v>
      </c>
      <c r="BA76" s="105">
        <f t="shared" si="109"/>
        <v>0</v>
      </c>
      <c r="BB76" s="105">
        <f t="shared" si="110"/>
        <v>0</v>
      </c>
      <c r="BC76" s="105">
        <f t="shared" si="111"/>
        <v>0</v>
      </c>
      <c r="BD76" s="105">
        <f t="shared" si="87"/>
        <v>0</v>
      </c>
      <c r="BE76" s="105">
        <f t="shared" si="112"/>
        <v>0</v>
      </c>
    </row>
    <row r="77" spans="1:57" x14ac:dyDescent="0.35">
      <c r="A77" s="86">
        <f>MAX(A$6:A76)+1</f>
        <v>63</v>
      </c>
      <c r="B77" s="32" t="s">
        <v>237</v>
      </c>
      <c r="C77" s="177"/>
      <c r="D77" s="177"/>
      <c r="E77" s="177"/>
      <c r="F77" s="177">
        <f t="shared" si="63"/>
        <v>0</v>
      </c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F77" s="5">
        <v>1</v>
      </c>
      <c r="AG77" s="105">
        <f t="shared" si="89"/>
        <v>0</v>
      </c>
      <c r="AH77" s="105">
        <f t="shared" si="90"/>
        <v>0</v>
      </c>
      <c r="AI77" s="105">
        <f t="shared" si="91"/>
        <v>0</v>
      </c>
      <c r="AJ77" s="105">
        <f t="shared" si="92"/>
        <v>0</v>
      </c>
      <c r="AK77" s="105">
        <f t="shared" si="93"/>
        <v>0</v>
      </c>
      <c r="AL77" s="105">
        <f t="shared" si="94"/>
        <v>0</v>
      </c>
      <c r="AM77" s="105">
        <f t="shared" si="95"/>
        <v>0</v>
      </c>
      <c r="AN77" s="105">
        <f t="shared" si="96"/>
        <v>0</v>
      </c>
      <c r="AO77" s="105">
        <f t="shared" si="97"/>
        <v>0</v>
      </c>
      <c r="AP77" s="105">
        <f t="shared" si="98"/>
        <v>0</v>
      </c>
      <c r="AQ77" s="105">
        <f t="shared" si="99"/>
        <v>0</v>
      </c>
      <c r="AR77" s="105">
        <f t="shared" si="100"/>
        <v>0</v>
      </c>
      <c r="AS77" s="105">
        <f t="shared" si="101"/>
        <v>0</v>
      </c>
      <c r="AT77" s="105">
        <f t="shared" si="102"/>
        <v>0</v>
      </c>
      <c r="AU77" s="105">
        <f t="shared" si="103"/>
        <v>0</v>
      </c>
      <c r="AV77" s="105">
        <f t="shared" si="104"/>
        <v>0</v>
      </c>
      <c r="AW77" s="105">
        <f t="shared" si="105"/>
        <v>0</v>
      </c>
      <c r="AX77" s="105">
        <f t="shared" si="106"/>
        <v>0</v>
      </c>
      <c r="AY77" s="105">
        <f t="shared" si="107"/>
        <v>0</v>
      </c>
      <c r="AZ77" s="105">
        <f t="shared" si="108"/>
        <v>0</v>
      </c>
      <c r="BA77" s="105">
        <f t="shared" si="109"/>
        <v>0</v>
      </c>
      <c r="BB77" s="105">
        <f t="shared" si="110"/>
        <v>0</v>
      </c>
      <c r="BC77" s="105">
        <f t="shared" si="111"/>
        <v>0</v>
      </c>
      <c r="BD77" s="105">
        <f t="shared" si="87"/>
        <v>0</v>
      </c>
      <c r="BE77" s="105">
        <f t="shared" si="112"/>
        <v>0</v>
      </c>
    </row>
    <row r="78" spans="1:57" x14ac:dyDescent="0.35">
      <c r="A78" s="85">
        <f>MAX(A$6:A77)+1</f>
        <v>64</v>
      </c>
      <c r="B78" s="17" t="s">
        <v>238</v>
      </c>
      <c r="C78" s="17"/>
      <c r="D78" s="14"/>
      <c r="E78" s="76"/>
      <c r="F78" s="76">
        <f t="shared" si="63"/>
        <v>0</v>
      </c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F78" s="5">
        <v>1</v>
      </c>
      <c r="AG78" s="105">
        <f t="shared" si="89"/>
        <v>0</v>
      </c>
      <c r="AH78" s="105">
        <f t="shared" si="90"/>
        <v>0</v>
      </c>
      <c r="AI78" s="105">
        <f t="shared" si="91"/>
        <v>0</v>
      </c>
      <c r="AJ78" s="105">
        <f t="shared" si="92"/>
        <v>0</v>
      </c>
      <c r="AK78" s="105">
        <f t="shared" si="93"/>
        <v>0</v>
      </c>
      <c r="AL78" s="105">
        <f t="shared" si="94"/>
        <v>0</v>
      </c>
      <c r="AM78" s="105">
        <f t="shared" si="95"/>
        <v>0</v>
      </c>
      <c r="AN78" s="105">
        <f t="shared" si="96"/>
        <v>0</v>
      </c>
      <c r="AO78" s="105">
        <f t="shared" si="97"/>
        <v>0</v>
      </c>
      <c r="AP78" s="105">
        <f t="shared" si="98"/>
        <v>0</v>
      </c>
      <c r="AQ78" s="105">
        <f t="shared" si="99"/>
        <v>0</v>
      </c>
      <c r="AR78" s="105">
        <f t="shared" si="100"/>
        <v>0</v>
      </c>
      <c r="AS78" s="105">
        <f t="shared" si="101"/>
        <v>0</v>
      </c>
      <c r="AT78" s="105">
        <f t="shared" si="102"/>
        <v>0</v>
      </c>
      <c r="AU78" s="105">
        <f t="shared" si="103"/>
        <v>0</v>
      </c>
      <c r="AV78" s="105">
        <f t="shared" si="104"/>
        <v>0</v>
      </c>
      <c r="AW78" s="105">
        <f t="shared" si="105"/>
        <v>0</v>
      </c>
      <c r="AX78" s="105">
        <f t="shared" si="106"/>
        <v>0</v>
      </c>
      <c r="AY78" s="105">
        <f t="shared" si="107"/>
        <v>0</v>
      </c>
      <c r="AZ78" s="105">
        <f t="shared" si="108"/>
        <v>0</v>
      </c>
      <c r="BA78" s="105">
        <f t="shared" si="109"/>
        <v>0</v>
      </c>
      <c r="BB78" s="105">
        <f t="shared" si="110"/>
        <v>0</v>
      </c>
      <c r="BC78" s="105">
        <f t="shared" si="111"/>
        <v>0</v>
      </c>
      <c r="BD78" s="105">
        <f t="shared" si="87"/>
        <v>0</v>
      </c>
      <c r="BE78" s="105">
        <f t="shared" si="112"/>
        <v>0</v>
      </c>
    </row>
    <row r="79" spans="1:57" x14ac:dyDescent="0.35">
      <c r="A79" s="86">
        <f>MAX(A$6:A78)+1</f>
        <v>65</v>
      </c>
      <c r="B79" s="32" t="s">
        <v>239</v>
      </c>
      <c r="C79" s="177"/>
      <c r="D79" s="177"/>
      <c r="E79" s="177"/>
      <c r="F79" s="177">
        <f t="shared" si="63"/>
        <v>60200</v>
      </c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F79" s="5">
        <v>1</v>
      </c>
      <c r="AG79" s="105">
        <f t="shared" si="89"/>
        <v>0</v>
      </c>
      <c r="AH79" s="105">
        <f t="shared" si="90"/>
        <v>0</v>
      </c>
      <c r="AI79" s="105">
        <f t="shared" si="91"/>
        <v>0</v>
      </c>
      <c r="AJ79" s="105">
        <f t="shared" si="92"/>
        <v>60200</v>
      </c>
      <c r="AK79" s="105">
        <f t="shared" si="93"/>
        <v>0</v>
      </c>
      <c r="AL79" s="105">
        <f t="shared" si="94"/>
        <v>0</v>
      </c>
      <c r="AM79" s="105">
        <f t="shared" si="95"/>
        <v>0</v>
      </c>
      <c r="AN79" s="105">
        <f t="shared" si="96"/>
        <v>0</v>
      </c>
      <c r="AO79" s="105">
        <f t="shared" si="97"/>
        <v>0</v>
      </c>
      <c r="AP79" s="105">
        <f t="shared" si="98"/>
        <v>0</v>
      </c>
      <c r="AQ79" s="105">
        <f t="shared" si="99"/>
        <v>0</v>
      </c>
      <c r="AR79" s="105">
        <f t="shared" si="100"/>
        <v>0</v>
      </c>
      <c r="AS79" s="105">
        <f t="shared" si="101"/>
        <v>0</v>
      </c>
      <c r="AT79" s="105">
        <f t="shared" si="102"/>
        <v>0</v>
      </c>
      <c r="AU79" s="105">
        <f t="shared" si="103"/>
        <v>0</v>
      </c>
      <c r="AV79" s="105">
        <f t="shared" si="104"/>
        <v>0</v>
      </c>
      <c r="AW79" s="105">
        <f t="shared" si="105"/>
        <v>0</v>
      </c>
      <c r="AX79" s="105">
        <f t="shared" si="106"/>
        <v>0</v>
      </c>
      <c r="AY79" s="105">
        <f t="shared" si="107"/>
        <v>0</v>
      </c>
      <c r="AZ79" s="105">
        <f t="shared" si="108"/>
        <v>0</v>
      </c>
      <c r="BA79" s="105">
        <f t="shared" si="109"/>
        <v>0</v>
      </c>
      <c r="BB79" s="105">
        <f t="shared" si="110"/>
        <v>0</v>
      </c>
      <c r="BC79" s="105">
        <f t="shared" si="111"/>
        <v>0</v>
      </c>
      <c r="BD79" s="105">
        <f t="shared" si="87"/>
        <v>0</v>
      </c>
      <c r="BE79" s="105">
        <f t="shared" si="112"/>
        <v>0</v>
      </c>
    </row>
    <row r="80" spans="1:57" x14ac:dyDescent="0.35">
      <c r="A80" s="85">
        <f>MAX(A$6:A79)+1</f>
        <v>66</v>
      </c>
      <c r="B80" s="17" t="s">
        <v>240</v>
      </c>
      <c r="C80" s="17"/>
      <c r="D80" s="14"/>
      <c r="E80" s="76"/>
      <c r="F80" s="76">
        <f t="shared" si="63"/>
        <v>0</v>
      </c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F80" s="5">
        <v>1</v>
      </c>
      <c r="AG80" s="105">
        <f t="shared" ref="AG80" si="113">+C80*$AF80</f>
        <v>0</v>
      </c>
      <c r="AH80" s="105">
        <f t="shared" ref="AH80" si="114">+D80*$AF80</f>
        <v>0</v>
      </c>
      <c r="AI80" s="105">
        <f t="shared" ref="AI80" si="115">+E80*$AF80</f>
        <v>0</v>
      </c>
      <c r="AJ80" s="105">
        <f t="shared" ref="AJ80" si="116">+F80*$AF80</f>
        <v>0</v>
      </c>
      <c r="AK80" s="105">
        <f t="shared" ref="AK80" si="117">+G80*$AF80</f>
        <v>0</v>
      </c>
      <c r="AL80" s="105">
        <f t="shared" ref="AL80" si="118">+H80*$AF80</f>
        <v>0</v>
      </c>
      <c r="AM80" s="105">
        <f t="shared" ref="AM80" si="119">+I80*$AF80</f>
        <v>0</v>
      </c>
      <c r="AN80" s="105">
        <f t="shared" ref="AN80" si="120">+J80*$AF80</f>
        <v>0</v>
      </c>
      <c r="AO80" s="105">
        <f t="shared" ref="AO80" si="121">+K80*$AF80</f>
        <v>0</v>
      </c>
      <c r="AP80" s="105">
        <f t="shared" ref="AP80" si="122">+L80*$AF80</f>
        <v>0</v>
      </c>
      <c r="AQ80" s="105">
        <f t="shared" ref="AQ80" si="123">+M80*$AF80</f>
        <v>0</v>
      </c>
      <c r="AR80" s="105">
        <f t="shared" ref="AR80" si="124">+N80*$AF80</f>
        <v>0</v>
      </c>
      <c r="AS80" s="105">
        <f t="shared" ref="AS80" si="125">+O80*$AF80</f>
        <v>0</v>
      </c>
      <c r="AT80" s="105">
        <f t="shared" ref="AT80" si="126">+P80*$AF80</f>
        <v>0</v>
      </c>
      <c r="AU80" s="105">
        <f t="shared" ref="AU80" si="127">+Q80*$AF80</f>
        <v>0</v>
      </c>
      <c r="AV80" s="105">
        <f t="shared" ref="AV80" si="128">+R80*$AF80</f>
        <v>0</v>
      </c>
      <c r="AW80" s="105">
        <f t="shared" ref="AW80" si="129">+S80*$AF80</f>
        <v>0</v>
      </c>
      <c r="AX80" s="105">
        <f t="shared" ref="AX80" si="130">+T80*$AF80</f>
        <v>0</v>
      </c>
      <c r="AY80" s="105">
        <f t="shared" ref="AY80" si="131">+U80*$AF80</f>
        <v>0</v>
      </c>
      <c r="AZ80" s="105">
        <f t="shared" ref="AZ80" si="132">+V80*$AF80</f>
        <v>0</v>
      </c>
      <c r="BA80" s="105">
        <f t="shared" ref="BA80" si="133">+W80*$AF80</f>
        <v>0</v>
      </c>
      <c r="BB80" s="105">
        <f t="shared" ref="BB80" si="134">+X80*$AF80</f>
        <v>0</v>
      </c>
      <c r="BC80" s="105">
        <f t="shared" ref="BC80" si="135">+Y80*$AF80</f>
        <v>0</v>
      </c>
      <c r="BD80" s="105">
        <f t="shared" si="87"/>
        <v>0</v>
      </c>
      <c r="BE80" s="105">
        <f t="shared" ref="BE80" si="136">+AA80*$AF80</f>
        <v>0</v>
      </c>
    </row>
    <row r="81" spans="1:57" x14ac:dyDescent="0.35">
      <c r="A81" s="86">
        <f>MAX(A$6:A80)+1</f>
        <v>67</v>
      </c>
      <c r="B81" s="32" t="s">
        <v>241</v>
      </c>
      <c r="C81" s="177"/>
      <c r="D81" s="177"/>
      <c r="E81" s="177"/>
      <c r="F81" s="177">
        <f t="shared" si="63"/>
        <v>0</v>
      </c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F81" s="5">
        <v>1</v>
      </c>
      <c r="AG81" s="105">
        <f t="shared" ref="AG81" si="137">+C81*$AF81</f>
        <v>0</v>
      </c>
      <c r="AH81" s="105">
        <f t="shared" ref="AH81" si="138">+D81*$AF81</f>
        <v>0</v>
      </c>
      <c r="AI81" s="105">
        <f t="shared" ref="AI81" si="139">+E81*$AF81</f>
        <v>0</v>
      </c>
      <c r="AJ81" s="105">
        <f t="shared" ref="AJ81" si="140">+F81*$AF81</f>
        <v>0</v>
      </c>
      <c r="AK81" s="105">
        <f t="shared" ref="AK81" si="141">+G81*$AF81</f>
        <v>0</v>
      </c>
      <c r="AL81" s="105">
        <f t="shared" ref="AL81" si="142">+H81*$AF81</f>
        <v>0</v>
      </c>
      <c r="AM81" s="105">
        <f t="shared" ref="AM81" si="143">+I81*$AF81</f>
        <v>0</v>
      </c>
      <c r="AN81" s="105">
        <f t="shared" ref="AN81" si="144">+J81*$AF81</f>
        <v>0</v>
      </c>
      <c r="AO81" s="105">
        <f t="shared" ref="AO81" si="145">+K81*$AF81</f>
        <v>0</v>
      </c>
      <c r="AP81" s="105">
        <f t="shared" ref="AP81" si="146">+L81*$AF81</f>
        <v>0</v>
      </c>
      <c r="AQ81" s="105">
        <f t="shared" ref="AQ81" si="147">+M81*$AF81</f>
        <v>0</v>
      </c>
      <c r="AR81" s="105">
        <f t="shared" ref="AR81" si="148">+N81*$AF81</f>
        <v>0</v>
      </c>
      <c r="AS81" s="105">
        <f t="shared" ref="AS81" si="149">+O81*$AF81</f>
        <v>0</v>
      </c>
      <c r="AT81" s="105">
        <f t="shared" ref="AT81" si="150">+P81*$AF81</f>
        <v>0</v>
      </c>
      <c r="AU81" s="105">
        <f t="shared" ref="AU81" si="151">+Q81*$AF81</f>
        <v>0</v>
      </c>
      <c r="AV81" s="105">
        <f t="shared" ref="AV81" si="152">+R81*$AF81</f>
        <v>0</v>
      </c>
      <c r="AW81" s="105">
        <f t="shared" ref="AW81" si="153">+S81*$AF81</f>
        <v>0</v>
      </c>
      <c r="AX81" s="105">
        <f t="shared" ref="AX81" si="154">+T81*$AF81</f>
        <v>0</v>
      </c>
      <c r="AY81" s="105">
        <f t="shared" ref="AY81" si="155">+U81*$AF81</f>
        <v>0</v>
      </c>
      <c r="AZ81" s="105">
        <f t="shared" ref="AZ81" si="156">+V81*$AF81</f>
        <v>0</v>
      </c>
      <c r="BA81" s="105">
        <f t="shared" ref="BA81" si="157">+W81*$AF81</f>
        <v>0</v>
      </c>
      <c r="BB81" s="105">
        <f t="shared" ref="BB81" si="158">+X81*$AF81</f>
        <v>0</v>
      </c>
      <c r="BC81" s="105">
        <f t="shared" ref="BC81" si="159">+Y81*$AF81</f>
        <v>0</v>
      </c>
      <c r="BD81" s="105">
        <f t="shared" si="87"/>
        <v>0</v>
      </c>
      <c r="BE81" s="105">
        <f t="shared" ref="BE81" si="160">+AA81*$AF81</f>
        <v>0</v>
      </c>
    </row>
    <row r="82" spans="1:57" x14ac:dyDescent="0.35">
      <c r="A82" s="85">
        <f>MAX(A$6:A81)+1</f>
        <v>68</v>
      </c>
      <c r="B82" s="17" t="s">
        <v>242</v>
      </c>
      <c r="C82" s="17"/>
      <c r="D82" s="14"/>
      <c r="E82" s="76"/>
      <c r="F82" s="76">
        <f t="shared" si="63"/>
        <v>260400</v>
      </c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F82" s="5">
        <v>1</v>
      </c>
      <c r="AG82" s="105">
        <f t="shared" ref="AG82" si="161">+C82*$AF82</f>
        <v>0</v>
      </c>
      <c r="AH82" s="105">
        <f t="shared" ref="AH82" si="162">+D82*$AF82</f>
        <v>0</v>
      </c>
      <c r="AI82" s="105">
        <f t="shared" ref="AI82" si="163">+E82*$AF82</f>
        <v>0</v>
      </c>
      <c r="AJ82" s="105">
        <f t="shared" ref="AJ82" si="164">+F82*$AF82</f>
        <v>260400</v>
      </c>
      <c r="AK82" s="105">
        <f t="shared" ref="AK82" si="165">+G82*$AF82</f>
        <v>0</v>
      </c>
      <c r="AL82" s="105">
        <f t="shared" ref="AL82" si="166">+H82*$AF82</f>
        <v>0</v>
      </c>
      <c r="AM82" s="105">
        <f t="shared" ref="AM82" si="167">+I82*$AF82</f>
        <v>0</v>
      </c>
      <c r="AN82" s="105">
        <f t="shared" ref="AN82" si="168">+J82*$AF82</f>
        <v>0</v>
      </c>
      <c r="AO82" s="105">
        <f t="shared" ref="AO82" si="169">+K82*$AF82</f>
        <v>0</v>
      </c>
      <c r="AP82" s="105">
        <f t="shared" ref="AP82" si="170">+L82*$AF82</f>
        <v>0</v>
      </c>
      <c r="AQ82" s="105">
        <f t="shared" ref="AQ82" si="171">+M82*$AF82</f>
        <v>0</v>
      </c>
      <c r="AR82" s="105">
        <f t="shared" ref="AR82" si="172">+N82*$AF82</f>
        <v>0</v>
      </c>
      <c r="AS82" s="105">
        <f t="shared" ref="AS82" si="173">+O82*$AF82</f>
        <v>0</v>
      </c>
      <c r="AT82" s="105">
        <f t="shared" ref="AT82" si="174">+P82*$AF82</f>
        <v>0</v>
      </c>
      <c r="AU82" s="105">
        <f t="shared" ref="AU82" si="175">+Q82*$AF82</f>
        <v>0</v>
      </c>
      <c r="AV82" s="105">
        <f t="shared" ref="AV82" si="176">+R82*$AF82</f>
        <v>0</v>
      </c>
      <c r="AW82" s="105">
        <f t="shared" ref="AW82" si="177">+S82*$AF82</f>
        <v>0</v>
      </c>
      <c r="AX82" s="105">
        <f t="shared" ref="AX82" si="178">+T82*$AF82</f>
        <v>0</v>
      </c>
      <c r="AY82" s="105">
        <f t="shared" ref="AY82" si="179">+U82*$AF82</f>
        <v>0</v>
      </c>
      <c r="AZ82" s="105">
        <f t="shared" ref="AZ82" si="180">+V82*$AF82</f>
        <v>0</v>
      </c>
      <c r="BA82" s="105">
        <f t="shared" ref="BA82" si="181">+W82*$AF82</f>
        <v>0</v>
      </c>
      <c r="BB82" s="105">
        <f t="shared" ref="BB82" si="182">+X82*$AF82</f>
        <v>0</v>
      </c>
      <c r="BC82" s="105">
        <f t="shared" ref="BC82" si="183">+Y82*$AF82</f>
        <v>0</v>
      </c>
      <c r="BD82" s="105">
        <f t="shared" si="87"/>
        <v>0</v>
      </c>
      <c r="BE82" s="105">
        <f t="shared" ref="BE82" si="184">+AA82*$AF82</f>
        <v>0</v>
      </c>
    </row>
    <row r="83" spans="1:57" x14ac:dyDescent="0.35">
      <c r="A83" s="86">
        <f>MAX(A$6:A82)+1</f>
        <v>69</v>
      </c>
      <c r="B83" s="32" t="s">
        <v>243</v>
      </c>
      <c r="C83" s="177"/>
      <c r="D83" s="177"/>
      <c r="E83" s="177"/>
      <c r="F83" s="177">
        <f t="shared" si="63"/>
        <v>2800</v>
      </c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F83" s="5">
        <v>1</v>
      </c>
      <c r="AG83" s="105">
        <f t="shared" ref="AG83" si="185">+C83*$AF83</f>
        <v>0</v>
      </c>
      <c r="AH83" s="105">
        <f t="shared" ref="AH83" si="186">+D83*$AF83</f>
        <v>0</v>
      </c>
      <c r="AI83" s="105">
        <f t="shared" ref="AI83" si="187">+E83*$AF83</f>
        <v>0</v>
      </c>
      <c r="AJ83" s="105">
        <f t="shared" ref="AJ83" si="188">+F83*$AF83</f>
        <v>2800</v>
      </c>
      <c r="AK83" s="105">
        <f t="shared" ref="AK83" si="189">+G83*$AF83</f>
        <v>0</v>
      </c>
      <c r="AL83" s="105">
        <f t="shared" ref="AL83" si="190">+H83*$AF83</f>
        <v>0</v>
      </c>
      <c r="AM83" s="105">
        <f t="shared" ref="AM83" si="191">+I83*$AF83</f>
        <v>0</v>
      </c>
      <c r="AN83" s="105">
        <f t="shared" ref="AN83" si="192">+J83*$AF83</f>
        <v>0</v>
      </c>
      <c r="AO83" s="105">
        <f t="shared" ref="AO83" si="193">+K83*$AF83</f>
        <v>0</v>
      </c>
      <c r="AP83" s="105">
        <f t="shared" ref="AP83" si="194">+L83*$AF83</f>
        <v>0</v>
      </c>
      <c r="AQ83" s="105">
        <f t="shared" ref="AQ83" si="195">+M83*$AF83</f>
        <v>0</v>
      </c>
      <c r="AR83" s="105">
        <f t="shared" ref="AR83" si="196">+N83*$AF83</f>
        <v>0</v>
      </c>
      <c r="AS83" s="105">
        <f t="shared" ref="AS83" si="197">+O83*$AF83</f>
        <v>0</v>
      </c>
      <c r="AT83" s="105">
        <f t="shared" ref="AT83" si="198">+P83*$AF83</f>
        <v>0</v>
      </c>
      <c r="AU83" s="105">
        <f t="shared" ref="AU83" si="199">+Q83*$AF83</f>
        <v>0</v>
      </c>
      <c r="AV83" s="105">
        <f t="shared" ref="AV83" si="200">+R83*$AF83</f>
        <v>0</v>
      </c>
      <c r="AW83" s="105">
        <f t="shared" ref="AW83" si="201">+S83*$AF83</f>
        <v>0</v>
      </c>
      <c r="AX83" s="105">
        <f t="shared" ref="AX83" si="202">+T83*$AF83</f>
        <v>0</v>
      </c>
      <c r="AY83" s="105">
        <f t="shared" ref="AY83" si="203">+U83*$AF83</f>
        <v>0</v>
      </c>
      <c r="AZ83" s="105">
        <f t="shared" ref="AZ83" si="204">+V83*$AF83</f>
        <v>0</v>
      </c>
      <c r="BA83" s="105">
        <f t="shared" ref="BA83" si="205">+W83*$AF83</f>
        <v>0</v>
      </c>
      <c r="BB83" s="105">
        <f t="shared" ref="BB83" si="206">+X83*$AF83</f>
        <v>0</v>
      </c>
      <c r="BC83" s="105">
        <f t="shared" ref="BC83" si="207">+Y83*$AF83</f>
        <v>0</v>
      </c>
      <c r="BD83" s="105">
        <f t="shared" si="87"/>
        <v>0</v>
      </c>
      <c r="BE83" s="105">
        <f t="shared" ref="BE83" si="208">+AA83*$AF83</f>
        <v>0</v>
      </c>
    </row>
    <row r="84" spans="1:57" x14ac:dyDescent="0.35">
      <c r="A84" s="85">
        <f>MAX(A$6:A83)+1</f>
        <v>70</v>
      </c>
      <c r="B84" s="17" t="s">
        <v>244</v>
      </c>
      <c r="C84" s="17"/>
      <c r="D84" s="14"/>
      <c r="E84" s="76"/>
      <c r="F84" s="76">
        <f t="shared" si="63"/>
        <v>1400</v>
      </c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F84" s="5">
        <v>1</v>
      </c>
      <c r="AG84" s="105">
        <f t="shared" ref="AG84" si="209">+C84*$AF84</f>
        <v>0</v>
      </c>
      <c r="AH84" s="105">
        <f t="shared" ref="AH84" si="210">+D84*$AF84</f>
        <v>0</v>
      </c>
      <c r="AI84" s="105">
        <f t="shared" ref="AI84" si="211">+E84*$AF84</f>
        <v>0</v>
      </c>
      <c r="AJ84" s="105">
        <f t="shared" ref="AJ84" si="212">+F84*$AF84</f>
        <v>1400</v>
      </c>
      <c r="AK84" s="105">
        <f t="shared" ref="AK84" si="213">+G84*$AF84</f>
        <v>0</v>
      </c>
      <c r="AL84" s="105">
        <f t="shared" ref="AL84" si="214">+H84*$AF84</f>
        <v>0</v>
      </c>
      <c r="AM84" s="105">
        <f t="shared" ref="AM84" si="215">+I84*$AF84</f>
        <v>0</v>
      </c>
      <c r="AN84" s="105">
        <f t="shared" ref="AN84" si="216">+J84*$AF84</f>
        <v>0</v>
      </c>
      <c r="AO84" s="105">
        <f t="shared" ref="AO84" si="217">+K84*$AF84</f>
        <v>0</v>
      </c>
      <c r="AP84" s="105">
        <f t="shared" ref="AP84" si="218">+L84*$AF84</f>
        <v>0</v>
      </c>
      <c r="AQ84" s="105">
        <f t="shared" ref="AQ84" si="219">+M84*$AF84</f>
        <v>0</v>
      </c>
      <c r="AR84" s="105">
        <f t="shared" ref="AR84" si="220">+N84*$AF84</f>
        <v>0</v>
      </c>
      <c r="AS84" s="105">
        <f t="shared" ref="AS84" si="221">+O84*$AF84</f>
        <v>0</v>
      </c>
      <c r="AT84" s="105">
        <f t="shared" ref="AT84" si="222">+P84*$AF84</f>
        <v>0</v>
      </c>
      <c r="AU84" s="105">
        <f t="shared" ref="AU84" si="223">+Q84*$AF84</f>
        <v>0</v>
      </c>
      <c r="AV84" s="105">
        <f t="shared" ref="AV84" si="224">+R84*$AF84</f>
        <v>0</v>
      </c>
      <c r="AW84" s="105">
        <f t="shared" ref="AW84" si="225">+S84*$AF84</f>
        <v>0</v>
      </c>
      <c r="AX84" s="105">
        <f t="shared" ref="AX84" si="226">+T84*$AF84</f>
        <v>0</v>
      </c>
      <c r="AY84" s="105">
        <f t="shared" ref="AY84" si="227">+U84*$AF84</f>
        <v>0</v>
      </c>
      <c r="AZ84" s="105">
        <f t="shared" ref="AZ84" si="228">+V84*$AF84</f>
        <v>0</v>
      </c>
      <c r="BA84" s="105">
        <f t="shared" ref="BA84" si="229">+W84*$AF84</f>
        <v>0</v>
      </c>
      <c r="BB84" s="105">
        <f t="shared" ref="BB84" si="230">+X84*$AF84</f>
        <v>0</v>
      </c>
      <c r="BC84" s="105">
        <f t="shared" ref="BC84" si="231">+Y84*$AF84</f>
        <v>0</v>
      </c>
      <c r="BD84" s="105">
        <f t="shared" si="87"/>
        <v>0</v>
      </c>
      <c r="BE84" s="105">
        <f t="shared" ref="BE84" si="232">+AA84*$AF84</f>
        <v>0</v>
      </c>
    </row>
    <row r="85" spans="1:57" s="4" customFormat="1" x14ac:dyDescent="0.35">
      <c r="A85" s="178">
        <f>MAX(A$6:A84)+1</f>
        <v>71</v>
      </c>
      <c r="B85" s="65" t="s">
        <v>159</v>
      </c>
      <c r="C85" s="179"/>
      <c r="D85" s="179"/>
      <c r="E85" s="179"/>
      <c r="F85" s="179">
        <f>SUM(F69:F84)</f>
        <v>3199000</v>
      </c>
      <c r="G85" s="17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</row>
    <row r="86" spans="1:57" x14ac:dyDescent="0.35">
      <c r="A86" s="86"/>
      <c r="B86" s="65"/>
      <c r="C86" s="81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</row>
    <row r="87" spans="1:57" ht="15.5" x14ac:dyDescent="0.35">
      <c r="A87" s="91"/>
      <c r="B87" s="92" t="s">
        <v>11</v>
      </c>
      <c r="C87" s="93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</row>
    <row r="88" spans="1:57" ht="15.5" x14ac:dyDescent="0.35">
      <c r="A88" s="84"/>
      <c r="B88" s="31" t="s">
        <v>160</v>
      </c>
      <c r="C88" s="79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</row>
    <row r="89" spans="1:57" x14ac:dyDescent="0.35">
      <c r="A89" s="86">
        <f>MAX(A$6:A88)+1</f>
        <v>72</v>
      </c>
      <c r="B89" s="32" t="s">
        <v>226</v>
      </c>
      <c r="C89" s="74"/>
      <c r="D89" s="74"/>
      <c r="E89" s="74"/>
      <c r="F89" s="74">
        <f t="shared" ref="F89:F104" si="233">+F29+F69</f>
        <v>399200</v>
      </c>
      <c r="G89" s="74">
        <f t="shared" ref="G89:AA89" si="234">+G29+G69</f>
        <v>216000</v>
      </c>
      <c r="H89" s="74">
        <f t="shared" si="234"/>
        <v>224000</v>
      </c>
      <c r="I89" s="74">
        <f t="shared" si="234"/>
        <v>232000</v>
      </c>
      <c r="J89" s="74">
        <f t="shared" si="234"/>
        <v>240000</v>
      </c>
      <c r="K89" s="74">
        <f t="shared" si="234"/>
        <v>248000</v>
      </c>
      <c r="L89" s="74">
        <f t="shared" si="234"/>
        <v>257000</v>
      </c>
      <c r="M89" s="74">
        <f t="shared" si="234"/>
        <v>266000</v>
      </c>
      <c r="N89" s="74">
        <f t="shared" si="234"/>
        <v>275000</v>
      </c>
      <c r="O89" s="74">
        <f t="shared" si="234"/>
        <v>285000</v>
      </c>
      <c r="P89" s="74">
        <f t="shared" si="234"/>
        <v>295000</v>
      </c>
      <c r="Q89" s="74">
        <f t="shared" si="234"/>
        <v>305000</v>
      </c>
      <c r="R89" s="74">
        <f t="shared" si="234"/>
        <v>316000</v>
      </c>
      <c r="S89" s="74">
        <f t="shared" si="234"/>
        <v>327000</v>
      </c>
      <c r="T89" s="74">
        <f t="shared" si="234"/>
        <v>338000</v>
      </c>
      <c r="U89" s="74">
        <f t="shared" si="234"/>
        <v>350000</v>
      </c>
      <c r="V89" s="74">
        <f t="shared" si="234"/>
        <v>362000</v>
      </c>
      <c r="W89" s="74">
        <f t="shared" si="234"/>
        <v>375000</v>
      </c>
      <c r="X89" s="74">
        <f t="shared" si="234"/>
        <v>388000</v>
      </c>
      <c r="Y89" s="74">
        <f t="shared" si="234"/>
        <v>402000</v>
      </c>
      <c r="Z89" s="74">
        <f t="shared" si="234"/>
        <v>416000</v>
      </c>
      <c r="AA89" s="74">
        <f t="shared" si="234"/>
        <v>431000</v>
      </c>
      <c r="AE89" s="182" t="str">
        <f>+B89</f>
        <v>PWD - Human Resources and Administration</v>
      </c>
      <c r="AG89" s="105">
        <f t="shared" ref="AG89:AI89" si="235">+AG69+AG29</f>
        <v>0</v>
      </c>
      <c r="AH89" s="105">
        <f t="shared" si="235"/>
        <v>0</v>
      </c>
      <c r="AI89" s="105">
        <f t="shared" si="235"/>
        <v>0</v>
      </c>
      <c r="AJ89" s="105">
        <f t="shared" ref="AJ89:AJ104" si="236">+AJ69+AJ29</f>
        <v>399200</v>
      </c>
      <c r="AK89" s="105">
        <f t="shared" ref="AK89:BE89" si="237">+AK69+AK29</f>
        <v>216000</v>
      </c>
      <c r="AL89" s="105">
        <f t="shared" si="237"/>
        <v>224000</v>
      </c>
      <c r="AM89" s="105">
        <f t="shared" si="237"/>
        <v>232000</v>
      </c>
      <c r="AN89" s="105">
        <f t="shared" si="237"/>
        <v>240000</v>
      </c>
      <c r="AO89" s="105">
        <f t="shared" si="237"/>
        <v>248000</v>
      </c>
      <c r="AP89" s="105">
        <f t="shared" si="237"/>
        <v>257000</v>
      </c>
      <c r="AQ89" s="105">
        <f t="shared" si="237"/>
        <v>266000</v>
      </c>
      <c r="AR89" s="105">
        <f t="shared" si="237"/>
        <v>275000</v>
      </c>
      <c r="AS89" s="105">
        <f t="shared" si="237"/>
        <v>285000</v>
      </c>
      <c r="AT89" s="105">
        <f t="shared" si="237"/>
        <v>295000</v>
      </c>
      <c r="AU89" s="105">
        <f t="shared" si="237"/>
        <v>305000</v>
      </c>
      <c r="AV89" s="105">
        <f t="shared" si="237"/>
        <v>316000</v>
      </c>
      <c r="AW89" s="105">
        <f t="shared" si="237"/>
        <v>327000</v>
      </c>
      <c r="AX89" s="105">
        <f t="shared" si="237"/>
        <v>338000</v>
      </c>
      <c r="AY89" s="105">
        <f t="shared" si="237"/>
        <v>350000</v>
      </c>
      <c r="AZ89" s="105">
        <f t="shared" si="237"/>
        <v>362000</v>
      </c>
      <c r="BA89" s="105">
        <f t="shared" si="237"/>
        <v>375000</v>
      </c>
      <c r="BB89" s="105">
        <f t="shared" si="237"/>
        <v>388000</v>
      </c>
      <c r="BC89" s="105">
        <f t="shared" si="237"/>
        <v>402000</v>
      </c>
      <c r="BD89" s="105">
        <f t="shared" si="237"/>
        <v>416000</v>
      </c>
      <c r="BE89" s="105">
        <f t="shared" si="237"/>
        <v>431000</v>
      </c>
    </row>
    <row r="90" spans="1:57" x14ac:dyDescent="0.35">
      <c r="A90" s="85">
        <f>MAX(A$6:A89)+1</f>
        <v>73</v>
      </c>
      <c r="B90" s="17" t="s">
        <v>227</v>
      </c>
      <c r="C90" s="17"/>
      <c r="D90" s="14"/>
      <c r="E90" s="76"/>
      <c r="F90" s="76">
        <f t="shared" si="233"/>
        <v>205800</v>
      </c>
      <c r="G90" s="76">
        <f t="shared" ref="G90:AA90" si="238">+G30+G70</f>
        <v>147000</v>
      </c>
      <c r="H90" s="76">
        <f t="shared" si="238"/>
        <v>152000</v>
      </c>
      <c r="I90" s="76">
        <f t="shared" si="238"/>
        <v>157000</v>
      </c>
      <c r="J90" s="76">
        <f t="shared" si="238"/>
        <v>162000</v>
      </c>
      <c r="K90" s="76">
        <f t="shared" si="238"/>
        <v>168000</v>
      </c>
      <c r="L90" s="76">
        <f t="shared" si="238"/>
        <v>174000</v>
      </c>
      <c r="M90" s="76">
        <f t="shared" si="238"/>
        <v>180000</v>
      </c>
      <c r="N90" s="76">
        <f t="shared" si="238"/>
        <v>186000</v>
      </c>
      <c r="O90" s="76">
        <f t="shared" si="238"/>
        <v>193000</v>
      </c>
      <c r="P90" s="76">
        <f t="shared" si="238"/>
        <v>200000</v>
      </c>
      <c r="Q90" s="76">
        <f t="shared" si="238"/>
        <v>207000</v>
      </c>
      <c r="R90" s="76">
        <f t="shared" si="238"/>
        <v>214000</v>
      </c>
      <c r="S90" s="76">
        <f t="shared" si="238"/>
        <v>221000</v>
      </c>
      <c r="T90" s="76">
        <f t="shared" si="238"/>
        <v>229000</v>
      </c>
      <c r="U90" s="76">
        <f t="shared" si="238"/>
        <v>237000</v>
      </c>
      <c r="V90" s="76">
        <f t="shared" si="238"/>
        <v>245000</v>
      </c>
      <c r="W90" s="76">
        <f t="shared" si="238"/>
        <v>254000</v>
      </c>
      <c r="X90" s="76">
        <f t="shared" si="238"/>
        <v>263000</v>
      </c>
      <c r="Y90" s="76">
        <f t="shared" si="238"/>
        <v>272000</v>
      </c>
      <c r="Z90" s="76">
        <f t="shared" si="238"/>
        <v>282000</v>
      </c>
      <c r="AA90" s="76">
        <f t="shared" si="238"/>
        <v>292000</v>
      </c>
      <c r="AE90" s="182" t="str">
        <f t="shared" ref="AE90:AE104" si="239">+B90</f>
        <v>PWD - Finance</v>
      </c>
      <c r="AG90" s="2">
        <f t="shared" ref="AG90:AI104" si="240">+AG70+AG30</f>
        <v>0</v>
      </c>
      <c r="AH90" s="2">
        <f t="shared" si="240"/>
        <v>0</v>
      </c>
      <c r="AI90" s="2">
        <f t="shared" si="240"/>
        <v>0</v>
      </c>
      <c r="AJ90" s="2">
        <f t="shared" si="236"/>
        <v>166345</v>
      </c>
      <c r="AK90" s="2">
        <f t="shared" ref="AK90:BE90" si="241">+AK70+AK30</f>
        <v>105572</v>
      </c>
      <c r="AL90" s="2">
        <f t="shared" si="241"/>
        <v>109163</v>
      </c>
      <c r="AM90" s="2">
        <f t="shared" si="241"/>
        <v>112754</v>
      </c>
      <c r="AN90" s="2">
        <f t="shared" si="241"/>
        <v>116344</v>
      </c>
      <c r="AO90" s="2">
        <f t="shared" si="241"/>
        <v>120653</v>
      </c>
      <c r="AP90" s="2">
        <f t="shared" si="241"/>
        <v>124963</v>
      </c>
      <c r="AQ90" s="2">
        <f t="shared" si="241"/>
        <v>129272</v>
      </c>
      <c r="AR90" s="2">
        <f t="shared" si="241"/>
        <v>133581</v>
      </c>
      <c r="AS90" s="2">
        <f t="shared" si="241"/>
        <v>138608</v>
      </c>
      <c r="AT90" s="2">
        <f t="shared" si="241"/>
        <v>143635</v>
      </c>
      <c r="AU90" s="2">
        <f t="shared" si="241"/>
        <v>148662</v>
      </c>
      <c r="AV90" s="2">
        <f t="shared" si="241"/>
        <v>153690</v>
      </c>
      <c r="AW90" s="2">
        <f t="shared" si="241"/>
        <v>158717</v>
      </c>
      <c r="AX90" s="2">
        <f t="shared" si="241"/>
        <v>164462</v>
      </c>
      <c r="AY90" s="2">
        <f t="shared" si="241"/>
        <v>170208</v>
      </c>
      <c r="AZ90" s="2">
        <f t="shared" si="241"/>
        <v>175953</v>
      </c>
      <c r="BA90" s="2">
        <f t="shared" si="241"/>
        <v>182417</v>
      </c>
      <c r="BB90" s="2">
        <f t="shared" si="241"/>
        <v>188880</v>
      </c>
      <c r="BC90" s="2">
        <f t="shared" si="241"/>
        <v>195344</v>
      </c>
      <c r="BD90" s="2">
        <f t="shared" si="241"/>
        <v>202525</v>
      </c>
      <c r="BE90" s="2">
        <f t="shared" si="241"/>
        <v>209707</v>
      </c>
    </row>
    <row r="91" spans="1:57" x14ac:dyDescent="0.35">
      <c r="A91" s="86">
        <f>MAX(A$6:A90)+1</f>
        <v>74</v>
      </c>
      <c r="B91" s="32" t="s">
        <v>231</v>
      </c>
      <c r="C91" s="177"/>
      <c r="D91" s="177"/>
      <c r="E91" s="177"/>
      <c r="F91" s="177">
        <f t="shared" si="233"/>
        <v>426800</v>
      </c>
      <c r="G91" s="177">
        <f t="shared" ref="G91:AA91" si="242">+G31+G71</f>
        <v>232000</v>
      </c>
      <c r="H91" s="177">
        <f t="shared" si="242"/>
        <v>240000</v>
      </c>
      <c r="I91" s="177">
        <f t="shared" si="242"/>
        <v>248000</v>
      </c>
      <c r="J91" s="177">
        <f t="shared" si="242"/>
        <v>257000</v>
      </c>
      <c r="K91" s="177">
        <f t="shared" si="242"/>
        <v>266000</v>
      </c>
      <c r="L91" s="177">
        <f t="shared" si="242"/>
        <v>275000</v>
      </c>
      <c r="M91" s="177">
        <f t="shared" si="242"/>
        <v>285000</v>
      </c>
      <c r="N91" s="177">
        <f t="shared" si="242"/>
        <v>295000</v>
      </c>
      <c r="O91" s="177">
        <f t="shared" si="242"/>
        <v>305000</v>
      </c>
      <c r="P91" s="177">
        <f t="shared" si="242"/>
        <v>316000</v>
      </c>
      <c r="Q91" s="177">
        <f t="shared" si="242"/>
        <v>327000</v>
      </c>
      <c r="R91" s="177">
        <f t="shared" si="242"/>
        <v>338000</v>
      </c>
      <c r="S91" s="177">
        <f t="shared" si="242"/>
        <v>350000</v>
      </c>
      <c r="T91" s="177">
        <f t="shared" si="242"/>
        <v>362000</v>
      </c>
      <c r="U91" s="177">
        <f t="shared" si="242"/>
        <v>375000</v>
      </c>
      <c r="V91" s="177">
        <f t="shared" si="242"/>
        <v>388000</v>
      </c>
      <c r="W91" s="177">
        <f t="shared" si="242"/>
        <v>402000</v>
      </c>
      <c r="X91" s="177">
        <f t="shared" si="242"/>
        <v>416000</v>
      </c>
      <c r="Y91" s="177">
        <f t="shared" si="242"/>
        <v>431000</v>
      </c>
      <c r="Z91" s="177">
        <f t="shared" si="242"/>
        <v>446000</v>
      </c>
      <c r="AA91" s="177">
        <f t="shared" si="242"/>
        <v>462000</v>
      </c>
      <c r="AE91" s="182" t="str">
        <f t="shared" si="239"/>
        <v>PWD - Construction and Engineering</v>
      </c>
      <c r="AG91" s="2">
        <f t="shared" si="240"/>
        <v>0</v>
      </c>
      <c r="AH91" s="2">
        <f t="shared" si="240"/>
        <v>0</v>
      </c>
      <c r="AI91" s="2">
        <f t="shared" si="240"/>
        <v>0</v>
      </c>
      <c r="AJ91" s="2">
        <f t="shared" si="236"/>
        <v>402951</v>
      </c>
      <c r="AK91" s="2">
        <f t="shared" ref="AK91:BE91" si="243">+AK71+AK31</f>
        <v>206964</v>
      </c>
      <c r="AL91" s="2">
        <f t="shared" si="243"/>
        <v>214100</v>
      </c>
      <c r="AM91" s="2">
        <f t="shared" si="243"/>
        <v>221237</v>
      </c>
      <c r="AN91" s="2">
        <f t="shared" si="243"/>
        <v>229266</v>
      </c>
      <c r="AO91" s="2">
        <f t="shared" si="243"/>
        <v>237294</v>
      </c>
      <c r="AP91" s="2">
        <f t="shared" si="243"/>
        <v>245323</v>
      </c>
      <c r="AQ91" s="2">
        <f t="shared" si="243"/>
        <v>254244</v>
      </c>
      <c r="AR91" s="2">
        <f t="shared" si="243"/>
        <v>263165</v>
      </c>
      <c r="AS91" s="2">
        <f t="shared" si="243"/>
        <v>272086</v>
      </c>
      <c r="AT91" s="2">
        <f t="shared" si="243"/>
        <v>281899</v>
      </c>
      <c r="AU91" s="2">
        <f t="shared" si="243"/>
        <v>291712</v>
      </c>
      <c r="AV91" s="2">
        <f t="shared" si="243"/>
        <v>301524</v>
      </c>
      <c r="AW91" s="2">
        <f t="shared" si="243"/>
        <v>312229</v>
      </c>
      <c r="AX91" s="2">
        <f t="shared" si="243"/>
        <v>322934</v>
      </c>
      <c r="AY91" s="2">
        <f t="shared" si="243"/>
        <v>334532</v>
      </c>
      <c r="AZ91" s="2">
        <f t="shared" si="243"/>
        <v>346129</v>
      </c>
      <c r="BA91" s="2">
        <f t="shared" si="243"/>
        <v>358618</v>
      </c>
      <c r="BB91" s="2">
        <f t="shared" si="243"/>
        <v>371107</v>
      </c>
      <c r="BC91" s="2">
        <f t="shared" si="243"/>
        <v>384488</v>
      </c>
      <c r="BD91" s="2">
        <f t="shared" si="243"/>
        <v>397870</v>
      </c>
      <c r="BE91" s="2">
        <f t="shared" si="243"/>
        <v>412143</v>
      </c>
    </row>
    <row r="92" spans="1:57" x14ac:dyDescent="0.35">
      <c r="A92" s="85">
        <f>MAX(A$6:A91)+1</f>
        <v>75</v>
      </c>
      <c r="B92" s="17" t="s">
        <v>232</v>
      </c>
      <c r="C92" s="17"/>
      <c r="D92" s="14"/>
      <c r="E92" s="76"/>
      <c r="F92" s="76">
        <f t="shared" si="233"/>
        <v>3657600</v>
      </c>
      <c r="G92" s="76">
        <f t="shared" ref="G92:AA92" si="244">+G32+G72</f>
        <v>1865000</v>
      </c>
      <c r="H92" s="76">
        <f t="shared" si="244"/>
        <v>1930000</v>
      </c>
      <c r="I92" s="76">
        <f t="shared" si="244"/>
        <v>1998000</v>
      </c>
      <c r="J92" s="76">
        <f t="shared" si="244"/>
        <v>2068000</v>
      </c>
      <c r="K92" s="76">
        <f t="shared" si="244"/>
        <v>2140000</v>
      </c>
      <c r="L92" s="76">
        <f t="shared" si="244"/>
        <v>2215000</v>
      </c>
      <c r="M92" s="76">
        <f t="shared" si="244"/>
        <v>2293000</v>
      </c>
      <c r="N92" s="76">
        <f t="shared" si="244"/>
        <v>2373000</v>
      </c>
      <c r="O92" s="76">
        <f t="shared" si="244"/>
        <v>2456000</v>
      </c>
      <c r="P92" s="76">
        <f t="shared" si="244"/>
        <v>2542000</v>
      </c>
      <c r="Q92" s="76">
        <f t="shared" si="244"/>
        <v>2631000</v>
      </c>
      <c r="R92" s="76">
        <f t="shared" si="244"/>
        <v>2723000</v>
      </c>
      <c r="S92" s="76">
        <f t="shared" si="244"/>
        <v>2818000</v>
      </c>
      <c r="T92" s="76">
        <f t="shared" si="244"/>
        <v>2917000</v>
      </c>
      <c r="U92" s="76">
        <f t="shared" si="244"/>
        <v>3019000</v>
      </c>
      <c r="V92" s="76">
        <f t="shared" si="244"/>
        <v>3125000</v>
      </c>
      <c r="W92" s="76">
        <f t="shared" si="244"/>
        <v>3234000</v>
      </c>
      <c r="X92" s="76">
        <f t="shared" si="244"/>
        <v>3347000</v>
      </c>
      <c r="Y92" s="76">
        <f t="shared" si="244"/>
        <v>3464000</v>
      </c>
      <c r="Z92" s="76">
        <f t="shared" si="244"/>
        <v>3585000</v>
      </c>
      <c r="AA92" s="76">
        <f t="shared" si="244"/>
        <v>3710000</v>
      </c>
      <c r="AE92" s="182" t="str">
        <f t="shared" si="239"/>
        <v>PWD - Operations</v>
      </c>
      <c r="AG92" s="2">
        <f t="shared" si="240"/>
        <v>0</v>
      </c>
      <c r="AH92" s="2">
        <f t="shared" si="240"/>
        <v>0</v>
      </c>
      <c r="AI92" s="2">
        <f t="shared" si="240"/>
        <v>0</v>
      </c>
      <c r="AJ92" s="2">
        <f t="shared" si="236"/>
        <v>3573061</v>
      </c>
      <c r="AK92" s="2">
        <f t="shared" ref="AK92:BE92" si="245">+AK72+AK32</f>
        <v>1776224</v>
      </c>
      <c r="AL92" s="2">
        <f t="shared" si="245"/>
        <v>1838130</v>
      </c>
      <c r="AM92" s="2">
        <f t="shared" si="245"/>
        <v>1902894</v>
      </c>
      <c r="AN92" s="2">
        <f t="shared" si="245"/>
        <v>1969561</v>
      </c>
      <c r="AO92" s="2">
        <f t="shared" si="245"/>
        <v>2038134</v>
      </c>
      <c r="AP92" s="2">
        <f t="shared" si="245"/>
        <v>2109564</v>
      </c>
      <c r="AQ92" s="2">
        <f t="shared" si="245"/>
        <v>2183851</v>
      </c>
      <c r="AR92" s="2">
        <f t="shared" si="245"/>
        <v>2260043</v>
      </c>
      <c r="AS92" s="2">
        <f t="shared" si="245"/>
        <v>2339092</v>
      </c>
      <c r="AT92" s="2">
        <f t="shared" si="245"/>
        <v>2420999</v>
      </c>
      <c r="AU92" s="2">
        <f t="shared" si="245"/>
        <v>2505762</v>
      </c>
      <c r="AV92" s="2">
        <f t="shared" si="245"/>
        <v>2593383</v>
      </c>
      <c r="AW92" s="2">
        <f t="shared" si="245"/>
        <v>2683861</v>
      </c>
      <c r="AX92" s="2">
        <f t="shared" si="245"/>
        <v>2778148</v>
      </c>
      <c r="AY92" s="2">
        <f t="shared" si="245"/>
        <v>2875293</v>
      </c>
      <c r="AZ92" s="2">
        <f t="shared" si="245"/>
        <v>2976247</v>
      </c>
      <c r="BA92" s="2">
        <f t="shared" si="245"/>
        <v>3080059</v>
      </c>
      <c r="BB92" s="2">
        <f t="shared" si="245"/>
        <v>3187680</v>
      </c>
      <c r="BC92" s="2">
        <f t="shared" si="245"/>
        <v>3299111</v>
      </c>
      <c r="BD92" s="2">
        <f t="shared" si="245"/>
        <v>3414351</v>
      </c>
      <c r="BE92" s="2">
        <f t="shared" si="245"/>
        <v>3533401</v>
      </c>
    </row>
    <row r="93" spans="1:57" x14ac:dyDescent="0.35">
      <c r="A93" s="86">
        <f>MAX(A$6:A92)+1</f>
        <v>76</v>
      </c>
      <c r="B93" s="32" t="s">
        <v>233</v>
      </c>
      <c r="C93" s="177"/>
      <c r="D93" s="177"/>
      <c r="E93" s="177"/>
      <c r="F93" s="177">
        <f t="shared" si="233"/>
        <v>819000</v>
      </c>
      <c r="G93" s="177">
        <f t="shared" ref="G93:AA93" si="246">+G33+G73</f>
        <v>456000</v>
      </c>
      <c r="H93" s="177">
        <f t="shared" si="246"/>
        <v>472000</v>
      </c>
      <c r="I93" s="177">
        <f t="shared" si="246"/>
        <v>489000</v>
      </c>
      <c r="J93" s="177">
        <f t="shared" si="246"/>
        <v>506000</v>
      </c>
      <c r="K93" s="177">
        <f t="shared" si="246"/>
        <v>524000</v>
      </c>
      <c r="L93" s="177">
        <f t="shared" si="246"/>
        <v>542000</v>
      </c>
      <c r="M93" s="177">
        <f t="shared" si="246"/>
        <v>561000</v>
      </c>
      <c r="N93" s="177">
        <f t="shared" si="246"/>
        <v>581000</v>
      </c>
      <c r="O93" s="177">
        <f t="shared" si="246"/>
        <v>601000</v>
      </c>
      <c r="P93" s="177">
        <f t="shared" si="246"/>
        <v>622000</v>
      </c>
      <c r="Q93" s="177">
        <f t="shared" si="246"/>
        <v>644000</v>
      </c>
      <c r="R93" s="177">
        <f t="shared" si="246"/>
        <v>667000</v>
      </c>
      <c r="S93" s="177">
        <f t="shared" si="246"/>
        <v>690000</v>
      </c>
      <c r="T93" s="177">
        <f t="shared" si="246"/>
        <v>714000</v>
      </c>
      <c r="U93" s="177">
        <f t="shared" si="246"/>
        <v>739000</v>
      </c>
      <c r="V93" s="177">
        <f t="shared" si="246"/>
        <v>765000</v>
      </c>
      <c r="W93" s="177">
        <f t="shared" si="246"/>
        <v>792000</v>
      </c>
      <c r="X93" s="177">
        <f t="shared" si="246"/>
        <v>820000</v>
      </c>
      <c r="Y93" s="177">
        <f t="shared" si="246"/>
        <v>849000</v>
      </c>
      <c r="Z93" s="177">
        <f t="shared" si="246"/>
        <v>879000</v>
      </c>
      <c r="AA93" s="177">
        <f t="shared" si="246"/>
        <v>910000</v>
      </c>
      <c r="AE93" s="182" t="str">
        <f t="shared" si="239"/>
        <v>PWD - Planning &amp; Enviromental Services</v>
      </c>
      <c r="AG93" s="2">
        <f t="shared" si="240"/>
        <v>0</v>
      </c>
      <c r="AH93" s="2">
        <f t="shared" si="240"/>
        <v>0</v>
      </c>
      <c r="AI93" s="2">
        <f t="shared" si="240"/>
        <v>0</v>
      </c>
      <c r="AJ93" s="2">
        <f t="shared" si="236"/>
        <v>787764</v>
      </c>
      <c r="AK93" s="2">
        <f t="shared" ref="AK93:BE93" si="247">+AK73+AK33</f>
        <v>423181</v>
      </c>
      <c r="AL93" s="2">
        <f t="shared" si="247"/>
        <v>438029</v>
      </c>
      <c r="AM93" s="2">
        <f t="shared" si="247"/>
        <v>453806</v>
      </c>
      <c r="AN93" s="2">
        <f t="shared" si="247"/>
        <v>469582</v>
      </c>
      <c r="AO93" s="2">
        <f t="shared" si="247"/>
        <v>486287</v>
      </c>
      <c r="AP93" s="2">
        <f t="shared" si="247"/>
        <v>502991</v>
      </c>
      <c r="AQ93" s="2">
        <f t="shared" si="247"/>
        <v>520624</v>
      </c>
      <c r="AR93" s="2">
        <f t="shared" si="247"/>
        <v>539184</v>
      </c>
      <c r="AS93" s="2">
        <f t="shared" si="247"/>
        <v>557745</v>
      </c>
      <c r="AT93" s="2">
        <f t="shared" si="247"/>
        <v>577233</v>
      </c>
      <c r="AU93" s="2">
        <f t="shared" si="247"/>
        <v>597650</v>
      </c>
      <c r="AV93" s="2">
        <f t="shared" si="247"/>
        <v>618995</v>
      </c>
      <c r="AW93" s="2">
        <f t="shared" si="247"/>
        <v>640339</v>
      </c>
      <c r="AX93" s="2">
        <f t="shared" si="247"/>
        <v>662612</v>
      </c>
      <c r="AY93" s="2">
        <f t="shared" si="247"/>
        <v>685813</v>
      </c>
      <c r="AZ93" s="2">
        <f t="shared" si="247"/>
        <v>709941</v>
      </c>
      <c r="BA93" s="2">
        <f t="shared" si="247"/>
        <v>734998</v>
      </c>
      <c r="BB93" s="2">
        <f t="shared" si="247"/>
        <v>760983</v>
      </c>
      <c r="BC93" s="2">
        <f t="shared" si="247"/>
        <v>787896</v>
      </c>
      <c r="BD93" s="2">
        <f t="shared" si="247"/>
        <v>815737</v>
      </c>
      <c r="BE93" s="2">
        <f t="shared" si="247"/>
        <v>844505</v>
      </c>
    </row>
    <row r="94" spans="1:57" x14ac:dyDescent="0.35">
      <c r="A94" s="85">
        <f>MAX(A$6:A93)+1</f>
        <v>77</v>
      </c>
      <c r="B94" s="17" t="s">
        <v>234</v>
      </c>
      <c r="C94" s="17"/>
      <c r="D94" s="14"/>
      <c r="E94" s="76"/>
      <c r="F94" s="76">
        <f t="shared" si="233"/>
        <v>214200</v>
      </c>
      <c r="G94" s="76">
        <f t="shared" ref="G94:AA94" si="248">+G34+G74</f>
        <v>110000</v>
      </c>
      <c r="H94" s="76">
        <f t="shared" si="248"/>
        <v>114000</v>
      </c>
      <c r="I94" s="76">
        <f t="shared" si="248"/>
        <v>118000</v>
      </c>
      <c r="J94" s="76">
        <f t="shared" si="248"/>
        <v>122000</v>
      </c>
      <c r="K94" s="76">
        <f t="shared" si="248"/>
        <v>126000</v>
      </c>
      <c r="L94" s="76">
        <f t="shared" si="248"/>
        <v>130000</v>
      </c>
      <c r="M94" s="76">
        <f t="shared" si="248"/>
        <v>135000</v>
      </c>
      <c r="N94" s="76">
        <f t="shared" si="248"/>
        <v>140000</v>
      </c>
      <c r="O94" s="76">
        <f t="shared" si="248"/>
        <v>145000</v>
      </c>
      <c r="P94" s="76">
        <f t="shared" si="248"/>
        <v>150000</v>
      </c>
      <c r="Q94" s="76">
        <f t="shared" si="248"/>
        <v>155000</v>
      </c>
      <c r="R94" s="76">
        <f t="shared" si="248"/>
        <v>160000</v>
      </c>
      <c r="S94" s="76">
        <f t="shared" si="248"/>
        <v>166000</v>
      </c>
      <c r="T94" s="76">
        <f t="shared" si="248"/>
        <v>172000</v>
      </c>
      <c r="U94" s="76">
        <f t="shared" si="248"/>
        <v>178000</v>
      </c>
      <c r="V94" s="76">
        <f t="shared" si="248"/>
        <v>184000</v>
      </c>
      <c r="W94" s="76">
        <f t="shared" si="248"/>
        <v>190000</v>
      </c>
      <c r="X94" s="76">
        <f t="shared" si="248"/>
        <v>197000</v>
      </c>
      <c r="Y94" s="76">
        <f t="shared" si="248"/>
        <v>204000</v>
      </c>
      <c r="Z94" s="76">
        <f t="shared" si="248"/>
        <v>211000</v>
      </c>
      <c r="AA94" s="76">
        <f t="shared" si="248"/>
        <v>218000</v>
      </c>
      <c r="AE94" s="182" t="str">
        <f t="shared" si="239"/>
        <v>PWD - Public Affairs</v>
      </c>
      <c r="AG94" s="2">
        <f t="shared" si="240"/>
        <v>0</v>
      </c>
      <c r="AH94" s="2">
        <f t="shared" si="240"/>
        <v>0</v>
      </c>
      <c r="AI94" s="2">
        <f t="shared" si="240"/>
        <v>0</v>
      </c>
      <c r="AJ94" s="2">
        <f t="shared" si="236"/>
        <v>203193</v>
      </c>
      <c r="AK94" s="2">
        <f t="shared" ref="AK94:BE94" si="249">+AK74+AK34</f>
        <v>98469</v>
      </c>
      <c r="AL94" s="2">
        <f t="shared" si="249"/>
        <v>102049</v>
      </c>
      <c r="AM94" s="2">
        <f t="shared" si="249"/>
        <v>105630</v>
      </c>
      <c r="AN94" s="2">
        <f t="shared" si="249"/>
        <v>109211</v>
      </c>
      <c r="AO94" s="2">
        <f t="shared" si="249"/>
        <v>112792</v>
      </c>
      <c r="AP94" s="2">
        <f t="shared" si="249"/>
        <v>116372</v>
      </c>
      <c r="AQ94" s="2">
        <f t="shared" si="249"/>
        <v>120848</v>
      </c>
      <c r="AR94" s="2">
        <f t="shared" si="249"/>
        <v>125324</v>
      </c>
      <c r="AS94" s="2">
        <f t="shared" si="249"/>
        <v>129800</v>
      </c>
      <c r="AT94" s="2">
        <f t="shared" si="249"/>
        <v>134276</v>
      </c>
      <c r="AU94" s="2">
        <f t="shared" si="249"/>
        <v>138751</v>
      </c>
      <c r="AV94" s="2">
        <f t="shared" si="249"/>
        <v>143227</v>
      </c>
      <c r="AW94" s="2">
        <f t="shared" si="249"/>
        <v>148598</v>
      </c>
      <c r="AX94" s="2">
        <f t="shared" si="249"/>
        <v>153969</v>
      </c>
      <c r="AY94" s="2">
        <f t="shared" si="249"/>
        <v>159340</v>
      </c>
      <c r="AZ94" s="2">
        <f t="shared" si="249"/>
        <v>164711</v>
      </c>
      <c r="BA94" s="2">
        <f t="shared" si="249"/>
        <v>170082</v>
      </c>
      <c r="BB94" s="2">
        <f t="shared" si="249"/>
        <v>176349</v>
      </c>
      <c r="BC94" s="2">
        <f t="shared" si="249"/>
        <v>182615</v>
      </c>
      <c r="BD94" s="2">
        <f t="shared" si="249"/>
        <v>188881</v>
      </c>
      <c r="BE94" s="2">
        <f t="shared" si="249"/>
        <v>195147</v>
      </c>
    </row>
    <row r="95" spans="1:57" x14ac:dyDescent="0.35">
      <c r="A95" s="86">
        <f>MAX(A$6:A94)+1</f>
        <v>78</v>
      </c>
      <c r="B95" s="32" t="s">
        <v>235</v>
      </c>
      <c r="C95" s="177"/>
      <c r="D95" s="177"/>
      <c r="E95" s="177"/>
      <c r="F95" s="177">
        <f t="shared" si="233"/>
        <v>242600</v>
      </c>
      <c r="G95" s="177">
        <f t="shared" ref="G95:AA95" si="250">+G35+G75</f>
        <v>219000</v>
      </c>
      <c r="H95" s="177">
        <f t="shared" si="250"/>
        <v>227000</v>
      </c>
      <c r="I95" s="177">
        <f t="shared" si="250"/>
        <v>235000</v>
      </c>
      <c r="J95" s="177">
        <f t="shared" si="250"/>
        <v>243000</v>
      </c>
      <c r="K95" s="177">
        <f t="shared" si="250"/>
        <v>252000</v>
      </c>
      <c r="L95" s="177">
        <f t="shared" si="250"/>
        <v>261000</v>
      </c>
      <c r="M95" s="177">
        <f t="shared" si="250"/>
        <v>270000</v>
      </c>
      <c r="N95" s="177">
        <f t="shared" si="250"/>
        <v>279000</v>
      </c>
      <c r="O95" s="177">
        <f t="shared" si="250"/>
        <v>289000</v>
      </c>
      <c r="P95" s="177">
        <f t="shared" si="250"/>
        <v>299000</v>
      </c>
      <c r="Q95" s="177">
        <f t="shared" si="250"/>
        <v>309000</v>
      </c>
      <c r="R95" s="177">
        <f t="shared" si="250"/>
        <v>320000</v>
      </c>
      <c r="S95" s="177">
        <f t="shared" si="250"/>
        <v>331000</v>
      </c>
      <c r="T95" s="177">
        <f t="shared" si="250"/>
        <v>343000</v>
      </c>
      <c r="U95" s="177">
        <f t="shared" si="250"/>
        <v>355000</v>
      </c>
      <c r="V95" s="177">
        <f t="shared" si="250"/>
        <v>367000</v>
      </c>
      <c r="W95" s="177">
        <f t="shared" si="250"/>
        <v>380000</v>
      </c>
      <c r="X95" s="177">
        <f t="shared" si="250"/>
        <v>393000</v>
      </c>
      <c r="Y95" s="177">
        <f t="shared" si="250"/>
        <v>407000</v>
      </c>
      <c r="Z95" s="177">
        <f t="shared" si="250"/>
        <v>421000</v>
      </c>
      <c r="AA95" s="177">
        <f t="shared" si="250"/>
        <v>436000</v>
      </c>
      <c r="AE95" s="182" t="str">
        <f t="shared" si="239"/>
        <v>OD - Division of Technology</v>
      </c>
      <c r="AG95" s="2">
        <f t="shared" si="240"/>
        <v>0</v>
      </c>
      <c r="AH95" s="2">
        <f t="shared" si="240"/>
        <v>0</v>
      </c>
      <c r="AI95" s="2">
        <f t="shared" si="240"/>
        <v>0</v>
      </c>
      <c r="AJ95" s="2">
        <f t="shared" si="236"/>
        <v>194591</v>
      </c>
      <c r="AK95" s="2">
        <f t="shared" ref="AK95:BE95" si="251">+AK75+AK35</f>
        <v>168693</v>
      </c>
      <c r="AL95" s="2">
        <f t="shared" si="251"/>
        <v>174856</v>
      </c>
      <c r="AM95" s="2">
        <f t="shared" si="251"/>
        <v>181018</v>
      </c>
      <c r="AN95" s="2">
        <f t="shared" si="251"/>
        <v>187180</v>
      </c>
      <c r="AO95" s="2">
        <f t="shared" si="251"/>
        <v>194113</v>
      </c>
      <c r="AP95" s="2">
        <f t="shared" si="251"/>
        <v>201046</v>
      </c>
      <c r="AQ95" s="2">
        <f t="shared" si="251"/>
        <v>207978</v>
      </c>
      <c r="AR95" s="2">
        <f t="shared" si="251"/>
        <v>214911</v>
      </c>
      <c r="AS95" s="2">
        <f t="shared" si="251"/>
        <v>222614</v>
      </c>
      <c r="AT95" s="2">
        <f t="shared" si="251"/>
        <v>230317</v>
      </c>
      <c r="AU95" s="2">
        <f t="shared" si="251"/>
        <v>238020</v>
      </c>
      <c r="AV95" s="2">
        <f t="shared" si="251"/>
        <v>246493</v>
      </c>
      <c r="AW95" s="2">
        <f t="shared" si="251"/>
        <v>254966</v>
      </c>
      <c r="AX95" s="2">
        <f t="shared" si="251"/>
        <v>264209</v>
      </c>
      <c r="AY95" s="2">
        <f t="shared" si="251"/>
        <v>273453</v>
      </c>
      <c r="AZ95" s="2">
        <f t="shared" si="251"/>
        <v>282696</v>
      </c>
      <c r="BA95" s="2">
        <f t="shared" si="251"/>
        <v>292710</v>
      </c>
      <c r="BB95" s="2">
        <f t="shared" si="251"/>
        <v>302724</v>
      </c>
      <c r="BC95" s="2">
        <f t="shared" si="251"/>
        <v>313508</v>
      </c>
      <c r="BD95" s="2">
        <f t="shared" si="251"/>
        <v>324292</v>
      </c>
      <c r="BE95" s="2">
        <f t="shared" si="251"/>
        <v>335846</v>
      </c>
    </row>
    <row r="96" spans="1:57" x14ac:dyDescent="0.35">
      <c r="A96" s="85">
        <f>MAX(A$6:A95)+1</f>
        <v>79</v>
      </c>
      <c r="B96" s="17" t="s">
        <v>236</v>
      </c>
      <c r="C96" s="17"/>
      <c r="D96" s="14"/>
      <c r="E96" s="76"/>
      <c r="F96" s="76">
        <f t="shared" si="233"/>
        <v>5000</v>
      </c>
      <c r="G96" s="76">
        <f t="shared" ref="G96:AA96" si="252">+G36+G76</f>
        <v>5000</v>
      </c>
      <c r="H96" s="76">
        <f t="shared" si="252"/>
        <v>5000</v>
      </c>
      <c r="I96" s="76">
        <f t="shared" si="252"/>
        <v>5000</v>
      </c>
      <c r="J96" s="76">
        <f t="shared" si="252"/>
        <v>5000</v>
      </c>
      <c r="K96" s="76">
        <f t="shared" si="252"/>
        <v>5000</v>
      </c>
      <c r="L96" s="76">
        <f t="shared" si="252"/>
        <v>5000</v>
      </c>
      <c r="M96" s="76">
        <f t="shared" si="252"/>
        <v>5000</v>
      </c>
      <c r="N96" s="76">
        <f t="shared" si="252"/>
        <v>5000</v>
      </c>
      <c r="O96" s="76">
        <f t="shared" si="252"/>
        <v>5000</v>
      </c>
      <c r="P96" s="76">
        <f t="shared" si="252"/>
        <v>5000</v>
      </c>
      <c r="Q96" s="76">
        <f t="shared" si="252"/>
        <v>5000</v>
      </c>
      <c r="R96" s="76">
        <f t="shared" si="252"/>
        <v>5000</v>
      </c>
      <c r="S96" s="76">
        <f t="shared" si="252"/>
        <v>5000</v>
      </c>
      <c r="T96" s="76">
        <f t="shared" si="252"/>
        <v>5000</v>
      </c>
      <c r="U96" s="76">
        <f t="shared" si="252"/>
        <v>5000</v>
      </c>
      <c r="V96" s="76">
        <f t="shared" si="252"/>
        <v>5000</v>
      </c>
      <c r="W96" s="76">
        <f t="shared" si="252"/>
        <v>5000</v>
      </c>
      <c r="X96" s="76">
        <f t="shared" si="252"/>
        <v>5000</v>
      </c>
      <c r="Y96" s="76">
        <f t="shared" si="252"/>
        <v>5000</v>
      </c>
      <c r="Z96" s="76">
        <f t="shared" si="252"/>
        <v>5000</v>
      </c>
      <c r="AA96" s="76">
        <f t="shared" si="252"/>
        <v>5000</v>
      </c>
      <c r="AE96" s="182" t="str">
        <f t="shared" si="239"/>
        <v>OD - Mayor's Office of Transportation</v>
      </c>
      <c r="AG96" s="2">
        <f t="shared" si="240"/>
        <v>0</v>
      </c>
      <c r="AH96" s="2">
        <f t="shared" si="240"/>
        <v>0</v>
      </c>
      <c r="AI96" s="2">
        <f t="shared" si="240"/>
        <v>0</v>
      </c>
      <c r="AJ96" s="2">
        <f t="shared" si="236"/>
        <v>2127</v>
      </c>
      <c r="AK96" s="2">
        <f t="shared" ref="AK96:BE96" si="253">+AK76+AK36</f>
        <v>2127</v>
      </c>
      <c r="AL96" s="2">
        <f t="shared" si="253"/>
        <v>2127</v>
      </c>
      <c r="AM96" s="2">
        <f t="shared" si="253"/>
        <v>2127</v>
      </c>
      <c r="AN96" s="2">
        <f t="shared" si="253"/>
        <v>2127</v>
      </c>
      <c r="AO96" s="2">
        <f t="shared" si="253"/>
        <v>2127</v>
      </c>
      <c r="AP96" s="2">
        <f t="shared" si="253"/>
        <v>2127</v>
      </c>
      <c r="AQ96" s="2">
        <f t="shared" si="253"/>
        <v>2127</v>
      </c>
      <c r="AR96" s="2">
        <f t="shared" si="253"/>
        <v>2127</v>
      </c>
      <c r="AS96" s="2">
        <f t="shared" si="253"/>
        <v>2127</v>
      </c>
      <c r="AT96" s="2">
        <f t="shared" si="253"/>
        <v>2127</v>
      </c>
      <c r="AU96" s="2">
        <f t="shared" si="253"/>
        <v>2127</v>
      </c>
      <c r="AV96" s="2">
        <f t="shared" si="253"/>
        <v>2127</v>
      </c>
      <c r="AW96" s="2">
        <f t="shared" si="253"/>
        <v>2127</v>
      </c>
      <c r="AX96" s="2">
        <f t="shared" si="253"/>
        <v>2127</v>
      </c>
      <c r="AY96" s="2">
        <f t="shared" si="253"/>
        <v>2127</v>
      </c>
      <c r="AZ96" s="2">
        <f t="shared" si="253"/>
        <v>2127</v>
      </c>
      <c r="BA96" s="2">
        <f t="shared" si="253"/>
        <v>2127</v>
      </c>
      <c r="BB96" s="2">
        <f t="shared" si="253"/>
        <v>2127</v>
      </c>
      <c r="BC96" s="2">
        <f t="shared" si="253"/>
        <v>2127</v>
      </c>
      <c r="BD96" s="2">
        <f t="shared" si="253"/>
        <v>2127</v>
      </c>
      <c r="BE96" s="2">
        <f t="shared" si="253"/>
        <v>2127</v>
      </c>
    </row>
    <row r="97" spans="1:57" x14ac:dyDescent="0.35">
      <c r="A97" s="86">
        <f>MAX(A$6:A96)+1</f>
        <v>80</v>
      </c>
      <c r="B97" s="32" t="s">
        <v>237</v>
      </c>
      <c r="C97" s="177"/>
      <c r="D97" s="177"/>
      <c r="E97" s="177"/>
      <c r="F97" s="177">
        <f t="shared" si="233"/>
        <v>1000</v>
      </c>
      <c r="G97" s="177">
        <f t="shared" ref="G97:AA97" si="254">+G37+G77</f>
        <v>1000</v>
      </c>
      <c r="H97" s="177">
        <f t="shared" si="254"/>
        <v>1000</v>
      </c>
      <c r="I97" s="177">
        <f t="shared" si="254"/>
        <v>1000</v>
      </c>
      <c r="J97" s="177">
        <f t="shared" si="254"/>
        <v>1000</v>
      </c>
      <c r="K97" s="177">
        <f t="shared" si="254"/>
        <v>1000</v>
      </c>
      <c r="L97" s="177">
        <f t="shared" si="254"/>
        <v>1000</v>
      </c>
      <c r="M97" s="177">
        <f t="shared" si="254"/>
        <v>1000</v>
      </c>
      <c r="N97" s="177">
        <f t="shared" si="254"/>
        <v>1000</v>
      </c>
      <c r="O97" s="177">
        <f t="shared" si="254"/>
        <v>1000</v>
      </c>
      <c r="P97" s="177">
        <f t="shared" si="254"/>
        <v>1000</v>
      </c>
      <c r="Q97" s="177">
        <f t="shared" si="254"/>
        <v>1000</v>
      </c>
      <c r="R97" s="177">
        <f t="shared" si="254"/>
        <v>1000</v>
      </c>
      <c r="S97" s="177">
        <f t="shared" si="254"/>
        <v>1000</v>
      </c>
      <c r="T97" s="177">
        <f t="shared" si="254"/>
        <v>1000</v>
      </c>
      <c r="U97" s="177">
        <f t="shared" si="254"/>
        <v>1000</v>
      </c>
      <c r="V97" s="177">
        <f t="shared" si="254"/>
        <v>1000</v>
      </c>
      <c r="W97" s="177">
        <f t="shared" si="254"/>
        <v>1000</v>
      </c>
      <c r="X97" s="177">
        <f t="shared" si="254"/>
        <v>1000</v>
      </c>
      <c r="Y97" s="177">
        <f t="shared" si="254"/>
        <v>1000</v>
      </c>
      <c r="Z97" s="177">
        <f t="shared" si="254"/>
        <v>1000</v>
      </c>
      <c r="AA97" s="177">
        <f t="shared" si="254"/>
        <v>1000</v>
      </c>
      <c r="AE97" s="182" t="str">
        <f t="shared" si="239"/>
        <v>OD - Phil. Water, Sewer and Stormwater Rate Board</v>
      </c>
      <c r="AG97" s="2">
        <f t="shared" si="240"/>
        <v>0</v>
      </c>
      <c r="AH97" s="2">
        <f t="shared" si="240"/>
        <v>0</v>
      </c>
      <c r="AI97" s="2">
        <f t="shared" si="240"/>
        <v>0</v>
      </c>
      <c r="AJ97" s="2">
        <f t="shared" si="236"/>
        <v>931</v>
      </c>
      <c r="AK97" s="2">
        <f t="shared" ref="AK97:BE97" si="255">+AK77+AK37</f>
        <v>931</v>
      </c>
      <c r="AL97" s="2">
        <f t="shared" si="255"/>
        <v>931</v>
      </c>
      <c r="AM97" s="2">
        <f t="shared" si="255"/>
        <v>931</v>
      </c>
      <c r="AN97" s="2">
        <f t="shared" si="255"/>
        <v>931</v>
      </c>
      <c r="AO97" s="2">
        <f t="shared" si="255"/>
        <v>931</v>
      </c>
      <c r="AP97" s="2">
        <f t="shared" si="255"/>
        <v>931</v>
      </c>
      <c r="AQ97" s="2">
        <f t="shared" si="255"/>
        <v>931</v>
      </c>
      <c r="AR97" s="2">
        <f t="shared" si="255"/>
        <v>931</v>
      </c>
      <c r="AS97" s="2">
        <f t="shared" si="255"/>
        <v>931</v>
      </c>
      <c r="AT97" s="2">
        <f t="shared" si="255"/>
        <v>931</v>
      </c>
      <c r="AU97" s="2">
        <f t="shared" si="255"/>
        <v>931</v>
      </c>
      <c r="AV97" s="2">
        <f t="shared" si="255"/>
        <v>931</v>
      </c>
      <c r="AW97" s="2">
        <f t="shared" si="255"/>
        <v>931</v>
      </c>
      <c r="AX97" s="2">
        <f t="shared" si="255"/>
        <v>931</v>
      </c>
      <c r="AY97" s="2">
        <f t="shared" si="255"/>
        <v>931</v>
      </c>
      <c r="AZ97" s="2">
        <f t="shared" si="255"/>
        <v>931</v>
      </c>
      <c r="BA97" s="2">
        <f t="shared" si="255"/>
        <v>931</v>
      </c>
      <c r="BB97" s="2">
        <f t="shared" si="255"/>
        <v>931</v>
      </c>
      <c r="BC97" s="2">
        <f t="shared" si="255"/>
        <v>931</v>
      </c>
      <c r="BD97" s="2">
        <f t="shared" si="255"/>
        <v>931</v>
      </c>
      <c r="BE97" s="2">
        <f t="shared" si="255"/>
        <v>931</v>
      </c>
    </row>
    <row r="98" spans="1:57" x14ac:dyDescent="0.35">
      <c r="A98" s="85">
        <f>MAX(A$6:A97)+1</f>
        <v>81</v>
      </c>
      <c r="B98" s="17" t="s">
        <v>238</v>
      </c>
      <c r="C98" s="17"/>
      <c r="D98" s="14"/>
      <c r="E98" s="76"/>
      <c r="F98" s="76">
        <f t="shared" si="233"/>
        <v>0</v>
      </c>
      <c r="G98" s="76">
        <f t="shared" ref="G98:AA98" si="256">+G38+G78</f>
        <v>0</v>
      </c>
      <c r="H98" s="76">
        <f t="shared" si="256"/>
        <v>0</v>
      </c>
      <c r="I98" s="76">
        <f t="shared" si="256"/>
        <v>0</v>
      </c>
      <c r="J98" s="76">
        <f t="shared" si="256"/>
        <v>0</v>
      </c>
      <c r="K98" s="76">
        <f t="shared" si="256"/>
        <v>0</v>
      </c>
      <c r="L98" s="76">
        <f t="shared" si="256"/>
        <v>0</v>
      </c>
      <c r="M98" s="76">
        <f t="shared" si="256"/>
        <v>0</v>
      </c>
      <c r="N98" s="76">
        <f t="shared" si="256"/>
        <v>0</v>
      </c>
      <c r="O98" s="76">
        <f t="shared" si="256"/>
        <v>0</v>
      </c>
      <c r="P98" s="76">
        <f t="shared" si="256"/>
        <v>0</v>
      </c>
      <c r="Q98" s="76">
        <f t="shared" si="256"/>
        <v>0</v>
      </c>
      <c r="R98" s="76">
        <f t="shared" si="256"/>
        <v>0</v>
      </c>
      <c r="S98" s="76">
        <f t="shared" si="256"/>
        <v>0</v>
      </c>
      <c r="T98" s="76">
        <f t="shared" si="256"/>
        <v>0</v>
      </c>
      <c r="U98" s="76">
        <f t="shared" si="256"/>
        <v>0</v>
      </c>
      <c r="V98" s="76">
        <f t="shared" si="256"/>
        <v>0</v>
      </c>
      <c r="W98" s="76">
        <f t="shared" si="256"/>
        <v>0</v>
      </c>
      <c r="X98" s="76">
        <f t="shared" si="256"/>
        <v>0</v>
      </c>
      <c r="Y98" s="76">
        <f t="shared" si="256"/>
        <v>0</v>
      </c>
      <c r="Z98" s="76">
        <f t="shared" si="256"/>
        <v>0</v>
      </c>
      <c r="AA98" s="76">
        <f t="shared" si="256"/>
        <v>0</v>
      </c>
      <c r="AE98" s="182" t="str">
        <f t="shared" si="239"/>
        <v>OD - Public Property</v>
      </c>
      <c r="AG98" s="2">
        <f t="shared" si="240"/>
        <v>0</v>
      </c>
      <c r="AH98" s="2">
        <f t="shared" si="240"/>
        <v>0</v>
      </c>
      <c r="AI98" s="2">
        <f t="shared" si="240"/>
        <v>0</v>
      </c>
      <c r="AJ98" s="2">
        <f t="shared" si="236"/>
        <v>0</v>
      </c>
      <c r="AK98" s="2">
        <f t="shared" ref="AK98:BE98" si="257">+AK78+AK38</f>
        <v>0</v>
      </c>
      <c r="AL98" s="2">
        <f t="shared" si="257"/>
        <v>0</v>
      </c>
      <c r="AM98" s="2">
        <f t="shared" si="257"/>
        <v>0</v>
      </c>
      <c r="AN98" s="2">
        <f t="shared" si="257"/>
        <v>0</v>
      </c>
      <c r="AO98" s="2">
        <f t="shared" si="257"/>
        <v>0</v>
      </c>
      <c r="AP98" s="2">
        <f t="shared" si="257"/>
        <v>0</v>
      </c>
      <c r="AQ98" s="2">
        <f t="shared" si="257"/>
        <v>0</v>
      </c>
      <c r="AR98" s="2">
        <f t="shared" si="257"/>
        <v>0</v>
      </c>
      <c r="AS98" s="2">
        <f t="shared" si="257"/>
        <v>0</v>
      </c>
      <c r="AT98" s="2">
        <f t="shared" si="257"/>
        <v>0</v>
      </c>
      <c r="AU98" s="2">
        <f t="shared" si="257"/>
        <v>0</v>
      </c>
      <c r="AV98" s="2">
        <f t="shared" si="257"/>
        <v>0</v>
      </c>
      <c r="AW98" s="2">
        <f t="shared" si="257"/>
        <v>0</v>
      </c>
      <c r="AX98" s="2">
        <f t="shared" si="257"/>
        <v>0</v>
      </c>
      <c r="AY98" s="2">
        <f t="shared" si="257"/>
        <v>0</v>
      </c>
      <c r="AZ98" s="2">
        <f t="shared" si="257"/>
        <v>0</v>
      </c>
      <c r="BA98" s="2">
        <f t="shared" si="257"/>
        <v>0</v>
      </c>
      <c r="BB98" s="2">
        <f t="shared" si="257"/>
        <v>0</v>
      </c>
      <c r="BC98" s="2">
        <f t="shared" si="257"/>
        <v>0</v>
      </c>
      <c r="BD98" s="2">
        <f t="shared" si="257"/>
        <v>0</v>
      </c>
      <c r="BE98" s="2">
        <f t="shared" si="257"/>
        <v>0</v>
      </c>
    </row>
    <row r="99" spans="1:57" x14ac:dyDescent="0.35">
      <c r="A99" s="86">
        <f>MAX(A$6:A98)+1</f>
        <v>82</v>
      </c>
      <c r="B99" s="32" t="s">
        <v>239</v>
      </c>
      <c r="C99" s="177"/>
      <c r="D99" s="177"/>
      <c r="E99" s="177"/>
      <c r="F99" s="177">
        <f t="shared" si="233"/>
        <v>123200</v>
      </c>
      <c r="G99" s="177">
        <f t="shared" ref="G99:AA99" si="258">+G39+G79</f>
        <v>66000</v>
      </c>
      <c r="H99" s="177">
        <f t="shared" si="258"/>
        <v>68000</v>
      </c>
      <c r="I99" s="177">
        <f t="shared" si="258"/>
        <v>70000</v>
      </c>
      <c r="J99" s="177">
        <f t="shared" si="258"/>
        <v>72000</v>
      </c>
      <c r="K99" s="177">
        <f t="shared" si="258"/>
        <v>75000</v>
      </c>
      <c r="L99" s="177">
        <f t="shared" si="258"/>
        <v>78000</v>
      </c>
      <c r="M99" s="177">
        <f t="shared" si="258"/>
        <v>81000</v>
      </c>
      <c r="N99" s="177">
        <f t="shared" si="258"/>
        <v>84000</v>
      </c>
      <c r="O99" s="177">
        <f t="shared" si="258"/>
        <v>87000</v>
      </c>
      <c r="P99" s="177">
        <f t="shared" si="258"/>
        <v>90000</v>
      </c>
      <c r="Q99" s="177">
        <f t="shared" si="258"/>
        <v>93000</v>
      </c>
      <c r="R99" s="177">
        <f t="shared" si="258"/>
        <v>96000</v>
      </c>
      <c r="S99" s="177">
        <f t="shared" si="258"/>
        <v>99000</v>
      </c>
      <c r="T99" s="177">
        <f t="shared" si="258"/>
        <v>102000</v>
      </c>
      <c r="U99" s="177">
        <f t="shared" si="258"/>
        <v>106000</v>
      </c>
      <c r="V99" s="177">
        <f t="shared" si="258"/>
        <v>110000</v>
      </c>
      <c r="W99" s="177">
        <f t="shared" si="258"/>
        <v>114000</v>
      </c>
      <c r="X99" s="177">
        <f t="shared" si="258"/>
        <v>118000</v>
      </c>
      <c r="Y99" s="177">
        <f t="shared" si="258"/>
        <v>122000</v>
      </c>
      <c r="Z99" s="177">
        <f t="shared" si="258"/>
        <v>126000</v>
      </c>
      <c r="AA99" s="177">
        <f t="shared" si="258"/>
        <v>130000</v>
      </c>
      <c r="AE99" s="182" t="str">
        <f t="shared" si="239"/>
        <v>OD - Fleet Management</v>
      </c>
      <c r="AG99" s="2">
        <f t="shared" si="240"/>
        <v>0</v>
      </c>
      <c r="AH99" s="2">
        <f t="shared" si="240"/>
        <v>0</v>
      </c>
      <c r="AI99" s="2">
        <f t="shared" si="240"/>
        <v>0</v>
      </c>
      <c r="AJ99" s="2">
        <f t="shared" si="236"/>
        <v>108961</v>
      </c>
      <c r="AK99" s="2">
        <f t="shared" ref="AK99:BE99" si="259">+AK79+AK39</f>
        <v>51083</v>
      </c>
      <c r="AL99" s="2">
        <f t="shared" si="259"/>
        <v>52631</v>
      </c>
      <c r="AM99" s="2">
        <f t="shared" si="259"/>
        <v>54179</v>
      </c>
      <c r="AN99" s="2">
        <f t="shared" si="259"/>
        <v>55727</v>
      </c>
      <c r="AO99" s="2">
        <f t="shared" si="259"/>
        <v>58049</v>
      </c>
      <c r="AP99" s="2">
        <f t="shared" si="259"/>
        <v>60371</v>
      </c>
      <c r="AQ99" s="2">
        <f t="shared" si="259"/>
        <v>62693</v>
      </c>
      <c r="AR99" s="2">
        <f t="shared" si="259"/>
        <v>65015</v>
      </c>
      <c r="AS99" s="2">
        <f t="shared" si="259"/>
        <v>67337</v>
      </c>
      <c r="AT99" s="2">
        <f t="shared" si="259"/>
        <v>69659</v>
      </c>
      <c r="AU99" s="2">
        <f t="shared" si="259"/>
        <v>71981</v>
      </c>
      <c r="AV99" s="2">
        <f t="shared" si="259"/>
        <v>74303</v>
      </c>
      <c r="AW99" s="2">
        <f t="shared" si="259"/>
        <v>76625</v>
      </c>
      <c r="AX99" s="2">
        <f t="shared" si="259"/>
        <v>78947</v>
      </c>
      <c r="AY99" s="2">
        <f t="shared" si="259"/>
        <v>82043</v>
      </c>
      <c r="AZ99" s="2">
        <f t="shared" si="259"/>
        <v>85138</v>
      </c>
      <c r="BA99" s="2">
        <f t="shared" si="259"/>
        <v>88234</v>
      </c>
      <c r="BB99" s="2">
        <f t="shared" si="259"/>
        <v>91330</v>
      </c>
      <c r="BC99" s="2">
        <f t="shared" si="259"/>
        <v>94426</v>
      </c>
      <c r="BD99" s="2">
        <f t="shared" si="259"/>
        <v>97522</v>
      </c>
      <c r="BE99" s="2">
        <f t="shared" si="259"/>
        <v>100618</v>
      </c>
    </row>
    <row r="100" spans="1:57" x14ac:dyDescent="0.35">
      <c r="A100" s="85">
        <f>MAX(A$6:A99)+1</f>
        <v>83</v>
      </c>
      <c r="B100" s="17" t="s">
        <v>240</v>
      </c>
      <c r="C100" s="17"/>
      <c r="D100" s="14"/>
      <c r="E100" s="76"/>
      <c r="F100" s="76">
        <f t="shared" si="233"/>
        <v>0</v>
      </c>
      <c r="G100" s="76">
        <f t="shared" ref="G100:AA100" si="260">+G40+G80</f>
        <v>0</v>
      </c>
      <c r="H100" s="76">
        <f t="shared" si="260"/>
        <v>0</v>
      </c>
      <c r="I100" s="76">
        <f t="shared" si="260"/>
        <v>0</v>
      </c>
      <c r="J100" s="76">
        <f t="shared" si="260"/>
        <v>0</v>
      </c>
      <c r="K100" s="76">
        <f t="shared" si="260"/>
        <v>0</v>
      </c>
      <c r="L100" s="76">
        <f t="shared" si="260"/>
        <v>0</v>
      </c>
      <c r="M100" s="76">
        <f t="shared" si="260"/>
        <v>0</v>
      </c>
      <c r="N100" s="76">
        <f t="shared" si="260"/>
        <v>0</v>
      </c>
      <c r="O100" s="76">
        <f t="shared" si="260"/>
        <v>0</v>
      </c>
      <c r="P100" s="76">
        <f t="shared" si="260"/>
        <v>0</v>
      </c>
      <c r="Q100" s="76">
        <f t="shared" si="260"/>
        <v>0</v>
      </c>
      <c r="R100" s="76">
        <f t="shared" si="260"/>
        <v>0</v>
      </c>
      <c r="S100" s="76">
        <f t="shared" si="260"/>
        <v>0</v>
      </c>
      <c r="T100" s="76">
        <f t="shared" si="260"/>
        <v>0</v>
      </c>
      <c r="U100" s="76">
        <f t="shared" si="260"/>
        <v>0</v>
      </c>
      <c r="V100" s="76">
        <f t="shared" si="260"/>
        <v>0</v>
      </c>
      <c r="W100" s="76">
        <f t="shared" si="260"/>
        <v>0</v>
      </c>
      <c r="X100" s="76">
        <f t="shared" si="260"/>
        <v>0</v>
      </c>
      <c r="Y100" s="76">
        <f t="shared" si="260"/>
        <v>0</v>
      </c>
      <c r="Z100" s="76">
        <f t="shared" si="260"/>
        <v>0</v>
      </c>
      <c r="AA100" s="76">
        <f t="shared" si="260"/>
        <v>0</v>
      </c>
      <c r="AE100" s="182" t="str">
        <f t="shared" si="239"/>
        <v>OD - City Finance</v>
      </c>
      <c r="AG100" s="2">
        <f t="shared" si="240"/>
        <v>0</v>
      </c>
      <c r="AH100" s="2">
        <f t="shared" si="240"/>
        <v>0</v>
      </c>
      <c r="AI100" s="2">
        <f t="shared" si="240"/>
        <v>0</v>
      </c>
      <c r="AJ100" s="2">
        <f t="shared" si="236"/>
        <v>0</v>
      </c>
      <c r="AK100" s="2">
        <f t="shared" ref="AK100:BE100" si="261">+AK80+AK40</f>
        <v>0</v>
      </c>
      <c r="AL100" s="2">
        <f t="shared" si="261"/>
        <v>0</v>
      </c>
      <c r="AM100" s="2">
        <f t="shared" si="261"/>
        <v>0</v>
      </c>
      <c r="AN100" s="2">
        <f t="shared" si="261"/>
        <v>0</v>
      </c>
      <c r="AO100" s="2">
        <f t="shared" si="261"/>
        <v>0</v>
      </c>
      <c r="AP100" s="2">
        <f t="shared" si="261"/>
        <v>0</v>
      </c>
      <c r="AQ100" s="2">
        <f t="shared" si="261"/>
        <v>0</v>
      </c>
      <c r="AR100" s="2">
        <f t="shared" si="261"/>
        <v>0</v>
      </c>
      <c r="AS100" s="2">
        <f t="shared" si="261"/>
        <v>0</v>
      </c>
      <c r="AT100" s="2">
        <f t="shared" si="261"/>
        <v>0</v>
      </c>
      <c r="AU100" s="2">
        <f t="shared" si="261"/>
        <v>0</v>
      </c>
      <c r="AV100" s="2">
        <f t="shared" si="261"/>
        <v>0</v>
      </c>
      <c r="AW100" s="2">
        <f t="shared" si="261"/>
        <v>0</v>
      </c>
      <c r="AX100" s="2">
        <f t="shared" si="261"/>
        <v>0</v>
      </c>
      <c r="AY100" s="2">
        <f t="shared" si="261"/>
        <v>0</v>
      </c>
      <c r="AZ100" s="2">
        <f t="shared" si="261"/>
        <v>0</v>
      </c>
      <c r="BA100" s="2">
        <f t="shared" si="261"/>
        <v>0</v>
      </c>
      <c r="BB100" s="2">
        <f t="shared" si="261"/>
        <v>0</v>
      </c>
      <c r="BC100" s="2">
        <f t="shared" si="261"/>
        <v>0</v>
      </c>
      <c r="BD100" s="2">
        <f t="shared" si="261"/>
        <v>0</v>
      </c>
      <c r="BE100" s="2">
        <f t="shared" si="261"/>
        <v>0</v>
      </c>
    </row>
    <row r="101" spans="1:57" x14ac:dyDescent="0.35">
      <c r="A101" s="86">
        <f>MAX(A$6:A100)+1</f>
        <v>84</v>
      </c>
      <c r="B101" s="32" t="s">
        <v>241</v>
      </c>
      <c r="C101" s="177"/>
      <c r="D101" s="177"/>
      <c r="E101" s="177"/>
      <c r="F101" s="177">
        <f t="shared" si="233"/>
        <v>0</v>
      </c>
      <c r="G101" s="177">
        <f t="shared" ref="G101:AA101" si="262">+G41+G81</f>
        <v>0</v>
      </c>
      <c r="H101" s="177">
        <f t="shared" si="262"/>
        <v>0</v>
      </c>
      <c r="I101" s="177">
        <f t="shared" si="262"/>
        <v>0</v>
      </c>
      <c r="J101" s="177">
        <f t="shared" si="262"/>
        <v>0</v>
      </c>
      <c r="K101" s="177">
        <f t="shared" si="262"/>
        <v>0</v>
      </c>
      <c r="L101" s="177">
        <f t="shared" si="262"/>
        <v>0</v>
      </c>
      <c r="M101" s="177">
        <f t="shared" si="262"/>
        <v>0</v>
      </c>
      <c r="N101" s="177">
        <f t="shared" si="262"/>
        <v>0</v>
      </c>
      <c r="O101" s="177">
        <f t="shared" si="262"/>
        <v>0</v>
      </c>
      <c r="P101" s="177">
        <f t="shared" si="262"/>
        <v>0</v>
      </c>
      <c r="Q101" s="177">
        <f t="shared" si="262"/>
        <v>0</v>
      </c>
      <c r="R101" s="177">
        <f t="shared" si="262"/>
        <v>0</v>
      </c>
      <c r="S101" s="177">
        <f t="shared" si="262"/>
        <v>0</v>
      </c>
      <c r="T101" s="177">
        <f t="shared" si="262"/>
        <v>0</v>
      </c>
      <c r="U101" s="177">
        <f t="shared" si="262"/>
        <v>0</v>
      </c>
      <c r="V101" s="177">
        <f t="shared" si="262"/>
        <v>0</v>
      </c>
      <c r="W101" s="177">
        <f t="shared" si="262"/>
        <v>0</v>
      </c>
      <c r="X101" s="177">
        <f t="shared" si="262"/>
        <v>0</v>
      </c>
      <c r="Y101" s="177">
        <f t="shared" si="262"/>
        <v>0</v>
      </c>
      <c r="Z101" s="177">
        <f t="shared" si="262"/>
        <v>0</v>
      </c>
      <c r="AA101" s="177">
        <f t="shared" si="262"/>
        <v>0</v>
      </c>
      <c r="AE101" s="182" t="str">
        <f t="shared" si="239"/>
        <v>OD - City Treasurer</v>
      </c>
      <c r="AG101" s="2">
        <f t="shared" si="240"/>
        <v>0</v>
      </c>
      <c r="AH101" s="2">
        <f t="shared" si="240"/>
        <v>0</v>
      </c>
      <c r="AI101" s="2">
        <f t="shared" si="240"/>
        <v>0</v>
      </c>
      <c r="AJ101" s="2">
        <f t="shared" si="236"/>
        <v>0</v>
      </c>
      <c r="AK101" s="2">
        <f t="shared" ref="AK101:BE101" si="263">+AK81+AK41</f>
        <v>0</v>
      </c>
      <c r="AL101" s="2">
        <f t="shared" si="263"/>
        <v>0</v>
      </c>
      <c r="AM101" s="2">
        <f t="shared" si="263"/>
        <v>0</v>
      </c>
      <c r="AN101" s="2">
        <f t="shared" si="263"/>
        <v>0</v>
      </c>
      <c r="AO101" s="2">
        <f t="shared" si="263"/>
        <v>0</v>
      </c>
      <c r="AP101" s="2">
        <f t="shared" si="263"/>
        <v>0</v>
      </c>
      <c r="AQ101" s="2">
        <f t="shared" si="263"/>
        <v>0</v>
      </c>
      <c r="AR101" s="2">
        <f t="shared" si="263"/>
        <v>0</v>
      </c>
      <c r="AS101" s="2">
        <f t="shared" si="263"/>
        <v>0</v>
      </c>
      <c r="AT101" s="2">
        <f t="shared" si="263"/>
        <v>0</v>
      </c>
      <c r="AU101" s="2">
        <f t="shared" si="263"/>
        <v>0</v>
      </c>
      <c r="AV101" s="2">
        <f t="shared" si="263"/>
        <v>0</v>
      </c>
      <c r="AW101" s="2">
        <f t="shared" si="263"/>
        <v>0</v>
      </c>
      <c r="AX101" s="2">
        <f t="shared" si="263"/>
        <v>0</v>
      </c>
      <c r="AY101" s="2">
        <f t="shared" si="263"/>
        <v>0</v>
      </c>
      <c r="AZ101" s="2">
        <f t="shared" si="263"/>
        <v>0</v>
      </c>
      <c r="BA101" s="2">
        <f t="shared" si="263"/>
        <v>0</v>
      </c>
      <c r="BB101" s="2">
        <f t="shared" si="263"/>
        <v>0</v>
      </c>
      <c r="BC101" s="2">
        <f t="shared" si="263"/>
        <v>0</v>
      </c>
      <c r="BD101" s="2">
        <f t="shared" si="263"/>
        <v>0</v>
      </c>
      <c r="BE101" s="2">
        <f t="shared" si="263"/>
        <v>0</v>
      </c>
    </row>
    <row r="102" spans="1:57" x14ac:dyDescent="0.35">
      <c r="A102" s="85">
        <f>MAX(A$6:A101)+1</f>
        <v>85</v>
      </c>
      <c r="B102" s="17" t="s">
        <v>242</v>
      </c>
      <c r="C102" s="17"/>
      <c r="D102" s="14"/>
      <c r="E102" s="76"/>
      <c r="F102" s="76">
        <f t="shared" si="233"/>
        <v>443400</v>
      </c>
      <c r="G102" s="76">
        <f t="shared" ref="G102:AA102" si="264">+G42+G82</f>
        <v>192000</v>
      </c>
      <c r="H102" s="76">
        <f t="shared" si="264"/>
        <v>199000</v>
      </c>
      <c r="I102" s="76">
        <f t="shared" si="264"/>
        <v>206000</v>
      </c>
      <c r="J102" s="76">
        <f t="shared" si="264"/>
        <v>213000</v>
      </c>
      <c r="K102" s="76">
        <f t="shared" si="264"/>
        <v>220000</v>
      </c>
      <c r="L102" s="76">
        <f t="shared" si="264"/>
        <v>228000</v>
      </c>
      <c r="M102" s="76">
        <f t="shared" si="264"/>
        <v>236000</v>
      </c>
      <c r="N102" s="76">
        <f t="shared" si="264"/>
        <v>244000</v>
      </c>
      <c r="O102" s="76">
        <f t="shared" si="264"/>
        <v>253000</v>
      </c>
      <c r="P102" s="76">
        <f t="shared" si="264"/>
        <v>262000</v>
      </c>
      <c r="Q102" s="76">
        <f t="shared" si="264"/>
        <v>271000</v>
      </c>
      <c r="R102" s="76">
        <f t="shared" si="264"/>
        <v>280000</v>
      </c>
      <c r="S102" s="76">
        <f t="shared" si="264"/>
        <v>290000</v>
      </c>
      <c r="T102" s="76">
        <f t="shared" si="264"/>
        <v>300000</v>
      </c>
      <c r="U102" s="76">
        <f t="shared" si="264"/>
        <v>311000</v>
      </c>
      <c r="V102" s="76">
        <f t="shared" si="264"/>
        <v>322000</v>
      </c>
      <c r="W102" s="76">
        <f t="shared" si="264"/>
        <v>333000</v>
      </c>
      <c r="X102" s="76">
        <f t="shared" si="264"/>
        <v>345000</v>
      </c>
      <c r="Y102" s="76">
        <f t="shared" si="264"/>
        <v>357000</v>
      </c>
      <c r="Z102" s="76">
        <f t="shared" si="264"/>
        <v>369000</v>
      </c>
      <c r="AA102" s="76">
        <f t="shared" si="264"/>
        <v>382000</v>
      </c>
      <c r="AE102" s="182" t="str">
        <f t="shared" si="239"/>
        <v>OD - Revenue</v>
      </c>
      <c r="AG102" s="2">
        <f t="shared" si="240"/>
        <v>0</v>
      </c>
      <c r="AH102" s="2">
        <f t="shared" si="240"/>
        <v>0</v>
      </c>
      <c r="AI102" s="2">
        <f t="shared" si="240"/>
        <v>0</v>
      </c>
      <c r="AJ102" s="2">
        <f t="shared" si="236"/>
        <v>422413</v>
      </c>
      <c r="AK102" s="2">
        <f t="shared" ref="AK102:BE102" si="265">+AK82+AK42</f>
        <v>169981</v>
      </c>
      <c r="AL102" s="2">
        <f t="shared" si="265"/>
        <v>176178</v>
      </c>
      <c r="AM102" s="2">
        <f t="shared" si="265"/>
        <v>182375</v>
      </c>
      <c r="AN102" s="2">
        <f t="shared" si="265"/>
        <v>188573</v>
      </c>
      <c r="AO102" s="2">
        <f t="shared" si="265"/>
        <v>194770</v>
      </c>
      <c r="AP102" s="2">
        <f t="shared" si="265"/>
        <v>201852</v>
      </c>
      <c r="AQ102" s="2">
        <f t="shared" si="265"/>
        <v>208935</v>
      </c>
      <c r="AR102" s="2">
        <f t="shared" si="265"/>
        <v>216018</v>
      </c>
      <c r="AS102" s="2">
        <f t="shared" si="265"/>
        <v>223985</v>
      </c>
      <c r="AT102" s="2">
        <f t="shared" si="265"/>
        <v>231953</v>
      </c>
      <c r="AU102" s="2">
        <f t="shared" si="265"/>
        <v>239921</v>
      </c>
      <c r="AV102" s="2">
        <f t="shared" si="265"/>
        <v>247889</v>
      </c>
      <c r="AW102" s="2">
        <f t="shared" si="265"/>
        <v>256742</v>
      </c>
      <c r="AX102" s="2">
        <f t="shared" si="265"/>
        <v>265595</v>
      </c>
      <c r="AY102" s="2">
        <f t="shared" si="265"/>
        <v>275334</v>
      </c>
      <c r="AZ102" s="2">
        <f t="shared" si="265"/>
        <v>285072</v>
      </c>
      <c r="BA102" s="2">
        <f t="shared" si="265"/>
        <v>294811</v>
      </c>
      <c r="BB102" s="2">
        <f t="shared" si="265"/>
        <v>305435</v>
      </c>
      <c r="BC102" s="2">
        <f t="shared" si="265"/>
        <v>316058</v>
      </c>
      <c r="BD102" s="2">
        <f t="shared" si="265"/>
        <v>326682</v>
      </c>
      <c r="BE102" s="2">
        <f t="shared" si="265"/>
        <v>338191</v>
      </c>
    </row>
    <row r="103" spans="1:57" x14ac:dyDescent="0.35">
      <c r="A103" s="86">
        <f>MAX(A$6:A102)+1</f>
        <v>86</v>
      </c>
      <c r="B103" s="32" t="s">
        <v>243</v>
      </c>
      <c r="C103" s="177"/>
      <c r="D103" s="177"/>
      <c r="E103" s="177"/>
      <c r="F103" s="177">
        <f t="shared" si="233"/>
        <v>4800</v>
      </c>
      <c r="G103" s="177">
        <f t="shared" ref="G103:AA103" si="266">+G43+G83</f>
        <v>2000</v>
      </c>
      <c r="H103" s="177">
        <f t="shared" si="266"/>
        <v>2000</v>
      </c>
      <c r="I103" s="177">
        <f t="shared" si="266"/>
        <v>2000</v>
      </c>
      <c r="J103" s="177">
        <f t="shared" si="266"/>
        <v>2000</v>
      </c>
      <c r="K103" s="177">
        <f t="shared" si="266"/>
        <v>2000</v>
      </c>
      <c r="L103" s="177">
        <f t="shared" si="266"/>
        <v>2000</v>
      </c>
      <c r="M103" s="177">
        <f t="shared" si="266"/>
        <v>2000</v>
      </c>
      <c r="N103" s="177">
        <f t="shared" si="266"/>
        <v>2000</v>
      </c>
      <c r="O103" s="177">
        <f t="shared" si="266"/>
        <v>2000</v>
      </c>
      <c r="P103" s="177">
        <f t="shared" si="266"/>
        <v>2000</v>
      </c>
      <c r="Q103" s="177">
        <f t="shared" si="266"/>
        <v>2000</v>
      </c>
      <c r="R103" s="177">
        <f t="shared" si="266"/>
        <v>2000</v>
      </c>
      <c r="S103" s="177">
        <f t="shared" si="266"/>
        <v>2000</v>
      </c>
      <c r="T103" s="177">
        <f t="shared" si="266"/>
        <v>2000</v>
      </c>
      <c r="U103" s="177">
        <f t="shared" si="266"/>
        <v>2000</v>
      </c>
      <c r="V103" s="177">
        <f t="shared" si="266"/>
        <v>2000</v>
      </c>
      <c r="W103" s="177">
        <f t="shared" si="266"/>
        <v>2000</v>
      </c>
      <c r="X103" s="177">
        <f t="shared" si="266"/>
        <v>2000</v>
      </c>
      <c r="Y103" s="177">
        <f t="shared" si="266"/>
        <v>2000</v>
      </c>
      <c r="Z103" s="177">
        <f t="shared" si="266"/>
        <v>2000</v>
      </c>
      <c r="AA103" s="177">
        <f t="shared" si="266"/>
        <v>2000</v>
      </c>
      <c r="AE103" s="182" t="str">
        <f t="shared" si="239"/>
        <v>OD - Procurement</v>
      </c>
      <c r="AG103" s="2">
        <f t="shared" si="240"/>
        <v>0</v>
      </c>
      <c r="AH103" s="2">
        <f t="shared" si="240"/>
        <v>0</v>
      </c>
      <c r="AI103" s="2">
        <f t="shared" si="240"/>
        <v>0</v>
      </c>
      <c r="AJ103" s="2">
        <f t="shared" si="236"/>
        <v>3914</v>
      </c>
      <c r="AK103" s="2">
        <f t="shared" ref="AK103:BE103" si="267">+AK83+AK43</f>
        <v>1114</v>
      </c>
      <c r="AL103" s="2">
        <f t="shared" si="267"/>
        <v>1114</v>
      </c>
      <c r="AM103" s="2">
        <f t="shared" si="267"/>
        <v>1114</v>
      </c>
      <c r="AN103" s="2">
        <f t="shared" si="267"/>
        <v>1114</v>
      </c>
      <c r="AO103" s="2">
        <f t="shared" si="267"/>
        <v>1114</v>
      </c>
      <c r="AP103" s="2">
        <f t="shared" si="267"/>
        <v>1114</v>
      </c>
      <c r="AQ103" s="2">
        <f t="shared" si="267"/>
        <v>1114</v>
      </c>
      <c r="AR103" s="2">
        <f t="shared" si="267"/>
        <v>1114</v>
      </c>
      <c r="AS103" s="2">
        <f t="shared" si="267"/>
        <v>1114</v>
      </c>
      <c r="AT103" s="2">
        <f t="shared" si="267"/>
        <v>1114</v>
      </c>
      <c r="AU103" s="2">
        <f t="shared" si="267"/>
        <v>1114</v>
      </c>
      <c r="AV103" s="2">
        <f t="shared" si="267"/>
        <v>1114</v>
      </c>
      <c r="AW103" s="2">
        <f t="shared" si="267"/>
        <v>1114</v>
      </c>
      <c r="AX103" s="2">
        <f t="shared" si="267"/>
        <v>1114</v>
      </c>
      <c r="AY103" s="2">
        <f t="shared" si="267"/>
        <v>1114</v>
      </c>
      <c r="AZ103" s="2">
        <f t="shared" si="267"/>
        <v>1114</v>
      </c>
      <c r="BA103" s="2">
        <f t="shared" si="267"/>
        <v>1114</v>
      </c>
      <c r="BB103" s="2">
        <f t="shared" si="267"/>
        <v>1114</v>
      </c>
      <c r="BC103" s="2">
        <f t="shared" si="267"/>
        <v>1114</v>
      </c>
      <c r="BD103" s="2">
        <f t="shared" si="267"/>
        <v>1114</v>
      </c>
      <c r="BE103" s="2">
        <f t="shared" si="267"/>
        <v>1114</v>
      </c>
    </row>
    <row r="104" spans="1:57" x14ac:dyDescent="0.35">
      <c r="A104" s="85">
        <f>MAX(A$6:A103)+1</f>
        <v>87</v>
      </c>
      <c r="B104" s="17" t="s">
        <v>244</v>
      </c>
      <c r="C104" s="17"/>
      <c r="D104" s="14"/>
      <c r="E104" s="76"/>
      <c r="F104" s="76">
        <f t="shared" si="233"/>
        <v>60400</v>
      </c>
      <c r="G104" s="76">
        <f t="shared" ref="G104:AA104" si="268">+G44+G84</f>
        <v>62000</v>
      </c>
      <c r="H104" s="76">
        <f t="shared" si="268"/>
        <v>64000</v>
      </c>
      <c r="I104" s="76">
        <f t="shared" si="268"/>
        <v>66000</v>
      </c>
      <c r="J104" s="76">
        <f t="shared" si="268"/>
        <v>68000</v>
      </c>
      <c r="K104" s="76">
        <f t="shared" si="268"/>
        <v>70000</v>
      </c>
      <c r="L104" s="76">
        <f t="shared" si="268"/>
        <v>72000</v>
      </c>
      <c r="M104" s="76">
        <f t="shared" si="268"/>
        <v>75000</v>
      </c>
      <c r="N104" s="76">
        <f t="shared" si="268"/>
        <v>78000</v>
      </c>
      <c r="O104" s="76">
        <f t="shared" si="268"/>
        <v>81000</v>
      </c>
      <c r="P104" s="76">
        <f t="shared" si="268"/>
        <v>84000</v>
      </c>
      <c r="Q104" s="76">
        <f t="shared" si="268"/>
        <v>87000</v>
      </c>
      <c r="R104" s="76">
        <f t="shared" si="268"/>
        <v>90000</v>
      </c>
      <c r="S104" s="76">
        <f t="shared" si="268"/>
        <v>93000</v>
      </c>
      <c r="T104" s="76">
        <f t="shared" si="268"/>
        <v>96000</v>
      </c>
      <c r="U104" s="76">
        <f t="shared" si="268"/>
        <v>99000</v>
      </c>
      <c r="V104" s="76">
        <f t="shared" si="268"/>
        <v>102000</v>
      </c>
      <c r="W104" s="76">
        <f t="shared" si="268"/>
        <v>106000</v>
      </c>
      <c r="X104" s="76">
        <f t="shared" si="268"/>
        <v>110000</v>
      </c>
      <c r="Y104" s="76">
        <f t="shared" si="268"/>
        <v>114000</v>
      </c>
      <c r="Z104" s="76">
        <f t="shared" si="268"/>
        <v>118000</v>
      </c>
      <c r="AA104" s="76">
        <f t="shared" si="268"/>
        <v>122000</v>
      </c>
      <c r="AE104" s="182" t="str">
        <f t="shared" si="239"/>
        <v>OD - Law</v>
      </c>
      <c r="AG104" s="2">
        <f t="shared" si="240"/>
        <v>0</v>
      </c>
      <c r="AH104" s="2">
        <f t="shared" si="240"/>
        <v>0</v>
      </c>
      <c r="AI104" s="2">
        <f t="shared" si="240"/>
        <v>0</v>
      </c>
      <c r="AJ104" s="2">
        <f t="shared" si="236"/>
        <v>58052</v>
      </c>
      <c r="AK104" s="2">
        <f t="shared" ref="AK104:BE104" si="269">+AK84+AK44</f>
        <v>59533</v>
      </c>
      <c r="AL104" s="2">
        <f t="shared" si="269"/>
        <v>61453</v>
      </c>
      <c r="AM104" s="2">
        <f t="shared" si="269"/>
        <v>63373</v>
      </c>
      <c r="AN104" s="2">
        <f t="shared" si="269"/>
        <v>65294</v>
      </c>
      <c r="AO104" s="2">
        <f t="shared" si="269"/>
        <v>67214</v>
      </c>
      <c r="AP104" s="2">
        <f t="shared" si="269"/>
        <v>69135</v>
      </c>
      <c r="AQ104" s="2">
        <f t="shared" si="269"/>
        <v>72015</v>
      </c>
      <c r="AR104" s="2">
        <f t="shared" si="269"/>
        <v>74896</v>
      </c>
      <c r="AS104" s="2">
        <f t="shared" si="269"/>
        <v>77777</v>
      </c>
      <c r="AT104" s="2">
        <f t="shared" si="269"/>
        <v>80657</v>
      </c>
      <c r="AU104" s="2">
        <f t="shared" si="269"/>
        <v>83538</v>
      </c>
      <c r="AV104" s="2">
        <f t="shared" si="269"/>
        <v>86418</v>
      </c>
      <c r="AW104" s="2">
        <f t="shared" si="269"/>
        <v>89299</v>
      </c>
      <c r="AX104" s="2">
        <f t="shared" si="269"/>
        <v>92180</v>
      </c>
      <c r="AY104" s="2">
        <f t="shared" si="269"/>
        <v>95060</v>
      </c>
      <c r="AZ104" s="2">
        <f t="shared" si="269"/>
        <v>97941</v>
      </c>
      <c r="BA104" s="2">
        <f t="shared" si="269"/>
        <v>101782</v>
      </c>
      <c r="BB104" s="2">
        <f t="shared" si="269"/>
        <v>105622</v>
      </c>
      <c r="BC104" s="2">
        <f t="shared" si="269"/>
        <v>109463</v>
      </c>
      <c r="BD104" s="2">
        <f t="shared" si="269"/>
        <v>113304</v>
      </c>
      <c r="BE104" s="2">
        <f t="shared" si="269"/>
        <v>117145</v>
      </c>
    </row>
    <row r="105" spans="1:57" x14ac:dyDescent="0.35">
      <c r="A105" s="86"/>
      <c r="B105" s="65"/>
      <c r="C105" s="81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</row>
    <row r="106" spans="1:57" s="4" customFormat="1" x14ac:dyDescent="0.35">
      <c r="A106" s="178">
        <f>MAX(A$6:A105)+1</f>
        <v>88</v>
      </c>
      <c r="B106" s="65" t="s">
        <v>159</v>
      </c>
      <c r="C106" s="81"/>
      <c r="D106" s="81"/>
      <c r="E106" s="81"/>
      <c r="F106" s="81">
        <f>SUM(F89:F105)</f>
        <v>6603000</v>
      </c>
      <c r="G106" s="81">
        <f t="shared" ref="G106:H106" si="270">SUM(G89:G105)</f>
        <v>3573000</v>
      </c>
      <c r="H106" s="81">
        <f t="shared" si="270"/>
        <v>3698000</v>
      </c>
      <c r="I106" s="81">
        <f t="shared" ref="I106:L106" si="271">SUM(I89:I105)</f>
        <v>3827000</v>
      </c>
      <c r="J106" s="81">
        <f t="shared" si="271"/>
        <v>3959000</v>
      </c>
      <c r="K106" s="81">
        <f t="shared" si="271"/>
        <v>4097000</v>
      </c>
      <c r="L106" s="81">
        <f t="shared" si="271"/>
        <v>4240000</v>
      </c>
      <c r="M106" s="81">
        <f t="shared" ref="M106:AA106" si="272">SUM(M89:M105)</f>
        <v>4390000</v>
      </c>
      <c r="N106" s="81">
        <f t="shared" si="272"/>
        <v>4543000</v>
      </c>
      <c r="O106" s="81">
        <f t="shared" si="272"/>
        <v>4703000</v>
      </c>
      <c r="P106" s="81">
        <f t="shared" si="272"/>
        <v>4868000</v>
      </c>
      <c r="Q106" s="81">
        <f t="shared" si="272"/>
        <v>5037000</v>
      </c>
      <c r="R106" s="81">
        <f t="shared" si="272"/>
        <v>5212000</v>
      </c>
      <c r="S106" s="81">
        <f t="shared" si="272"/>
        <v>5393000</v>
      </c>
      <c r="T106" s="81">
        <f t="shared" si="272"/>
        <v>5581000</v>
      </c>
      <c r="U106" s="81">
        <f t="shared" si="272"/>
        <v>5777000</v>
      </c>
      <c r="V106" s="81">
        <f t="shared" si="272"/>
        <v>5978000</v>
      </c>
      <c r="W106" s="81">
        <f t="shared" si="272"/>
        <v>6188000</v>
      </c>
      <c r="X106" s="81">
        <f t="shared" si="272"/>
        <v>6405000</v>
      </c>
      <c r="Y106" s="81">
        <f t="shared" si="272"/>
        <v>6630000</v>
      </c>
      <c r="Z106" s="81">
        <f t="shared" si="272"/>
        <v>6861000</v>
      </c>
      <c r="AA106" s="81">
        <f t="shared" si="272"/>
        <v>7101000</v>
      </c>
      <c r="AE106" s="154" t="s">
        <v>113</v>
      </c>
      <c r="AF106" s="183"/>
      <c r="AG106" s="183">
        <f t="shared" ref="AG106:BE106" si="273">SUM(AG89:AG105)</f>
        <v>0</v>
      </c>
      <c r="AH106" s="183">
        <f t="shared" si="273"/>
        <v>0</v>
      </c>
      <c r="AI106" s="183">
        <f t="shared" si="273"/>
        <v>0</v>
      </c>
      <c r="AJ106" s="183">
        <f t="shared" si="273"/>
        <v>6323503</v>
      </c>
      <c r="AK106" s="183">
        <f t="shared" si="273"/>
        <v>3279872</v>
      </c>
      <c r="AL106" s="183">
        <f t="shared" si="273"/>
        <v>3394761</v>
      </c>
      <c r="AM106" s="183">
        <f t="shared" si="273"/>
        <v>3513438</v>
      </c>
      <c r="AN106" s="183">
        <f t="shared" si="273"/>
        <v>3634910</v>
      </c>
      <c r="AO106" s="183">
        <f t="shared" si="273"/>
        <v>3761478</v>
      </c>
      <c r="AP106" s="183">
        <f t="shared" si="273"/>
        <v>3892789</v>
      </c>
      <c r="AQ106" s="183">
        <f t="shared" si="273"/>
        <v>4030632</v>
      </c>
      <c r="AR106" s="183">
        <f t="shared" si="273"/>
        <v>4171309</v>
      </c>
      <c r="AS106" s="183">
        <f t="shared" si="273"/>
        <v>4318216</v>
      </c>
      <c r="AT106" s="183">
        <f t="shared" si="273"/>
        <v>4469800</v>
      </c>
      <c r="AU106" s="183">
        <f t="shared" si="273"/>
        <v>4625169</v>
      </c>
      <c r="AV106" s="183">
        <f t="shared" si="273"/>
        <v>4786094</v>
      </c>
      <c r="AW106" s="183">
        <f t="shared" si="273"/>
        <v>4952548</v>
      </c>
      <c r="AX106" s="183">
        <f t="shared" si="273"/>
        <v>5125228</v>
      </c>
      <c r="AY106" s="183">
        <f t="shared" si="273"/>
        <v>5305248</v>
      </c>
      <c r="AZ106" s="183">
        <f t="shared" si="273"/>
        <v>5490000</v>
      </c>
      <c r="BA106" s="183">
        <f t="shared" si="273"/>
        <v>5682883</v>
      </c>
      <c r="BB106" s="183">
        <f t="shared" si="273"/>
        <v>5882282</v>
      </c>
      <c r="BC106" s="183">
        <f t="shared" si="273"/>
        <v>6089081</v>
      </c>
      <c r="BD106" s="183">
        <f t="shared" si="273"/>
        <v>6301336</v>
      </c>
      <c r="BE106" s="183">
        <f t="shared" si="273"/>
        <v>6521875</v>
      </c>
    </row>
    <row r="107" spans="1:57" x14ac:dyDescent="0.35">
      <c r="A107" s="94"/>
      <c r="B107" s="95"/>
      <c r="C107" s="96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</row>
    <row r="108" spans="1:57" x14ac:dyDescent="0.35">
      <c r="A108" s="85">
        <f>MAX(A$6:A107)+1</f>
        <v>89</v>
      </c>
      <c r="B108" s="72" t="s">
        <v>265</v>
      </c>
      <c r="C108" s="88">
        <f>SUM(C89:C94)</f>
        <v>0</v>
      </c>
      <c r="D108" s="88">
        <f t="shared" ref="D108:AA108" si="274">SUM(D89:D94)</f>
        <v>0</v>
      </c>
      <c r="E108" s="88">
        <f t="shared" si="274"/>
        <v>0</v>
      </c>
      <c r="F108" s="88">
        <f t="shared" si="274"/>
        <v>5722600</v>
      </c>
      <c r="G108" s="88">
        <f t="shared" si="274"/>
        <v>3026000</v>
      </c>
      <c r="H108" s="88">
        <f t="shared" si="274"/>
        <v>3132000</v>
      </c>
      <c r="I108" s="88">
        <f t="shared" si="274"/>
        <v>3242000</v>
      </c>
      <c r="J108" s="88">
        <f t="shared" si="274"/>
        <v>3355000</v>
      </c>
      <c r="K108" s="88">
        <f t="shared" si="274"/>
        <v>3472000</v>
      </c>
      <c r="L108" s="88">
        <f t="shared" si="274"/>
        <v>3593000</v>
      </c>
      <c r="M108" s="88">
        <f t="shared" si="274"/>
        <v>3720000</v>
      </c>
      <c r="N108" s="88">
        <f t="shared" si="274"/>
        <v>3850000</v>
      </c>
      <c r="O108" s="88">
        <f t="shared" si="274"/>
        <v>3985000</v>
      </c>
      <c r="P108" s="88">
        <f t="shared" si="274"/>
        <v>4125000</v>
      </c>
      <c r="Q108" s="88">
        <f t="shared" si="274"/>
        <v>4269000</v>
      </c>
      <c r="R108" s="88">
        <f t="shared" si="274"/>
        <v>4418000</v>
      </c>
      <c r="S108" s="88">
        <f t="shared" si="274"/>
        <v>4572000</v>
      </c>
      <c r="T108" s="88">
        <f t="shared" si="274"/>
        <v>4732000</v>
      </c>
      <c r="U108" s="88">
        <f t="shared" si="274"/>
        <v>4898000</v>
      </c>
      <c r="V108" s="88">
        <f t="shared" si="274"/>
        <v>5069000</v>
      </c>
      <c r="W108" s="88">
        <f t="shared" si="274"/>
        <v>5247000</v>
      </c>
      <c r="X108" s="88">
        <f t="shared" si="274"/>
        <v>5431000</v>
      </c>
      <c r="Y108" s="88">
        <f t="shared" si="274"/>
        <v>5622000</v>
      </c>
      <c r="Z108" s="88">
        <f t="shared" si="274"/>
        <v>5819000</v>
      </c>
      <c r="AA108" s="88">
        <f t="shared" si="274"/>
        <v>6023000</v>
      </c>
      <c r="AE108" s="154" t="str">
        <f>B108</f>
        <v xml:space="preserve">PWD (Dept 28) Subtotal </v>
      </c>
      <c r="AF108" s="183"/>
      <c r="AG108" s="183">
        <f t="shared" ref="AG108:BE108" si="275">SUM(AG89:AG94)</f>
        <v>0</v>
      </c>
      <c r="AH108" s="183">
        <f t="shared" si="275"/>
        <v>0</v>
      </c>
      <c r="AI108" s="183">
        <f t="shared" si="275"/>
        <v>0</v>
      </c>
      <c r="AJ108" s="183">
        <f t="shared" si="275"/>
        <v>5532514</v>
      </c>
      <c r="AK108" s="183">
        <f t="shared" si="275"/>
        <v>2826410</v>
      </c>
      <c r="AL108" s="183">
        <f t="shared" si="275"/>
        <v>2925471</v>
      </c>
      <c r="AM108" s="183">
        <f t="shared" si="275"/>
        <v>3028321</v>
      </c>
      <c r="AN108" s="183">
        <f t="shared" si="275"/>
        <v>3133964</v>
      </c>
      <c r="AO108" s="183">
        <f t="shared" si="275"/>
        <v>3243160</v>
      </c>
      <c r="AP108" s="183">
        <f t="shared" si="275"/>
        <v>3356213</v>
      </c>
      <c r="AQ108" s="183">
        <f t="shared" si="275"/>
        <v>3474839</v>
      </c>
      <c r="AR108" s="183">
        <f t="shared" si="275"/>
        <v>3596297</v>
      </c>
      <c r="AS108" s="183">
        <f t="shared" si="275"/>
        <v>3722331</v>
      </c>
      <c r="AT108" s="183">
        <f t="shared" si="275"/>
        <v>3853042</v>
      </c>
      <c r="AU108" s="183">
        <f t="shared" si="275"/>
        <v>3987537</v>
      </c>
      <c r="AV108" s="183">
        <f t="shared" si="275"/>
        <v>4126819</v>
      </c>
      <c r="AW108" s="183">
        <f t="shared" si="275"/>
        <v>4270744</v>
      </c>
      <c r="AX108" s="183">
        <f t="shared" si="275"/>
        <v>4420125</v>
      </c>
      <c r="AY108" s="183">
        <f t="shared" si="275"/>
        <v>4575186</v>
      </c>
      <c r="AZ108" s="183">
        <f t="shared" si="275"/>
        <v>4734981</v>
      </c>
      <c r="BA108" s="183">
        <f t="shared" si="275"/>
        <v>4901174</v>
      </c>
      <c r="BB108" s="183">
        <f t="shared" si="275"/>
        <v>5072999</v>
      </c>
      <c r="BC108" s="183">
        <f t="shared" si="275"/>
        <v>5251454</v>
      </c>
      <c r="BD108" s="183">
        <f t="shared" si="275"/>
        <v>5435364</v>
      </c>
      <c r="BE108" s="183">
        <f t="shared" si="275"/>
        <v>5625903</v>
      </c>
    </row>
    <row r="109" spans="1:57" x14ac:dyDescent="0.35">
      <c r="A109" s="86"/>
      <c r="B109" s="65"/>
      <c r="C109" s="81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</row>
    <row r="110" spans="1:57" x14ac:dyDescent="0.35">
      <c r="A110" s="85">
        <f>MAX(A$6:A109)+1</f>
        <v>90</v>
      </c>
      <c r="B110" s="72" t="s">
        <v>266</v>
      </c>
      <c r="C110" s="88">
        <f>SUM(C95:C104)</f>
        <v>0</v>
      </c>
      <c r="D110" s="88">
        <f t="shared" ref="D110:AA110" si="276">SUM(D95:D104)</f>
        <v>0</v>
      </c>
      <c r="E110" s="88">
        <f t="shared" si="276"/>
        <v>0</v>
      </c>
      <c r="F110" s="88">
        <f t="shared" si="276"/>
        <v>880400</v>
      </c>
      <c r="G110" s="88">
        <f t="shared" si="276"/>
        <v>547000</v>
      </c>
      <c r="H110" s="88">
        <f t="shared" si="276"/>
        <v>566000</v>
      </c>
      <c r="I110" s="88">
        <f t="shared" si="276"/>
        <v>585000</v>
      </c>
      <c r="J110" s="88">
        <f t="shared" si="276"/>
        <v>604000</v>
      </c>
      <c r="K110" s="88">
        <f t="shared" si="276"/>
        <v>625000</v>
      </c>
      <c r="L110" s="88">
        <f t="shared" si="276"/>
        <v>647000</v>
      </c>
      <c r="M110" s="88">
        <f t="shared" si="276"/>
        <v>670000</v>
      </c>
      <c r="N110" s="88">
        <f t="shared" si="276"/>
        <v>693000</v>
      </c>
      <c r="O110" s="88">
        <f t="shared" si="276"/>
        <v>718000</v>
      </c>
      <c r="P110" s="88">
        <f t="shared" si="276"/>
        <v>743000</v>
      </c>
      <c r="Q110" s="88">
        <f t="shared" si="276"/>
        <v>768000</v>
      </c>
      <c r="R110" s="88">
        <f t="shared" si="276"/>
        <v>794000</v>
      </c>
      <c r="S110" s="88">
        <f t="shared" si="276"/>
        <v>821000</v>
      </c>
      <c r="T110" s="88">
        <f t="shared" si="276"/>
        <v>849000</v>
      </c>
      <c r="U110" s="88">
        <f t="shared" si="276"/>
        <v>879000</v>
      </c>
      <c r="V110" s="88">
        <f t="shared" si="276"/>
        <v>909000</v>
      </c>
      <c r="W110" s="88">
        <f t="shared" si="276"/>
        <v>941000</v>
      </c>
      <c r="X110" s="88">
        <f t="shared" si="276"/>
        <v>974000</v>
      </c>
      <c r="Y110" s="88">
        <f t="shared" si="276"/>
        <v>1008000</v>
      </c>
      <c r="Z110" s="88">
        <f t="shared" si="276"/>
        <v>1042000</v>
      </c>
      <c r="AA110" s="88">
        <f t="shared" si="276"/>
        <v>1078000</v>
      </c>
      <c r="AE110" s="154" t="str">
        <f>B110</f>
        <v>OD Subtotal</v>
      </c>
      <c r="AF110" s="183"/>
      <c r="AG110" s="183">
        <f t="shared" ref="AG110:BE110" si="277">SUM(AG95:AG104)</f>
        <v>0</v>
      </c>
      <c r="AH110" s="183">
        <f t="shared" si="277"/>
        <v>0</v>
      </c>
      <c r="AI110" s="183">
        <f t="shared" si="277"/>
        <v>0</v>
      </c>
      <c r="AJ110" s="183">
        <f t="shared" si="277"/>
        <v>790989</v>
      </c>
      <c r="AK110" s="183">
        <f t="shared" si="277"/>
        <v>453462</v>
      </c>
      <c r="AL110" s="183">
        <f t="shared" si="277"/>
        <v>469290</v>
      </c>
      <c r="AM110" s="183">
        <f t="shared" si="277"/>
        <v>485117</v>
      </c>
      <c r="AN110" s="183">
        <f t="shared" si="277"/>
        <v>500946</v>
      </c>
      <c r="AO110" s="183">
        <f t="shared" si="277"/>
        <v>518318</v>
      </c>
      <c r="AP110" s="183">
        <f t="shared" si="277"/>
        <v>536576</v>
      </c>
      <c r="AQ110" s="183">
        <f t="shared" si="277"/>
        <v>555793</v>
      </c>
      <c r="AR110" s="183">
        <f t="shared" si="277"/>
        <v>575012</v>
      </c>
      <c r="AS110" s="183">
        <f t="shared" si="277"/>
        <v>595885</v>
      </c>
      <c r="AT110" s="183">
        <f t="shared" si="277"/>
        <v>616758</v>
      </c>
      <c r="AU110" s="183">
        <f t="shared" si="277"/>
        <v>637632</v>
      </c>
      <c r="AV110" s="183">
        <f t="shared" si="277"/>
        <v>659275</v>
      </c>
      <c r="AW110" s="183">
        <f t="shared" si="277"/>
        <v>681804</v>
      </c>
      <c r="AX110" s="183">
        <f t="shared" si="277"/>
        <v>705103</v>
      </c>
      <c r="AY110" s="183">
        <f t="shared" si="277"/>
        <v>730062</v>
      </c>
      <c r="AZ110" s="183">
        <f t="shared" si="277"/>
        <v>755019</v>
      </c>
      <c r="BA110" s="183">
        <f t="shared" si="277"/>
        <v>781709</v>
      </c>
      <c r="BB110" s="183">
        <f t="shared" si="277"/>
        <v>809283</v>
      </c>
      <c r="BC110" s="183">
        <f t="shared" si="277"/>
        <v>837627</v>
      </c>
      <c r="BD110" s="183">
        <f t="shared" si="277"/>
        <v>865972</v>
      </c>
      <c r="BE110" s="183">
        <f t="shared" si="277"/>
        <v>895972</v>
      </c>
    </row>
    <row r="112" spans="1:57" x14ac:dyDescent="0.35">
      <c r="B112" t="s">
        <v>267</v>
      </c>
      <c r="C112" s="78">
        <f>C106-C108-C110</f>
        <v>0</v>
      </c>
      <c r="D112" s="78">
        <f t="shared" ref="D112:AA112" si="278">D106-D108-D110</f>
        <v>0</v>
      </c>
      <c r="E112" s="78">
        <f t="shared" si="278"/>
        <v>0</v>
      </c>
      <c r="F112" s="78">
        <f t="shared" si="278"/>
        <v>0</v>
      </c>
      <c r="G112" s="78">
        <f t="shared" si="278"/>
        <v>0</v>
      </c>
      <c r="H112" s="78">
        <f t="shared" si="278"/>
        <v>0</v>
      </c>
      <c r="I112" s="78">
        <f t="shared" si="278"/>
        <v>0</v>
      </c>
      <c r="J112" s="78">
        <f t="shared" si="278"/>
        <v>0</v>
      </c>
      <c r="K112" s="78">
        <f t="shared" si="278"/>
        <v>0</v>
      </c>
      <c r="L112" s="78">
        <f t="shared" si="278"/>
        <v>0</v>
      </c>
      <c r="M112" s="78">
        <f t="shared" si="278"/>
        <v>0</v>
      </c>
      <c r="N112" s="78">
        <f t="shared" si="278"/>
        <v>0</v>
      </c>
      <c r="O112" s="78">
        <f t="shared" si="278"/>
        <v>0</v>
      </c>
      <c r="P112" s="78">
        <f t="shared" si="278"/>
        <v>0</v>
      </c>
      <c r="Q112" s="78">
        <f t="shared" si="278"/>
        <v>0</v>
      </c>
      <c r="R112" s="78">
        <f t="shared" si="278"/>
        <v>0</v>
      </c>
      <c r="S112" s="78">
        <f t="shared" si="278"/>
        <v>0</v>
      </c>
      <c r="T112" s="78">
        <f t="shared" si="278"/>
        <v>0</v>
      </c>
      <c r="U112" s="78">
        <f t="shared" si="278"/>
        <v>0</v>
      </c>
      <c r="V112" s="78">
        <f t="shared" si="278"/>
        <v>0</v>
      </c>
      <c r="W112" s="78">
        <f t="shared" si="278"/>
        <v>0</v>
      </c>
      <c r="X112" s="78">
        <f t="shared" si="278"/>
        <v>0</v>
      </c>
      <c r="Y112" s="78">
        <f t="shared" si="278"/>
        <v>0</v>
      </c>
      <c r="Z112" s="78">
        <f t="shared" si="278"/>
        <v>0</v>
      </c>
      <c r="AA112" s="78">
        <f t="shared" si="278"/>
        <v>0</v>
      </c>
      <c r="AE112" t="str">
        <f>B112</f>
        <v xml:space="preserve">Check </v>
      </c>
      <c r="AG112">
        <f t="shared" ref="AG112:BE112" si="279">AG106-AG108-AG110</f>
        <v>0</v>
      </c>
      <c r="AH112">
        <f t="shared" si="279"/>
        <v>0</v>
      </c>
      <c r="AI112">
        <f t="shared" si="279"/>
        <v>0</v>
      </c>
      <c r="AJ112">
        <f t="shared" si="279"/>
        <v>0</v>
      </c>
      <c r="AK112">
        <f t="shared" si="279"/>
        <v>0</v>
      </c>
      <c r="AL112">
        <f t="shared" si="279"/>
        <v>0</v>
      </c>
      <c r="AM112">
        <f t="shared" si="279"/>
        <v>0</v>
      </c>
      <c r="AN112">
        <f t="shared" si="279"/>
        <v>0</v>
      </c>
      <c r="AO112">
        <f t="shared" si="279"/>
        <v>0</v>
      </c>
      <c r="AP112">
        <f t="shared" si="279"/>
        <v>0</v>
      </c>
      <c r="AQ112">
        <f t="shared" si="279"/>
        <v>0</v>
      </c>
      <c r="AR112">
        <f t="shared" si="279"/>
        <v>0</v>
      </c>
      <c r="AS112">
        <f t="shared" si="279"/>
        <v>0</v>
      </c>
      <c r="AT112">
        <f t="shared" si="279"/>
        <v>0</v>
      </c>
      <c r="AU112">
        <f t="shared" si="279"/>
        <v>0</v>
      </c>
      <c r="AV112">
        <f t="shared" si="279"/>
        <v>0</v>
      </c>
      <c r="AW112">
        <f t="shared" si="279"/>
        <v>0</v>
      </c>
      <c r="AX112">
        <f t="shared" si="279"/>
        <v>0</v>
      </c>
      <c r="AY112">
        <f t="shared" si="279"/>
        <v>0</v>
      </c>
      <c r="AZ112">
        <f t="shared" si="279"/>
        <v>0</v>
      </c>
      <c r="BA112">
        <f t="shared" si="279"/>
        <v>0</v>
      </c>
      <c r="BB112">
        <f t="shared" si="279"/>
        <v>0</v>
      </c>
      <c r="BC112">
        <f t="shared" si="279"/>
        <v>0</v>
      </c>
      <c r="BD112">
        <f t="shared" si="279"/>
        <v>0</v>
      </c>
      <c r="BE112">
        <f t="shared" si="279"/>
        <v>0</v>
      </c>
    </row>
    <row r="114" spans="1:1" x14ac:dyDescent="0.35">
      <c r="A114" s="87" t="s">
        <v>16</v>
      </c>
    </row>
    <row r="131" spans="6:6" x14ac:dyDescent="0.35">
      <c r="F131" s="187"/>
    </row>
  </sheetData>
  <mergeCells count="1">
    <mergeCell ref="AC1:AE1"/>
  </mergeCells>
  <pageMargins left="0.7" right="0.7" top="0.75" bottom="0.75" header="0.3" footer="0.3"/>
  <pageSetup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3A16D8E-58DA-4311-9C1E-AE5344F30A99}">
          <x14:formula1>
            <xm:f>Assumptions!$B$6:$B$20</xm:f>
          </x14:formula1>
          <xm:sqref>AC7:AC8</xm:sqref>
        </x14:dataValidation>
        <x14:dataValidation type="list" allowBlank="1" showInputMessage="1" showErrorMessage="1" xr:uid="{A567B332-A69A-4321-BFBC-DF70F365F0E3}">
          <x14:formula1>
            <xm:f>Assumptions!$E$27:$E$193</xm:f>
          </x14:formula1>
          <xm:sqref>AE29:AE44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11CE9-AD5A-46A0-A510-CC9EF18A3CAC}">
  <sheetPr codeName="Sheet8"/>
  <dimension ref="A1:BE107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8.7265625" defaultRowHeight="14.5" x14ac:dyDescent="0.35"/>
  <cols>
    <col min="1" max="1" width="10.54296875" customWidth="1"/>
    <col min="2" max="2" width="30.54296875" customWidth="1"/>
    <col min="3" max="3" width="13.7265625" customWidth="1"/>
    <col min="4" max="4" width="12.54296875" customWidth="1"/>
    <col min="5" max="5" width="13.54296875" customWidth="1"/>
    <col min="6" max="29" width="12.54296875" customWidth="1"/>
    <col min="30" max="30" width="29.81640625" customWidth="1"/>
    <col min="31" max="31" width="19.453125" customWidth="1"/>
    <col min="35" max="35" width="14.81640625" customWidth="1"/>
    <col min="36" max="36" width="12.54296875" customWidth="1"/>
    <col min="37" max="37" width="12.453125" customWidth="1"/>
    <col min="38" max="38" width="13.1796875" customWidth="1"/>
    <col min="39" max="42" width="12.54296875" customWidth="1"/>
    <col min="43" max="57" width="12.81640625" customWidth="1"/>
  </cols>
  <sheetData>
    <row r="1" spans="1:57" ht="19" thickTop="1" x14ac:dyDescent="0.45">
      <c r="A1" s="12" t="s">
        <v>250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B2" s="45"/>
      <c r="AF2" t="s">
        <v>2</v>
      </c>
    </row>
    <row r="3" spans="1:57" ht="16.5" thickTop="1" x14ac:dyDescent="0.5">
      <c r="A3" s="22" t="s">
        <v>3</v>
      </c>
      <c r="B3" s="23" t="s">
        <v>72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46">
        <v>1</v>
      </c>
      <c r="B6" s="32" t="s">
        <v>20</v>
      </c>
      <c r="C6" s="5"/>
      <c r="D6" s="5">
        <v>0</v>
      </c>
      <c r="E6" s="5">
        <v>0</v>
      </c>
      <c r="F6" s="5">
        <v>0</v>
      </c>
      <c r="G6" s="5">
        <v>0</v>
      </c>
      <c r="H6" s="112">
        <f>SUMIF(Assumptions!$B$6:$B$20,$AC$6,Assumptions!F$6:F$20)</f>
        <v>3.5000000000000003E-2</v>
      </c>
      <c r="I6" s="112">
        <f>SUMIF(Assumptions!$B$6:$B$20,$AC$6,Assumptions!G$6:G$20)</f>
        <v>3.5000000000000003E-2</v>
      </c>
      <c r="J6" s="112">
        <f>SUMIF(Assumptions!$B$6:$B$20,$AC$6,Assumptions!H$6:H$20)</f>
        <v>3.5000000000000003E-2</v>
      </c>
      <c r="K6" s="112">
        <f>SUMIF(Assumptions!$B$6:$B$20,$AC$6,Assumptions!I$6:I$20)</f>
        <v>3.5000000000000003E-2</v>
      </c>
      <c r="L6" s="112">
        <f>SUMIF(Assumptions!$B$6:$B$20,$AC$6,Assumptions!J$6:J$20)</f>
        <v>3.5000000000000003E-2</v>
      </c>
      <c r="M6" s="112">
        <f>SUMIF(Assumptions!$B$6:$B$20,$AC$6,Assumptions!K$6:K$20)</f>
        <v>3.5000000000000003E-2</v>
      </c>
      <c r="N6" s="112">
        <f>SUMIF(Assumptions!$B$6:$B$20,$AC$6,Assumptions!L$6:L$20)</f>
        <v>3.5000000000000003E-2</v>
      </c>
      <c r="O6" s="112">
        <f>SUMIF(Assumptions!$B$6:$B$20,$AC$6,Assumptions!M$6:M$20)</f>
        <v>3.5000000000000003E-2</v>
      </c>
      <c r="P6" s="112">
        <f>SUMIF(Assumptions!$B$6:$B$20,$AC$6,Assumptions!N$6:N$20)</f>
        <v>3.5000000000000003E-2</v>
      </c>
      <c r="Q6" s="112">
        <f>SUMIF(Assumptions!$B$6:$B$20,$AC$6,Assumptions!O$6:O$20)</f>
        <v>3.5000000000000003E-2</v>
      </c>
      <c r="R6" s="112">
        <f>SUMIF(Assumptions!$B$6:$B$20,$AC$6,Assumptions!P$6:P$20)</f>
        <v>3.5000000000000003E-2</v>
      </c>
      <c r="S6" s="112">
        <f>SUMIF(Assumptions!$B$6:$B$20,$AC$6,Assumptions!Q$6:Q$20)</f>
        <v>3.5000000000000003E-2</v>
      </c>
      <c r="T6" s="112">
        <f>SUMIF(Assumptions!$B$6:$B$20,$AC$6,Assumptions!R$6:R$20)</f>
        <v>3.5000000000000003E-2</v>
      </c>
      <c r="U6" s="112">
        <f>SUMIF(Assumptions!$B$6:$B$20,$AC$6,Assumptions!S$6:S$20)</f>
        <v>3.5000000000000003E-2</v>
      </c>
      <c r="V6" s="112">
        <f>SUMIF(Assumptions!$B$6:$B$20,$AC$6,Assumptions!T$6:T$20)</f>
        <v>3.5000000000000003E-2</v>
      </c>
      <c r="W6" s="112">
        <f>SUMIF(Assumptions!$B$6:$B$20,$AC$6,Assumptions!U$6:U$20)</f>
        <v>3.5000000000000003E-2</v>
      </c>
      <c r="X6" s="112">
        <f>SUMIF(Assumptions!$B$6:$B$20,$AC$6,Assumptions!V$6:V$20)</f>
        <v>3.5000000000000003E-2</v>
      </c>
      <c r="Y6" s="112">
        <f>SUMIF(Assumptions!$B$6:$B$20,$AC$6,Assumptions!W$6:W$20)</f>
        <v>3.5000000000000003E-2</v>
      </c>
      <c r="Z6" s="112">
        <f>SUMIF(Assumptions!$B$6:$B$20,$AC$6,Assumptions!X$6:X$20)</f>
        <v>3.5000000000000003E-2</v>
      </c>
      <c r="AA6" s="112">
        <f>SUMIF(Assumptions!$B$6:$B$20,$AC$6,Assumptions!Y$6:Y$20)</f>
        <v>3.5000000000000003E-2</v>
      </c>
      <c r="AC6" s="172" t="s">
        <v>10</v>
      </c>
    </row>
    <row r="7" spans="1:57" x14ac:dyDescent="0.35">
      <c r="A7" s="57">
        <f>MAX(A$6:A6)+1</f>
        <v>2</v>
      </c>
      <c r="B7" s="17" t="s">
        <v>47</v>
      </c>
      <c r="C7" s="73"/>
      <c r="D7" s="73"/>
      <c r="E7" s="73">
        <f t="shared" ref="E7" si="32">+(1+C6)*(1+D6)*(1+E6)-1</f>
        <v>0</v>
      </c>
      <c r="F7" s="73">
        <f>+(1+D6)*(1+E6)*(1+F6)-1</f>
        <v>0</v>
      </c>
      <c r="G7" s="73">
        <f>+(1+D6)*(1+E6)*(1+F6)*(1+G6)-1</f>
        <v>0</v>
      </c>
      <c r="H7" s="73">
        <f>+(1+D6)*(1+E6)*(1+F6)*(1+G6)*(1+H6)-1</f>
        <v>3.499999999999992E-2</v>
      </c>
      <c r="I7" s="73">
        <f>+(1+D6)*(1+E6)*(1+F6)*(1+G6)*(1+H6)*(1+I6)-1</f>
        <v>7.1224999999999872E-2</v>
      </c>
      <c r="J7" s="73">
        <f>+(1+D6)*(1+E6)*(1+F6)*(1+G6)*(1+H6)*(1+I6)*(1+J6)-1</f>
        <v>0.10871787499999974</v>
      </c>
      <c r="K7" s="73">
        <f>+(1+D6)*(1+E6)*(1+F6)*(1+G6)*(1+H6)*(1+I6)*(1+J6)*(1+K6)-1</f>
        <v>0.14752300062499968</v>
      </c>
      <c r="L7" s="73">
        <f>+(1+D6)*(1+E6)*(1+F6)*(1+G6)*(1+H6)*(1+I6)*(1+J6)*(1+K6)*(1+L6)-1</f>
        <v>0.1876863056468745</v>
      </c>
      <c r="M7" s="73">
        <f>+(1+D6)*(1+E6)*(1+F6)*(1+G6)*(1+H6)*(1+I6)*(1+J6)*(1+K6)*(1+L6)*(1+M6)-1</f>
        <v>0.22925532634451495</v>
      </c>
      <c r="N7" s="73">
        <f>+(1+D6)*(1+E6)*(1+F6)*(1+G6)*(1+H6)*(1+I6)*(1+J6)*(1+K6)*(1+L6)*(1+M6)*(1+N6)-1</f>
        <v>0.27227926276657288</v>
      </c>
      <c r="O7" s="73">
        <f>+(1+D6)*(1+E6)*(1+F6)*(1+G6)*(1+H6)*(1+I6)*(1+J6)*(1+K6)*(1+L6)*(1+M6)*(1+N6)*(1+O6)-1</f>
        <v>0.3168090369634029</v>
      </c>
      <c r="P7" s="73">
        <f>+(1+D6)*(1+E6)*(1+F6)*(1+G6)*(1+H6)*(1+I6)*(1+J6)*(1+K6)*(1+L6)*(1+M6)*(1+N6)*(1+O6)*(1+P6)-1</f>
        <v>0.3628973532571218</v>
      </c>
      <c r="Q7" s="73">
        <f>+(1+D6)*(1+E6)*(1+F6)*(1+G6)*(1+H6)*(1+I6)*(1+J6)*(1+K6)*(1+L6)*(1+M6)*(1+N6)*(1+O6)*(1+P6)*(1+Q6)-1</f>
        <v>0.410598760621121</v>
      </c>
      <c r="R7" s="73">
        <f>+(1+D6)*(1+E6)*(1+F6)*(1+G6)*(1+H6)*(1+I6)*(1+J6)*(1+K6)*(1+L6)*(1+M6)*(1+N6)*(1+O6)*(1+P6)*(1+Q6)*(1+R6)-1</f>
        <v>0.45996971724286007</v>
      </c>
      <c r="S7" s="73">
        <f>+(1+D6)*(1+E6)*(1+F6)*(1+G6)*(1+H6)*(1+I6)*(1+J6)*(1+K6)*(1+L6)*(1+M6)*(1+N6)*(1+O6)*(1+P6)*(1+Q6)*(1+R6)*(1+S6)-1</f>
        <v>0.51106865734636009</v>
      </c>
      <c r="T7" s="73">
        <f>+(1+D6)*(1+E6)*(1+F6)*(1+G6)*(1+H6)*(1+I6)*(1+J6)*(1+K6)*(1+L6)*(1+M6)*(1+N6)*(1+O6)*(1+P6)*(1+Q6)*(1+R6)*(1+S6)*(1+T6)-1</f>
        <v>0.56395606035348256</v>
      </c>
      <c r="U7" s="73">
        <f>+(1+D6)*(1+E6)*(1+F6)*(1+G6)*(1+H6)*(1+I6)*(1+J6)*(1+K6)*(1+L6)*(1+M6)*(1+N6)*(1+O6)*(1+P6)*(1+Q6)*(1+R6)*(1+S6)*(1+T6)*(1+U6)-1</f>
        <v>0.61869452246585421</v>
      </c>
      <c r="V7" s="73">
        <f>+(1+D6)*(1+E6)*(1+F6)*(1+G6)*(1+H6)*(1+I6)*(1+J6)*(1+K6)*(1+L6)*(1+M6)*(1+N6)*(1+O6)*(1+P6)*(1+Q6)*(1+R6)*(1+S6)*(1+T6)*(1+U6)*(1+V6)-1</f>
        <v>0.6753488307521589</v>
      </c>
      <c r="W7" s="73">
        <f>+(1+D6)*(1+E6)*(1+F6)*(1+G6)*(1+H6)*(1+I6)*(1+J6)*(1+K6)*(1+L6)*(1+M6)*(1+N6)*(1+O6)*(1+P6)*(1+Q6)*(1+R6)*(1+S6)*(1+T6)*(1+U6)*(1+V6)*(1+W6)-1</f>
        <v>0.73398603982848432</v>
      </c>
      <c r="X7" s="73">
        <f>+(1+D6)*(1+E6)*(1+F6)*(1+G6)*(1+H6)*(1+I6)*(1+J6)*(1+K6)*(1+L6)*(1+M6)*(1+N6)*(1+O6)*(1+P6)*(1+Q6)*(1+R6)*(1+S6)*(1+T6)*(1+U6)*(1+V6)*(1+W6)*(1+X6)-1</f>
        <v>0.79467555122248124</v>
      </c>
      <c r="Y7" s="73">
        <f>+(1+D6)*(1+E6)*(1+F6)*(1+G6)*(1+H6)*(1+I6)*(1+J6)*(1+K6)*(1+L6)*(1+M6)*(1+N6)*(1+O6)*(1+P6)*(1+Q6)*(1+R6)*(1+S6)*(1+T6)*(1+U6)*(1+V6)*(1+W6)*(1+X6)*(1+Y6)-1</f>
        <v>0.85748919551526792</v>
      </c>
      <c r="Z7" s="73">
        <f>+(1+D6)*(1+E6)*(1+F6)*(1+G6)*(1+H6)*(1+I6)*(1+J6)*(1+K6)*(1+L6)*(1+M6)*(1+N6)*(1+O6)*(1+P6)*(1+Q6)*(1+R6)*(1+S6)*(1+T6)*(1+U6)*(1+V6)*(1+W6)*(1+X6)*(1+Y6)*(1+Z6)-1</f>
        <v>0.9225013173583021</v>
      </c>
      <c r="AA7" s="73">
        <f>+(1+D6)*(1+E6)*(1+F6)*(1+G6)*(1+H6)*(1+I6)*(1+J6)*(1+K6)*(1+L6)*(1+M6)*(1+N6)*(1+O6)*(1+P6)*(1+Q6)*(1+R6)*(1+S6)*(1+T6)*(1+U6)*(1+V6)*(1+W6)*(1+X6)*(1+Y6)*(1+Z6)*(1+AA6)-1</f>
        <v>0.98978886346584249</v>
      </c>
    </row>
    <row r="8" spans="1:57" ht="15.5" x14ac:dyDescent="0.35">
      <c r="A8" s="10"/>
      <c r="B8" s="31" t="s">
        <v>121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1:57" x14ac:dyDescent="0.35">
      <c r="A9" s="46"/>
      <c r="B9" s="19" t="s">
        <v>122</v>
      </c>
      <c r="C9" s="19"/>
      <c r="D9" s="19"/>
      <c r="E9" s="19"/>
      <c r="F9" s="100"/>
      <c r="G9" s="100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</row>
    <row r="10" spans="1:57" x14ac:dyDescent="0.35">
      <c r="A10" s="48">
        <f>MAX(A$6:A9)+1</f>
        <v>3</v>
      </c>
      <c r="B10" s="62" t="s">
        <v>252</v>
      </c>
      <c r="C10" s="6"/>
      <c r="D10" s="6"/>
      <c r="E10" s="6"/>
      <c r="F10" s="6"/>
      <c r="G10" s="6">
        <f>+H10*0.35</f>
        <v>450089.5</v>
      </c>
      <c r="H10" s="6">
        <v>1285970</v>
      </c>
      <c r="I10" s="6">
        <f t="shared" ref="I10:L10" si="33">H10</f>
        <v>1285970</v>
      </c>
      <c r="J10" s="6">
        <f t="shared" si="33"/>
        <v>1285970</v>
      </c>
      <c r="K10" s="6">
        <f t="shared" si="33"/>
        <v>1285970</v>
      </c>
      <c r="L10" s="6">
        <f t="shared" si="33"/>
        <v>1285970</v>
      </c>
      <c r="M10" s="6">
        <f t="shared" ref="M10:M15" si="34">L10</f>
        <v>1285970</v>
      </c>
      <c r="N10" s="6">
        <f t="shared" ref="N10:N15" si="35">M10</f>
        <v>1285970</v>
      </c>
      <c r="O10" s="6">
        <f t="shared" ref="O10:O15" si="36">N10</f>
        <v>1285970</v>
      </c>
      <c r="P10" s="6">
        <f t="shared" ref="P10:P15" si="37">O10</f>
        <v>1285970</v>
      </c>
      <c r="Q10" s="6">
        <f t="shared" ref="Q10:Q15" si="38">P10</f>
        <v>1285970</v>
      </c>
      <c r="R10" s="6">
        <f t="shared" ref="R10:R15" si="39">Q10</f>
        <v>1285970</v>
      </c>
      <c r="S10" s="6">
        <f t="shared" ref="S10:S15" si="40">R10</f>
        <v>1285970</v>
      </c>
      <c r="T10" s="6">
        <f t="shared" ref="T10:T15" si="41">S10</f>
        <v>1285970</v>
      </c>
      <c r="U10" s="6">
        <f t="shared" ref="U10:U15" si="42">T10</f>
        <v>1285970</v>
      </c>
      <c r="V10" s="6">
        <f t="shared" ref="V10:V15" si="43">U10</f>
        <v>1285970</v>
      </c>
      <c r="W10" s="6">
        <f t="shared" ref="W10:W15" si="44">V10</f>
        <v>1285970</v>
      </c>
      <c r="X10" s="6">
        <f t="shared" ref="X10:X15" si="45">W10</f>
        <v>1285970</v>
      </c>
      <c r="Y10" s="6">
        <f t="shared" ref="Y10:Y15" si="46">X10</f>
        <v>1285970</v>
      </c>
      <c r="Z10" s="6">
        <f t="shared" ref="Z10:Z15" si="47">Y10</f>
        <v>1285970</v>
      </c>
      <c r="AA10" s="6">
        <f t="shared" ref="AA10:AA15" si="48">Z10</f>
        <v>1285970</v>
      </c>
      <c r="AB10" s="1"/>
      <c r="AC10" s="1" t="s">
        <v>49</v>
      </c>
      <c r="AD10" s="1" t="s">
        <v>269</v>
      </c>
    </row>
    <row r="11" spans="1:57" x14ac:dyDescent="0.35">
      <c r="A11" s="46">
        <f>MAX(A$6:A10)+1</f>
        <v>4</v>
      </c>
      <c r="B11" s="32" t="s">
        <v>278</v>
      </c>
      <c r="C11" s="176"/>
      <c r="D11" s="176"/>
      <c r="E11" s="176"/>
      <c r="F11" s="176"/>
      <c r="G11" s="176">
        <v>120000</v>
      </c>
      <c r="H11" s="176">
        <v>120000</v>
      </c>
      <c r="I11" s="176">
        <f t="shared" ref="I11:L15" si="49">H11</f>
        <v>120000</v>
      </c>
      <c r="J11" s="176">
        <f t="shared" si="49"/>
        <v>120000</v>
      </c>
      <c r="K11" s="176">
        <f t="shared" si="49"/>
        <v>120000</v>
      </c>
      <c r="L11" s="176">
        <f t="shared" si="49"/>
        <v>120000</v>
      </c>
      <c r="M11" s="176">
        <f t="shared" si="34"/>
        <v>120000</v>
      </c>
      <c r="N11" s="176">
        <f t="shared" si="35"/>
        <v>120000</v>
      </c>
      <c r="O11" s="176">
        <f t="shared" si="36"/>
        <v>120000</v>
      </c>
      <c r="P11" s="176">
        <f t="shared" si="37"/>
        <v>120000</v>
      </c>
      <c r="Q11" s="176">
        <f t="shared" si="38"/>
        <v>120000</v>
      </c>
      <c r="R11" s="176">
        <f t="shared" si="39"/>
        <v>120000</v>
      </c>
      <c r="S11" s="176">
        <f t="shared" si="40"/>
        <v>120000</v>
      </c>
      <c r="T11" s="176">
        <f t="shared" si="41"/>
        <v>120000</v>
      </c>
      <c r="U11" s="176">
        <f t="shared" si="42"/>
        <v>120000</v>
      </c>
      <c r="V11" s="176">
        <f t="shared" si="43"/>
        <v>120000</v>
      </c>
      <c r="W11" s="176">
        <f t="shared" si="44"/>
        <v>120000</v>
      </c>
      <c r="X11" s="176">
        <f t="shared" si="45"/>
        <v>120000</v>
      </c>
      <c r="Y11" s="176">
        <f t="shared" si="46"/>
        <v>120000</v>
      </c>
      <c r="Z11" s="176">
        <f t="shared" si="47"/>
        <v>120000</v>
      </c>
      <c r="AA11" s="176">
        <f t="shared" si="48"/>
        <v>120000</v>
      </c>
      <c r="AB11" s="1"/>
      <c r="AC11" s="1"/>
      <c r="AD11" s="1" t="s">
        <v>270</v>
      </c>
    </row>
    <row r="12" spans="1:57" x14ac:dyDescent="0.35">
      <c r="A12" s="48">
        <f>MAX(A$6:A11)+1</f>
        <v>5</v>
      </c>
      <c r="B12" s="62" t="s">
        <v>12</v>
      </c>
      <c r="C12" s="176"/>
      <c r="D12" s="176"/>
      <c r="E12" s="176"/>
      <c r="F12" s="176"/>
      <c r="G12" s="6">
        <f>+H12*0.35</f>
        <v>35631.75</v>
      </c>
      <c r="H12" s="176">
        <v>101805</v>
      </c>
      <c r="I12" s="176">
        <v>101805</v>
      </c>
      <c r="J12" s="176">
        <v>101805</v>
      </c>
      <c r="K12" s="176">
        <v>101805</v>
      </c>
      <c r="L12" s="176">
        <v>101805</v>
      </c>
      <c r="M12" s="176">
        <v>101805</v>
      </c>
      <c r="N12" s="176">
        <v>101805</v>
      </c>
      <c r="O12" s="176">
        <v>101805</v>
      </c>
      <c r="P12" s="176">
        <v>101805</v>
      </c>
      <c r="Q12" s="176">
        <v>101805</v>
      </c>
      <c r="R12" s="176">
        <v>101805</v>
      </c>
      <c r="S12" s="176">
        <v>101805</v>
      </c>
      <c r="T12" s="176">
        <v>101805</v>
      </c>
      <c r="U12" s="176">
        <v>101805</v>
      </c>
      <c r="V12" s="176">
        <v>101805</v>
      </c>
      <c r="W12" s="176">
        <v>101805</v>
      </c>
      <c r="X12" s="176">
        <v>101805</v>
      </c>
      <c r="Y12" s="176">
        <v>101805</v>
      </c>
      <c r="Z12" s="176">
        <v>101805</v>
      </c>
      <c r="AA12" s="176">
        <v>101805</v>
      </c>
      <c r="AB12" s="1"/>
      <c r="AC12" s="1"/>
      <c r="AD12" s="1"/>
    </row>
    <row r="13" spans="1:57" x14ac:dyDescent="0.35">
      <c r="A13" s="46">
        <f>MAX(A$6:A12)+1</f>
        <v>6</v>
      </c>
      <c r="B13" s="32" t="s">
        <v>123</v>
      </c>
      <c r="C13" s="176"/>
      <c r="D13" s="176"/>
      <c r="E13" s="176"/>
      <c r="F13" s="176"/>
      <c r="G13" s="6">
        <f>+H13*0.35</f>
        <v>673431.14999999991</v>
      </c>
      <c r="H13" s="176">
        <v>1924089</v>
      </c>
      <c r="I13" s="176">
        <f t="shared" si="49"/>
        <v>1924089</v>
      </c>
      <c r="J13" s="176">
        <f t="shared" si="49"/>
        <v>1924089</v>
      </c>
      <c r="K13" s="176">
        <f t="shared" si="49"/>
        <v>1924089</v>
      </c>
      <c r="L13" s="176">
        <f t="shared" si="49"/>
        <v>1924089</v>
      </c>
      <c r="M13" s="176">
        <f t="shared" si="34"/>
        <v>1924089</v>
      </c>
      <c r="N13" s="176">
        <f t="shared" si="35"/>
        <v>1924089</v>
      </c>
      <c r="O13" s="176">
        <f t="shared" si="36"/>
        <v>1924089</v>
      </c>
      <c r="P13" s="176">
        <f t="shared" si="37"/>
        <v>1924089</v>
      </c>
      <c r="Q13" s="176">
        <f t="shared" si="38"/>
        <v>1924089</v>
      </c>
      <c r="R13" s="176">
        <f t="shared" si="39"/>
        <v>1924089</v>
      </c>
      <c r="S13" s="176">
        <f t="shared" si="40"/>
        <v>1924089</v>
      </c>
      <c r="T13" s="176">
        <f t="shared" si="41"/>
        <v>1924089</v>
      </c>
      <c r="U13" s="176">
        <f t="shared" si="42"/>
        <v>1924089</v>
      </c>
      <c r="V13" s="176">
        <f t="shared" si="43"/>
        <v>1924089</v>
      </c>
      <c r="W13" s="176">
        <f t="shared" si="44"/>
        <v>1924089</v>
      </c>
      <c r="X13" s="176">
        <f t="shared" si="45"/>
        <v>1924089</v>
      </c>
      <c r="Y13" s="176">
        <f t="shared" si="46"/>
        <v>1924089</v>
      </c>
      <c r="Z13" s="176">
        <f t="shared" si="47"/>
        <v>1924089</v>
      </c>
      <c r="AA13" s="176">
        <f t="shared" si="48"/>
        <v>1924089</v>
      </c>
      <c r="AB13" s="1"/>
      <c r="AC13" s="1"/>
      <c r="AD13" s="1"/>
    </row>
    <row r="14" spans="1:57" x14ac:dyDescent="0.35">
      <c r="A14" s="48">
        <f>MAX(A$6:A13)+1</f>
        <v>7</v>
      </c>
      <c r="B14" s="28" t="s">
        <v>52</v>
      </c>
      <c r="C14" s="176"/>
      <c r="D14" s="176"/>
      <c r="E14" s="176"/>
      <c r="F14" s="176"/>
      <c r="G14" s="176"/>
      <c r="H14" s="176">
        <v>0</v>
      </c>
      <c r="I14" s="176">
        <f t="shared" si="49"/>
        <v>0</v>
      </c>
      <c r="J14" s="176">
        <f t="shared" si="49"/>
        <v>0</v>
      </c>
      <c r="K14" s="176">
        <f t="shared" si="49"/>
        <v>0</v>
      </c>
      <c r="L14" s="176">
        <f t="shared" si="49"/>
        <v>0</v>
      </c>
      <c r="M14" s="176">
        <f t="shared" si="34"/>
        <v>0</v>
      </c>
      <c r="N14" s="176">
        <f t="shared" si="35"/>
        <v>0</v>
      </c>
      <c r="O14" s="176">
        <f t="shared" si="36"/>
        <v>0</v>
      </c>
      <c r="P14" s="176">
        <f t="shared" si="37"/>
        <v>0</v>
      </c>
      <c r="Q14" s="176">
        <f t="shared" si="38"/>
        <v>0</v>
      </c>
      <c r="R14" s="176">
        <f t="shared" si="39"/>
        <v>0</v>
      </c>
      <c r="S14" s="176">
        <f t="shared" si="40"/>
        <v>0</v>
      </c>
      <c r="T14" s="176">
        <f t="shared" si="41"/>
        <v>0</v>
      </c>
      <c r="U14" s="176">
        <f t="shared" si="42"/>
        <v>0</v>
      </c>
      <c r="V14" s="176">
        <f t="shared" si="43"/>
        <v>0</v>
      </c>
      <c r="W14" s="176">
        <f t="shared" si="44"/>
        <v>0</v>
      </c>
      <c r="X14" s="176">
        <f t="shared" si="45"/>
        <v>0</v>
      </c>
      <c r="Y14" s="176">
        <f t="shared" si="46"/>
        <v>0</v>
      </c>
      <c r="Z14" s="176">
        <f t="shared" si="47"/>
        <v>0</v>
      </c>
      <c r="AA14" s="176">
        <f t="shared" si="48"/>
        <v>0</v>
      </c>
      <c r="AB14" s="1"/>
      <c r="AC14" s="1"/>
      <c r="AD14" s="1"/>
    </row>
    <row r="15" spans="1:57" x14ac:dyDescent="0.35">
      <c r="A15" s="46">
        <f>MAX(A$6:A14)+1</f>
        <v>8</v>
      </c>
      <c r="B15" s="19" t="s">
        <v>124</v>
      </c>
      <c r="C15" s="176"/>
      <c r="D15" s="176"/>
      <c r="E15" s="176"/>
      <c r="F15" s="176"/>
      <c r="G15" s="6">
        <f>+H15*0.35</f>
        <v>406381.85</v>
      </c>
      <c r="H15" s="176">
        <v>1161091</v>
      </c>
      <c r="I15" s="176">
        <f t="shared" si="49"/>
        <v>1161091</v>
      </c>
      <c r="J15" s="176">
        <f t="shared" si="49"/>
        <v>1161091</v>
      </c>
      <c r="K15" s="176">
        <f t="shared" si="49"/>
        <v>1161091</v>
      </c>
      <c r="L15" s="176">
        <f t="shared" si="49"/>
        <v>1161091</v>
      </c>
      <c r="M15" s="176">
        <f t="shared" si="34"/>
        <v>1161091</v>
      </c>
      <c r="N15" s="176">
        <f t="shared" si="35"/>
        <v>1161091</v>
      </c>
      <c r="O15" s="176">
        <f t="shared" si="36"/>
        <v>1161091</v>
      </c>
      <c r="P15" s="176">
        <f t="shared" si="37"/>
        <v>1161091</v>
      </c>
      <c r="Q15" s="176">
        <f t="shared" si="38"/>
        <v>1161091</v>
      </c>
      <c r="R15" s="176">
        <f t="shared" si="39"/>
        <v>1161091</v>
      </c>
      <c r="S15" s="176">
        <f t="shared" si="40"/>
        <v>1161091</v>
      </c>
      <c r="T15" s="176">
        <f t="shared" si="41"/>
        <v>1161091</v>
      </c>
      <c r="U15" s="176">
        <f t="shared" si="42"/>
        <v>1161091</v>
      </c>
      <c r="V15" s="176">
        <f t="shared" si="43"/>
        <v>1161091</v>
      </c>
      <c r="W15" s="176">
        <f t="shared" si="44"/>
        <v>1161091</v>
      </c>
      <c r="X15" s="176">
        <f t="shared" si="45"/>
        <v>1161091</v>
      </c>
      <c r="Y15" s="176">
        <f t="shared" si="46"/>
        <v>1161091</v>
      </c>
      <c r="Z15" s="176">
        <f t="shared" si="47"/>
        <v>1161091</v>
      </c>
      <c r="AA15" s="176">
        <f t="shared" si="48"/>
        <v>1161091</v>
      </c>
      <c r="AB15" s="1"/>
      <c r="AC15" s="1"/>
      <c r="AD15" s="1"/>
    </row>
    <row r="16" spans="1:57" x14ac:dyDescent="0.35">
      <c r="A16" s="48">
        <f>MAX(A$6:A15)+1</f>
        <v>9</v>
      </c>
      <c r="B16" s="17" t="s">
        <v>25</v>
      </c>
      <c r="C16" s="18">
        <f t="shared" ref="C16:D16" si="50">SUM(C10:C10)</f>
        <v>0</v>
      </c>
      <c r="D16" s="18">
        <f t="shared" si="50"/>
        <v>0</v>
      </c>
      <c r="E16" s="18">
        <f t="shared" ref="E16:F16" si="51">SUM(E10:E10)</f>
        <v>0</v>
      </c>
      <c r="F16" s="18">
        <f t="shared" si="51"/>
        <v>0</v>
      </c>
      <c r="G16" s="18">
        <f t="shared" ref="G16:L16" si="52">SUM(G10:G15)</f>
        <v>1685534.25</v>
      </c>
      <c r="H16" s="18">
        <f t="shared" si="52"/>
        <v>4592955</v>
      </c>
      <c r="I16" s="18">
        <f t="shared" si="52"/>
        <v>4592955</v>
      </c>
      <c r="J16" s="18">
        <f t="shared" si="52"/>
        <v>4592955</v>
      </c>
      <c r="K16" s="18">
        <f t="shared" si="52"/>
        <v>4592955</v>
      </c>
      <c r="L16" s="18">
        <f t="shared" si="52"/>
        <v>4592955</v>
      </c>
      <c r="M16" s="18">
        <f t="shared" ref="M16:AA16" si="53">SUM(M10:M15)</f>
        <v>4592955</v>
      </c>
      <c r="N16" s="18">
        <f t="shared" si="53"/>
        <v>4592955</v>
      </c>
      <c r="O16" s="18">
        <f t="shared" si="53"/>
        <v>4592955</v>
      </c>
      <c r="P16" s="18">
        <f t="shared" si="53"/>
        <v>4592955</v>
      </c>
      <c r="Q16" s="18">
        <f t="shared" si="53"/>
        <v>4592955</v>
      </c>
      <c r="R16" s="18">
        <f t="shared" si="53"/>
        <v>4592955</v>
      </c>
      <c r="S16" s="18">
        <f t="shared" si="53"/>
        <v>4592955</v>
      </c>
      <c r="T16" s="18">
        <f t="shared" si="53"/>
        <v>4592955</v>
      </c>
      <c r="U16" s="18">
        <f t="shared" si="53"/>
        <v>4592955</v>
      </c>
      <c r="V16" s="18">
        <f t="shared" si="53"/>
        <v>4592955</v>
      </c>
      <c r="W16" s="18">
        <f t="shared" si="53"/>
        <v>4592955</v>
      </c>
      <c r="X16" s="18">
        <f t="shared" si="53"/>
        <v>4592955</v>
      </c>
      <c r="Y16" s="18">
        <f t="shared" si="53"/>
        <v>4592955</v>
      </c>
      <c r="Z16" s="18">
        <f t="shared" si="53"/>
        <v>4592955</v>
      </c>
      <c r="AA16" s="18">
        <f t="shared" si="53"/>
        <v>4592955</v>
      </c>
    </row>
    <row r="17" spans="1:57" x14ac:dyDescent="0.35">
      <c r="A17" s="46"/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57" x14ac:dyDescent="0.35">
      <c r="A18" s="48">
        <f>MAX(A$6:A17)+1</f>
        <v>10</v>
      </c>
      <c r="B18" s="62" t="s">
        <v>252</v>
      </c>
      <c r="C18" s="18">
        <f t="shared" ref="C18:D18" si="54">+C10*(1+C$7)</f>
        <v>0</v>
      </c>
      <c r="D18" s="18">
        <f t="shared" si="54"/>
        <v>0</v>
      </c>
      <c r="E18" s="18">
        <f>+E10*(1+E$7)</f>
        <v>0</v>
      </c>
      <c r="F18" s="18">
        <f>+F10*(1+F$7)</f>
        <v>0</v>
      </c>
      <c r="G18" s="18">
        <f t="shared" ref="G18:L18" si="55">+G10*(1+G$7)</f>
        <v>450089.5</v>
      </c>
      <c r="H18" s="18">
        <f t="shared" si="55"/>
        <v>1330978.95</v>
      </c>
      <c r="I18" s="18">
        <f t="shared" si="55"/>
        <v>1377563.2132499998</v>
      </c>
      <c r="J18" s="18">
        <f t="shared" si="55"/>
        <v>1425777.9257137496</v>
      </c>
      <c r="K18" s="18">
        <f t="shared" si="55"/>
        <v>1475680.153113731</v>
      </c>
      <c r="L18" s="18">
        <f t="shared" si="55"/>
        <v>1527328.9584727113</v>
      </c>
      <c r="M18" s="18">
        <f t="shared" ref="M18:AA18" si="56">+M10*(1+M$7)</f>
        <v>1580785.4720192559</v>
      </c>
      <c r="N18" s="18">
        <f t="shared" si="56"/>
        <v>1636112.9635399298</v>
      </c>
      <c r="O18" s="18">
        <f t="shared" si="56"/>
        <v>1693376.9172638273</v>
      </c>
      <c r="P18" s="18">
        <f t="shared" si="56"/>
        <v>1752645.1093680609</v>
      </c>
      <c r="Q18" s="18">
        <f t="shared" si="56"/>
        <v>1813987.6881959429</v>
      </c>
      <c r="R18" s="18">
        <f t="shared" si="56"/>
        <v>1877477.2572828007</v>
      </c>
      <c r="S18" s="18">
        <f t="shared" si="56"/>
        <v>1943188.9612876987</v>
      </c>
      <c r="T18" s="18">
        <f t="shared" si="56"/>
        <v>2011200.574932768</v>
      </c>
      <c r="U18" s="18">
        <f t="shared" si="56"/>
        <v>2081592.5950554146</v>
      </c>
      <c r="V18" s="18">
        <f t="shared" si="56"/>
        <v>2154448.3358823536</v>
      </c>
      <c r="W18" s="18">
        <f t="shared" si="56"/>
        <v>2229854.0276382361</v>
      </c>
      <c r="X18" s="18">
        <f t="shared" si="56"/>
        <v>2307898.9186055744</v>
      </c>
      <c r="Y18" s="18">
        <f t="shared" si="56"/>
        <v>2388675.3807567689</v>
      </c>
      <c r="Z18" s="18">
        <f t="shared" si="56"/>
        <v>2472279.0190832559</v>
      </c>
      <c r="AA18" s="18">
        <f t="shared" si="56"/>
        <v>2558808.7847511694</v>
      </c>
      <c r="AD18" s="172" t="s">
        <v>262</v>
      </c>
      <c r="AF18" s="173">
        <f>SUMIF(Assumptions!$E$27:$E$193,AD18,Assumptions!$D$27:$D$193)</f>
        <v>0.88531776700788278</v>
      </c>
      <c r="AH18" s="105">
        <f t="shared" ref="AH18:AH23" si="57">+D18*$AF18</f>
        <v>0</v>
      </c>
      <c r="AI18" s="105">
        <f t="shared" ref="AI18:AI23" si="58">+E18*$AF18</f>
        <v>0</v>
      </c>
      <c r="AJ18" s="105">
        <f t="shared" ref="AJ18:AJ23" si="59">+F18*$AF18</f>
        <v>0</v>
      </c>
      <c r="AK18" s="105">
        <f t="shared" ref="AK18:AK23" si="60">+G18*$AF18</f>
        <v>398472.23109369446</v>
      </c>
      <c r="AL18" s="105">
        <f t="shared" ref="AL18:AL23" si="61">+H18*$AF18</f>
        <v>1178339.3119484964</v>
      </c>
      <c r="AM18" s="105">
        <f t="shared" ref="AM18:AM23" si="62">+I18*$AF18</f>
        <v>1219581.1878666936</v>
      </c>
      <c r="AN18" s="105">
        <f t="shared" ref="AN18:AN23" si="63">+J18*$AF18</f>
        <v>1262266.5294420277</v>
      </c>
      <c r="AO18" s="105">
        <f t="shared" ref="AO18:AO23" si="64">+K18*$AF18</f>
        <v>1306445.8579724988</v>
      </c>
      <c r="AP18" s="105">
        <f t="shared" ref="AP18:AP23" si="65">+L18*$AF18</f>
        <v>1352171.463001536</v>
      </c>
      <c r="AQ18" s="105">
        <f t="shared" ref="AQ18:AQ23" si="66">+M18*$AF18</f>
        <v>1399497.4642065896</v>
      </c>
      <c r="AR18" s="105">
        <f t="shared" ref="AR18:AR23" si="67">+N18*$AF18</f>
        <v>1448479.8754538202</v>
      </c>
      <c r="AS18" s="105">
        <f t="shared" ref="AS18:AS23" si="68">+O18*$AF18</f>
        <v>1499176.671094704</v>
      </c>
      <c r="AT18" s="105">
        <f t="shared" ref="AT18:AT23" si="69">+P18*$AF18</f>
        <v>1551647.8545830182</v>
      </c>
      <c r="AU18" s="105">
        <f t="shared" ref="AU18:AU23" si="70">+Q18*$AF18</f>
        <v>1605955.5294934236</v>
      </c>
      <c r="AV18" s="105">
        <f t="shared" ref="AV18:AV23" si="71">+R18*$AF18</f>
        <v>1662163.9730256933</v>
      </c>
      <c r="AW18" s="105">
        <f t="shared" ref="AW18:AW23" si="72">+S18*$AF18</f>
        <v>1720339.7120815925</v>
      </c>
      <c r="AX18" s="105">
        <f t="shared" ref="AX18:AX23" si="73">+T18*$AF18</f>
        <v>1780551.6020044482</v>
      </c>
      <c r="AY18" s="105">
        <f t="shared" ref="AY18:AY23" si="74">+U18*$AF18</f>
        <v>1842870.9080746036</v>
      </c>
      <c r="AZ18" s="105">
        <f t="shared" ref="AZ18:AZ23" si="75">+V18*$AF18</f>
        <v>1907371.3898572144</v>
      </c>
      <c r="BA18" s="105">
        <f t="shared" ref="BA18:BA23" si="76">+W18*$AF18</f>
        <v>1974129.3885022169</v>
      </c>
      <c r="BB18" s="105">
        <f t="shared" ref="BB18:BB23" si="77">+X18*$AF18</f>
        <v>2043223.9170997946</v>
      </c>
      <c r="BC18" s="105">
        <f t="shared" ref="BC18:BC23" si="78">+Y18*$AF18</f>
        <v>2114736.7541982867</v>
      </c>
      <c r="BD18" s="105">
        <f t="shared" ref="BD18:BD23" si="79">+Z18*$AF18</f>
        <v>2188752.5405952269</v>
      </c>
      <c r="BE18" s="105">
        <f t="shared" ref="BE18:BE23" si="80">+AA18*$AF18</f>
        <v>2265358.8795160595</v>
      </c>
    </row>
    <row r="19" spans="1:57" x14ac:dyDescent="0.35">
      <c r="A19" s="46">
        <f>MAX(A$6:A18)+1</f>
        <v>11</v>
      </c>
      <c r="B19" s="32" t="s">
        <v>278</v>
      </c>
      <c r="C19" s="20">
        <f t="shared" ref="C19:E19" si="81">+C11*(1+C$7)</f>
        <v>0</v>
      </c>
      <c r="D19" s="20">
        <f t="shared" si="81"/>
        <v>0</v>
      </c>
      <c r="E19" s="20">
        <f t="shared" si="81"/>
        <v>0</v>
      </c>
      <c r="F19" s="20">
        <f t="shared" ref="F19:L23" si="82">+F11*(1+F$7)</f>
        <v>0</v>
      </c>
      <c r="G19" s="20">
        <f t="shared" si="82"/>
        <v>120000</v>
      </c>
      <c r="H19" s="20">
        <f t="shared" si="82"/>
        <v>124199.99999999999</v>
      </c>
      <c r="I19" s="20">
        <f t="shared" si="82"/>
        <v>128546.99999999999</v>
      </c>
      <c r="J19" s="20">
        <f t="shared" si="82"/>
        <v>133046.14499999996</v>
      </c>
      <c r="K19" s="20">
        <f t="shared" si="82"/>
        <v>137702.76007499997</v>
      </c>
      <c r="L19" s="20">
        <f t="shared" si="82"/>
        <v>142522.35667762495</v>
      </c>
      <c r="M19" s="20">
        <f t="shared" ref="M19:AA19" si="83">+M11*(1+M$7)</f>
        <v>147510.63916134179</v>
      </c>
      <c r="N19" s="20">
        <f t="shared" si="83"/>
        <v>152673.51153198874</v>
      </c>
      <c r="O19" s="20">
        <f t="shared" si="83"/>
        <v>158017.08443560835</v>
      </c>
      <c r="P19" s="20">
        <f t="shared" si="83"/>
        <v>163547.68239085461</v>
      </c>
      <c r="Q19" s="20">
        <f t="shared" si="83"/>
        <v>169271.85127453451</v>
      </c>
      <c r="R19" s="20">
        <f t="shared" si="83"/>
        <v>175196.3660691432</v>
      </c>
      <c r="S19" s="20">
        <f t="shared" si="83"/>
        <v>181328.23888156321</v>
      </c>
      <c r="T19" s="20">
        <f t="shared" si="83"/>
        <v>187674.7272424179</v>
      </c>
      <c r="U19" s="20">
        <f t="shared" si="83"/>
        <v>194243.34269590251</v>
      </c>
      <c r="V19" s="20">
        <f t="shared" si="83"/>
        <v>201041.85969025907</v>
      </c>
      <c r="W19" s="20">
        <f t="shared" si="83"/>
        <v>208078.32477941812</v>
      </c>
      <c r="X19" s="20">
        <f t="shared" si="83"/>
        <v>215361.06614669776</v>
      </c>
      <c r="Y19" s="20">
        <f t="shared" si="83"/>
        <v>222898.70346183216</v>
      </c>
      <c r="Z19" s="20">
        <f t="shared" si="83"/>
        <v>230700.15808299626</v>
      </c>
      <c r="AA19" s="20">
        <f t="shared" si="83"/>
        <v>238774.66361590111</v>
      </c>
      <c r="AD19" s="172" t="s">
        <v>257</v>
      </c>
      <c r="AF19" s="173">
        <f>SUMIF(Assumptions!$E$27:$E$193,AD19,Assumptions!$D$27:$D$193)</f>
        <v>0.9314709552197421</v>
      </c>
      <c r="AH19" s="105">
        <f t="shared" si="57"/>
        <v>0</v>
      </c>
      <c r="AI19" s="105">
        <f t="shared" si="58"/>
        <v>0</v>
      </c>
      <c r="AJ19" s="105">
        <f t="shared" si="59"/>
        <v>0</v>
      </c>
      <c r="AK19" s="105">
        <f t="shared" si="60"/>
        <v>111776.51462636905</v>
      </c>
      <c r="AL19" s="105">
        <f t="shared" si="61"/>
        <v>115688.69263829196</v>
      </c>
      <c r="AM19" s="105">
        <f t="shared" si="62"/>
        <v>119737.79688063217</v>
      </c>
      <c r="AN19" s="105">
        <f t="shared" si="63"/>
        <v>123928.61977145428</v>
      </c>
      <c r="AO19" s="105">
        <f t="shared" si="64"/>
        <v>128266.12146345519</v>
      </c>
      <c r="AP19" s="105">
        <f t="shared" si="65"/>
        <v>132755.4357146761</v>
      </c>
      <c r="AQ19" s="105">
        <f t="shared" si="66"/>
        <v>137401.87596468974</v>
      </c>
      <c r="AR19" s="105">
        <f t="shared" si="67"/>
        <v>142210.94162345387</v>
      </c>
      <c r="AS19" s="105">
        <f t="shared" si="68"/>
        <v>147188.32458027476</v>
      </c>
      <c r="AT19" s="105">
        <f t="shared" si="69"/>
        <v>152339.91594058432</v>
      </c>
      <c r="AU19" s="105">
        <f t="shared" si="70"/>
        <v>157671.81299850479</v>
      </c>
      <c r="AV19" s="105">
        <f t="shared" si="71"/>
        <v>163190.32645345244</v>
      </c>
      <c r="AW19" s="105">
        <f t="shared" si="72"/>
        <v>168901.98787932328</v>
      </c>
      <c r="AX19" s="105">
        <f t="shared" si="73"/>
        <v>174813.55745509957</v>
      </c>
      <c r="AY19" s="105">
        <f t="shared" si="74"/>
        <v>180932.03196602804</v>
      </c>
      <c r="AZ19" s="105">
        <f t="shared" si="75"/>
        <v>187264.65308483897</v>
      </c>
      <c r="BA19" s="105">
        <f t="shared" si="76"/>
        <v>193818.91594280832</v>
      </c>
      <c r="BB19" s="105">
        <f t="shared" si="77"/>
        <v>200602.57800080662</v>
      </c>
      <c r="BC19" s="105">
        <f t="shared" si="78"/>
        <v>207623.66823083485</v>
      </c>
      <c r="BD19" s="105">
        <f t="shared" si="79"/>
        <v>214890.49661891404</v>
      </c>
      <c r="BE19" s="105">
        <f t="shared" si="80"/>
        <v>222411.66400057601</v>
      </c>
    </row>
    <row r="20" spans="1:57" x14ac:dyDescent="0.35">
      <c r="A20" s="48">
        <f>MAX(A$6:A19)+1</f>
        <v>12</v>
      </c>
      <c r="B20" s="62" t="s">
        <v>12</v>
      </c>
      <c r="C20" s="18">
        <f t="shared" ref="C20:E20" si="84">+C12*(1+C$7)</f>
        <v>0</v>
      </c>
      <c r="D20" s="18">
        <f t="shared" si="84"/>
        <v>0</v>
      </c>
      <c r="E20" s="18">
        <f t="shared" si="84"/>
        <v>0</v>
      </c>
      <c r="F20" s="18">
        <f t="shared" si="82"/>
        <v>0</v>
      </c>
      <c r="G20" s="18">
        <f t="shared" si="82"/>
        <v>35631.75</v>
      </c>
      <c r="H20" s="18">
        <f t="shared" si="82"/>
        <v>105368.17499999999</v>
      </c>
      <c r="I20" s="18">
        <f t="shared" si="82"/>
        <v>109056.06112499999</v>
      </c>
      <c r="J20" s="18">
        <f t="shared" si="82"/>
        <v>112873.02326437498</v>
      </c>
      <c r="K20" s="18">
        <f t="shared" si="82"/>
        <v>116823.5790786281</v>
      </c>
      <c r="L20" s="18">
        <f t="shared" si="82"/>
        <v>120912.40434638006</v>
      </c>
      <c r="M20" s="18">
        <f t="shared" ref="M20:AA20" si="85">+M12*(1+M$7)</f>
        <v>125144.33849850335</v>
      </c>
      <c r="N20" s="18">
        <f t="shared" si="85"/>
        <v>129524.39034595095</v>
      </c>
      <c r="O20" s="18">
        <f t="shared" si="85"/>
        <v>134057.74400805924</v>
      </c>
      <c r="P20" s="18">
        <f t="shared" si="85"/>
        <v>138749.76504834127</v>
      </c>
      <c r="Q20" s="18">
        <f t="shared" si="85"/>
        <v>143606.00682503323</v>
      </c>
      <c r="R20" s="18">
        <f t="shared" si="85"/>
        <v>148632.21706390937</v>
      </c>
      <c r="S20" s="18">
        <f t="shared" si="85"/>
        <v>153834.3446611462</v>
      </c>
      <c r="T20" s="18">
        <f t="shared" si="85"/>
        <v>159218.54672428628</v>
      </c>
      <c r="U20" s="18">
        <f t="shared" si="85"/>
        <v>164791.1958596363</v>
      </c>
      <c r="V20" s="18">
        <f t="shared" si="85"/>
        <v>170558.88771472353</v>
      </c>
      <c r="W20" s="18">
        <f t="shared" si="85"/>
        <v>176528.44878473884</v>
      </c>
      <c r="X20" s="18">
        <f t="shared" si="85"/>
        <v>182706.9444922047</v>
      </c>
      <c r="Y20" s="18">
        <f t="shared" si="85"/>
        <v>189101.68754943184</v>
      </c>
      <c r="Z20" s="18">
        <f t="shared" si="85"/>
        <v>195720.24661366193</v>
      </c>
      <c r="AA20" s="18">
        <f t="shared" si="85"/>
        <v>202570.4552451401</v>
      </c>
      <c r="AD20" s="172" t="s">
        <v>126</v>
      </c>
      <c r="AF20" s="173">
        <f>SUMIF(Assumptions!$E$27:$E$193,AD20,Assumptions!$D$27:$D$193)</f>
        <v>0.71817541036395338</v>
      </c>
      <c r="AH20" s="105">
        <f t="shared" si="57"/>
        <v>0</v>
      </c>
      <c r="AI20" s="105">
        <f t="shared" si="58"/>
        <v>0</v>
      </c>
      <c r="AJ20" s="105">
        <f t="shared" si="59"/>
        <v>0</v>
      </c>
      <c r="AK20" s="105">
        <f t="shared" si="60"/>
        <v>25589.846678235797</v>
      </c>
      <c r="AL20" s="105">
        <f t="shared" si="61"/>
        <v>75672.832319925845</v>
      </c>
      <c r="AM20" s="105">
        <f t="shared" si="62"/>
        <v>78321.381451123249</v>
      </c>
      <c r="AN20" s="105">
        <f t="shared" si="63"/>
        <v>81062.629801912553</v>
      </c>
      <c r="AO20" s="105">
        <f t="shared" si="64"/>
        <v>83899.821844979495</v>
      </c>
      <c r="AP20" s="105">
        <f t="shared" si="65"/>
        <v>86836.315609553756</v>
      </c>
      <c r="AQ20" s="105">
        <f t="shared" si="66"/>
        <v>89875.586655888124</v>
      </c>
      <c r="AR20" s="105">
        <f t="shared" si="67"/>
        <v>93021.232188844209</v>
      </c>
      <c r="AS20" s="105">
        <f t="shared" si="68"/>
        <v>96276.975315453747</v>
      </c>
      <c r="AT20" s="105">
        <f t="shared" si="69"/>
        <v>99646.669451494614</v>
      </c>
      <c r="AU20" s="105">
        <f t="shared" si="70"/>
        <v>103134.30288229692</v>
      </c>
      <c r="AV20" s="105">
        <f t="shared" si="71"/>
        <v>106744.00348317731</v>
      </c>
      <c r="AW20" s="105">
        <f t="shared" si="72"/>
        <v>110480.04360508852</v>
      </c>
      <c r="AX20" s="105">
        <f t="shared" si="73"/>
        <v>114346.84513126659</v>
      </c>
      <c r="AY20" s="105">
        <f t="shared" si="74"/>
        <v>118348.98471086091</v>
      </c>
      <c r="AZ20" s="105">
        <f t="shared" si="75"/>
        <v>122491.19917574101</v>
      </c>
      <c r="BA20" s="105">
        <f t="shared" si="76"/>
        <v>126778.39114689194</v>
      </c>
      <c r="BB20" s="105">
        <f t="shared" si="77"/>
        <v>131215.63483703317</v>
      </c>
      <c r="BC20" s="105">
        <f t="shared" si="78"/>
        <v>135808.1820563293</v>
      </c>
      <c r="BD20" s="105">
        <f t="shared" si="79"/>
        <v>140561.46842830081</v>
      </c>
      <c r="BE20" s="105">
        <f t="shared" si="80"/>
        <v>145481.11982329134</v>
      </c>
    </row>
    <row r="21" spans="1:57" x14ac:dyDescent="0.35">
      <c r="A21" s="46">
        <f>MAX(A$6:A20)+1</f>
        <v>13</v>
      </c>
      <c r="B21" s="32" t="s">
        <v>123</v>
      </c>
      <c r="C21" s="20">
        <f t="shared" ref="C21:E21" si="86">+C13*(1+C$7)</f>
        <v>0</v>
      </c>
      <c r="D21" s="20">
        <f t="shared" si="86"/>
        <v>0</v>
      </c>
      <c r="E21" s="20">
        <f t="shared" si="86"/>
        <v>0</v>
      </c>
      <c r="F21" s="20">
        <f t="shared" si="82"/>
        <v>0</v>
      </c>
      <c r="G21" s="20">
        <f t="shared" si="82"/>
        <v>673431.14999999991</v>
      </c>
      <c r="H21" s="20">
        <f t="shared" si="82"/>
        <v>1991432.1149999998</v>
      </c>
      <c r="I21" s="20">
        <f t="shared" si="82"/>
        <v>2061132.2390249998</v>
      </c>
      <c r="J21" s="20">
        <f t="shared" si="82"/>
        <v>2133271.8673908743</v>
      </c>
      <c r="K21" s="20">
        <f t="shared" si="82"/>
        <v>2207936.3827495552</v>
      </c>
      <c r="L21" s="20">
        <f t="shared" si="82"/>
        <v>2285214.1561457892</v>
      </c>
      <c r="M21" s="20">
        <f t="shared" ref="M21:AA21" si="87">+M13*(1+M$7)</f>
        <v>2365196.6516108913</v>
      </c>
      <c r="N21" s="20">
        <f t="shared" si="87"/>
        <v>2447978.5344172725</v>
      </c>
      <c r="O21" s="20">
        <f t="shared" si="87"/>
        <v>2533657.7831218769</v>
      </c>
      <c r="P21" s="20">
        <f t="shared" si="87"/>
        <v>2622335.8055311423</v>
      </c>
      <c r="Q21" s="20">
        <f t="shared" si="87"/>
        <v>2714117.5587247321</v>
      </c>
      <c r="R21" s="20">
        <f t="shared" si="87"/>
        <v>2809111.6732800975</v>
      </c>
      <c r="S21" s="20">
        <f t="shared" si="87"/>
        <v>2907430.5818449007</v>
      </c>
      <c r="T21" s="20">
        <f t="shared" si="87"/>
        <v>3009190.6522094719</v>
      </c>
      <c r="U21" s="20">
        <f t="shared" si="87"/>
        <v>3114512.3250368028</v>
      </c>
      <c r="V21" s="20">
        <f t="shared" si="87"/>
        <v>3223520.2564130905</v>
      </c>
      <c r="W21" s="20">
        <f t="shared" si="87"/>
        <v>3336343.4653875488</v>
      </c>
      <c r="X21" s="20">
        <f t="shared" si="87"/>
        <v>3453115.4866761127</v>
      </c>
      <c r="Y21" s="20">
        <f t="shared" si="87"/>
        <v>3573974.5287097762</v>
      </c>
      <c r="Z21" s="20">
        <f t="shared" si="87"/>
        <v>3699063.6372146183</v>
      </c>
      <c r="AA21" s="20">
        <f t="shared" si="87"/>
        <v>3828530.8645171295</v>
      </c>
      <c r="AD21" s="172" t="s">
        <v>88</v>
      </c>
      <c r="AF21" s="173">
        <f>SUMIF(Assumptions!$E$27:$E$193,AD21,Assumptions!$D$27:$D$193)</f>
        <v>0.95239917402446805</v>
      </c>
      <c r="AH21" s="105">
        <f t="shared" si="57"/>
        <v>0</v>
      </c>
      <c r="AI21" s="105">
        <f t="shared" si="58"/>
        <v>0</v>
      </c>
      <c r="AJ21" s="105">
        <f t="shared" si="59"/>
        <v>0</v>
      </c>
      <c r="AK21" s="105">
        <f t="shared" si="60"/>
        <v>641375.27102234762</v>
      </c>
      <c r="AL21" s="105">
        <f t="shared" si="61"/>
        <v>1896638.3014517992</v>
      </c>
      <c r="AM21" s="105">
        <f t="shared" si="62"/>
        <v>1963020.6420026124</v>
      </c>
      <c r="AN21" s="105">
        <f t="shared" si="63"/>
        <v>2031726.3644727033</v>
      </c>
      <c r="AO21" s="105">
        <f t="shared" si="64"/>
        <v>2102836.7872292483</v>
      </c>
      <c r="AP21" s="105">
        <f t="shared" si="65"/>
        <v>2176436.0747822714</v>
      </c>
      <c r="AQ21" s="105">
        <f t="shared" si="66"/>
        <v>2252611.3373996504</v>
      </c>
      <c r="AR21" s="105">
        <f t="shared" si="67"/>
        <v>2331452.7342086383</v>
      </c>
      <c r="AS21" s="105">
        <f t="shared" si="68"/>
        <v>2413053.5799059402</v>
      </c>
      <c r="AT21" s="105">
        <f t="shared" si="69"/>
        <v>2497510.455202648</v>
      </c>
      <c r="AU21" s="105">
        <f t="shared" si="70"/>
        <v>2584923.3211347405</v>
      </c>
      <c r="AV21" s="105">
        <f t="shared" si="71"/>
        <v>2675395.637374456</v>
      </c>
      <c r="AW21" s="105">
        <f t="shared" si="72"/>
        <v>2769034.4846825618</v>
      </c>
      <c r="AX21" s="105">
        <f t="shared" si="73"/>
        <v>2865950.6916464511</v>
      </c>
      <c r="AY21" s="105">
        <f t="shared" si="74"/>
        <v>2966258.9658540767</v>
      </c>
      <c r="AZ21" s="105">
        <f t="shared" si="75"/>
        <v>3070078.029658969</v>
      </c>
      <c r="BA21" s="105">
        <f t="shared" si="76"/>
        <v>3177530.7606970328</v>
      </c>
      <c r="BB21" s="105">
        <f t="shared" si="77"/>
        <v>3288744.3373214286</v>
      </c>
      <c r="BC21" s="105">
        <f t="shared" si="78"/>
        <v>3403850.3891276782</v>
      </c>
      <c r="BD21" s="105">
        <f t="shared" si="79"/>
        <v>3522985.1527471468</v>
      </c>
      <c r="BE21" s="105">
        <f t="shared" si="80"/>
        <v>3646289.6330932966</v>
      </c>
    </row>
    <row r="22" spans="1:57" x14ac:dyDescent="0.35">
      <c r="A22" s="48">
        <f>MAX(A$6:A21)+1</f>
        <v>14</v>
      </c>
      <c r="B22" s="28" t="s">
        <v>52</v>
      </c>
      <c r="C22" s="18">
        <f t="shared" ref="C22:E22" si="88">+C14*(1+C$7)</f>
        <v>0</v>
      </c>
      <c r="D22" s="18">
        <f t="shared" si="88"/>
        <v>0</v>
      </c>
      <c r="E22" s="18">
        <f t="shared" si="88"/>
        <v>0</v>
      </c>
      <c r="F22" s="18">
        <f t="shared" si="82"/>
        <v>0</v>
      </c>
      <c r="G22" s="18">
        <f t="shared" si="82"/>
        <v>0</v>
      </c>
      <c r="H22" s="18">
        <f t="shared" si="82"/>
        <v>0</v>
      </c>
      <c r="I22" s="18">
        <f t="shared" si="82"/>
        <v>0</v>
      </c>
      <c r="J22" s="18">
        <f t="shared" si="82"/>
        <v>0</v>
      </c>
      <c r="K22" s="18">
        <f t="shared" si="82"/>
        <v>0</v>
      </c>
      <c r="L22" s="18">
        <f t="shared" si="82"/>
        <v>0</v>
      </c>
      <c r="M22" s="18">
        <f t="shared" ref="M22:AA22" si="89">+M14*(1+M$7)</f>
        <v>0</v>
      </c>
      <c r="N22" s="18">
        <f t="shared" si="89"/>
        <v>0</v>
      </c>
      <c r="O22" s="18">
        <f t="shared" si="89"/>
        <v>0</v>
      </c>
      <c r="P22" s="18">
        <f t="shared" si="89"/>
        <v>0</v>
      </c>
      <c r="Q22" s="18">
        <f t="shared" si="89"/>
        <v>0</v>
      </c>
      <c r="R22" s="18">
        <f t="shared" si="89"/>
        <v>0</v>
      </c>
      <c r="S22" s="18">
        <f t="shared" si="89"/>
        <v>0</v>
      </c>
      <c r="T22" s="18">
        <f t="shared" si="89"/>
        <v>0</v>
      </c>
      <c r="U22" s="18">
        <f t="shared" si="89"/>
        <v>0</v>
      </c>
      <c r="V22" s="18">
        <f t="shared" si="89"/>
        <v>0</v>
      </c>
      <c r="W22" s="18">
        <f t="shared" si="89"/>
        <v>0</v>
      </c>
      <c r="X22" s="18">
        <f t="shared" si="89"/>
        <v>0</v>
      </c>
      <c r="Y22" s="18">
        <f t="shared" si="89"/>
        <v>0</v>
      </c>
      <c r="Z22" s="18">
        <f t="shared" si="89"/>
        <v>0</v>
      </c>
      <c r="AA22" s="18">
        <f t="shared" si="89"/>
        <v>0</v>
      </c>
      <c r="AD22" s="172" t="s">
        <v>127</v>
      </c>
      <c r="AF22" s="173">
        <f>SUMIF(Assumptions!$E$27:$E$193,AD22,Assumptions!$D$27:$D$193)</f>
        <v>0.89517082239955581</v>
      </c>
      <c r="AH22" s="105">
        <f t="shared" si="57"/>
        <v>0</v>
      </c>
      <c r="AI22" s="105">
        <f t="shared" si="58"/>
        <v>0</v>
      </c>
      <c r="AJ22" s="105">
        <f t="shared" si="59"/>
        <v>0</v>
      </c>
      <c r="AK22" s="105">
        <f t="shared" si="60"/>
        <v>0</v>
      </c>
      <c r="AL22" s="105">
        <f t="shared" si="61"/>
        <v>0</v>
      </c>
      <c r="AM22" s="105">
        <f t="shared" si="62"/>
        <v>0</v>
      </c>
      <c r="AN22" s="105">
        <f t="shared" si="63"/>
        <v>0</v>
      </c>
      <c r="AO22" s="105">
        <f t="shared" si="64"/>
        <v>0</v>
      </c>
      <c r="AP22" s="105">
        <f t="shared" si="65"/>
        <v>0</v>
      </c>
      <c r="AQ22" s="105">
        <f t="shared" si="66"/>
        <v>0</v>
      </c>
      <c r="AR22" s="105">
        <f t="shared" si="67"/>
        <v>0</v>
      </c>
      <c r="AS22" s="105">
        <f t="shared" si="68"/>
        <v>0</v>
      </c>
      <c r="AT22" s="105">
        <f t="shared" si="69"/>
        <v>0</v>
      </c>
      <c r="AU22" s="105">
        <f t="shared" si="70"/>
        <v>0</v>
      </c>
      <c r="AV22" s="105">
        <f t="shared" si="71"/>
        <v>0</v>
      </c>
      <c r="AW22" s="105">
        <f t="shared" si="72"/>
        <v>0</v>
      </c>
      <c r="AX22" s="105">
        <f t="shared" si="73"/>
        <v>0</v>
      </c>
      <c r="AY22" s="105">
        <f t="shared" si="74"/>
        <v>0</v>
      </c>
      <c r="AZ22" s="105">
        <f t="shared" si="75"/>
        <v>0</v>
      </c>
      <c r="BA22" s="105">
        <f t="shared" si="76"/>
        <v>0</v>
      </c>
      <c r="BB22" s="105">
        <f t="shared" si="77"/>
        <v>0</v>
      </c>
      <c r="BC22" s="105">
        <f t="shared" si="78"/>
        <v>0</v>
      </c>
      <c r="BD22" s="105">
        <f t="shared" si="79"/>
        <v>0</v>
      </c>
      <c r="BE22" s="105">
        <f t="shared" si="80"/>
        <v>0</v>
      </c>
    </row>
    <row r="23" spans="1:57" s="4" customFormat="1" x14ac:dyDescent="0.35">
      <c r="A23" s="46">
        <f>MAX(A$6:A22)+1</f>
        <v>15</v>
      </c>
      <c r="B23" s="19" t="s">
        <v>124</v>
      </c>
      <c r="C23" s="20">
        <f t="shared" ref="C23:E23" si="90">+C15*(1+C$7)</f>
        <v>0</v>
      </c>
      <c r="D23" s="20">
        <f t="shared" si="90"/>
        <v>0</v>
      </c>
      <c r="E23" s="20">
        <f t="shared" si="90"/>
        <v>0</v>
      </c>
      <c r="F23" s="20">
        <f t="shared" si="82"/>
        <v>0</v>
      </c>
      <c r="G23" s="20">
        <f t="shared" si="82"/>
        <v>406381.85</v>
      </c>
      <c r="H23" s="20">
        <f t="shared" si="82"/>
        <v>1201729.1849999998</v>
      </c>
      <c r="I23" s="20">
        <f t="shared" si="82"/>
        <v>1243789.7064749999</v>
      </c>
      <c r="J23" s="20">
        <f t="shared" si="82"/>
        <v>1287322.3462016247</v>
      </c>
      <c r="K23" s="20">
        <f t="shared" si="82"/>
        <v>1332378.6283186816</v>
      </c>
      <c r="L23" s="20">
        <f t="shared" si="82"/>
        <v>1379011.8803098351</v>
      </c>
      <c r="M23" s="20">
        <f t="shared" ref="M23:AA23" si="91">+M15*(1+M$7)</f>
        <v>1427277.2961206792</v>
      </c>
      <c r="N23" s="20">
        <f t="shared" si="91"/>
        <v>1477232.0014849028</v>
      </c>
      <c r="O23" s="20">
        <f t="shared" si="91"/>
        <v>1528935.1215368744</v>
      </c>
      <c r="P23" s="20">
        <f t="shared" si="91"/>
        <v>1582447.8507906648</v>
      </c>
      <c r="Q23" s="20">
        <f t="shared" si="91"/>
        <v>1637833.5255683381</v>
      </c>
      <c r="R23" s="20">
        <f t="shared" si="91"/>
        <v>1695157.6989632295</v>
      </c>
      <c r="S23" s="20">
        <f t="shared" si="91"/>
        <v>1754488.2184269426</v>
      </c>
      <c r="T23" s="20">
        <f t="shared" si="91"/>
        <v>1815895.3060718854</v>
      </c>
      <c r="U23" s="20">
        <f t="shared" si="91"/>
        <v>1879451.6417844011</v>
      </c>
      <c r="V23" s="20">
        <f t="shared" si="91"/>
        <v>1945232.449246855</v>
      </c>
      <c r="W23" s="20">
        <f t="shared" si="91"/>
        <v>2013315.5849704947</v>
      </c>
      <c r="X23" s="20">
        <f t="shared" si="91"/>
        <v>2083781.6304444619</v>
      </c>
      <c r="Y23" s="20">
        <f t="shared" si="91"/>
        <v>2156713.9875100181</v>
      </c>
      <c r="Z23" s="20">
        <f t="shared" si="91"/>
        <v>2232198.9770728685</v>
      </c>
      <c r="AA23" s="20">
        <f t="shared" si="91"/>
        <v>2310325.9412704185</v>
      </c>
      <c r="AD23" s="172" t="s">
        <v>27</v>
      </c>
      <c r="AE23"/>
      <c r="AF23" s="173">
        <f>SUMIF(Assumptions!$E$27:$E$193,AD23,Assumptions!$D$27:$D$193)</f>
        <v>0.92802791780217886</v>
      </c>
      <c r="AG23"/>
      <c r="AH23" s="105">
        <f t="shared" si="57"/>
        <v>0</v>
      </c>
      <c r="AI23" s="105">
        <f t="shared" si="58"/>
        <v>0</v>
      </c>
      <c r="AJ23" s="105">
        <f t="shared" si="59"/>
        <v>0</v>
      </c>
      <c r="AK23" s="105">
        <f t="shared" si="60"/>
        <v>377133.70208809734</v>
      </c>
      <c r="AL23" s="105">
        <f t="shared" si="61"/>
        <v>1115238.2333176592</v>
      </c>
      <c r="AM23" s="105">
        <f t="shared" si="62"/>
        <v>1154271.5714837774</v>
      </c>
      <c r="AN23" s="105">
        <f t="shared" si="63"/>
        <v>1194671.0764857095</v>
      </c>
      <c r="AO23" s="105">
        <f t="shared" si="64"/>
        <v>1236484.5641627093</v>
      </c>
      <c r="AP23" s="105">
        <f t="shared" si="65"/>
        <v>1279761.5239084037</v>
      </c>
      <c r="AQ23" s="105">
        <f t="shared" si="66"/>
        <v>1324553.1772451978</v>
      </c>
      <c r="AR23" s="105">
        <f t="shared" si="67"/>
        <v>1370912.5384487796</v>
      </c>
      <c r="AS23" s="105">
        <f t="shared" si="68"/>
        <v>1418894.4772944869</v>
      </c>
      <c r="AT23" s="105">
        <f t="shared" si="69"/>
        <v>1468555.7839997937</v>
      </c>
      <c r="AU23" s="105">
        <f t="shared" si="70"/>
        <v>1519955.2364397864</v>
      </c>
      <c r="AV23" s="105">
        <f t="shared" si="71"/>
        <v>1573153.6697151787</v>
      </c>
      <c r="AW23" s="105">
        <f t="shared" si="72"/>
        <v>1628214.04815521</v>
      </c>
      <c r="AX23" s="105">
        <f t="shared" si="73"/>
        <v>1685201.5398406421</v>
      </c>
      <c r="AY23" s="105">
        <f t="shared" si="74"/>
        <v>1744183.5937350644</v>
      </c>
      <c r="AZ23" s="105">
        <f t="shared" si="75"/>
        <v>1805230.0195157914</v>
      </c>
      <c r="BA23" s="105">
        <f t="shared" si="76"/>
        <v>1868413.070198844</v>
      </c>
      <c r="BB23" s="105">
        <f t="shared" si="77"/>
        <v>1933807.5276558034</v>
      </c>
      <c r="BC23" s="105">
        <f t="shared" si="78"/>
        <v>2001490.7911237564</v>
      </c>
      <c r="BD23" s="105">
        <f t="shared" si="79"/>
        <v>2071542.9688130878</v>
      </c>
      <c r="BE23" s="105">
        <f t="shared" si="80"/>
        <v>2144046.9727215455</v>
      </c>
    </row>
    <row r="24" spans="1:57" s="4" customFormat="1" x14ac:dyDescent="0.35">
      <c r="A24" s="48">
        <f>MAX(A$6:A23)+1</f>
        <v>16</v>
      </c>
      <c r="B24" s="118" t="s">
        <v>58</v>
      </c>
      <c r="C24" s="119">
        <f t="shared" ref="C24:D24" si="92">SUM(C18:C23)</f>
        <v>0</v>
      </c>
      <c r="D24" s="119">
        <f t="shared" si="92"/>
        <v>0</v>
      </c>
      <c r="E24" s="119">
        <f>SUM(E18:E23)</f>
        <v>0</v>
      </c>
      <c r="F24" s="119">
        <f t="shared" ref="F24:L24" si="93">SUM(F18:F23)</f>
        <v>0</v>
      </c>
      <c r="G24" s="119">
        <f t="shared" si="93"/>
        <v>1685534.25</v>
      </c>
      <c r="H24" s="119">
        <f t="shared" si="93"/>
        <v>4753708.4249999998</v>
      </c>
      <c r="I24" s="119">
        <f t="shared" si="93"/>
        <v>4920088.2198749995</v>
      </c>
      <c r="J24" s="119">
        <f t="shared" si="93"/>
        <v>5092291.3075706232</v>
      </c>
      <c r="K24" s="119">
        <f t="shared" si="93"/>
        <v>5270521.5033355961</v>
      </c>
      <c r="L24" s="119">
        <f t="shared" si="93"/>
        <v>5454989.7559523406</v>
      </c>
      <c r="M24" s="119">
        <f t="shared" ref="M24:AA24" si="94">SUM(M18:M23)</f>
        <v>5645914.3974106712</v>
      </c>
      <c r="N24" s="119">
        <f t="shared" si="94"/>
        <v>5843521.4013200449</v>
      </c>
      <c r="O24" s="119">
        <f t="shared" si="94"/>
        <v>6048044.6503662458</v>
      </c>
      <c r="P24" s="119">
        <f t="shared" si="94"/>
        <v>6259726.2131290641</v>
      </c>
      <c r="Q24" s="119">
        <f t="shared" si="94"/>
        <v>6478816.6305885809</v>
      </c>
      <c r="R24" s="119">
        <f t="shared" si="94"/>
        <v>6705575.2126591802</v>
      </c>
      <c r="S24" s="119">
        <f t="shared" si="94"/>
        <v>6940270.3451022524</v>
      </c>
      <c r="T24" s="119">
        <f t="shared" si="94"/>
        <v>7183179.8071808293</v>
      </c>
      <c r="U24" s="119">
        <f t="shared" si="94"/>
        <v>7434591.1004321575</v>
      </c>
      <c r="V24" s="119">
        <f t="shared" si="94"/>
        <v>7694801.7889472824</v>
      </c>
      <c r="W24" s="119">
        <f t="shared" si="94"/>
        <v>7964119.8515604362</v>
      </c>
      <c r="X24" s="119">
        <f t="shared" si="94"/>
        <v>8242864.0463650506</v>
      </c>
      <c r="Y24" s="119">
        <f t="shared" si="94"/>
        <v>8531364.2879878283</v>
      </c>
      <c r="Z24" s="119">
        <f t="shared" si="94"/>
        <v>8829962.0380674005</v>
      </c>
      <c r="AA24" s="119">
        <f t="shared" si="94"/>
        <v>9139010.7093997579</v>
      </c>
      <c r="AF24" s="124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</row>
    <row r="25" spans="1:57" ht="15.5" x14ac:dyDescent="0.35">
      <c r="A25" s="122"/>
      <c r="B25" s="31" t="s">
        <v>128</v>
      </c>
      <c r="C25" s="31"/>
      <c r="D25" s="31"/>
      <c r="E25" s="31"/>
      <c r="F25" s="159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</row>
    <row r="26" spans="1:57" x14ac:dyDescent="0.35">
      <c r="A26" s="46"/>
      <c r="B26" s="19" t="s">
        <v>122</v>
      </c>
      <c r="C26" s="19"/>
      <c r="D26" s="19"/>
      <c r="E26" s="19"/>
      <c r="F26" s="100"/>
      <c r="G26" s="100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E26" s="118" t="s">
        <v>113</v>
      </c>
      <c r="AG26" s="35">
        <f>SUM(AG18:AG23)</f>
        <v>0</v>
      </c>
      <c r="AH26" s="35">
        <f t="shared" ref="AH26" si="95">SUM(AH18:AH23)</f>
        <v>0</v>
      </c>
      <c r="AI26" s="35">
        <f>SUM(AI18:AI23)</f>
        <v>0</v>
      </c>
      <c r="AJ26" s="35">
        <f t="shared" ref="AJ26:AL26" si="96">SUM(AJ18:AJ23)</f>
        <v>0</v>
      </c>
      <c r="AK26" s="35">
        <f t="shared" si="96"/>
        <v>1554347.5655087442</v>
      </c>
      <c r="AL26" s="35">
        <f t="shared" si="96"/>
        <v>4381577.3716761731</v>
      </c>
      <c r="AM26" s="35">
        <f t="shared" ref="AM26:AP26" si="97">SUM(AM18:AM23)</f>
        <v>4534932.5796848387</v>
      </c>
      <c r="AN26" s="35">
        <f t="shared" si="97"/>
        <v>4693655.2199738072</v>
      </c>
      <c r="AO26" s="35">
        <f t="shared" si="97"/>
        <v>4857933.1526728906</v>
      </c>
      <c r="AP26" s="35">
        <f t="shared" si="97"/>
        <v>5027960.8130164407</v>
      </c>
      <c r="AQ26" s="35">
        <f t="shared" ref="AQ26:BE26" si="98">SUM(AQ18:AQ23)</f>
        <v>5203939.4414720163</v>
      </c>
      <c r="AR26" s="35">
        <f t="shared" si="98"/>
        <v>5386077.3219235362</v>
      </c>
      <c r="AS26" s="35">
        <f t="shared" si="98"/>
        <v>5574590.0281908596</v>
      </c>
      <c r="AT26" s="35">
        <f t="shared" si="98"/>
        <v>5769700.6791775394</v>
      </c>
      <c r="AU26" s="35">
        <f t="shared" si="98"/>
        <v>5971640.2029487528</v>
      </c>
      <c r="AV26" s="35">
        <f t="shared" si="98"/>
        <v>6180647.6100519579</v>
      </c>
      <c r="AW26" s="35">
        <f t="shared" si="98"/>
        <v>6396970.2764037764</v>
      </c>
      <c r="AX26" s="35">
        <f t="shared" si="98"/>
        <v>6620864.2360779084</v>
      </c>
      <c r="AY26" s="35">
        <f t="shared" si="98"/>
        <v>6852594.4843406333</v>
      </c>
      <c r="AZ26" s="35">
        <f t="shared" si="98"/>
        <v>7092435.2912925556</v>
      </c>
      <c r="BA26" s="35">
        <f t="shared" si="98"/>
        <v>7340670.5264877938</v>
      </c>
      <c r="BB26" s="35">
        <f t="shared" si="98"/>
        <v>7597593.9949148661</v>
      </c>
      <c r="BC26" s="35">
        <f t="shared" si="98"/>
        <v>7863509.7847368857</v>
      </c>
      <c r="BD26" s="35">
        <f t="shared" si="98"/>
        <v>8138732.6272026766</v>
      </c>
      <c r="BE26" s="35">
        <f t="shared" si="98"/>
        <v>8423588.2691547684</v>
      </c>
    </row>
    <row r="27" spans="1:57" x14ac:dyDescent="0.35">
      <c r="A27" s="48">
        <f>MAX(A$6:A26)+1</f>
        <v>17</v>
      </c>
      <c r="B27" s="62" t="s">
        <v>84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1"/>
    </row>
    <row r="28" spans="1:57" x14ac:dyDescent="0.35">
      <c r="A28" s="46"/>
      <c r="B28" s="19"/>
      <c r="C28" s="19"/>
      <c r="D28" s="19"/>
      <c r="E28" s="19"/>
      <c r="F28" s="19"/>
      <c r="G28" s="19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</row>
    <row r="29" spans="1:57" x14ac:dyDescent="0.35">
      <c r="A29" s="123">
        <f>MAX(A$6:A28)+1</f>
        <v>18</v>
      </c>
      <c r="B29" s="34" t="s">
        <v>76</v>
      </c>
      <c r="C29" s="35">
        <f t="shared" ref="C29:E29" si="99">+C27*(1+C$7)</f>
        <v>0</v>
      </c>
      <c r="D29" s="35">
        <f>+D27*(1+D$7)</f>
        <v>0</v>
      </c>
      <c r="E29" s="35">
        <f t="shared" si="99"/>
        <v>0</v>
      </c>
      <c r="F29" s="35">
        <f t="shared" ref="F29:L29" si="100">+F27*(1+F$7)</f>
        <v>0</v>
      </c>
      <c r="G29" s="35">
        <f t="shared" si="100"/>
        <v>0</v>
      </c>
      <c r="H29" s="35">
        <f t="shared" si="100"/>
        <v>0</v>
      </c>
      <c r="I29" s="35">
        <f t="shared" si="100"/>
        <v>0</v>
      </c>
      <c r="J29" s="35">
        <f t="shared" si="100"/>
        <v>0</v>
      </c>
      <c r="K29" s="35">
        <f t="shared" si="100"/>
        <v>0</v>
      </c>
      <c r="L29" s="35">
        <f t="shared" si="100"/>
        <v>0</v>
      </c>
      <c r="M29" s="35">
        <f t="shared" ref="M29:AA29" si="101">+M27*(1+M$7)</f>
        <v>0</v>
      </c>
      <c r="N29" s="35">
        <f t="shared" si="101"/>
        <v>0</v>
      </c>
      <c r="O29" s="35">
        <f t="shared" si="101"/>
        <v>0</v>
      </c>
      <c r="P29" s="35">
        <f t="shared" si="101"/>
        <v>0</v>
      </c>
      <c r="Q29" s="35">
        <f t="shared" si="101"/>
        <v>0</v>
      </c>
      <c r="R29" s="35">
        <f t="shared" si="101"/>
        <v>0</v>
      </c>
      <c r="S29" s="35">
        <f t="shared" si="101"/>
        <v>0</v>
      </c>
      <c r="T29" s="35">
        <f t="shared" si="101"/>
        <v>0</v>
      </c>
      <c r="U29" s="35">
        <f t="shared" si="101"/>
        <v>0</v>
      </c>
      <c r="V29" s="35">
        <f t="shared" si="101"/>
        <v>0</v>
      </c>
      <c r="W29" s="35">
        <f t="shared" si="101"/>
        <v>0</v>
      </c>
      <c r="X29" s="35">
        <f t="shared" si="101"/>
        <v>0</v>
      </c>
      <c r="Y29" s="35">
        <f t="shared" si="101"/>
        <v>0</v>
      </c>
      <c r="Z29" s="35">
        <f t="shared" si="101"/>
        <v>0</v>
      </c>
      <c r="AA29" s="35">
        <f t="shared" si="101"/>
        <v>0</v>
      </c>
    </row>
    <row r="30" spans="1:57" x14ac:dyDescent="0.35">
      <c r="A30" s="46"/>
      <c r="B30" s="19"/>
      <c r="C30" s="19"/>
      <c r="D30" s="19"/>
      <c r="E30" s="19"/>
      <c r="F30" s="19"/>
      <c r="G30" s="19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1:57" x14ac:dyDescent="0.35">
      <c r="A31" s="123">
        <f>MAX(A$6:A30)+1</f>
        <v>19</v>
      </c>
      <c r="B31" s="29" t="s">
        <v>15</v>
      </c>
      <c r="C31" s="35">
        <f t="shared" ref="C31:H31" si="102">+C29+C24</f>
        <v>0</v>
      </c>
      <c r="D31" s="35">
        <f t="shared" si="102"/>
        <v>0</v>
      </c>
      <c r="E31" s="35">
        <f t="shared" si="102"/>
        <v>0</v>
      </c>
      <c r="F31" s="35">
        <f t="shared" si="102"/>
        <v>0</v>
      </c>
      <c r="G31" s="35">
        <f t="shared" si="102"/>
        <v>1685534.25</v>
      </c>
      <c r="H31" s="35">
        <f t="shared" si="102"/>
        <v>4753708.4249999998</v>
      </c>
      <c r="I31" s="35">
        <f t="shared" ref="I31:L31" si="103">+I29+I24</f>
        <v>4920088.2198749995</v>
      </c>
      <c r="J31" s="35">
        <f t="shared" si="103"/>
        <v>5092291.3075706232</v>
      </c>
      <c r="K31" s="35">
        <f t="shared" si="103"/>
        <v>5270521.5033355961</v>
      </c>
      <c r="L31" s="35">
        <f t="shared" si="103"/>
        <v>5454989.7559523406</v>
      </c>
      <c r="M31" s="35">
        <f t="shared" ref="M31:AA31" si="104">+M29+M24</f>
        <v>5645914.3974106712</v>
      </c>
      <c r="N31" s="35">
        <f t="shared" si="104"/>
        <v>5843521.4013200449</v>
      </c>
      <c r="O31" s="35">
        <f t="shared" si="104"/>
        <v>6048044.6503662458</v>
      </c>
      <c r="P31" s="35">
        <f t="shared" si="104"/>
        <v>6259726.2131290641</v>
      </c>
      <c r="Q31" s="35">
        <f t="shared" si="104"/>
        <v>6478816.6305885809</v>
      </c>
      <c r="R31" s="35">
        <f t="shared" si="104"/>
        <v>6705575.2126591802</v>
      </c>
      <c r="S31" s="35">
        <f t="shared" si="104"/>
        <v>6940270.3451022524</v>
      </c>
      <c r="T31" s="35">
        <f t="shared" si="104"/>
        <v>7183179.8071808293</v>
      </c>
      <c r="U31" s="35">
        <f t="shared" si="104"/>
        <v>7434591.1004321575</v>
      </c>
      <c r="V31" s="35">
        <f t="shared" si="104"/>
        <v>7694801.7889472824</v>
      </c>
      <c r="W31" s="35">
        <f t="shared" si="104"/>
        <v>7964119.8515604362</v>
      </c>
      <c r="X31" s="35">
        <f t="shared" si="104"/>
        <v>8242864.0463650506</v>
      </c>
      <c r="Y31" s="35">
        <f t="shared" si="104"/>
        <v>8531364.2879878283</v>
      </c>
      <c r="Z31" s="35">
        <f t="shared" si="104"/>
        <v>8829962.0380674005</v>
      </c>
      <c r="AA31" s="35">
        <f t="shared" si="104"/>
        <v>9139010.7093997579</v>
      </c>
    </row>
    <row r="32" spans="1:57" x14ac:dyDescent="0.35">
      <c r="A32" s="46"/>
      <c r="B32" s="19"/>
      <c r="C32" s="19"/>
      <c r="D32" s="19"/>
      <c r="E32" s="19"/>
      <c r="F32" s="19"/>
      <c r="G32" s="19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</row>
    <row r="33" spans="1:57" ht="15.5" x14ac:dyDescent="0.35">
      <c r="A33" s="10"/>
      <c r="B33" s="31" t="s">
        <v>108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57" ht="15.5" x14ac:dyDescent="0.35">
      <c r="A34" s="10"/>
      <c r="B34" s="31" t="s">
        <v>109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F34" s="124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</row>
    <row r="35" spans="1:57" x14ac:dyDescent="0.35">
      <c r="A35" s="48">
        <f>MAX(A$6:A34)+1</f>
        <v>20</v>
      </c>
      <c r="B35" s="17" t="s">
        <v>110</v>
      </c>
      <c r="C35" s="49">
        <f>+'Pension &amp; Fringes Ratio'!E12</f>
        <v>0.39900412395768614</v>
      </c>
      <c r="D35" s="49">
        <f>+'Pension &amp; Fringes Ratio'!F12</f>
        <v>0.39633307386195543</v>
      </c>
      <c r="E35" s="49">
        <f>+'Pension &amp; Fringes Ratio'!G12</f>
        <v>0.39185814936231089</v>
      </c>
      <c r="F35" s="49">
        <f>+'Pension &amp; Fringes Ratio'!H12</f>
        <v>0.43116127604766247</v>
      </c>
      <c r="G35" s="49">
        <f>+'Pension &amp; Fringes Ratio'!I12</f>
        <v>0.42910812711410212</v>
      </c>
      <c r="H35" s="49">
        <f>+'Pension &amp; Fringes Ratio'!J12</f>
        <v>0.4274497382170428</v>
      </c>
      <c r="I35" s="49">
        <f>+'Pension &amp; Fringes Ratio'!K12</f>
        <v>0.43327296653478231</v>
      </c>
      <c r="J35" s="49">
        <f>+'Pension &amp; Fringes Ratio'!L12</f>
        <v>0.43917552578902419</v>
      </c>
      <c r="K35" s="49">
        <f>+'Pension &amp; Fringes Ratio'!M12</f>
        <v>0.44278228131482777</v>
      </c>
      <c r="L35" s="49">
        <f>+'Pension &amp; Fringes Ratio'!N12</f>
        <v>0.44641865753818644</v>
      </c>
      <c r="M35" s="49">
        <f>+'Pension &amp; Fringes Ratio'!O12</f>
        <v>0.45008489772086729</v>
      </c>
      <c r="N35" s="49">
        <f>+'Pension &amp; Fringes Ratio'!P12</f>
        <v>0.45378124712243978</v>
      </c>
      <c r="O35" s="49">
        <f>+'Pension &amp; Fringes Ratio'!Q12</f>
        <v>0.45750795301668201</v>
      </c>
      <c r="P35" s="49">
        <f>+'Pension &amp; Fringes Ratio'!R12</f>
        <v>0.4612652647081234</v>
      </c>
      <c r="Q35" s="49">
        <f>+'Pension &amp; Fringes Ratio'!S12</f>
        <v>0.46505343354872158</v>
      </c>
      <c r="R35" s="49">
        <f>+'Pension &amp; Fringes Ratio'!T12</f>
        <v>0.46887271295467731</v>
      </c>
      <c r="S35" s="49">
        <f>+'Pension &amp; Fringes Ratio'!U12</f>
        <v>0.47272335842338736</v>
      </c>
      <c r="T35" s="49">
        <f>+'Pension &amp; Fringes Ratio'!V12</f>
        <v>0.47660562755053598</v>
      </c>
      <c r="U35" s="49">
        <f>+'Pension &amp; Fringes Ratio'!W12</f>
        <v>0.48051978004732793</v>
      </c>
      <c r="V35" s="49">
        <f>+'Pension &amp; Fringes Ratio'!X12</f>
        <v>0.48446607775786166</v>
      </c>
      <c r="W35" s="49">
        <f>+'Pension &amp; Fringes Ratio'!Y12</f>
        <v>0.48844478467664604</v>
      </c>
      <c r="X35" s="49">
        <f>+'Pension &amp; Fringes Ratio'!Z12</f>
        <v>0.4924561669662611</v>
      </c>
      <c r="Y35" s="49">
        <f>+'Pension &amp; Fringes Ratio'!AA12</f>
        <v>0.49650049297516274</v>
      </c>
      <c r="Z35" s="49">
        <f>+'Pension &amp; Fringes Ratio'!AB12</f>
        <v>0.50057803325563521</v>
      </c>
      <c r="AA35" s="49">
        <f>+'Pension &amp; Fringes Ratio'!AC12</f>
        <v>0.50468906058188934</v>
      </c>
      <c r="AF35" s="124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</row>
    <row r="36" spans="1:57" x14ac:dyDescent="0.35">
      <c r="A36" s="46">
        <f>MAX(A$6:A35)+1</f>
        <v>21</v>
      </c>
      <c r="B36" s="19" t="s">
        <v>111</v>
      </c>
      <c r="C36" s="47">
        <f>+'Pension &amp; Fringes Ratio'!E13</f>
        <v>0.37252820581911578</v>
      </c>
      <c r="D36" s="47">
        <f>+'Pension &amp; Fringes Ratio'!F13</f>
        <v>0.35141484958703101</v>
      </c>
      <c r="E36" s="47">
        <f>+'Pension &amp; Fringes Ratio'!G13</f>
        <v>0.33967084730467317</v>
      </c>
      <c r="F36" s="47">
        <f>+'Pension &amp; Fringes Ratio'!H13</f>
        <v>0.32297321114521454</v>
      </c>
      <c r="G36" s="47">
        <f>+'Pension &amp; Fringes Ratio'!I13</f>
        <v>0.31300718062987648</v>
      </c>
      <c r="H36" s="47">
        <f>+'Pension &amp; Fringes Ratio'!J13</f>
        <v>0.30242239674384203</v>
      </c>
      <c r="I36" s="47">
        <f>+'Pension &amp; Fringes Ratio'!K13</f>
        <v>0.29219555240950928</v>
      </c>
      <c r="J36" s="47">
        <f>+'Pension &amp; Fringes Ratio'!L13</f>
        <v>0.28231454339083017</v>
      </c>
      <c r="K36" s="47">
        <f>+'Pension &amp; Fringes Ratio'!M13</f>
        <v>0.27276767477374897</v>
      </c>
      <c r="L36" s="47">
        <f>+'Pension &amp; Fringes Ratio'!N13</f>
        <v>0.26354364712439521</v>
      </c>
      <c r="M36" s="47">
        <f>+'Pension &amp; Fringes Ratio'!O13</f>
        <v>0.25463154311535774</v>
      </c>
      <c r="N36" s="47">
        <f>+'Pension &amp; Fringes Ratio'!P13</f>
        <v>0.24602081460421041</v>
      </c>
      <c r="O36" s="47">
        <f>+'Pension &amp; Fringes Ratio'!Q13</f>
        <v>0.23770127014899553</v>
      </c>
      <c r="P36" s="47">
        <f>+'Pension &amp; Fringes Ratio'!R13</f>
        <v>0.22966306294588937</v>
      </c>
      <c r="Q36" s="47">
        <f>+'Pension &amp; Fringes Ratio'!S13</f>
        <v>0.22189667917477238</v>
      </c>
      <c r="R36" s="47">
        <f>+'Pension &amp; Fringes Ratio'!T13</f>
        <v>0.21439292673891053</v>
      </c>
      <c r="S36" s="47">
        <f>+'Pension &amp; Fringes Ratio'!U13</f>
        <v>0.20714292438542084</v>
      </c>
      <c r="T36" s="47">
        <f>+'Pension &amp; Fringes Ratio'!V13</f>
        <v>0.20013809119364331</v>
      </c>
      <c r="U36" s="47">
        <f>+'Pension &amp; Fringes Ratio'!W13</f>
        <v>0.19337013641897904</v>
      </c>
      <c r="V36" s="47">
        <f>+'Pension &amp; Fringes Ratio'!X13</f>
        <v>0.18683104968017303</v>
      </c>
      <c r="W36" s="47">
        <f>+'Pension &amp; Fringes Ratio'!Y13</f>
        <v>0.18051309147842806</v>
      </c>
      <c r="X36" s="47">
        <f>+'Pension &amp; Fringes Ratio'!Z13</f>
        <v>0.17440878403712859</v>
      </c>
      <c r="Y36" s="47">
        <f>+'Pension &amp; Fringes Ratio'!AA13</f>
        <v>0.16851090245133196</v>
      </c>
      <c r="Z36" s="47">
        <f>+'Pension &amp; Fringes Ratio'!AB13</f>
        <v>0.16281246613655262</v>
      </c>
      <c r="AA36" s="47">
        <f>+'Pension &amp; Fringes Ratio'!AC13</f>
        <v>0.15730673056671751</v>
      </c>
      <c r="AF36" s="124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</row>
    <row r="37" spans="1:57" x14ac:dyDescent="0.35">
      <c r="A37" s="48">
        <f>MAX(A$6:A36)+1</f>
        <v>22</v>
      </c>
      <c r="B37" s="17" t="s">
        <v>112</v>
      </c>
      <c r="C37" s="49">
        <f>+'Pension &amp; Fringes Ratio'!E14</f>
        <v>5.3957484317269488E-2</v>
      </c>
      <c r="D37" s="49">
        <f>+'Pension &amp; Fringes Ratio'!F14</f>
        <v>6.5608284873243702E-2</v>
      </c>
      <c r="E37" s="49">
        <f>+'Pension &amp; Fringes Ratio'!G14</f>
        <v>7.0152811671216717E-2</v>
      </c>
      <c r="F37" s="49">
        <f>+'Pension &amp; Fringes Ratio'!H14</f>
        <v>6.7370354151241443E-2</v>
      </c>
      <c r="G37" s="49">
        <f>+'Pension &amp; Fringes Ratio'!I14</f>
        <v>6.416224204880136E-2</v>
      </c>
      <c r="H37" s="49">
        <f>+'Pension &amp; Fringes Ratio'!J14</f>
        <v>6.2476166350071236E-2</v>
      </c>
      <c r="I37" s="49">
        <f>+'Pension &amp; Fringes Ratio'!K14</f>
        <v>6.0362771672245706E-2</v>
      </c>
      <c r="J37" s="49">
        <f>+'Pension &amp; Fringes Ratio'!L14</f>
        <v>5.832086724942772E-2</v>
      </c>
      <c r="K37" s="49">
        <f>+'Pension &amp; Fringes Ratio'!M14</f>
        <v>5.6348034765429288E-2</v>
      </c>
      <c r="L37" s="49">
        <f>+'Pension &amp; Fringes Ratio'!N14</f>
        <v>5.4441937708962725E-2</v>
      </c>
      <c r="M37" s="49">
        <f>+'Pension &amp; Fringes Ratio'!O14</f>
        <v>5.260031860640875E-2</v>
      </c>
      <c r="N37" s="49">
        <f>+'Pension &amp; Fringes Ratio'!P14</f>
        <v>5.0820996348192364E-2</v>
      </c>
      <c r="O37" s="49">
        <f>+'Pension &amp; Fringes Ratio'!Q14</f>
        <v>4.9101863605599892E-2</v>
      </c>
      <c r="P37" s="49">
        <f>+'Pension &amp; Fringes Ratio'!R14</f>
        <v>4.7440884334978041E-2</v>
      </c>
      <c r="Q37" s="49">
        <f>+'Pension &amp; Fringes Ratio'!S14</f>
        <v>4.5836091366358821E-2</v>
      </c>
      <c r="R37" s="49">
        <f>+'Pension &amp; Fringes Ratio'!T14</f>
        <v>4.4285584073654592E-2</v>
      </c>
      <c r="S37" s="49">
        <f>+'Pension &amp; Fringes Ratio'!U14</f>
        <v>4.2787526123664037E-2</v>
      </c>
      <c r="T37" s="49">
        <f>+'Pension &amp; Fringes Ratio'!V14</f>
        <v>4.1340143301222827E-2</v>
      </c>
      <c r="U37" s="49">
        <f>+'Pension &amp; Fringes Ratio'!W14</f>
        <v>3.9941721407923514E-2</v>
      </c>
      <c r="V37" s="49">
        <f>+'Pension &amp; Fringes Ratio'!X14</f>
        <v>3.8590604231915807E-2</v>
      </c>
      <c r="W37" s="49">
        <f>+'Pension &amp; Fringes Ratio'!Y14</f>
        <v>3.7285191586382875E-2</v>
      </c>
      <c r="X37" s="49">
        <f>+'Pension &amp; Fringes Ratio'!Z14</f>
        <v>3.6023937414370495E-2</v>
      </c>
      <c r="Y37" s="49">
        <f>+'Pension &amp; Fringes Ratio'!AA14</f>
        <v>3.4805347957724608E-2</v>
      </c>
      <c r="Z37" s="49">
        <f>+'Pension &amp; Fringes Ratio'!AB14</f>
        <v>3.3628355514709773E-2</v>
      </c>
      <c r="AA37" s="49">
        <f>+'Pension &amp; Fringes Ratio'!AC14</f>
        <v>3.249116474851186E-2</v>
      </c>
    </row>
    <row r="38" spans="1:57" x14ac:dyDescent="0.35">
      <c r="A38" s="46">
        <f>MAX(A$6:A37)+1</f>
        <v>23</v>
      </c>
      <c r="B38" s="19" t="s">
        <v>113</v>
      </c>
      <c r="C38" s="101">
        <f t="shared" ref="C38" si="105">SUM(C35:C37)</f>
        <v>0.82548981409407141</v>
      </c>
      <c r="D38" s="101">
        <f t="shared" ref="D38:L38" si="106">SUM(D35:D37)</f>
        <v>0.8133562083222301</v>
      </c>
      <c r="E38" s="101">
        <f t="shared" si="106"/>
        <v>0.80168180833820069</v>
      </c>
      <c r="F38" s="101">
        <f t="shared" si="106"/>
        <v>0.8215048413441185</v>
      </c>
      <c r="G38" s="101">
        <f t="shared" si="106"/>
        <v>0.80627754979277999</v>
      </c>
      <c r="H38" s="101">
        <f t="shared" si="106"/>
        <v>0.79234830131095602</v>
      </c>
      <c r="I38" s="101">
        <f t="shared" si="106"/>
        <v>0.78583129061653723</v>
      </c>
      <c r="J38" s="101">
        <f t="shared" si="106"/>
        <v>0.77981093642928212</v>
      </c>
      <c r="K38" s="101">
        <f t="shared" si="106"/>
        <v>0.77189799085400601</v>
      </c>
      <c r="L38" s="101">
        <f t="shared" si="106"/>
        <v>0.76440424237154436</v>
      </c>
      <c r="M38" s="101">
        <f t="shared" ref="M38:AA38" si="107">SUM(M35:M37)</f>
        <v>0.75731675944263377</v>
      </c>
      <c r="N38" s="101">
        <f t="shared" si="107"/>
        <v>0.75062305807484253</v>
      </c>
      <c r="O38" s="101">
        <f t="shared" si="107"/>
        <v>0.74431108677127744</v>
      </c>
      <c r="P38" s="101">
        <f t="shared" si="107"/>
        <v>0.73836921198899086</v>
      </c>
      <c r="Q38" s="101">
        <f t="shared" si="107"/>
        <v>0.73278620408985273</v>
      </c>
      <c r="R38" s="101">
        <f t="shared" si="107"/>
        <v>0.72755122376724246</v>
      </c>
      <c r="S38" s="101">
        <f t="shared" si="107"/>
        <v>0.72265380893247222</v>
      </c>
      <c r="T38" s="101">
        <f t="shared" si="107"/>
        <v>0.71808386204540209</v>
      </c>
      <c r="U38" s="101">
        <f t="shared" si="107"/>
        <v>0.71383163787423054</v>
      </c>
      <c r="V38" s="101">
        <f t="shared" si="107"/>
        <v>0.70988773166995056</v>
      </c>
      <c r="W38" s="101">
        <f t="shared" si="107"/>
        <v>0.70624306774145695</v>
      </c>
      <c r="X38" s="101">
        <f t="shared" si="107"/>
        <v>0.7028888884177602</v>
      </c>
      <c r="Y38" s="101">
        <f t="shared" si="107"/>
        <v>0.69981674338421929</v>
      </c>
      <c r="Z38" s="101">
        <f t="shared" si="107"/>
        <v>0.69701885490689763</v>
      </c>
      <c r="AA38" s="101">
        <f t="shared" si="107"/>
        <v>0.69448695589711873</v>
      </c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</row>
    <row r="39" spans="1:57" x14ac:dyDescent="0.35">
      <c r="A39" s="48">
        <f>MAX(A$6:A38)+1</f>
        <v>24</v>
      </c>
      <c r="B39" s="17" t="s">
        <v>114</v>
      </c>
      <c r="C39" s="17"/>
      <c r="D39" s="51">
        <f>ROUND(+D$31*D35,-3)</f>
        <v>0</v>
      </c>
      <c r="E39" s="51">
        <f t="shared" ref="E39:H41" si="108">ROUND(+E$31*E35,-3)</f>
        <v>0</v>
      </c>
      <c r="F39" s="51">
        <f t="shared" si="108"/>
        <v>0</v>
      </c>
      <c r="G39" s="51">
        <f t="shared" si="108"/>
        <v>723000</v>
      </c>
      <c r="H39" s="51">
        <f t="shared" si="108"/>
        <v>2032000</v>
      </c>
      <c r="I39" s="51">
        <f t="shared" ref="I39:L39" si="109">ROUND(+I$31*I35,-3)</f>
        <v>2132000</v>
      </c>
      <c r="J39" s="51">
        <f t="shared" si="109"/>
        <v>2236000</v>
      </c>
      <c r="K39" s="51">
        <f t="shared" si="109"/>
        <v>2334000</v>
      </c>
      <c r="L39" s="51">
        <f t="shared" si="109"/>
        <v>2435000</v>
      </c>
      <c r="M39" s="51">
        <f t="shared" ref="M39:AA39" si="110">ROUND(+M$31*M35,-3)</f>
        <v>2541000</v>
      </c>
      <c r="N39" s="51">
        <f t="shared" si="110"/>
        <v>2652000</v>
      </c>
      <c r="O39" s="51">
        <f t="shared" si="110"/>
        <v>2767000</v>
      </c>
      <c r="P39" s="51">
        <f t="shared" si="110"/>
        <v>2887000</v>
      </c>
      <c r="Q39" s="51">
        <f t="shared" si="110"/>
        <v>3013000</v>
      </c>
      <c r="R39" s="51">
        <f t="shared" si="110"/>
        <v>3144000</v>
      </c>
      <c r="S39" s="51">
        <f t="shared" si="110"/>
        <v>3281000</v>
      </c>
      <c r="T39" s="51">
        <f t="shared" si="110"/>
        <v>3424000</v>
      </c>
      <c r="U39" s="51">
        <f t="shared" si="110"/>
        <v>3572000</v>
      </c>
      <c r="V39" s="51">
        <f t="shared" si="110"/>
        <v>3728000</v>
      </c>
      <c r="W39" s="51">
        <f t="shared" si="110"/>
        <v>3890000</v>
      </c>
      <c r="X39" s="51">
        <f t="shared" si="110"/>
        <v>4059000</v>
      </c>
      <c r="Y39" s="51">
        <f t="shared" si="110"/>
        <v>4236000</v>
      </c>
      <c r="Z39" s="51">
        <f t="shared" si="110"/>
        <v>4420000</v>
      </c>
      <c r="AA39" s="51">
        <f t="shared" si="110"/>
        <v>4612000</v>
      </c>
      <c r="AB39" s="1"/>
      <c r="AC39" s="1"/>
      <c r="AD39" s="172" t="s">
        <v>115</v>
      </c>
      <c r="AF39" s="173">
        <f>SUMIF(Assumptions!$E$27:$E$193,AD39,Assumptions!$D$27:$D$193)</f>
        <v>1</v>
      </c>
      <c r="AH39" s="105">
        <f t="shared" ref="AH39:AH41" si="111">+D39*$AF39</f>
        <v>0</v>
      </c>
      <c r="AI39" s="105">
        <f t="shared" ref="AI39:AI41" si="112">+E39*$AF39</f>
        <v>0</v>
      </c>
      <c r="AJ39" s="105">
        <f t="shared" ref="AJ39:AJ41" si="113">+F39*$AF39</f>
        <v>0</v>
      </c>
      <c r="AK39" s="105">
        <f t="shared" ref="AK39:AK41" si="114">+G39*$AF39</f>
        <v>723000</v>
      </c>
      <c r="AL39" s="105">
        <f t="shared" ref="AL39:AL41" si="115">+H39*$AF39</f>
        <v>2032000</v>
      </c>
      <c r="AM39" s="105">
        <f t="shared" ref="AM39:AM41" si="116">+I39*$AF39</f>
        <v>2132000</v>
      </c>
      <c r="AN39" s="105">
        <f t="shared" ref="AN39:AN41" si="117">+J39*$AF39</f>
        <v>2236000</v>
      </c>
      <c r="AO39" s="105">
        <f t="shared" ref="AO39:AO41" si="118">+K39*$AF39</f>
        <v>2334000</v>
      </c>
      <c r="AP39" s="105">
        <f t="shared" ref="AP39:AP41" si="119">+L39*$AF39</f>
        <v>2435000</v>
      </c>
      <c r="AQ39" s="105">
        <f t="shared" ref="AQ39:AQ41" si="120">+M39*$AF39</f>
        <v>2541000</v>
      </c>
      <c r="AR39" s="105">
        <f t="shared" ref="AR39:AR41" si="121">+N39*$AF39</f>
        <v>2652000</v>
      </c>
      <c r="AS39" s="105">
        <f t="shared" ref="AS39:AS41" si="122">+O39*$AF39</f>
        <v>2767000</v>
      </c>
      <c r="AT39" s="105">
        <f t="shared" ref="AT39:AT41" si="123">+P39*$AF39</f>
        <v>2887000</v>
      </c>
      <c r="AU39" s="105">
        <f t="shared" ref="AU39:AU41" si="124">+Q39*$AF39</f>
        <v>3013000</v>
      </c>
      <c r="AV39" s="105">
        <f t="shared" ref="AV39:AV41" si="125">+R39*$AF39</f>
        <v>3144000</v>
      </c>
      <c r="AW39" s="105">
        <f t="shared" ref="AW39:AW41" si="126">+S39*$AF39</f>
        <v>3281000</v>
      </c>
      <c r="AX39" s="105">
        <f t="shared" ref="AX39:AX41" si="127">+T39*$AF39</f>
        <v>3424000</v>
      </c>
      <c r="AY39" s="105">
        <f t="shared" ref="AY39:AY41" si="128">+U39*$AF39</f>
        <v>3572000</v>
      </c>
      <c r="AZ39" s="105">
        <f t="shared" ref="AZ39:AZ41" si="129">+V39*$AF39</f>
        <v>3728000</v>
      </c>
      <c r="BA39" s="105">
        <f t="shared" ref="BA39:BA41" si="130">+W39*$AF39</f>
        <v>3890000</v>
      </c>
      <c r="BB39" s="105">
        <f t="shared" ref="BB39:BB41" si="131">+X39*$AF39</f>
        <v>4059000</v>
      </c>
      <c r="BC39" s="105">
        <f t="shared" ref="BC39:BC41" si="132">+Y39*$AF39</f>
        <v>4236000</v>
      </c>
      <c r="BD39" s="105">
        <f t="shared" ref="BD39:BD41" si="133">+Z39*$AF39</f>
        <v>4420000</v>
      </c>
      <c r="BE39" s="105">
        <f t="shared" ref="BE39:BE41" si="134">+AA39*$AF39</f>
        <v>4612000</v>
      </c>
    </row>
    <row r="40" spans="1:57" x14ac:dyDescent="0.35">
      <c r="A40" s="46">
        <f>MAX(A$6:A39)+1</f>
        <v>25</v>
      </c>
      <c r="B40" s="19" t="s">
        <v>116</v>
      </c>
      <c r="C40" s="19"/>
      <c r="D40" s="52">
        <f>ROUND(+D$31*D36,-3)</f>
        <v>0</v>
      </c>
      <c r="E40" s="52">
        <f t="shared" si="108"/>
        <v>0</v>
      </c>
      <c r="F40" s="52">
        <f t="shared" si="108"/>
        <v>0</v>
      </c>
      <c r="G40" s="52">
        <f t="shared" si="108"/>
        <v>528000</v>
      </c>
      <c r="H40" s="52">
        <f t="shared" si="108"/>
        <v>1438000</v>
      </c>
      <c r="I40" s="52">
        <f t="shared" ref="I40:L40" si="135">ROUND(+I$31*I36,-3)</f>
        <v>1438000</v>
      </c>
      <c r="J40" s="52">
        <f t="shared" si="135"/>
        <v>1438000</v>
      </c>
      <c r="K40" s="52">
        <f t="shared" si="135"/>
        <v>1438000</v>
      </c>
      <c r="L40" s="52">
        <f t="shared" si="135"/>
        <v>1438000</v>
      </c>
      <c r="M40" s="52">
        <f t="shared" ref="M40:AA40" si="136">ROUND(+M$31*M36,-3)</f>
        <v>1438000</v>
      </c>
      <c r="N40" s="52">
        <f t="shared" si="136"/>
        <v>1438000</v>
      </c>
      <c r="O40" s="52">
        <f t="shared" si="136"/>
        <v>1438000</v>
      </c>
      <c r="P40" s="52">
        <f t="shared" si="136"/>
        <v>1438000</v>
      </c>
      <c r="Q40" s="52">
        <f t="shared" si="136"/>
        <v>1438000</v>
      </c>
      <c r="R40" s="52">
        <f t="shared" si="136"/>
        <v>1438000</v>
      </c>
      <c r="S40" s="52">
        <f t="shared" si="136"/>
        <v>1438000</v>
      </c>
      <c r="T40" s="52">
        <f t="shared" si="136"/>
        <v>1438000</v>
      </c>
      <c r="U40" s="52">
        <f t="shared" si="136"/>
        <v>1438000</v>
      </c>
      <c r="V40" s="52">
        <f t="shared" si="136"/>
        <v>1438000</v>
      </c>
      <c r="W40" s="52">
        <f t="shared" si="136"/>
        <v>1438000</v>
      </c>
      <c r="X40" s="52">
        <f t="shared" si="136"/>
        <v>1438000</v>
      </c>
      <c r="Y40" s="52">
        <f t="shared" si="136"/>
        <v>1438000</v>
      </c>
      <c r="Z40" s="52">
        <f t="shared" si="136"/>
        <v>1438000</v>
      </c>
      <c r="AA40" s="52">
        <f t="shared" si="136"/>
        <v>1438000</v>
      </c>
      <c r="AB40" s="2"/>
      <c r="AC40" s="2"/>
      <c r="AD40" s="172" t="s">
        <v>117</v>
      </c>
      <c r="AF40" s="173">
        <f>SUMIF(Assumptions!$E$27:$E$193,AD40,Assumptions!$D$27:$D$193)</f>
        <v>1</v>
      </c>
      <c r="AH40" s="105">
        <f t="shared" si="111"/>
        <v>0</v>
      </c>
      <c r="AI40" s="105">
        <f t="shared" si="112"/>
        <v>0</v>
      </c>
      <c r="AJ40" s="105">
        <f t="shared" si="113"/>
        <v>0</v>
      </c>
      <c r="AK40" s="105">
        <f t="shared" si="114"/>
        <v>528000</v>
      </c>
      <c r="AL40" s="105">
        <f t="shared" si="115"/>
        <v>1438000</v>
      </c>
      <c r="AM40" s="105">
        <f t="shared" si="116"/>
        <v>1438000</v>
      </c>
      <c r="AN40" s="105">
        <f t="shared" si="117"/>
        <v>1438000</v>
      </c>
      <c r="AO40" s="105">
        <f t="shared" si="118"/>
        <v>1438000</v>
      </c>
      <c r="AP40" s="105">
        <f t="shared" si="119"/>
        <v>1438000</v>
      </c>
      <c r="AQ40" s="105">
        <f t="shared" si="120"/>
        <v>1438000</v>
      </c>
      <c r="AR40" s="105">
        <f t="shared" si="121"/>
        <v>1438000</v>
      </c>
      <c r="AS40" s="105">
        <f t="shared" si="122"/>
        <v>1438000</v>
      </c>
      <c r="AT40" s="105">
        <f t="shared" si="123"/>
        <v>1438000</v>
      </c>
      <c r="AU40" s="105">
        <f t="shared" si="124"/>
        <v>1438000</v>
      </c>
      <c r="AV40" s="105">
        <f t="shared" si="125"/>
        <v>1438000</v>
      </c>
      <c r="AW40" s="105">
        <f t="shared" si="126"/>
        <v>1438000</v>
      </c>
      <c r="AX40" s="105">
        <f t="shared" si="127"/>
        <v>1438000</v>
      </c>
      <c r="AY40" s="105">
        <f t="shared" si="128"/>
        <v>1438000</v>
      </c>
      <c r="AZ40" s="105">
        <f t="shared" si="129"/>
        <v>1438000</v>
      </c>
      <c r="BA40" s="105">
        <f t="shared" si="130"/>
        <v>1438000</v>
      </c>
      <c r="BB40" s="105">
        <f t="shared" si="131"/>
        <v>1438000</v>
      </c>
      <c r="BC40" s="105">
        <f t="shared" si="132"/>
        <v>1438000</v>
      </c>
      <c r="BD40" s="105">
        <f t="shared" si="133"/>
        <v>1438000</v>
      </c>
      <c r="BE40" s="105">
        <f t="shared" si="134"/>
        <v>1438000</v>
      </c>
    </row>
    <row r="41" spans="1:57" x14ac:dyDescent="0.35">
      <c r="A41" s="48">
        <f>MAX(A$6:A40)+1</f>
        <v>26</v>
      </c>
      <c r="B41" s="17" t="s">
        <v>118</v>
      </c>
      <c r="C41" s="17"/>
      <c r="D41" s="51">
        <f>ROUND(+D$31*D37,-3)</f>
        <v>0</v>
      </c>
      <c r="E41" s="51">
        <f t="shared" si="108"/>
        <v>0</v>
      </c>
      <c r="F41" s="51">
        <f t="shared" si="108"/>
        <v>0</v>
      </c>
      <c r="G41" s="51">
        <f t="shared" si="108"/>
        <v>108000</v>
      </c>
      <c r="H41" s="51">
        <f t="shared" si="108"/>
        <v>297000</v>
      </c>
      <c r="I41" s="51">
        <f t="shared" ref="I41:L41" si="137">ROUND(+I$31*I37,-3)</f>
        <v>297000</v>
      </c>
      <c r="J41" s="51">
        <f t="shared" si="137"/>
        <v>297000</v>
      </c>
      <c r="K41" s="51">
        <f t="shared" si="137"/>
        <v>297000</v>
      </c>
      <c r="L41" s="51">
        <f t="shared" si="137"/>
        <v>297000</v>
      </c>
      <c r="M41" s="51">
        <f t="shared" ref="M41:AA41" si="138">ROUND(+M$31*M37,-3)</f>
        <v>297000</v>
      </c>
      <c r="N41" s="51">
        <f t="shared" si="138"/>
        <v>297000</v>
      </c>
      <c r="O41" s="51">
        <f t="shared" si="138"/>
        <v>297000</v>
      </c>
      <c r="P41" s="51">
        <f t="shared" si="138"/>
        <v>297000</v>
      </c>
      <c r="Q41" s="51">
        <f t="shared" si="138"/>
        <v>297000</v>
      </c>
      <c r="R41" s="51">
        <f t="shared" si="138"/>
        <v>297000</v>
      </c>
      <c r="S41" s="51">
        <f t="shared" si="138"/>
        <v>297000</v>
      </c>
      <c r="T41" s="51">
        <f t="shared" si="138"/>
        <v>297000</v>
      </c>
      <c r="U41" s="51">
        <f t="shared" si="138"/>
        <v>297000</v>
      </c>
      <c r="V41" s="51">
        <f t="shared" si="138"/>
        <v>297000</v>
      </c>
      <c r="W41" s="51">
        <f t="shared" si="138"/>
        <v>297000</v>
      </c>
      <c r="X41" s="51">
        <f t="shared" si="138"/>
        <v>297000</v>
      </c>
      <c r="Y41" s="51">
        <f t="shared" si="138"/>
        <v>297000</v>
      </c>
      <c r="Z41" s="51">
        <f t="shared" si="138"/>
        <v>297000</v>
      </c>
      <c r="AA41" s="51">
        <f t="shared" si="138"/>
        <v>297000</v>
      </c>
      <c r="AB41" s="2"/>
      <c r="AC41" s="2"/>
      <c r="AD41" s="172" t="s">
        <v>119</v>
      </c>
      <c r="AF41" s="173">
        <f>SUMIF(Assumptions!$E$27:$E$193,AD41,Assumptions!$D$27:$D$193)</f>
        <v>1</v>
      </c>
      <c r="AH41" s="105">
        <f t="shared" si="111"/>
        <v>0</v>
      </c>
      <c r="AI41" s="105">
        <f t="shared" si="112"/>
        <v>0</v>
      </c>
      <c r="AJ41" s="105">
        <f t="shared" si="113"/>
        <v>0</v>
      </c>
      <c r="AK41" s="105">
        <f t="shared" si="114"/>
        <v>108000</v>
      </c>
      <c r="AL41" s="105">
        <f t="shared" si="115"/>
        <v>297000</v>
      </c>
      <c r="AM41" s="105">
        <f t="shared" si="116"/>
        <v>297000</v>
      </c>
      <c r="AN41" s="105">
        <f t="shared" si="117"/>
        <v>297000</v>
      </c>
      <c r="AO41" s="105">
        <f t="shared" si="118"/>
        <v>297000</v>
      </c>
      <c r="AP41" s="105">
        <f t="shared" si="119"/>
        <v>297000</v>
      </c>
      <c r="AQ41" s="105">
        <f t="shared" si="120"/>
        <v>297000</v>
      </c>
      <c r="AR41" s="105">
        <f t="shared" si="121"/>
        <v>297000</v>
      </c>
      <c r="AS41" s="105">
        <f t="shared" si="122"/>
        <v>297000</v>
      </c>
      <c r="AT41" s="105">
        <f t="shared" si="123"/>
        <v>297000</v>
      </c>
      <c r="AU41" s="105">
        <f t="shared" si="124"/>
        <v>297000</v>
      </c>
      <c r="AV41" s="105">
        <f t="shared" si="125"/>
        <v>297000</v>
      </c>
      <c r="AW41" s="105">
        <f t="shared" si="126"/>
        <v>297000</v>
      </c>
      <c r="AX41" s="105">
        <f t="shared" si="127"/>
        <v>297000</v>
      </c>
      <c r="AY41" s="105">
        <f t="shared" si="128"/>
        <v>297000</v>
      </c>
      <c r="AZ41" s="105">
        <f t="shared" si="129"/>
        <v>297000</v>
      </c>
      <c r="BA41" s="105">
        <f t="shared" si="130"/>
        <v>297000</v>
      </c>
      <c r="BB41" s="105">
        <f t="shared" si="131"/>
        <v>297000</v>
      </c>
      <c r="BC41" s="105">
        <f t="shared" si="132"/>
        <v>297000</v>
      </c>
      <c r="BD41" s="105">
        <f t="shared" si="133"/>
        <v>297000</v>
      </c>
      <c r="BE41" s="105">
        <f t="shared" si="134"/>
        <v>297000</v>
      </c>
    </row>
    <row r="42" spans="1:57" x14ac:dyDescent="0.35">
      <c r="A42" s="46"/>
      <c r="B42" s="19"/>
      <c r="C42" s="19"/>
      <c r="D42" s="19"/>
      <c r="E42" s="19"/>
      <c r="F42" s="19"/>
      <c r="G42" s="19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</row>
    <row r="43" spans="1:57" x14ac:dyDescent="0.35">
      <c r="A43" s="48">
        <f>MAX(A$6:A42)+1</f>
        <v>27</v>
      </c>
      <c r="B43" s="34" t="s">
        <v>32</v>
      </c>
      <c r="C43" s="35"/>
      <c r="D43" s="35">
        <f t="shared" ref="D43:L43" si="139">SUM(D39:D42)</f>
        <v>0</v>
      </c>
      <c r="E43" s="35">
        <f t="shared" si="139"/>
        <v>0</v>
      </c>
      <c r="F43" s="35">
        <f t="shared" si="139"/>
        <v>0</v>
      </c>
      <c r="G43" s="35">
        <f t="shared" si="139"/>
        <v>1359000</v>
      </c>
      <c r="H43" s="35">
        <f t="shared" si="139"/>
        <v>3767000</v>
      </c>
      <c r="I43" s="35">
        <f t="shared" si="139"/>
        <v>3867000</v>
      </c>
      <c r="J43" s="35">
        <f t="shared" si="139"/>
        <v>3971000</v>
      </c>
      <c r="K43" s="35">
        <f t="shared" si="139"/>
        <v>4069000</v>
      </c>
      <c r="L43" s="35">
        <f t="shared" si="139"/>
        <v>4170000</v>
      </c>
      <c r="M43" s="35">
        <f t="shared" ref="M43:AA43" si="140">SUM(M39:M42)</f>
        <v>4276000</v>
      </c>
      <c r="N43" s="35">
        <f t="shared" si="140"/>
        <v>4387000</v>
      </c>
      <c r="O43" s="35">
        <f t="shared" si="140"/>
        <v>4502000</v>
      </c>
      <c r="P43" s="35">
        <f t="shared" si="140"/>
        <v>4622000</v>
      </c>
      <c r="Q43" s="35">
        <f t="shared" si="140"/>
        <v>4748000</v>
      </c>
      <c r="R43" s="35">
        <f t="shared" si="140"/>
        <v>4879000</v>
      </c>
      <c r="S43" s="35">
        <f t="shared" si="140"/>
        <v>5016000</v>
      </c>
      <c r="T43" s="35">
        <f t="shared" si="140"/>
        <v>5159000</v>
      </c>
      <c r="U43" s="35">
        <f t="shared" si="140"/>
        <v>5307000</v>
      </c>
      <c r="V43" s="35">
        <f t="shared" si="140"/>
        <v>5463000</v>
      </c>
      <c r="W43" s="35">
        <f t="shared" si="140"/>
        <v>5625000</v>
      </c>
      <c r="X43" s="35">
        <f t="shared" si="140"/>
        <v>5794000</v>
      </c>
      <c r="Y43" s="35">
        <f t="shared" si="140"/>
        <v>5971000</v>
      </c>
      <c r="Z43" s="35">
        <f t="shared" si="140"/>
        <v>6155000</v>
      </c>
      <c r="AA43" s="35">
        <f t="shared" si="140"/>
        <v>6347000</v>
      </c>
      <c r="AG43" s="35">
        <f t="shared" ref="AG43:AL43" si="141">SUM(AG39:AG42)</f>
        <v>0</v>
      </c>
      <c r="AH43" s="35">
        <f t="shared" si="141"/>
        <v>0</v>
      </c>
      <c r="AI43" s="35">
        <f t="shared" si="141"/>
        <v>0</v>
      </c>
      <c r="AJ43" s="35">
        <f t="shared" si="141"/>
        <v>0</v>
      </c>
      <c r="AK43" s="35">
        <f t="shared" si="141"/>
        <v>1359000</v>
      </c>
      <c r="AL43" s="35">
        <f t="shared" si="141"/>
        <v>3767000</v>
      </c>
      <c r="AM43" s="35">
        <f t="shared" ref="AM43" si="142">SUM(AM39:AM42)</f>
        <v>3867000</v>
      </c>
      <c r="AN43" s="35">
        <f t="shared" ref="AN43" si="143">SUM(AN39:AN42)</f>
        <v>3971000</v>
      </c>
      <c r="AO43" s="35">
        <f t="shared" ref="AO43" si="144">SUM(AO39:AO42)</f>
        <v>4069000</v>
      </c>
      <c r="AP43" s="35">
        <f t="shared" ref="AP43:BE43" si="145">SUM(AP39:AP42)</f>
        <v>4170000</v>
      </c>
      <c r="AQ43" s="35">
        <f t="shared" si="145"/>
        <v>4276000</v>
      </c>
      <c r="AR43" s="35">
        <f t="shared" si="145"/>
        <v>4387000</v>
      </c>
      <c r="AS43" s="35">
        <f t="shared" si="145"/>
        <v>4502000</v>
      </c>
      <c r="AT43" s="35">
        <f t="shared" si="145"/>
        <v>4622000</v>
      </c>
      <c r="AU43" s="35">
        <f t="shared" si="145"/>
        <v>4748000</v>
      </c>
      <c r="AV43" s="35">
        <f t="shared" si="145"/>
        <v>4879000</v>
      </c>
      <c r="AW43" s="35">
        <f t="shared" si="145"/>
        <v>5016000</v>
      </c>
      <c r="AX43" s="35">
        <f t="shared" si="145"/>
        <v>5159000</v>
      </c>
      <c r="AY43" s="35">
        <f t="shared" si="145"/>
        <v>5307000</v>
      </c>
      <c r="AZ43" s="35">
        <f t="shared" si="145"/>
        <v>5463000</v>
      </c>
      <c r="BA43" s="35">
        <f t="shared" si="145"/>
        <v>5625000</v>
      </c>
      <c r="BB43" s="35">
        <f t="shared" si="145"/>
        <v>5794000</v>
      </c>
      <c r="BC43" s="35">
        <f t="shared" si="145"/>
        <v>5971000</v>
      </c>
      <c r="BD43" s="35">
        <f t="shared" si="145"/>
        <v>6155000</v>
      </c>
      <c r="BE43" s="35">
        <f t="shared" si="145"/>
        <v>6347000</v>
      </c>
    </row>
    <row r="44" spans="1:57" x14ac:dyDescent="0.35">
      <c r="A44" s="46"/>
      <c r="B44" s="19"/>
      <c r="C44" s="19"/>
      <c r="D44" s="19"/>
      <c r="E44" s="19"/>
      <c r="F44" s="19"/>
      <c r="G44" s="19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G44" s="19"/>
      <c r="AH44" s="19"/>
      <c r="AI44" s="19"/>
      <c r="AJ44" s="19"/>
      <c r="AK44" s="19"/>
      <c r="AL44" s="47"/>
      <c r="AM44" s="19"/>
      <c r="AN44" s="19"/>
      <c r="AO44" s="47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</row>
    <row r="45" spans="1:57" x14ac:dyDescent="0.35">
      <c r="A45" s="48">
        <f>MAX(A$6:A44)+1</f>
        <v>28</v>
      </c>
      <c r="B45" s="34" t="s">
        <v>59</v>
      </c>
      <c r="C45" s="35"/>
      <c r="D45" s="35">
        <f>+D43+D31</f>
        <v>0</v>
      </c>
      <c r="E45" s="35">
        <f>+E43+E31</f>
        <v>0</v>
      </c>
      <c r="F45" s="35">
        <f>+F43+F31</f>
        <v>0</v>
      </c>
      <c r="G45" s="35">
        <f>+G43+G31</f>
        <v>3044534.25</v>
      </c>
      <c r="H45" s="35">
        <f t="shared" ref="H45:I45" si="146">+H43+H31</f>
        <v>8520708.4250000007</v>
      </c>
      <c r="I45" s="35">
        <f t="shared" si="146"/>
        <v>8787088.2198750004</v>
      </c>
      <c r="J45" s="35">
        <f t="shared" ref="J45:L45" si="147">+J43+J31</f>
        <v>9063291.3075706232</v>
      </c>
      <c r="K45" s="35">
        <f t="shared" si="147"/>
        <v>9339521.5033355951</v>
      </c>
      <c r="L45" s="35">
        <f t="shared" si="147"/>
        <v>9624989.7559523396</v>
      </c>
      <c r="M45" s="35">
        <f t="shared" ref="M45:AA45" si="148">+M43+M31</f>
        <v>9921914.3974106722</v>
      </c>
      <c r="N45" s="35">
        <f t="shared" si="148"/>
        <v>10230521.401320044</v>
      </c>
      <c r="O45" s="35">
        <f t="shared" si="148"/>
        <v>10550044.650366247</v>
      </c>
      <c r="P45" s="35">
        <f t="shared" si="148"/>
        <v>10881726.213129064</v>
      </c>
      <c r="Q45" s="35">
        <f t="shared" si="148"/>
        <v>11226816.63058858</v>
      </c>
      <c r="R45" s="35">
        <f t="shared" si="148"/>
        <v>11584575.21265918</v>
      </c>
      <c r="S45" s="35">
        <f t="shared" si="148"/>
        <v>11956270.345102252</v>
      </c>
      <c r="T45" s="35">
        <f t="shared" si="148"/>
        <v>12342179.807180829</v>
      </c>
      <c r="U45" s="35">
        <f t="shared" si="148"/>
        <v>12741591.100432158</v>
      </c>
      <c r="V45" s="35">
        <f t="shared" si="148"/>
        <v>13157801.788947282</v>
      </c>
      <c r="W45" s="35">
        <f t="shared" si="148"/>
        <v>13589119.851560436</v>
      </c>
      <c r="X45" s="35">
        <f t="shared" si="148"/>
        <v>14036864.046365051</v>
      </c>
      <c r="Y45" s="35">
        <f t="shared" si="148"/>
        <v>14502364.287987828</v>
      </c>
      <c r="Z45" s="35">
        <f t="shared" si="148"/>
        <v>14984962.0380674</v>
      </c>
      <c r="AA45" s="35">
        <f t="shared" si="148"/>
        <v>15486010.709399758</v>
      </c>
      <c r="AG45" s="35">
        <f t="shared" ref="AG45:AH45" si="149">+AG43+AG26</f>
        <v>0</v>
      </c>
      <c r="AH45" s="35">
        <f t="shared" si="149"/>
        <v>0</v>
      </c>
      <c r="AI45" s="35">
        <f>+AI43+AI26</f>
        <v>0</v>
      </c>
      <c r="AJ45" s="35">
        <f t="shared" ref="AJ45:AL45" si="150">+AJ43+AJ26</f>
        <v>0</v>
      </c>
      <c r="AK45" s="35">
        <f t="shared" si="150"/>
        <v>2913347.5655087442</v>
      </c>
      <c r="AL45" s="35">
        <f t="shared" si="150"/>
        <v>8148577.3716761731</v>
      </c>
      <c r="AM45" s="35">
        <f t="shared" ref="AM45:AP45" si="151">+AM43+AM26</f>
        <v>8401932.5796848387</v>
      </c>
      <c r="AN45" s="35">
        <f t="shared" si="151"/>
        <v>8664655.2199738063</v>
      </c>
      <c r="AO45" s="35">
        <f t="shared" si="151"/>
        <v>8926933.1526728906</v>
      </c>
      <c r="AP45" s="35">
        <f t="shared" si="151"/>
        <v>9197960.8130164407</v>
      </c>
      <c r="AQ45" s="35">
        <f t="shared" ref="AQ45:BE45" si="152">+AQ43+AQ26</f>
        <v>9479939.4414720163</v>
      </c>
      <c r="AR45" s="35">
        <f t="shared" si="152"/>
        <v>9773077.3219235353</v>
      </c>
      <c r="AS45" s="35">
        <f t="shared" si="152"/>
        <v>10076590.028190859</v>
      </c>
      <c r="AT45" s="35">
        <f t="shared" si="152"/>
        <v>10391700.679177539</v>
      </c>
      <c r="AU45" s="35">
        <f t="shared" si="152"/>
        <v>10719640.202948753</v>
      </c>
      <c r="AV45" s="35">
        <f t="shared" si="152"/>
        <v>11059647.610051958</v>
      </c>
      <c r="AW45" s="35">
        <f t="shared" si="152"/>
        <v>11412970.276403777</v>
      </c>
      <c r="AX45" s="35">
        <f t="shared" si="152"/>
        <v>11779864.236077908</v>
      </c>
      <c r="AY45" s="35">
        <f t="shared" si="152"/>
        <v>12159594.484340634</v>
      </c>
      <c r="AZ45" s="35">
        <f t="shared" si="152"/>
        <v>12555435.291292556</v>
      </c>
      <c r="BA45" s="35">
        <f t="shared" si="152"/>
        <v>12965670.526487794</v>
      </c>
      <c r="BB45" s="35">
        <f t="shared" si="152"/>
        <v>13391593.994914867</v>
      </c>
      <c r="BC45" s="35">
        <f t="shared" si="152"/>
        <v>13834509.784736887</v>
      </c>
      <c r="BD45" s="35">
        <f t="shared" si="152"/>
        <v>14293732.627202677</v>
      </c>
      <c r="BE45" s="35">
        <f t="shared" si="152"/>
        <v>14770588.269154768</v>
      </c>
    </row>
    <row r="46" spans="1:57" x14ac:dyDescent="0.35">
      <c r="A46" s="26"/>
      <c r="B46" s="25"/>
      <c r="C46" s="25"/>
      <c r="D46" s="25"/>
      <c r="E46" s="25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</row>
    <row r="47" spans="1:57" x14ac:dyDescent="0.35">
      <c r="A47" t="s">
        <v>251</v>
      </c>
    </row>
    <row r="49" spans="1:57" x14ac:dyDescent="0.35">
      <c r="D49">
        <v>0</v>
      </c>
      <c r="E49">
        <v>0</v>
      </c>
      <c r="F49">
        <v>0</v>
      </c>
      <c r="G49">
        <v>2236238.75</v>
      </c>
      <c r="H49">
        <v>8520708.4250000007</v>
      </c>
      <c r="I49">
        <v>8787088.2198750004</v>
      </c>
      <c r="J49">
        <v>9220291.3075706232</v>
      </c>
      <c r="K49">
        <v>9046521.5033355951</v>
      </c>
      <c r="L49">
        <v>9331989.7559523396</v>
      </c>
      <c r="M49">
        <v>9628914.3974106722</v>
      </c>
      <c r="N49">
        <v>9949521.401320044</v>
      </c>
      <c r="O49">
        <v>10297044.650366247</v>
      </c>
      <c r="P49">
        <v>10657726.213129064</v>
      </c>
      <c r="Q49">
        <v>11002816.63058858</v>
      </c>
      <c r="R49">
        <v>11360575.21265918</v>
      </c>
      <c r="S49">
        <v>11732270.345102252</v>
      </c>
      <c r="T49">
        <v>12118179.807180829</v>
      </c>
      <c r="U49">
        <v>12517591.100432158</v>
      </c>
      <c r="V49">
        <v>12933801.788947282</v>
      </c>
      <c r="W49">
        <v>13365119.851560436</v>
      </c>
      <c r="X49">
        <v>13812864.046365051</v>
      </c>
      <c r="Y49">
        <v>14278364.287987828</v>
      </c>
      <c r="Z49">
        <v>14760962.0380674</v>
      </c>
      <c r="AA49">
        <v>15262010.709399758</v>
      </c>
      <c r="AG49">
        <v>0</v>
      </c>
      <c r="AH49">
        <v>0</v>
      </c>
      <c r="AI49">
        <v>0</v>
      </c>
      <c r="AJ49">
        <v>0</v>
      </c>
      <c r="AK49">
        <v>2140184.40811378</v>
      </c>
      <c r="AL49">
        <v>8148577.3716761731</v>
      </c>
      <c r="AM49">
        <v>8401932.5796848387</v>
      </c>
      <c r="AN49">
        <v>8821655.2199738063</v>
      </c>
      <c r="AO49">
        <v>8633933.1526728906</v>
      </c>
      <c r="AP49">
        <v>8904960.8130164407</v>
      </c>
      <c r="AQ49">
        <v>9186939.4414720163</v>
      </c>
      <c r="AR49">
        <v>9492077.3219235353</v>
      </c>
      <c r="AS49">
        <v>9823590.0281908587</v>
      </c>
      <c r="AT49">
        <v>10167700.679177539</v>
      </c>
      <c r="AU49">
        <v>10495640.202948753</v>
      </c>
      <c r="AV49">
        <v>10835647.610051958</v>
      </c>
      <c r="AW49">
        <v>11188970.276403777</v>
      </c>
      <c r="AX49">
        <v>11555864.236077908</v>
      </c>
      <c r="AY49">
        <v>11935594.484340634</v>
      </c>
      <c r="AZ49">
        <v>12331435.291292556</v>
      </c>
      <c r="BA49">
        <v>12741670.526487794</v>
      </c>
      <c r="BB49">
        <v>13167593.994914867</v>
      </c>
      <c r="BC49">
        <v>13610509.784736887</v>
      </c>
      <c r="BD49">
        <v>14069732.627202677</v>
      </c>
      <c r="BE49">
        <v>14546588.269154768</v>
      </c>
    </row>
    <row r="50" spans="1:57" x14ac:dyDescent="0.35"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G50" s="1">
        <f>+AG45-AG49</f>
        <v>0</v>
      </c>
      <c r="AH50" s="1">
        <f t="shared" ref="AH50:BA50" si="153">+AH45-AH49</f>
        <v>0</v>
      </c>
      <c r="AI50" s="1">
        <f t="shared" si="153"/>
        <v>0</v>
      </c>
      <c r="AJ50" s="1">
        <f t="shared" si="153"/>
        <v>0</v>
      </c>
      <c r="AK50" s="1">
        <f t="shared" si="153"/>
        <v>773163.15739496425</v>
      </c>
      <c r="AL50" s="1">
        <f t="shared" si="153"/>
        <v>0</v>
      </c>
      <c r="AM50" s="1">
        <f t="shared" si="153"/>
        <v>0</v>
      </c>
      <c r="AN50" s="1">
        <f t="shared" si="153"/>
        <v>-157000</v>
      </c>
      <c r="AO50" s="1">
        <f t="shared" si="153"/>
        <v>293000</v>
      </c>
      <c r="AP50" s="1">
        <f t="shared" si="153"/>
        <v>293000</v>
      </c>
      <c r="AQ50" s="1">
        <f t="shared" si="153"/>
        <v>293000</v>
      </c>
      <c r="AR50" s="1">
        <f t="shared" si="153"/>
        <v>281000</v>
      </c>
      <c r="AS50" s="1">
        <f t="shared" si="153"/>
        <v>253000</v>
      </c>
      <c r="AT50" s="1">
        <f t="shared" si="153"/>
        <v>224000</v>
      </c>
      <c r="AU50" s="1">
        <f t="shared" si="153"/>
        <v>224000</v>
      </c>
      <c r="AV50" s="1">
        <f t="shared" si="153"/>
        <v>224000</v>
      </c>
      <c r="AW50" s="1">
        <f t="shared" si="153"/>
        <v>224000</v>
      </c>
      <c r="AX50" s="1">
        <f t="shared" si="153"/>
        <v>224000</v>
      </c>
      <c r="AY50" s="1">
        <f t="shared" si="153"/>
        <v>224000</v>
      </c>
      <c r="AZ50" s="1">
        <f t="shared" si="153"/>
        <v>224000</v>
      </c>
      <c r="BA50" s="1">
        <f t="shared" si="153"/>
        <v>224000</v>
      </c>
    </row>
    <row r="55" spans="1:57" x14ac:dyDescent="0.35">
      <c r="AK55" s="1"/>
      <c r="AO55" s="1"/>
    </row>
    <row r="64" spans="1:57" x14ac:dyDescent="0.35">
      <c r="A64" s="1"/>
      <c r="B64" s="1"/>
      <c r="C64" s="1"/>
      <c r="D64" s="1"/>
      <c r="E64" s="1"/>
      <c r="F64" s="1"/>
      <c r="G64" s="1"/>
      <c r="H64" s="1"/>
    </row>
    <row r="103" spans="1:57" x14ac:dyDescent="0.35">
      <c r="A103" s="85">
        <f>MAX(A$6:A102)+1</f>
        <v>29</v>
      </c>
      <c r="B103" s="72" t="s">
        <v>265</v>
      </c>
      <c r="C103" s="88">
        <f>SUM(C20:C23)</f>
        <v>0</v>
      </c>
      <c r="D103" s="88">
        <f>SUM(D20:D23)</f>
        <v>0</v>
      </c>
      <c r="E103" s="88">
        <f>SUM(E20:E23)</f>
        <v>0</v>
      </c>
      <c r="F103" s="88">
        <f>SUM(F20:F23)</f>
        <v>0</v>
      </c>
      <c r="G103" s="88">
        <f>SUM(G20:G23)</f>
        <v>1115444.75</v>
      </c>
      <c r="H103" s="88">
        <f>SUM(H20:H23)</f>
        <v>3298529.4749999996</v>
      </c>
      <c r="I103" s="88">
        <f>SUM(I20:I23)</f>
        <v>3413978.0066249995</v>
      </c>
      <c r="J103" s="88">
        <f>SUM(J20:J23)</f>
        <v>3533467.2368568741</v>
      </c>
      <c r="K103" s="88">
        <f>SUM(K20:K23)</f>
        <v>3657138.5901468648</v>
      </c>
      <c r="L103" s="88">
        <f>SUM(L20:L23)</f>
        <v>3785138.4408020042</v>
      </c>
      <c r="M103" s="88">
        <f>SUM(M20:M23)</f>
        <v>3917618.2862300742</v>
      </c>
      <c r="N103" s="88">
        <f>SUM(N20:N23)</f>
        <v>4054734.9262481267</v>
      </c>
      <c r="O103" s="88">
        <f>SUM(O20:O23)</f>
        <v>4196650.6486668102</v>
      </c>
      <c r="P103" s="88">
        <f>SUM(P20:P23)</f>
        <v>4343533.4213701487</v>
      </c>
      <c r="Q103" s="88">
        <f>SUM(Q20:Q23)</f>
        <v>4495557.0911181029</v>
      </c>
      <c r="R103" s="88">
        <f>SUM(R20:R23)</f>
        <v>4652901.5893072365</v>
      </c>
      <c r="S103" s="88">
        <f>SUM(S20:S23)</f>
        <v>4815753.14493299</v>
      </c>
      <c r="T103" s="88">
        <f>SUM(T20:T23)</f>
        <v>4984304.5050056437</v>
      </c>
      <c r="U103" s="88">
        <f>SUM(U20:U23)</f>
        <v>5158755.1626808401</v>
      </c>
      <c r="V103" s="88">
        <f>SUM(V20:V23)</f>
        <v>5339311.5933746696</v>
      </c>
      <c r="W103" s="88">
        <f>SUM(W20:W23)</f>
        <v>5526187.4991427828</v>
      </c>
      <c r="X103" s="88">
        <f>SUM(X20:X23)</f>
        <v>5719604.0616127793</v>
      </c>
      <c r="Y103" s="88">
        <f>SUM(Y20:Y23)</f>
        <v>5919790.2037692256</v>
      </c>
      <c r="Z103" s="88">
        <f>SUM(Z20:Z23)</f>
        <v>6126982.860901149</v>
      </c>
      <c r="AA103" s="88">
        <f>SUM(AA20:AA23)</f>
        <v>6341427.2610326875</v>
      </c>
      <c r="AE103" s="154" t="str">
        <f>B103</f>
        <v xml:space="preserve">PWD (Dept 28) Subtotal </v>
      </c>
      <c r="AF103" s="183"/>
      <c r="AG103" s="88">
        <f>SUM(AG20:AG23)</f>
        <v>0</v>
      </c>
      <c r="AH103" s="88">
        <f>SUM(AH20:AH23)</f>
        <v>0</v>
      </c>
      <c r="AI103" s="88">
        <f>SUM(AI20:AI23)</f>
        <v>0</v>
      </c>
      <c r="AJ103" s="88">
        <f>SUM(AJ20:AJ23)</f>
        <v>0</v>
      </c>
      <c r="AK103" s="88">
        <f>SUM(AK20:AK23)</f>
        <v>1044098.8197886808</v>
      </c>
      <c r="AL103" s="88">
        <f>SUM(AL20:AL23)</f>
        <v>3087549.3670893842</v>
      </c>
      <c r="AM103" s="88">
        <f>SUM(AM20:AM23)</f>
        <v>3195613.5949375127</v>
      </c>
      <c r="AN103" s="88">
        <f>SUM(AN20:AN23)</f>
        <v>3307460.0707603255</v>
      </c>
      <c r="AO103" s="88">
        <f>SUM(AO20:AO23)</f>
        <v>3423221.1732369373</v>
      </c>
      <c r="AP103" s="88">
        <f>SUM(AP20:AP23)</f>
        <v>3543033.9143002289</v>
      </c>
      <c r="AQ103" s="88">
        <f>SUM(AQ20:AQ23)</f>
        <v>3667040.1013007364</v>
      </c>
      <c r="AR103" s="88">
        <f>SUM(AR20:AR23)</f>
        <v>3795386.5048462618</v>
      </c>
      <c r="AS103" s="88">
        <f>SUM(AS20:AS23)</f>
        <v>3928225.0325158811</v>
      </c>
      <c r="AT103" s="88">
        <f>SUM(AT20:AT23)</f>
        <v>4065712.9086539363</v>
      </c>
      <c r="AU103" s="88">
        <f>SUM(AU20:AU23)</f>
        <v>4208012.8604568243</v>
      </c>
      <c r="AV103" s="88">
        <f>SUM(AV20:AV23)</f>
        <v>4355293.3105728123</v>
      </c>
      <c r="AW103" s="88">
        <f>SUM(AW20:AW23)</f>
        <v>4507728.5764428601</v>
      </c>
      <c r="AX103" s="88">
        <f>SUM(AX20:AX23)</f>
        <v>4665499.0766183594</v>
      </c>
      <c r="AY103" s="88">
        <f>SUM(AY20:AY23)</f>
        <v>4828791.544300002</v>
      </c>
      <c r="AZ103" s="88">
        <f>SUM(AZ20:AZ23)</f>
        <v>4997799.2483505011</v>
      </c>
      <c r="BA103" s="88">
        <f>SUM(BA20:BA23)</f>
        <v>5172722.2220427683</v>
      </c>
      <c r="BB103" s="88">
        <f>SUM(BB20:BB23)</f>
        <v>5353767.4998142654</v>
      </c>
      <c r="BC103" s="88">
        <f>SUM(BC20:BC23)</f>
        <v>5541149.3623077637</v>
      </c>
      <c r="BD103" s="88">
        <f>SUM(BD20:BD23)</f>
        <v>5735089.5899885353</v>
      </c>
      <c r="BE103" s="88">
        <f>SUM(BE20:BE23)</f>
        <v>5935817.7256381335</v>
      </c>
    </row>
    <row r="104" spans="1:57" x14ac:dyDescent="0.35">
      <c r="A104" s="86"/>
      <c r="B104" s="65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</row>
    <row r="105" spans="1:57" x14ac:dyDescent="0.35">
      <c r="A105" s="85">
        <f>MAX(A$6:A104)+1</f>
        <v>30</v>
      </c>
      <c r="B105" s="72" t="s">
        <v>266</v>
      </c>
      <c r="C105" s="88">
        <f>SUM(C18:C19,C43)</f>
        <v>0</v>
      </c>
      <c r="D105" s="88">
        <f>SUM(D18:D19,D43)</f>
        <v>0</v>
      </c>
      <c r="E105" s="88">
        <f>SUM(E18:E19,E43)</f>
        <v>0</v>
      </c>
      <c r="F105" s="88">
        <f>SUM(F18:F19,F43)</f>
        <v>0</v>
      </c>
      <c r="G105" s="88">
        <f>SUM(G18:G19,G43)</f>
        <v>1929089.5</v>
      </c>
      <c r="H105" s="88">
        <f>SUM(H18:H19,H43)</f>
        <v>5222178.95</v>
      </c>
      <c r="I105" s="88">
        <f>SUM(I18:I19,I43)</f>
        <v>5373110.21325</v>
      </c>
      <c r="J105" s="88">
        <f>SUM(J18:J19,J43)</f>
        <v>5529824.0707137492</v>
      </c>
      <c r="K105" s="88">
        <f>SUM(K18:K19,K43)</f>
        <v>5682382.9131887313</v>
      </c>
      <c r="L105" s="88">
        <f>SUM(L18:L19,L43)</f>
        <v>5839851.3151503364</v>
      </c>
      <c r="M105" s="88">
        <f>SUM(M18:M19,M43)</f>
        <v>6004296.1111805979</v>
      </c>
      <c r="N105" s="88">
        <f>SUM(N18:N19,N43)</f>
        <v>6175786.4750719182</v>
      </c>
      <c r="O105" s="88">
        <f>SUM(O18:O19,O43)</f>
        <v>6353394.0016994355</v>
      </c>
      <c r="P105" s="88">
        <f>SUM(P18:P19,P43)</f>
        <v>6538192.7917589154</v>
      </c>
      <c r="Q105" s="88">
        <f>SUM(Q18:Q19,Q43)</f>
        <v>6731259.539470477</v>
      </c>
      <c r="R105" s="88">
        <f>SUM(R18:R19,R43)</f>
        <v>6931673.6233519437</v>
      </c>
      <c r="S105" s="88">
        <f>SUM(S18:S19,S43)</f>
        <v>7140517.2001692615</v>
      </c>
      <c r="T105" s="88">
        <f>SUM(T18:T19,T43)</f>
        <v>7357875.3021751866</v>
      </c>
      <c r="U105" s="88">
        <f>SUM(U18:U19,U43)</f>
        <v>7582835.9377513174</v>
      </c>
      <c r="V105" s="88">
        <f>SUM(V18:V19,V43)</f>
        <v>7818490.1955726128</v>
      </c>
      <c r="W105" s="88">
        <f>SUM(W18:W19,W43)</f>
        <v>8062932.3524176544</v>
      </c>
      <c r="X105" s="88">
        <f>SUM(X18:X19,X43)</f>
        <v>8317259.9847522723</v>
      </c>
      <c r="Y105" s="88">
        <f>SUM(Y18:Y19,Y43)</f>
        <v>8582574.0842186008</v>
      </c>
      <c r="Z105" s="88">
        <f>SUM(Z18:Z19,Z43)</f>
        <v>8857979.1771662533</v>
      </c>
      <c r="AA105" s="88">
        <f>SUM(AA18:AA19,AA43)</f>
        <v>9144583.4483670704</v>
      </c>
      <c r="AE105" s="154" t="str">
        <f>B105</f>
        <v>OD Subtotal</v>
      </c>
      <c r="AF105" s="183"/>
      <c r="AG105" s="88">
        <f>SUM(AG18:AG19,AG43)</f>
        <v>0</v>
      </c>
      <c r="AH105" s="88">
        <f>SUM(AH18:AH19,AH43)</f>
        <v>0</v>
      </c>
      <c r="AI105" s="88">
        <f>SUM(AI18:AI19,AI43)</f>
        <v>0</v>
      </c>
      <c r="AJ105" s="88">
        <f>SUM(AJ18:AJ19,AJ43)</f>
        <v>0</v>
      </c>
      <c r="AK105" s="88">
        <f>SUM(AK18:AK19,AK43)</f>
        <v>1869248.7457200636</v>
      </c>
      <c r="AL105" s="88">
        <f>SUM(AL18:AL19,AL43)</f>
        <v>5061028.0045867879</v>
      </c>
      <c r="AM105" s="88">
        <f>SUM(AM18:AM19,AM43)</f>
        <v>5206318.984747326</v>
      </c>
      <c r="AN105" s="88">
        <f>SUM(AN18:AN19,AN43)</f>
        <v>5357195.1492134817</v>
      </c>
      <c r="AO105" s="88">
        <f>SUM(AO18:AO19,AO43)</f>
        <v>5503711.9794359542</v>
      </c>
      <c r="AP105" s="88">
        <f>SUM(AP18:AP19,AP43)</f>
        <v>5654926.8987162123</v>
      </c>
      <c r="AQ105" s="88">
        <f>SUM(AQ18:AQ19,AQ43)</f>
        <v>5812899.3401712794</v>
      </c>
      <c r="AR105" s="88">
        <f>SUM(AR18:AR19,AR43)</f>
        <v>5977690.8170772735</v>
      </c>
      <c r="AS105" s="88">
        <f>SUM(AS18:AS19,AS43)</f>
        <v>6148364.9956749789</v>
      </c>
      <c r="AT105" s="88">
        <f>SUM(AT18:AT19,AT43)</f>
        <v>6325987.7705236021</v>
      </c>
      <c r="AU105" s="88">
        <f>SUM(AU18:AU19,AU43)</f>
        <v>6511627.3424919285</v>
      </c>
      <c r="AV105" s="88">
        <f>SUM(AV18:AV19,AV43)</f>
        <v>6704354.2994791456</v>
      </c>
      <c r="AW105" s="88">
        <f>SUM(AW18:AW19,AW43)</f>
        <v>6905241.6999609154</v>
      </c>
      <c r="AX105" s="88">
        <f>SUM(AX18:AX19,AX43)</f>
        <v>7114365.1594595481</v>
      </c>
      <c r="AY105" s="88">
        <f>SUM(AY18:AY19,AY43)</f>
        <v>7330802.9400406312</v>
      </c>
      <c r="AZ105" s="88">
        <f>SUM(AZ18:AZ19,AZ43)</f>
        <v>7557636.0429420536</v>
      </c>
      <c r="BA105" s="88">
        <f>SUM(BA18:BA19,BA43)</f>
        <v>7792948.3044450246</v>
      </c>
      <c r="BB105" s="88">
        <f>SUM(BB18:BB19,BB43)</f>
        <v>8037826.4951006006</v>
      </c>
      <c r="BC105" s="88">
        <f>SUM(BC18:BC19,BC43)</f>
        <v>8293360.422429122</v>
      </c>
      <c r="BD105" s="88">
        <f>SUM(BD18:BD19,BD43)</f>
        <v>8558643.0372141413</v>
      </c>
      <c r="BE105" s="88">
        <f>SUM(BE18:BE19,BE43)</f>
        <v>8834770.5435166359</v>
      </c>
    </row>
    <row r="106" spans="1:57" x14ac:dyDescent="0.35">
      <c r="A106" s="87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</row>
    <row r="107" spans="1:57" x14ac:dyDescent="0.35">
      <c r="A107" s="87"/>
      <c r="B107" t="s">
        <v>267</v>
      </c>
      <c r="C107" s="78">
        <f>C45-C103-C105</f>
        <v>0</v>
      </c>
      <c r="D107" s="78">
        <f>D45-D103-D105</f>
        <v>0</v>
      </c>
      <c r="E107" s="78">
        <f>E45-E103-E105</f>
        <v>0</v>
      </c>
      <c r="F107" s="78">
        <f>F45-F103-F105</f>
        <v>0</v>
      </c>
      <c r="G107" s="78">
        <f>G45-G103-G105</f>
        <v>0</v>
      </c>
      <c r="H107" s="78">
        <f>H45-H103-H105</f>
        <v>0</v>
      </c>
      <c r="I107" s="78">
        <f>I45-I103-I105</f>
        <v>0</v>
      </c>
      <c r="J107" s="78">
        <f>J45-J103-J105</f>
        <v>0</v>
      </c>
      <c r="K107" s="78">
        <f>K45-K103-K105</f>
        <v>0</v>
      </c>
      <c r="L107" s="78">
        <f>L45-L103-L105</f>
        <v>0</v>
      </c>
      <c r="M107" s="78">
        <f>M45-M103-M105</f>
        <v>0</v>
      </c>
      <c r="N107" s="78">
        <f>N45-N103-N105</f>
        <v>0</v>
      </c>
      <c r="O107" s="78">
        <f>O45-O103-O105</f>
        <v>0</v>
      </c>
      <c r="P107" s="78">
        <f>P45-P103-P105</f>
        <v>0</v>
      </c>
      <c r="Q107" s="78">
        <f>Q45-Q103-Q105</f>
        <v>0</v>
      </c>
      <c r="R107" s="78">
        <f>R45-R103-R105</f>
        <v>0</v>
      </c>
      <c r="S107" s="78">
        <f>S45-S103-S105</f>
        <v>0</v>
      </c>
      <c r="T107" s="78">
        <f>T45-T103-T105</f>
        <v>0</v>
      </c>
      <c r="U107" s="78">
        <f>U45-U103-U105</f>
        <v>0</v>
      </c>
      <c r="V107" s="78">
        <f>V45-V103-V105</f>
        <v>0</v>
      </c>
      <c r="W107" s="78">
        <f>W45-W103-W105</f>
        <v>0</v>
      </c>
      <c r="X107" s="78">
        <f>X45-X103-X105</f>
        <v>0</v>
      </c>
      <c r="Y107" s="78">
        <f>Y45-Y103-Y105</f>
        <v>0</v>
      </c>
      <c r="Z107" s="78">
        <f>Z45-Z103-Z105</f>
        <v>0</v>
      </c>
      <c r="AA107" s="78">
        <f>AA45-AA103-AA105</f>
        <v>0</v>
      </c>
      <c r="AE107" t="str">
        <f>B107</f>
        <v xml:space="preserve">Check </v>
      </c>
      <c r="AG107" s="78">
        <f>AG45-AG103-AG105</f>
        <v>0</v>
      </c>
      <c r="AH107" s="78">
        <f>AH45-AH103-AH105</f>
        <v>0</v>
      </c>
      <c r="AI107" s="78">
        <f>AI45-AI103-AI105</f>
        <v>0</v>
      </c>
      <c r="AJ107" s="78">
        <f>AJ45-AJ103-AJ105</f>
        <v>0</v>
      </c>
      <c r="AK107" s="78">
        <f>AK45-AK103-AK105</f>
        <v>0</v>
      </c>
      <c r="AL107" s="78">
        <f>AL45-AL103-AL105</f>
        <v>0</v>
      </c>
      <c r="AM107" s="78">
        <f>AM45-AM103-AM105</f>
        <v>0</v>
      </c>
      <c r="AN107" s="78">
        <f>AN45-AN103-AN105</f>
        <v>0</v>
      </c>
      <c r="AO107" s="78">
        <f>AO45-AO103-AO105</f>
        <v>0</v>
      </c>
      <c r="AP107" s="78">
        <f>AP45-AP103-AP105</f>
        <v>0</v>
      </c>
      <c r="AQ107" s="78">
        <f>AQ45-AQ103-AQ105</f>
        <v>0</v>
      </c>
      <c r="AR107" s="78">
        <f>AR45-AR103-AR105</f>
        <v>0</v>
      </c>
      <c r="AS107" s="78">
        <f>AS45-AS103-AS105</f>
        <v>0</v>
      </c>
      <c r="AT107" s="78">
        <f>AT45-AT103-AT105</f>
        <v>0</v>
      </c>
      <c r="AU107" s="78">
        <f>AU45-AU103-AU105</f>
        <v>0</v>
      </c>
      <c r="AV107" s="78">
        <f>AV45-AV103-AV105</f>
        <v>0</v>
      </c>
      <c r="AW107" s="78">
        <f>AW45-AW103-AW105</f>
        <v>0</v>
      </c>
      <c r="AX107" s="78">
        <f>AX45-AX103-AX105</f>
        <v>0</v>
      </c>
      <c r="AY107" s="78">
        <f>AY45-AY103-AY105</f>
        <v>0</v>
      </c>
      <c r="AZ107" s="78">
        <f>AZ45-AZ103-AZ105</f>
        <v>0</v>
      </c>
      <c r="BA107" s="78">
        <f>BA45-BA103-BA105</f>
        <v>0</v>
      </c>
      <c r="BB107" s="78">
        <f>BB45-BB103-BB105</f>
        <v>0</v>
      </c>
      <c r="BC107" s="78">
        <f>BC45-BC103-BC105</f>
        <v>0</v>
      </c>
      <c r="BD107" s="78">
        <f>BD45-BD103-BD105</f>
        <v>0</v>
      </c>
      <c r="BE107" s="78">
        <f>BE45-BE103-BE105</f>
        <v>0</v>
      </c>
    </row>
  </sheetData>
  <mergeCells count="1">
    <mergeCell ref="AC1:AE1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312470A-4FFB-402C-B6D3-B4EB2594C49B}">
          <x14:formula1>
            <xm:f>Assumptions!$B$6:$B$20</xm:f>
          </x14:formula1>
          <xm:sqref>AC6</xm:sqref>
        </x14:dataValidation>
        <x14:dataValidation type="list" allowBlank="1" showInputMessage="1" showErrorMessage="1" xr:uid="{CF0EDBBD-C19F-4E9E-9B5B-40948484DFAA}">
          <x14:formula1>
            <xm:f>Assumptions!$E$27:$E$193</xm:f>
          </x14:formula1>
          <xm:sqref>AD39:AD41 AD18:AD23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976E6-D9E4-4589-8B11-B7476A3022E3}">
  <sheetPr codeName="Sheet7"/>
  <dimension ref="A1:BE107"/>
  <sheetViews>
    <sheetView showGridLines="0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8.7265625" defaultRowHeight="14.5" x14ac:dyDescent="0.35"/>
  <cols>
    <col min="1" max="1" width="10.54296875" customWidth="1"/>
    <col min="2" max="2" width="30.54296875" customWidth="1"/>
    <col min="3" max="29" width="12.54296875" customWidth="1"/>
    <col min="30" max="30" width="38.26953125" bestFit="1" customWidth="1"/>
    <col min="31" max="31" width="34.54296875" bestFit="1" customWidth="1"/>
    <col min="32" max="32" width="12.54296875" customWidth="1"/>
    <col min="33" max="33" width="5.54296875" bestFit="1" customWidth="1"/>
    <col min="34" max="38" width="11.7265625" bestFit="1" customWidth="1"/>
    <col min="39" max="42" width="13" customWidth="1"/>
    <col min="43" max="57" width="12.81640625" customWidth="1"/>
  </cols>
  <sheetData>
    <row r="1" spans="1:57" ht="19" thickTop="1" x14ac:dyDescent="0.45">
      <c r="A1" s="12" t="s">
        <v>280</v>
      </c>
      <c r="B1" s="12"/>
      <c r="C1" s="12"/>
      <c r="D1" s="12"/>
      <c r="E1" s="12"/>
      <c r="F1" s="12"/>
      <c r="G1" s="12"/>
      <c r="H1" s="12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C1" s="188" t="s">
        <v>1</v>
      </c>
      <c r="AD1" s="188"/>
      <c r="AE1" s="188"/>
    </row>
    <row r="2" spans="1:57" ht="15" thickBot="1" x14ac:dyDescent="0.4">
      <c r="B2" s="45"/>
      <c r="AF2" t="s">
        <v>2</v>
      </c>
    </row>
    <row r="3" spans="1:57" ht="16.5" thickTop="1" x14ac:dyDescent="0.5">
      <c r="A3" s="22" t="s">
        <v>3</v>
      </c>
      <c r="B3" s="23" t="s">
        <v>72</v>
      </c>
      <c r="C3" s="23">
        <v>2022</v>
      </c>
      <c r="D3" s="23">
        <f t="shared" ref="D3:L3" si="0">+C3+1</f>
        <v>2023</v>
      </c>
      <c r="E3" s="23">
        <f t="shared" si="0"/>
        <v>2024</v>
      </c>
      <c r="F3" s="23">
        <f t="shared" si="0"/>
        <v>2025</v>
      </c>
      <c r="G3" s="23">
        <f t="shared" si="0"/>
        <v>2026</v>
      </c>
      <c r="H3" s="23">
        <f t="shared" si="0"/>
        <v>2027</v>
      </c>
      <c r="I3" s="23">
        <f t="shared" si="0"/>
        <v>2028</v>
      </c>
      <c r="J3" s="23">
        <f t="shared" si="0"/>
        <v>2029</v>
      </c>
      <c r="K3" s="23">
        <f t="shared" si="0"/>
        <v>2030</v>
      </c>
      <c r="L3" s="23">
        <f t="shared" si="0"/>
        <v>2031</v>
      </c>
      <c r="M3" s="23">
        <f t="shared" ref="M3" si="1">+L3+1</f>
        <v>2032</v>
      </c>
      <c r="N3" s="23">
        <f t="shared" ref="N3" si="2">+M3+1</f>
        <v>2033</v>
      </c>
      <c r="O3" s="23">
        <f t="shared" ref="O3" si="3">+N3+1</f>
        <v>2034</v>
      </c>
      <c r="P3" s="23">
        <f t="shared" ref="P3" si="4">+O3+1</f>
        <v>2035</v>
      </c>
      <c r="Q3" s="23">
        <f t="shared" ref="Q3" si="5">+P3+1</f>
        <v>2036</v>
      </c>
      <c r="R3" s="23">
        <f t="shared" ref="R3" si="6">+Q3+1</f>
        <v>2037</v>
      </c>
      <c r="S3" s="23">
        <f t="shared" ref="S3" si="7">+R3+1</f>
        <v>2038</v>
      </c>
      <c r="T3" s="23">
        <f t="shared" ref="T3" si="8">+S3+1</f>
        <v>2039</v>
      </c>
      <c r="U3" s="23">
        <f t="shared" ref="U3" si="9">+T3+1</f>
        <v>2040</v>
      </c>
      <c r="V3" s="23">
        <f t="shared" ref="V3" si="10">+U3+1</f>
        <v>2041</v>
      </c>
      <c r="W3" s="23">
        <f t="shared" ref="W3" si="11">+V3+1</f>
        <v>2042</v>
      </c>
      <c r="X3" s="23">
        <f t="shared" ref="X3" si="12">+W3+1</f>
        <v>2043</v>
      </c>
      <c r="Y3" s="23">
        <f t="shared" ref="Y3" si="13">+X3+1</f>
        <v>2044</v>
      </c>
      <c r="Z3" s="23">
        <f t="shared" ref="Z3" si="14">+Y3+1</f>
        <v>2045</v>
      </c>
      <c r="AA3" s="23">
        <f t="shared" ref="AA3" si="15">+Z3+1</f>
        <v>2046</v>
      </c>
      <c r="AC3" t="s">
        <v>19</v>
      </c>
      <c r="AF3" t="s">
        <v>6</v>
      </c>
      <c r="AG3" s="23">
        <v>2022</v>
      </c>
      <c r="AH3" s="23">
        <f>+AG3+1</f>
        <v>2023</v>
      </c>
      <c r="AI3" s="23">
        <f>+AH3+1</f>
        <v>2024</v>
      </c>
      <c r="AJ3" s="23">
        <f>+AI3+1</f>
        <v>2025</v>
      </c>
      <c r="AK3" s="23">
        <f>+AJ3+1</f>
        <v>2026</v>
      </c>
      <c r="AL3" s="23">
        <f>+AK3+1</f>
        <v>2027</v>
      </c>
      <c r="AM3" s="23">
        <f t="shared" ref="AM3:AP3" si="16">+AL3+1</f>
        <v>2028</v>
      </c>
      <c r="AN3" s="23">
        <f t="shared" si="16"/>
        <v>2029</v>
      </c>
      <c r="AO3" s="23">
        <f t="shared" si="16"/>
        <v>2030</v>
      </c>
      <c r="AP3" s="23">
        <f t="shared" si="16"/>
        <v>2031</v>
      </c>
      <c r="AQ3" s="23">
        <f t="shared" ref="AQ3" si="17">+AP3+1</f>
        <v>2032</v>
      </c>
      <c r="AR3" s="23">
        <f t="shared" ref="AR3" si="18">+AQ3+1</f>
        <v>2033</v>
      </c>
      <c r="AS3" s="23">
        <f t="shared" ref="AS3" si="19">+AR3+1</f>
        <v>2034</v>
      </c>
      <c r="AT3" s="23">
        <f t="shared" ref="AT3" si="20">+AS3+1</f>
        <v>2035</v>
      </c>
      <c r="AU3" s="23">
        <f t="shared" ref="AU3" si="21">+AT3+1</f>
        <v>2036</v>
      </c>
      <c r="AV3" s="23">
        <f t="shared" ref="AV3" si="22">+AU3+1</f>
        <v>2037</v>
      </c>
      <c r="AW3" s="23">
        <f t="shared" ref="AW3" si="23">+AV3+1</f>
        <v>2038</v>
      </c>
      <c r="AX3" s="23">
        <f t="shared" ref="AX3" si="24">+AW3+1</f>
        <v>2039</v>
      </c>
      <c r="AY3" s="23">
        <f t="shared" ref="AY3" si="25">+AX3+1</f>
        <v>2040</v>
      </c>
      <c r="AZ3" s="23">
        <f t="shared" ref="AZ3" si="26">+AY3+1</f>
        <v>2041</v>
      </c>
      <c r="BA3" s="23">
        <f t="shared" ref="BA3" si="27">+AZ3+1</f>
        <v>2042</v>
      </c>
      <c r="BB3" s="23">
        <f t="shared" ref="BB3" si="28">+BA3+1</f>
        <v>2043</v>
      </c>
      <c r="BC3" s="23">
        <f t="shared" ref="BC3" si="29">+BB3+1</f>
        <v>2044</v>
      </c>
      <c r="BD3" s="23">
        <f t="shared" ref="BD3" si="30">+BC3+1</f>
        <v>2045</v>
      </c>
      <c r="BE3" s="23">
        <f t="shared" ref="BE3" si="31">+BD3+1</f>
        <v>2046</v>
      </c>
    </row>
    <row r="4" spans="1:57" ht="15.5" x14ac:dyDescent="0.35">
      <c r="A4" s="91"/>
      <c r="B4" s="92" t="s">
        <v>7</v>
      </c>
      <c r="C4" s="92"/>
      <c r="D4" s="92"/>
      <c r="E4" s="93"/>
      <c r="F4" s="93"/>
      <c r="G4" s="93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</row>
    <row r="5" spans="1:57" ht="15.5" x14ac:dyDescent="0.35">
      <c r="A5" s="10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57" x14ac:dyDescent="0.35">
      <c r="A6" s="50">
        <v>1</v>
      </c>
      <c r="B6" s="32" t="s">
        <v>275</v>
      </c>
      <c r="C6" s="5"/>
      <c r="D6" s="5"/>
      <c r="E6" s="5"/>
      <c r="F6" s="5"/>
      <c r="G6" s="5"/>
      <c r="H6" s="112">
        <f>SUMIF(Assumptions!$B$6:$B$20,$AC$6,Assumptions!F$6:F$20)</f>
        <v>3.3799999999999997E-2</v>
      </c>
      <c r="I6" s="112">
        <f>SUMIF(Assumptions!$B$6:$B$20,$AC$6,Assumptions!G$6:G$20)</f>
        <v>4.1799999999999997E-2</v>
      </c>
      <c r="J6" s="112">
        <f>SUMIF(Assumptions!$B$6:$B$20,$AC$6,Assumptions!H$6:H$20)</f>
        <v>4.1799999999999997E-2</v>
      </c>
      <c r="K6" s="112">
        <f>SUMIF(Assumptions!$B$6:$B$20,$AC$6,Assumptions!I$6:I$20)</f>
        <v>4.1799999999999997E-2</v>
      </c>
      <c r="L6" s="112">
        <f>SUMIF(Assumptions!$B$6:$B$20,$AC$6,Assumptions!J$6:J$20)</f>
        <v>4.1799999999999997E-2</v>
      </c>
      <c r="M6" s="112">
        <f>SUMIF(Assumptions!$B$6:$B$20,$AC$6,Assumptions!K$6:K$20)</f>
        <v>4.1799999999999997E-2</v>
      </c>
      <c r="N6" s="112">
        <f>SUMIF(Assumptions!$B$6:$B$20,$AC$6,Assumptions!L$6:L$20)</f>
        <v>4.1799999999999997E-2</v>
      </c>
      <c r="O6" s="112">
        <f>SUMIF(Assumptions!$B$6:$B$20,$AC$6,Assumptions!M$6:M$20)</f>
        <v>4.1799999999999997E-2</v>
      </c>
      <c r="P6" s="112">
        <f>SUMIF(Assumptions!$B$6:$B$20,$AC$6,Assumptions!N$6:N$20)</f>
        <v>4.1799999999999997E-2</v>
      </c>
      <c r="Q6" s="112">
        <f>SUMIF(Assumptions!$B$6:$B$20,$AC$6,Assumptions!O$6:O$20)</f>
        <v>4.1799999999999997E-2</v>
      </c>
      <c r="R6" s="112">
        <f>SUMIF(Assumptions!$B$6:$B$20,$AC$6,Assumptions!P$6:P$20)</f>
        <v>4.1799999999999997E-2</v>
      </c>
      <c r="S6" s="112">
        <f>SUMIF(Assumptions!$B$6:$B$20,$AC$6,Assumptions!Q$6:Q$20)</f>
        <v>4.1799999999999997E-2</v>
      </c>
      <c r="T6" s="112">
        <f>SUMIF(Assumptions!$B$6:$B$20,$AC$6,Assumptions!R$6:R$20)</f>
        <v>4.1799999999999997E-2</v>
      </c>
      <c r="U6" s="112">
        <f>SUMIF(Assumptions!$B$6:$B$20,$AC$6,Assumptions!S$6:S$20)</f>
        <v>4.1799999999999997E-2</v>
      </c>
      <c r="V6" s="112">
        <f>SUMIF(Assumptions!$B$6:$B$20,$AC$6,Assumptions!T$6:T$20)</f>
        <v>4.1799999999999997E-2</v>
      </c>
      <c r="W6" s="112">
        <f>SUMIF(Assumptions!$B$6:$B$20,$AC$6,Assumptions!U$6:U$20)</f>
        <v>4.1799999999999997E-2</v>
      </c>
      <c r="X6" s="112">
        <f>SUMIF(Assumptions!$B$6:$B$20,$AC$6,Assumptions!V$6:V$20)</f>
        <v>4.1799999999999997E-2</v>
      </c>
      <c r="Y6" s="112">
        <f>SUMIF(Assumptions!$B$6:$B$20,$AC$6,Assumptions!W$6:W$20)</f>
        <v>4.1799999999999997E-2</v>
      </c>
      <c r="Z6" s="112">
        <f>SUMIF(Assumptions!$B$6:$B$20,$AC$6,Assumptions!X$6:X$20)</f>
        <v>4.1799999999999997E-2</v>
      </c>
      <c r="AA6" s="112">
        <f>SUMIF(Assumptions!$B$6:$B$20,$AC$6,Assumptions!Y$6:Y$20)</f>
        <v>4.1799999999999997E-2</v>
      </c>
      <c r="AC6" s="172" t="s">
        <v>190</v>
      </c>
    </row>
    <row r="7" spans="1:57" x14ac:dyDescent="0.35">
      <c r="A7" s="57">
        <f>MAX(A$6:A6)+1</f>
        <v>2</v>
      </c>
      <c r="B7" s="17" t="s">
        <v>47</v>
      </c>
      <c r="C7" s="73">
        <f>+C6</f>
        <v>0</v>
      </c>
      <c r="D7" s="73">
        <f>+(1+C6)*(1+D6)-1</f>
        <v>0</v>
      </c>
      <c r="E7" s="73">
        <f>+((1+D7)*(1+E$6))-1</f>
        <v>0</v>
      </c>
      <c r="F7" s="73">
        <f t="shared" ref="F7:AA7" si="32">+((1+E7)*(1+F6))-1</f>
        <v>0</v>
      </c>
      <c r="G7" s="73">
        <f t="shared" si="32"/>
        <v>0</v>
      </c>
      <c r="H7" s="73">
        <f t="shared" si="32"/>
        <v>3.3800000000000052E-2</v>
      </c>
      <c r="I7" s="73">
        <f t="shared" si="32"/>
        <v>7.7012840000000082E-2</v>
      </c>
      <c r="J7" s="73">
        <f t="shared" si="32"/>
        <v>0.12203197671200017</v>
      </c>
      <c r="K7" s="73">
        <f t="shared" si="32"/>
        <v>0.16893291333856175</v>
      </c>
      <c r="L7" s="73">
        <f t="shared" si="32"/>
        <v>0.21779430911611364</v>
      </c>
      <c r="M7" s="73">
        <f t="shared" si="32"/>
        <v>0.26869811123716736</v>
      </c>
      <c r="N7" s="73">
        <f t="shared" si="32"/>
        <v>0.32172969228688109</v>
      </c>
      <c r="O7" s="73">
        <f t="shared" si="32"/>
        <v>0.3769779934244728</v>
      </c>
      <c r="P7" s="73">
        <f t="shared" si="32"/>
        <v>0.43453567354961575</v>
      </c>
      <c r="Q7" s="73">
        <f t="shared" si="32"/>
        <v>0.49449926470398986</v>
      </c>
      <c r="R7" s="73">
        <f t="shared" si="32"/>
        <v>0.55696933396861681</v>
      </c>
      <c r="S7" s="73">
        <f t="shared" si="32"/>
        <v>0.62205065212850519</v>
      </c>
      <c r="T7" s="73">
        <f t="shared" si="32"/>
        <v>0.68985236938747674</v>
      </c>
      <c r="U7" s="73">
        <f t="shared" si="32"/>
        <v>0.7604881984278733</v>
      </c>
      <c r="V7" s="73">
        <f t="shared" si="32"/>
        <v>0.83407660512215842</v>
      </c>
      <c r="W7" s="73">
        <f t="shared" si="32"/>
        <v>0.91074100721626472</v>
      </c>
      <c r="X7" s="73">
        <f t="shared" si="32"/>
        <v>0.99060998131790479</v>
      </c>
      <c r="Y7" s="73">
        <f t="shared" si="32"/>
        <v>1.0738174785369932</v>
      </c>
      <c r="Z7" s="73">
        <f t="shared" si="32"/>
        <v>1.1605030491398396</v>
      </c>
      <c r="AA7" s="73">
        <f t="shared" si="32"/>
        <v>1.2508120765938848</v>
      </c>
    </row>
    <row r="8" spans="1:57" ht="15.5" x14ac:dyDescent="0.35">
      <c r="A8" s="10"/>
      <c r="B8" s="31" t="s">
        <v>276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1:57" x14ac:dyDescent="0.35">
      <c r="A9" s="46">
        <f>MAX(A$6:A8)+1</f>
        <v>3</v>
      </c>
      <c r="B9" s="19" t="s">
        <v>86</v>
      </c>
      <c r="C9" s="6">
        <v>0</v>
      </c>
      <c r="D9" s="6">
        <v>0</v>
      </c>
      <c r="E9" s="6">
        <v>0</v>
      </c>
      <c r="F9" s="6">
        <v>0</v>
      </c>
      <c r="G9" s="6">
        <v>4000000</v>
      </c>
      <c r="H9" s="6">
        <v>4000000</v>
      </c>
      <c r="I9" s="6">
        <v>4000000</v>
      </c>
      <c r="J9" s="6">
        <v>4000000</v>
      </c>
      <c r="K9" s="6">
        <v>4000000</v>
      </c>
      <c r="L9" s="6">
        <v>4000000</v>
      </c>
      <c r="M9" s="6">
        <v>4000000</v>
      </c>
      <c r="N9" s="6">
        <v>4000000</v>
      </c>
      <c r="O9" s="6">
        <v>4000000</v>
      </c>
      <c r="P9" s="6">
        <v>4000000</v>
      </c>
      <c r="Q9" s="6">
        <v>4000000</v>
      </c>
      <c r="R9" s="6">
        <v>4000000</v>
      </c>
      <c r="S9" s="6">
        <v>4000000</v>
      </c>
      <c r="T9" s="6">
        <v>4000000</v>
      </c>
      <c r="U9" s="6">
        <v>4000000</v>
      </c>
      <c r="V9" s="6">
        <v>4000000</v>
      </c>
      <c r="W9" s="6">
        <v>4000000</v>
      </c>
      <c r="X9" s="6">
        <v>4000000</v>
      </c>
      <c r="Y9" s="6">
        <v>4000000</v>
      </c>
      <c r="Z9" s="6">
        <v>4000000</v>
      </c>
      <c r="AA9" s="6">
        <v>4000000</v>
      </c>
    </row>
    <row r="10" spans="1:57" x14ac:dyDescent="0.35">
      <c r="A10" s="48"/>
      <c r="B10" s="62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57" x14ac:dyDescent="0.35">
      <c r="A11" s="46">
        <f>MAX(A$6:A10)+1</f>
        <v>4</v>
      </c>
      <c r="B11" s="19" t="s">
        <v>25</v>
      </c>
      <c r="C11" s="20">
        <f t="shared" ref="C11:AA11" si="33">SUM(C9:C10)</f>
        <v>0</v>
      </c>
      <c r="D11" s="20">
        <f t="shared" si="33"/>
        <v>0</v>
      </c>
      <c r="E11" s="20">
        <f t="shared" si="33"/>
        <v>0</v>
      </c>
      <c r="F11" s="20">
        <f t="shared" si="33"/>
        <v>0</v>
      </c>
      <c r="G11" s="20">
        <f t="shared" si="33"/>
        <v>4000000</v>
      </c>
      <c r="H11" s="20">
        <f t="shared" si="33"/>
        <v>4000000</v>
      </c>
      <c r="I11" s="20">
        <f t="shared" si="33"/>
        <v>4000000</v>
      </c>
      <c r="J11" s="20">
        <f t="shared" si="33"/>
        <v>4000000</v>
      </c>
      <c r="K11" s="20">
        <f t="shared" si="33"/>
        <v>4000000</v>
      </c>
      <c r="L11" s="20">
        <f t="shared" si="33"/>
        <v>4000000</v>
      </c>
      <c r="M11" s="20">
        <f t="shared" si="33"/>
        <v>4000000</v>
      </c>
      <c r="N11" s="20">
        <f t="shared" si="33"/>
        <v>4000000</v>
      </c>
      <c r="O11" s="20">
        <f t="shared" si="33"/>
        <v>4000000</v>
      </c>
      <c r="P11" s="20">
        <f t="shared" si="33"/>
        <v>4000000</v>
      </c>
      <c r="Q11" s="20">
        <f t="shared" si="33"/>
        <v>4000000</v>
      </c>
      <c r="R11" s="20">
        <f t="shared" si="33"/>
        <v>4000000</v>
      </c>
      <c r="S11" s="20">
        <f t="shared" si="33"/>
        <v>4000000</v>
      </c>
      <c r="T11" s="20">
        <f t="shared" si="33"/>
        <v>4000000</v>
      </c>
      <c r="U11" s="20">
        <f t="shared" si="33"/>
        <v>4000000</v>
      </c>
      <c r="V11" s="20">
        <f t="shared" si="33"/>
        <v>4000000</v>
      </c>
      <c r="W11" s="20">
        <f t="shared" si="33"/>
        <v>4000000</v>
      </c>
      <c r="X11" s="20">
        <f t="shared" si="33"/>
        <v>4000000</v>
      </c>
      <c r="Y11" s="20">
        <f t="shared" si="33"/>
        <v>4000000</v>
      </c>
      <c r="Z11" s="20">
        <f t="shared" si="33"/>
        <v>4000000</v>
      </c>
      <c r="AA11" s="20">
        <f t="shared" si="33"/>
        <v>4000000</v>
      </c>
    </row>
    <row r="12" spans="1:57" x14ac:dyDescent="0.35">
      <c r="A12" s="48" t="s">
        <v>75</v>
      </c>
      <c r="B12" s="17"/>
      <c r="C12" s="17"/>
      <c r="D12" s="17"/>
      <c r="E12" s="17"/>
      <c r="F12" s="18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57" x14ac:dyDescent="0.35">
      <c r="A13" s="48">
        <f>MAX(A$6:A12)+1</f>
        <v>5</v>
      </c>
      <c r="B13" s="34" t="s">
        <v>76</v>
      </c>
      <c r="C13" s="35">
        <f t="shared" ref="C13" si="34">+C11*(1+C$7)</f>
        <v>0</v>
      </c>
      <c r="D13" s="35">
        <f t="shared" ref="D13:L13" si="35">+D11*(1+D$7)</f>
        <v>0</v>
      </c>
      <c r="E13" s="35">
        <f t="shared" si="35"/>
        <v>0</v>
      </c>
      <c r="F13" s="35">
        <f t="shared" si="35"/>
        <v>0</v>
      </c>
      <c r="G13" s="35">
        <f t="shared" si="35"/>
        <v>4000000</v>
      </c>
      <c r="H13" s="35">
        <f t="shared" si="35"/>
        <v>4135200</v>
      </c>
      <c r="I13" s="35">
        <f t="shared" si="35"/>
        <v>4308051.3600000003</v>
      </c>
      <c r="J13" s="35">
        <f t="shared" si="35"/>
        <v>4488127.9068480004</v>
      </c>
      <c r="K13" s="35">
        <f t="shared" si="35"/>
        <v>4675731.6533542471</v>
      </c>
      <c r="L13" s="35">
        <f t="shared" si="35"/>
        <v>4871177.2364644548</v>
      </c>
      <c r="M13" s="35">
        <f t="shared" ref="M13:AA13" si="36">+M11*(1+M$7)</f>
        <v>5074792.4449486695</v>
      </c>
      <c r="N13" s="35">
        <f t="shared" si="36"/>
        <v>5286918.7691475246</v>
      </c>
      <c r="O13" s="35">
        <f t="shared" si="36"/>
        <v>5507911.9736978915</v>
      </c>
      <c r="P13" s="35">
        <f t="shared" si="36"/>
        <v>5738142.6941984631</v>
      </c>
      <c r="Q13" s="35">
        <f t="shared" si="36"/>
        <v>5977997.0588159598</v>
      </c>
      <c r="R13" s="35">
        <f t="shared" si="36"/>
        <v>6227877.3358744672</v>
      </c>
      <c r="S13" s="35">
        <f t="shared" si="36"/>
        <v>6488202.6085140212</v>
      </c>
      <c r="T13" s="35">
        <f t="shared" si="36"/>
        <v>6759409.4775499068</v>
      </c>
      <c r="U13" s="35">
        <f t="shared" si="36"/>
        <v>7041952.7937114928</v>
      </c>
      <c r="V13" s="35">
        <f t="shared" si="36"/>
        <v>7336306.4204886341</v>
      </c>
      <c r="W13" s="35">
        <f t="shared" si="36"/>
        <v>7642964.0288650589</v>
      </c>
      <c r="X13" s="35">
        <f t="shared" si="36"/>
        <v>7962439.9252716191</v>
      </c>
      <c r="Y13" s="35">
        <f t="shared" si="36"/>
        <v>8295269.9141479731</v>
      </c>
      <c r="Z13" s="35">
        <f t="shared" si="36"/>
        <v>8642012.1965593584</v>
      </c>
      <c r="AA13" s="35">
        <f t="shared" si="36"/>
        <v>9003248.3063755389</v>
      </c>
      <c r="AE13" s="172" t="s">
        <v>277</v>
      </c>
      <c r="AF13" s="173">
        <f>SUMIF(Assumptions!$E$27:$E$193,AE13,Assumptions!$D$27:$D$193)</f>
        <v>0.95233175000000003</v>
      </c>
      <c r="AH13" s="105">
        <f t="shared" ref="AH13:AP13" si="37">+D13*$AF13</f>
        <v>0</v>
      </c>
      <c r="AI13" s="105">
        <f t="shared" si="37"/>
        <v>0</v>
      </c>
      <c r="AJ13" s="105">
        <f t="shared" si="37"/>
        <v>0</v>
      </c>
      <c r="AK13" s="105">
        <f t="shared" si="37"/>
        <v>3809327</v>
      </c>
      <c r="AL13" s="105">
        <f t="shared" si="37"/>
        <v>3938082.2526000002</v>
      </c>
      <c r="AM13" s="105">
        <f t="shared" si="37"/>
        <v>4102694.0907586804</v>
      </c>
      <c r="AN13" s="105">
        <f t="shared" si="37"/>
        <v>4274186.7037523929</v>
      </c>
      <c r="AO13" s="105">
        <f t="shared" si="37"/>
        <v>4452847.7079692436</v>
      </c>
      <c r="AP13" s="105">
        <f t="shared" si="37"/>
        <v>4638976.742162358</v>
      </c>
      <c r="AQ13" s="105">
        <f t="shared" ref="AQ13:BE13" si="38">+M13*$AF13</f>
        <v>4832885.9699847456</v>
      </c>
      <c r="AR13" s="105">
        <f t="shared" si="38"/>
        <v>5034900.603530108</v>
      </c>
      <c r="AS13" s="105">
        <f t="shared" si="38"/>
        <v>5245359.4487576671</v>
      </c>
      <c r="AT13" s="105">
        <f t="shared" si="38"/>
        <v>5464615.4737157375</v>
      </c>
      <c r="AU13" s="105">
        <f t="shared" si="38"/>
        <v>5693036.4005170558</v>
      </c>
      <c r="AV13" s="105">
        <f t="shared" si="38"/>
        <v>5931005.3220586693</v>
      </c>
      <c r="AW13" s="105">
        <f t="shared" si="38"/>
        <v>6178921.3445207225</v>
      </c>
      <c r="AX13" s="105">
        <f t="shared" si="38"/>
        <v>6437200.2567216884</v>
      </c>
      <c r="AY13" s="105">
        <f t="shared" si="38"/>
        <v>6706275.2274526553</v>
      </c>
      <c r="AZ13" s="105">
        <f t="shared" si="38"/>
        <v>6986597.5319601772</v>
      </c>
      <c r="BA13" s="105">
        <f t="shared" si="38"/>
        <v>7278637.3087961124</v>
      </c>
      <c r="BB13" s="105">
        <f t="shared" si="38"/>
        <v>7582884.3483037902</v>
      </c>
      <c r="BC13" s="105">
        <f t="shared" si="38"/>
        <v>7899848.9140628893</v>
      </c>
      <c r="BD13" s="105">
        <f t="shared" si="38"/>
        <v>8230062.5986707183</v>
      </c>
      <c r="BE13" s="105">
        <f t="shared" si="38"/>
        <v>8574079.2152951527</v>
      </c>
    </row>
    <row r="14" spans="1:57" ht="15.5" x14ac:dyDescent="0.35">
      <c r="A14" s="10"/>
      <c r="B14" s="31" t="s">
        <v>120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5" spans="1:57" x14ac:dyDescent="0.35">
      <c r="A15" s="46"/>
      <c r="B15" s="19"/>
      <c r="C15" s="19"/>
      <c r="D15" s="19"/>
      <c r="E15" s="19"/>
      <c r="F15" s="100"/>
      <c r="G15" s="100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57" x14ac:dyDescent="0.35">
      <c r="A16" s="48">
        <f>MAX(A$6:A15)+1</f>
        <v>6</v>
      </c>
      <c r="B16" s="62"/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1"/>
    </row>
    <row r="17" spans="1:57" x14ac:dyDescent="0.35">
      <c r="A17" s="46"/>
      <c r="B17" s="19"/>
      <c r="C17" s="19"/>
      <c r="D17" s="19"/>
      <c r="E17" s="19"/>
      <c r="F17" s="19"/>
      <c r="G17" s="19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57" x14ac:dyDescent="0.35">
      <c r="A18" s="44">
        <f>MAX(A$6:A17)+1</f>
        <v>7</v>
      </c>
      <c r="B18" s="34" t="s">
        <v>76</v>
      </c>
      <c r="C18" s="35">
        <f t="shared" ref="C18:E18" si="39">+C16*(1+C$7)</f>
        <v>0</v>
      </c>
      <c r="D18" s="35">
        <f>+D16*(1+D$7)</f>
        <v>0</v>
      </c>
      <c r="E18" s="35">
        <f t="shared" si="39"/>
        <v>0</v>
      </c>
      <c r="F18" s="35">
        <f t="shared" ref="F18:L18" si="40">+F16*(1+F$7)</f>
        <v>0</v>
      </c>
      <c r="G18" s="35">
        <f t="shared" si="40"/>
        <v>0</v>
      </c>
      <c r="H18" s="35">
        <f t="shared" si="40"/>
        <v>0</v>
      </c>
      <c r="I18" s="35">
        <f t="shared" si="40"/>
        <v>0</v>
      </c>
      <c r="J18" s="35">
        <f t="shared" si="40"/>
        <v>0</v>
      </c>
      <c r="K18" s="35">
        <f t="shared" si="40"/>
        <v>0</v>
      </c>
      <c r="L18" s="35">
        <f t="shared" si="40"/>
        <v>0</v>
      </c>
      <c r="M18" s="35">
        <f t="shared" ref="M18:AA18" si="41">+M16*(1+M$7)</f>
        <v>0</v>
      </c>
      <c r="N18" s="35">
        <f t="shared" si="41"/>
        <v>0</v>
      </c>
      <c r="O18" s="35">
        <f t="shared" si="41"/>
        <v>0</v>
      </c>
      <c r="P18" s="35">
        <f t="shared" si="41"/>
        <v>0</v>
      </c>
      <c r="Q18" s="35">
        <f t="shared" si="41"/>
        <v>0</v>
      </c>
      <c r="R18" s="35">
        <f t="shared" si="41"/>
        <v>0</v>
      </c>
      <c r="S18" s="35">
        <f t="shared" si="41"/>
        <v>0</v>
      </c>
      <c r="T18" s="35">
        <f t="shared" si="41"/>
        <v>0</v>
      </c>
      <c r="U18" s="35">
        <f t="shared" si="41"/>
        <v>0</v>
      </c>
      <c r="V18" s="35">
        <f t="shared" si="41"/>
        <v>0</v>
      </c>
      <c r="W18" s="35">
        <f t="shared" si="41"/>
        <v>0</v>
      </c>
      <c r="X18" s="35">
        <f t="shared" si="41"/>
        <v>0</v>
      </c>
      <c r="Y18" s="35">
        <f t="shared" si="41"/>
        <v>0</v>
      </c>
      <c r="Z18" s="35">
        <f t="shared" si="41"/>
        <v>0</v>
      </c>
      <c r="AA18" s="35">
        <f t="shared" si="41"/>
        <v>0</v>
      </c>
    </row>
    <row r="19" spans="1:57" x14ac:dyDescent="0.35">
      <c r="A19" s="46"/>
      <c r="B19" s="19"/>
      <c r="C19" s="19"/>
      <c r="D19" s="19"/>
      <c r="E19" s="19"/>
      <c r="F19" s="19"/>
      <c r="G19" s="19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57" x14ac:dyDescent="0.35">
      <c r="A20" s="44">
        <f>MAX(A$6:A19)+1</f>
        <v>8</v>
      </c>
      <c r="B20" s="29" t="s">
        <v>15</v>
      </c>
      <c r="C20" s="35">
        <f t="shared" ref="C20:H20" si="42">+C18+C13</f>
        <v>0</v>
      </c>
      <c r="D20" s="35">
        <f t="shared" si="42"/>
        <v>0</v>
      </c>
      <c r="E20" s="35">
        <f t="shared" si="42"/>
        <v>0</v>
      </c>
      <c r="F20" s="35">
        <f t="shared" si="42"/>
        <v>0</v>
      </c>
      <c r="G20" s="35">
        <f t="shared" si="42"/>
        <v>4000000</v>
      </c>
      <c r="H20" s="35">
        <f t="shared" si="42"/>
        <v>4135200</v>
      </c>
      <c r="I20" s="35">
        <f t="shared" ref="I20:L20" si="43">+I18+I13</f>
        <v>4308051.3600000003</v>
      </c>
      <c r="J20" s="35">
        <f t="shared" si="43"/>
        <v>4488127.9068480004</v>
      </c>
      <c r="K20" s="35">
        <f t="shared" si="43"/>
        <v>4675731.6533542471</v>
      </c>
      <c r="L20" s="35">
        <f t="shared" si="43"/>
        <v>4871177.2364644548</v>
      </c>
      <c r="M20" s="35">
        <f t="shared" ref="M20:AA20" si="44">+M18+M13</f>
        <v>5074792.4449486695</v>
      </c>
      <c r="N20" s="35">
        <f t="shared" si="44"/>
        <v>5286918.7691475246</v>
      </c>
      <c r="O20" s="35">
        <f t="shared" si="44"/>
        <v>5507911.9736978915</v>
      </c>
      <c r="P20" s="35">
        <f t="shared" si="44"/>
        <v>5738142.6941984631</v>
      </c>
      <c r="Q20" s="35">
        <f t="shared" si="44"/>
        <v>5977997.0588159598</v>
      </c>
      <c r="R20" s="35">
        <f t="shared" si="44"/>
        <v>6227877.3358744672</v>
      </c>
      <c r="S20" s="35">
        <f t="shared" si="44"/>
        <v>6488202.6085140212</v>
      </c>
      <c r="T20" s="35">
        <f t="shared" si="44"/>
        <v>6759409.4775499068</v>
      </c>
      <c r="U20" s="35">
        <f t="shared" si="44"/>
        <v>7041952.7937114928</v>
      </c>
      <c r="V20" s="35">
        <f t="shared" si="44"/>
        <v>7336306.4204886341</v>
      </c>
      <c r="W20" s="35">
        <f t="shared" si="44"/>
        <v>7642964.0288650589</v>
      </c>
      <c r="X20" s="35">
        <f t="shared" si="44"/>
        <v>7962439.9252716191</v>
      </c>
      <c r="Y20" s="35">
        <f t="shared" si="44"/>
        <v>8295269.9141479731</v>
      </c>
      <c r="Z20" s="35">
        <f t="shared" si="44"/>
        <v>8642012.1965593584</v>
      </c>
      <c r="AA20" s="35">
        <f t="shared" si="44"/>
        <v>9003248.3063755389</v>
      </c>
      <c r="AG20" s="35">
        <f t="shared" ref="AG20:AL20" si="45">+AG18+AG13</f>
        <v>0</v>
      </c>
      <c r="AH20" s="35">
        <f t="shared" si="45"/>
        <v>0</v>
      </c>
      <c r="AI20" s="35">
        <f t="shared" si="45"/>
        <v>0</v>
      </c>
      <c r="AJ20" s="35">
        <f t="shared" si="45"/>
        <v>0</v>
      </c>
      <c r="AK20" s="35">
        <f t="shared" si="45"/>
        <v>3809327</v>
      </c>
      <c r="AL20" s="35">
        <f t="shared" si="45"/>
        <v>3938082.2526000002</v>
      </c>
      <c r="AM20" s="35">
        <f t="shared" ref="AM20:AP20" si="46">+AM18+AM13</f>
        <v>4102694.0907586804</v>
      </c>
      <c r="AN20" s="35">
        <f t="shared" si="46"/>
        <v>4274186.7037523929</v>
      </c>
      <c r="AO20" s="35">
        <f t="shared" si="46"/>
        <v>4452847.7079692436</v>
      </c>
      <c r="AP20" s="35">
        <f t="shared" si="46"/>
        <v>4638976.742162358</v>
      </c>
      <c r="AQ20" s="35">
        <f t="shared" ref="AQ20:BE20" si="47">+AQ18+AQ13</f>
        <v>4832885.9699847456</v>
      </c>
      <c r="AR20" s="35">
        <f t="shared" si="47"/>
        <v>5034900.603530108</v>
      </c>
      <c r="AS20" s="35">
        <f t="shared" si="47"/>
        <v>5245359.4487576671</v>
      </c>
      <c r="AT20" s="35">
        <f t="shared" si="47"/>
        <v>5464615.4737157375</v>
      </c>
      <c r="AU20" s="35">
        <f t="shared" si="47"/>
        <v>5693036.4005170558</v>
      </c>
      <c r="AV20" s="35">
        <f t="shared" si="47"/>
        <v>5931005.3220586693</v>
      </c>
      <c r="AW20" s="35">
        <f t="shared" si="47"/>
        <v>6178921.3445207225</v>
      </c>
      <c r="AX20" s="35">
        <f t="shared" si="47"/>
        <v>6437200.2567216884</v>
      </c>
      <c r="AY20" s="35">
        <f t="shared" si="47"/>
        <v>6706275.2274526553</v>
      </c>
      <c r="AZ20" s="35">
        <f t="shared" si="47"/>
        <v>6986597.5319601772</v>
      </c>
      <c r="BA20" s="35">
        <f t="shared" si="47"/>
        <v>7278637.3087961124</v>
      </c>
      <c r="BB20" s="35">
        <f t="shared" si="47"/>
        <v>7582884.3483037902</v>
      </c>
      <c r="BC20" s="35">
        <f t="shared" si="47"/>
        <v>7899848.9140628893</v>
      </c>
      <c r="BD20" s="35">
        <f t="shared" si="47"/>
        <v>8230062.5986707183</v>
      </c>
      <c r="BE20" s="35">
        <f t="shared" si="47"/>
        <v>8574079.2152951527</v>
      </c>
    </row>
    <row r="21" spans="1:57" x14ac:dyDescent="0.35">
      <c r="A21" s="46"/>
      <c r="B21" s="19"/>
      <c r="C21" s="19"/>
      <c r="D21" s="19"/>
      <c r="E21" s="19"/>
      <c r="F21" s="19"/>
      <c r="G21" s="19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57" ht="15.5" x14ac:dyDescent="0.35">
      <c r="A22" s="10"/>
      <c r="B22" s="31" t="s">
        <v>108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1:57" ht="15.5" x14ac:dyDescent="0.35">
      <c r="A23" s="10"/>
      <c r="B23" s="31" t="s">
        <v>109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spans="1:57" x14ac:dyDescent="0.35">
      <c r="A24" s="48">
        <f>MAX(A$6:A23)+1</f>
        <v>9</v>
      </c>
      <c r="B24" s="17" t="s">
        <v>110</v>
      </c>
      <c r="C24" s="49">
        <f>+'Pension &amp; Fringes Ratio'!E12</f>
        <v>0.39900412395768614</v>
      </c>
      <c r="D24" s="49">
        <f>+'Pension &amp; Fringes Ratio'!F12</f>
        <v>0.39633307386195543</v>
      </c>
      <c r="E24" s="49">
        <f>+'Pension &amp; Fringes Ratio'!G12</f>
        <v>0.39185814936231089</v>
      </c>
      <c r="F24" s="49">
        <f>+'Pension &amp; Fringes Ratio'!H12</f>
        <v>0.43116127604766247</v>
      </c>
      <c r="G24" s="49">
        <f>+'Pension &amp; Fringes Ratio'!I12</f>
        <v>0.42910812711410212</v>
      </c>
      <c r="H24" s="49">
        <f>+'Pension &amp; Fringes Ratio'!J12</f>
        <v>0.4274497382170428</v>
      </c>
      <c r="I24" s="49">
        <f>+'Pension &amp; Fringes Ratio'!K12</f>
        <v>0.43327296653478231</v>
      </c>
      <c r="J24" s="49">
        <f>+'Pension &amp; Fringes Ratio'!L12</f>
        <v>0.43917552578902419</v>
      </c>
      <c r="K24" s="49">
        <f>+'Pension &amp; Fringes Ratio'!M12</f>
        <v>0.44278228131482777</v>
      </c>
      <c r="L24" s="49">
        <f>+'Pension &amp; Fringes Ratio'!N12</f>
        <v>0.44641865753818644</v>
      </c>
      <c r="M24" s="49">
        <f>+'Pension &amp; Fringes Ratio'!O12</f>
        <v>0.45008489772086729</v>
      </c>
      <c r="N24" s="49">
        <f>+'Pension &amp; Fringes Ratio'!P12</f>
        <v>0.45378124712243978</v>
      </c>
      <c r="O24" s="49">
        <f>+'Pension &amp; Fringes Ratio'!Q12</f>
        <v>0.45750795301668201</v>
      </c>
      <c r="P24" s="49">
        <f>+'Pension &amp; Fringes Ratio'!R12</f>
        <v>0.4612652647081234</v>
      </c>
      <c r="Q24" s="49">
        <f>+'Pension &amp; Fringes Ratio'!S12</f>
        <v>0.46505343354872158</v>
      </c>
      <c r="R24" s="49">
        <f>+'Pension &amp; Fringes Ratio'!T12</f>
        <v>0.46887271295467731</v>
      </c>
      <c r="S24" s="49">
        <f>+'Pension &amp; Fringes Ratio'!U12</f>
        <v>0.47272335842338736</v>
      </c>
      <c r="T24" s="49">
        <f>+'Pension &amp; Fringes Ratio'!V12</f>
        <v>0.47660562755053598</v>
      </c>
      <c r="U24" s="49">
        <f>+'Pension &amp; Fringes Ratio'!W12</f>
        <v>0.48051978004732793</v>
      </c>
      <c r="V24" s="49">
        <f>+'Pension &amp; Fringes Ratio'!X12</f>
        <v>0.48446607775786166</v>
      </c>
      <c r="W24" s="49">
        <f>+'Pension &amp; Fringes Ratio'!Y12</f>
        <v>0.48844478467664604</v>
      </c>
      <c r="X24" s="49">
        <f>+'Pension &amp; Fringes Ratio'!Z12</f>
        <v>0.4924561669662611</v>
      </c>
      <c r="Y24" s="49">
        <f>+'Pension &amp; Fringes Ratio'!AA12</f>
        <v>0.49650049297516274</v>
      </c>
      <c r="Z24" s="49">
        <f>+'Pension &amp; Fringes Ratio'!AB12</f>
        <v>0.50057803325563521</v>
      </c>
      <c r="AA24" s="49">
        <f>+'Pension &amp; Fringes Ratio'!AC12</f>
        <v>0.50468906058188934</v>
      </c>
    </row>
    <row r="25" spans="1:57" x14ac:dyDescent="0.35">
      <c r="A25" s="46">
        <f>MAX(A$6:A24)+1</f>
        <v>10</v>
      </c>
      <c r="B25" s="19" t="s">
        <v>111</v>
      </c>
      <c r="C25" s="47">
        <f>+'Pension &amp; Fringes Ratio'!E13</f>
        <v>0.37252820581911578</v>
      </c>
      <c r="D25" s="47">
        <f>+'Pension &amp; Fringes Ratio'!F13</f>
        <v>0.35141484958703101</v>
      </c>
      <c r="E25" s="47">
        <f>+'Pension &amp; Fringes Ratio'!G13</f>
        <v>0.33967084730467317</v>
      </c>
      <c r="F25" s="47">
        <f>+'Pension &amp; Fringes Ratio'!H13</f>
        <v>0.32297321114521454</v>
      </c>
      <c r="G25" s="47">
        <f>+'Pension &amp; Fringes Ratio'!I13</f>
        <v>0.31300718062987648</v>
      </c>
      <c r="H25" s="47">
        <f>+'Pension &amp; Fringes Ratio'!J13</f>
        <v>0.30242239674384203</v>
      </c>
      <c r="I25" s="47">
        <f>+'Pension &amp; Fringes Ratio'!K13</f>
        <v>0.29219555240950928</v>
      </c>
      <c r="J25" s="47">
        <f>+'Pension &amp; Fringes Ratio'!L13</f>
        <v>0.28231454339083017</v>
      </c>
      <c r="K25" s="47">
        <f>+'Pension &amp; Fringes Ratio'!M13</f>
        <v>0.27276767477374897</v>
      </c>
      <c r="L25" s="47">
        <f>+'Pension &amp; Fringes Ratio'!N13</f>
        <v>0.26354364712439521</v>
      </c>
      <c r="M25" s="47">
        <f>+'Pension &amp; Fringes Ratio'!O13</f>
        <v>0.25463154311535774</v>
      </c>
      <c r="N25" s="47">
        <f>+'Pension &amp; Fringes Ratio'!P13</f>
        <v>0.24602081460421041</v>
      </c>
      <c r="O25" s="47">
        <f>+'Pension &amp; Fringes Ratio'!Q13</f>
        <v>0.23770127014899553</v>
      </c>
      <c r="P25" s="47">
        <f>+'Pension &amp; Fringes Ratio'!R13</f>
        <v>0.22966306294588937</v>
      </c>
      <c r="Q25" s="47">
        <f>+'Pension &amp; Fringes Ratio'!S13</f>
        <v>0.22189667917477238</v>
      </c>
      <c r="R25" s="47">
        <f>+'Pension &amp; Fringes Ratio'!T13</f>
        <v>0.21439292673891053</v>
      </c>
      <c r="S25" s="47">
        <f>+'Pension &amp; Fringes Ratio'!U13</f>
        <v>0.20714292438542084</v>
      </c>
      <c r="T25" s="47">
        <f>+'Pension &amp; Fringes Ratio'!V13</f>
        <v>0.20013809119364331</v>
      </c>
      <c r="U25" s="47">
        <f>+'Pension &amp; Fringes Ratio'!W13</f>
        <v>0.19337013641897904</v>
      </c>
      <c r="V25" s="47">
        <f>+'Pension &amp; Fringes Ratio'!X13</f>
        <v>0.18683104968017303</v>
      </c>
      <c r="W25" s="47">
        <f>+'Pension &amp; Fringes Ratio'!Y13</f>
        <v>0.18051309147842806</v>
      </c>
      <c r="X25" s="47">
        <f>+'Pension &amp; Fringes Ratio'!Z13</f>
        <v>0.17440878403712859</v>
      </c>
      <c r="Y25" s="47">
        <f>+'Pension &amp; Fringes Ratio'!AA13</f>
        <v>0.16851090245133196</v>
      </c>
      <c r="Z25" s="47">
        <f>+'Pension &amp; Fringes Ratio'!AB13</f>
        <v>0.16281246613655262</v>
      </c>
      <c r="AA25" s="47">
        <f>+'Pension &amp; Fringes Ratio'!AC13</f>
        <v>0.15730673056671751</v>
      </c>
    </row>
    <row r="26" spans="1:57" x14ac:dyDescent="0.35">
      <c r="A26" s="48">
        <f>MAX(A$6:A25)+1</f>
        <v>11</v>
      </c>
      <c r="B26" s="17" t="s">
        <v>112</v>
      </c>
      <c r="C26" s="49">
        <f>+'Pension &amp; Fringes Ratio'!E14</f>
        <v>5.3957484317269488E-2</v>
      </c>
      <c r="D26" s="49">
        <f>+'Pension &amp; Fringes Ratio'!F14</f>
        <v>6.5608284873243702E-2</v>
      </c>
      <c r="E26" s="49">
        <f>+'Pension &amp; Fringes Ratio'!G14</f>
        <v>7.0152811671216717E-2</v>
      </c>
      <c r="F26" s="49">
        <f>+'Pension &amp; Fringes Ratio'!H14</f>
        <v>6.7370354151241443E-2</v>
      </c>
      <c r="G26" s="49">
        <f>+'Pension &amp; Fringes Ratio'!I14</f>
        <v>6.416224204880136E-2</v>
      </c>
      <c r="H26" s="49">
        <f>+'Pension &amp; Fringes Ratio'!J14</f>
        <v>6.2476166350071236E-2</v>
      </c>
      <c r="I26" s="49">
        <f>+'Pension &amp; Fringes Ratio'!K14</f>
        <v>6.0362771672245706E-2</v>
      </c>
      <c r="J26" s="49">
        <f>+'Pension &amp; Fringes Ratio'!L14</f>
        <v>5.832086724942772E-2</v>
      </c>
      <c r="K26" s="49">
        <f>+'Pension &amp; Fringes Ratio'!M14</f>
        <v>5.6348034765429288E-2</v>
      </c>
      <c r="L26" s="49">
        <f>+'Pension &amp; Fringes Ratio'!N14</f>
        <v>5.4441937708962725E-2</v>
      </c>
      <c r="M26" s="49">
        <f>+'Pension &amp; Fringes Ratio'!O14</f>
        <v>5.260031860640875E-2</v>
      </c>
      <c r="N26" s="49">
        <f>+'Pension &amp; Fringes Ratio'!P14</f>
        <v>5.0820996348192364E-2</v>
      </c>
      <c r="O26" s="49">
        <f>+'Pension &amp; Fringes Ratio'!Q14</f>
        <v>4.9101863605599892E-2</v>
      </c>
      <c r="P26" s="49">
        <f>+'Pension &amp; Fringes Ratio'!R14</f>
        <v>4.7440884334978041E-2</v>
      </c>
      <c r="Q26" s="49">
        <f>+'Pension &amp; Fringes Ratio'!S14</f>
        <v>4.5836091366358821E-2</v>
      </c>
      <c r="R26" s="49">
        <f>+'Pension &amp; Fringes Ratio'!T14</f>
        <v>4.4285584073654592E-2</v>
      </c>
      <c r="S26" s="49">
        <f>+'Pension &amp; Fringes Ratio'!U14</f>
        <v>4.2787526123664037E-2</v>
      </c>
      <c r="T26" s="49">
        <f>+'Pension &amp; Fringes Ratio'!V14</f>
        <v>4.1340143301222827E-2</v>
      </c>
      <c r="U26" s="49">
        <f>+'Pension &amp; Fringes Ratio'!W14</f>
        <v>3.9941721407923514E-2</v>
      </c>
      <c r="V26" s="49">
        <f>+'Pension &amp; Fringes Ratio'!X14</f>
        <v>3.8590604231915807E-2</v>
      </c>
      <c r="W26" s="49">
        <f>+'Pension &amp; Fringes Ratio'!Y14</f>
        <v>3.7285191586382875E-2</v>
      </c>
      <c r="X26" s="49">
        <f>+'Pension &amp; Fringes Ratio'!Z14</f>
        <v>3.6023937414370495E-2</v>
      </c>
      <c r="Y26" s="49">
        <f>+'Pension &amp; Fringes Ratio'!AA14</f>
        <v>3.4805347957724608E-2</v>
      </c>
      <c r="Z26" s="49">
        <f>+'Pension &amp; Fringes Ratio'!AB14</f>
        <v>3.3628355514709773E-2</v>
      </c>
      <c r="AA26" s="49">
        <f>+'Pension &amp; Fringes Ratio'!AC14</f>
        <v>3.249116474851186E-2</v>
      </c>
    </row>
    <row r="27" spans="1:57" x14ac:dyDescent="0.35">
      <c r="A27" s="46">
        <f>MAX(A$6:A26)+1</f>
        <v>12</v>
      </c>
      <c r="B27" s="19" t="s">
        <v>113</v>
      </c>
      <c r="C27" s="101">
        <f t="shared" ref="C27" si="48">SUM(C24:C26)</f>
        <v>0.82548981409407141</v>
      </c>
      <c r="D27" s="101">
        <f t="shared" ref="D27:L27" si="49">SUM(D24:D26)</f>
        <v>0.8133562083222301</v>
      </c>
      <c r="E27" s="101">
        <f t="shared" si="49"/>
        <v>0.80168180833820069</v>
      </c>
      <c r="F27" s="101">
        <f t="shared" si="49"/>
        <v>0.8215048413441185</v>
      </c>
      <c r="G27" s="101">
        <f t="shared" si="49"/>
        <v>0.80627754979277999</v>
      </c>
      <c r="H27" s="101">
        <f t="shared" si="49"/>
        <v>0.79234830131095602</v>
      </c>
      <c r="I27" s="101">
        <f t="shared" si="49"/>
        <v>0.78583129061653723</v>
      </c>
      <c r="J27" s="101">
        <f t="shared" si="49"/>
        <v>0.77981093642928212</v>
      </c>
      <c r="K27" s="101">
        <f t="shared" si="49"/>
        <v>0.77189799085400601</v>
      </c>
      <c r="L27" s="101">
        <f t="shared" si="49"/>
        <v>0.76440424237154436</v>
      </c>
      <c r="M27" s="101">
        <f t="shared" ref="M27:AA27" si="50">SUM(M24:M26)</f>
        <v>0.75731675944263377</v>
      </c>
      <c r="N27" s="101">
        <f t="shared" si="50"/>
        <v>0.75062305807484253</v>
      </c>
      <c r="O27" s="101">
        <f t="shared" si="50"/>
        <v>0.74431108677127744</v>
      </c>
      <c r="P27" s="101">
        <f t="shared" si="50"/>
        <v>0.73836921198899086</v>
      </c>
      <c r="Q27" s="101">
        <f t="shared" si="50"/>
        <v>0.73278620408985273</v>
      </c>
      <c r="R27" s="101">
        <f t="shared" si="50"/>
        <v>0.72755122376724246</v>
      </c>
      <c r="S27" s="101">
        <f t="shared" si="50"/>
        <v>0.72265380893247222</v>
      </c>
      <c r="T27" s="101">
        <f t="shared" si="50"/>
        <v>0.71808386204540209</v>
      </c>
      <c r="U27" s="101">
        <f t="shared" si="50"/>
        <v>0.71383163787423054</v>
      </c>
      <c r="V27" s="101">
        <f t="shared" si="50"/>
        <v>0.70988773166995056</v>
      </c>
      <c r="W27" s="101">
        <f t="shared" si="50"/>
        <v>0.70624306774145695</v>
      </c>
      <c r="X27" s="101">
        <f t="shared" si="50"/>
        <v>0.7028888884177602</v>
      </c>
      <c r="Y27" s="101">
        <f t="shared" si="50"/>
        <v>0.69981674338421929</v>
      </c>
      <c r="Z27" s="101">
        <f t="shared" si="50"/>
        <v>0.69701885490689763</v>
      </c>
      <c r="AA27" s="101">
        <f t="shared" si="50"/>
        <v>0.69448695589711873</v>
      </c>
    </row>
    <row r="28" spans="1:57" x14ac:dyDescent="0.35">
      <c r="A28" s="48">
        <f>MAX(A$6:A27)+1</f>
        <v>13</v>
      </c>
      <c r="B28" s="17" t="s">
        <v>114</v>
      </c>
      <c r="C28" s="17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1"/>
      <c r="AC28" s="1"/>
      <c r="AD28" s="1"/>
      <c r="AE28" s="172" t="s">
        <v>115</v>
      </c>
      <c r="AF28" s="173">
        <f>SUMIF(Assumptions!$E$27:$E$193,AE28,Assumptions!$D$27:$D$193)</f>
        <v>1</v>
      </c>
      <c r="AH28" s="105">
        <f t="shared" ref="AH28:AL30" si="51">+D28*$AF28</f>
        <v>0</v>
      </c>
      <c r="AI28" s="105">
        <f t="shared" si="51"/>
        <v>0</v>
      </c>
      <c r="AJ28" s="105">
        <f t="shared" si="51"/>
        <v>0</v>
      </c>
      <c r="AK28" s="105">
        <f t="shared" si="51"/>
        <v>0</v>
      </c>
      <c r="AL28" s="105">
        <f t="shared" si="51"/>
        <v>0</v>
      </c>
      <c r="AM28" s="105">
        <f t="shared" ref="AM28:AM30" si="52">+I28*$AF28</f>
        <v>0</v>
      </c>
      <c r="AN28" s="105">
        <f t="shared" ref="AN28:AN30" si="53">+J28*$AF28</f>
        <v>0</v>
      </c>
      <c r="AO28" s="105">
        <f t="shared" ref="AO28:AO30" si="54">+K28*$AF28</f>
        <v>0</v>
      </c>
      <c r="AP28" s="105">
        <f t="shared" ref="AP28:AP30" si="55">+L28*$AF28</f>
        <v>0</v>
      </c>
      <c r="AQ28" s="105">
        <f t="shared" ref="AQ28:AQ30" si="56">+M28*$AF28</f>
        <v>0</v>
      </c>
      <c r="AR28" s="105">
        <f t="shared" ref="AR28:AR30" si="57">+N28*$AF28</f>
        <v>0</v>
      </c>
      <c r="AS28" s="105">
        <f t="shared" ref="AS28:AS30" si="58">+O28*$AF28</f>
        <v>0</v>
      </c>
      <c r="AT28" s="105">
        <f t="shared" ref="AT28:AT30" si="59">+P28*$AF28</f>
        <v>0</v>
      </c>
      <c r="AU28" s="105">
        <f t="shared" ref="AU28:AU30" si="60">+Q28*$AF28</f>
        <v>0</v>
      </c>
      <c r="AV28" s="105">
        <f t="shared" ref="AV28:AV30" si="61">+R28*$AF28</f>
        <v>0</v>
      </c>
      <c r="AW28" s="105">
        <f t="shared" ref="AW28:AW30" si="62">+S28*$AF28</f>
        <v>0</v>
      </c>
      <c r="AX28" s="105">
        <f t="shared" ref="AX28:AX30" si="63">+T28*$AF28</f>
        <v>0</v>
      </c>
      <c r="AY28" s="105">
        <f t="shared" ref="AY28:AY30" si="64">+U28*$AF28</f>
        <v>0</v>
      </c>
      <c r="AZ28" s="105">
        <f t="shared" ref="AZ28:AZ30" si="65">+V28*$AF28</f>
        <v>0</v>
      </c>
      <c r="BA28" s="105">
        <f t="shared" ref="BA28:BA30" si="66">+W28*$AF28</f>
        <v>0</v>
      </c>
      <c r="BB28" s="105">
        <f t="shared" ref="BB28:BB30" si="67">+X28*$AF28</f>
        <v>0</v>
      </c>
      <c r="BC28" s="105">
        <f t="shared" ref="BC28:BC30" si="68">+Y28*$AF28</f>
        <v>0</v>
      </c>
      <c r="BD28" s="105">
        <f t="shared" ref="BD28:BD30" si="69">+Z28*$AF28</f>
        <v>0</v>
      </c>
      <c r="BE28" s="105">
        <f t="shared" ref="BE28:BE30" si="70">+AA28*$AF28</f>
        <v>0</v>
      </c>
    </row>
    <row r="29" spans="1:57" x14ac:dyDescent="0.35">
      <c r="A29" s="46">
        <f>MAX(A$6:A28)+1</f>
        <v>14</v>
      </c>
      <c r="B29" s="19" t="s">
        <v>116</v>
      </c>
      <c r="C29" s="19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2"/>
      <c r="AC29" s="2"/>
      <c r="AD29" s="2"/>
      <c r="AE29" s="172" t="s">
        <v>117</v>
      </c>
      <c r="AF29" s="173">
        <f>SUMIF(Assumptions!$E$27:$E$193,AE29,Assumptions!$D$27:$D$193)</f>
        <v>1</v>
      </c>
      <c r="AH29" s="105">
        <f t="shared" si="51"/>
        <v>0</v>
      </c>
      <c r="AI29" s="105">
        <f t="shared" si="51"/>
        <v>0</v>
      </c>
      <c r="AJ29" s="105">
        <f t="shared" si="51"/>
        <v>0</v>
      </c>
      <c r="AK29" s="105">
        <f t="shared" si="51"/>
        <v>0</v>
      </c>
      <c r="AL29" s="105">
        <f t="shared" si="51"/>
        <v>0</v>
      </c>
      <c r="AM29" s="105">
        <f t="shared" si="52"/>
        <v>0</v>
      </c>
      <c r="AN29" s="105">
        <f t="shared" si="53"/>
        <v>0</v>
      </c>
      <c r="AO29" s="105">
        <f t="shared" si="54"/>
        <v>0</v>
      </c>
      <c r="AP29" s="105">
        <f t="shared" si="55"/>
        <v>0</v>
      </c>
      <c r="AQ29" s="105">
        <f t="shared" si="56"/>
        <v>0</v>
      </c>
      <c r="AR29" s="105">
        <f t="shared" si="57"/>
        <v>0</v>
      </c>
      <c r="AS29" s="105">
        <f t="shared" si="58"/>
        <v>0</v>
      </c>
      <c r="AT29" s="105">
        <f t="shared" si="59"/>
        <v>0</v>
      </c>
      <c r="AU29" s="105">
        <f t="shared" si="60"/>
        <v>0</v>
      </c>
      <c r="AV29" s="105">
        <f t="shared" si="61"/>
        <v>0</v>
      </c>
      <c r="AW29" s="105">
        <f t="shared" si="62"/>
        <v>0</v>
      </c>
      <c r="AX29" s="105">
        <f t="shared" si="63"/>
        <v>0</v>
      </c>
      <c r="AY29" s="105">
        <f t="shared" si="64"/>
        <v>0</v>
      </c>
      <c r="AZ29" s="105">
        <f t="shared" si="65"/>
        <v>0</v>
      </c>
      <c r="BA29" s="105">
        <f t="shared" si="66"/>
        <v>0</v>
      </c>
      <c r="BB29" s="105">
        <f t="shared" si="67"/>
        <v>0</v>
      </c>
      <c r="BC29" s="105">
        <f t="shared" si="68"/>
        <v>0</v>
      </c>
      <c r="BD29" s="105">
        <f t="shared" si="69"/>
        <v>0</v>
      </c>
      <c r="BE29" s="105">
        <f t="shared" si="70"/>
        <v>0</v>
      </c>
    </row>
    <row r="30" spans="1:57" x14ac:dyDescent="0.35">
      <c r="A30" s="48">
        <f>MAX(A$6:A29)+1</f>
        <v>15</v>
      </c>
      <c r="B30" s="17" t="s">
        <v>118</v>
      </c>
      <c r="C30" s="17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2"/>
      <c r="AC30" s="2"/>
      <c r="AD30" s="2"/>
      <c r="AE30" s="172" t="s">
        <v>119</v>
      </c>
      <c r="AF30" s="173">
        <f>SUMIF(Assumptions!$E$27:$E$193,AE30,Assumptions!$D$27:$D$193)</f>
        <v>1</v>
      </c>
      <c r="AH30" s="105">
        <f t="shared" si="51"/>
        <v>0</v>
      </c>
      <c r="AI30" s="105">
        <f t="shared" si="51"/>
        <v>0</v>
      </c>
      <c r="AJ30" s="105">
        <f t="shared" si="51"/>
        <v>0</v>
      </c>
      <c r="AK30" s="105">
        <f t="shared" si="51"/>
        <v>0</v>
      </c>
      <c r="AL30" s="105">
        <f t="shared" si="51"/>
        <v>0</v>
      </c>
      <c r="AM30" s="105">
        <f t="shared" si="52"/>
        <v>0</v>
      </c>
      <c r="AN30" s="105">
        <f t="shared" si="53"/>
        <v>0</v>
      </c>
      <c r="AO30" s="105">
        <f t="shared" si="54"/>
        <v>0</v>
      </c>
      <c r="AP30" s="105">
        <f t="shared" si="55"/>
        <v>0</v>
      </c>
      <c r="AQ30" s="105">
        <f t="shared" si="56"/>
        <v>0</v>
      </c>
      <c r="AR30" s="105">
        <f t="shared" si="57"/>
        <v>0</v>
      </c>
      <c r="AS30" s="105">
        <f t="shared" si="58"/>
        <v>0</v>
      </c>
      <c r="AT30" s="105">
        <f t="shared" si="59"/>
        <v>0</v>
      </c>
      <c r="AU30" s="105">
        <f t="shared" si="60"/>
        <v>0</v>
      </c>
      <c r="AV30" s="105">
        <f t="shared" si="61"/>
        <v>0</v>
      </c>
      <c r="AW30" s="105">
        <f t="shared" si="62"/>
        <v>0</v>
      </c>
      <c r="AX30" s="105">
        <f t="shared" si="63"/>
        <v>0</v>
      </c>
      <c r="AY30" s="105">
        <f t="shared" si="64"/>
        <v>0</v>
      </c>
      <c r="AZ30" s="105">
        <f t="shared" si="65"/>
        <v>0</v>
      </c>
      <c r="BA30" s="105">
        <f t="shared" si="66"/>
        <v>0</v>
      </c>
      <c r="BB30" s="105">
        <f t="shared" si="67"/>
        <v>0</v>
      </c>
      <c r="BC30" s="105">
        <f t="shared" si="68"/>
        <v>0</v>
      </c>
      <c r="BD30" s="105">
        <f t="shared" si="69"/>
        <v>0</v>
      </c>
      <c r="BE30" s="105">
        <f t="shared" si="70"/>
        <v>0</v>
      </c>
    </row>
    <row r="31" spans="1:57" x14ac:dyDescent="0.35">
      <c r="A31" s="46"/>
      <c r="B31" s="19"/>
      <c r="C31" s="19"/>
      <c r="D31" s="19"/>
      <c r="E31" s="19"/>
      <c r="F31" s="19"/>
      <c r="G31" s="19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1:57" x14ac:dyDescent="0.35">
      <c r="A32" s="48">
        <f>MAX(A$6:A31)+1</f>
        <v>16</v>
      </c>
      <c r="B32" s="34" t="s">
        <v>32</v>
      </c>
      <c r="C32" s="35"/>
      <c r="D32" s="35">
        <f t="shared" ref="D32:L32" si="71">SUM(D28:D31)</f>
        <v>0</v>
      </c>
      <c r="E32" s="35">
        <f t="shared" si="71"/>
        <v>0</v>
      </c>
      <c r="F32" s="35">
        <f t="shared" si="71"/>
        <v>0</v>
      </c>
      <c r="G32" s="35">
        <f t="shared" si="71"/>
        <v>0</v>
      </c>
      <c r="H32" s="35">
        <f t="shared" si="71"/>
        <v>0</v>
      </c>
      <c r="I32" s="35">
        <f t="shared" si="71"/>
        <v>0</v>
      </c>
      <c r="J32" s="35">
        <f t="shared" si="71"/>
        <v>0</v>
      </c>
      <c r="K32" s="35">
        <f t="shared" si="71"/>
        <v>0</v>
      </c>
      <c r="L32" s="35">
        <f t="shared" si="71"/>
        <v>0</v>
      </c>
      <c r="M32" s="35">
        <f t="shared" ref="M32:AA32" si="72">SUM(M28:M31)</f>
        <v>0</v>
      </c>
      <c r="N32" s="35">
        <f t="shared" si="72"/>
        <v>0</v>
      </c>
      <c r="O32" s="35">
        <f t="shared" si="72"/>
        <v>0</v>
      </c>
      <c r="P32" s="35">
        <f t="shared" si="72"/>
        <v>0</v>
      </c>
      <c r="Q32" s="35">
        <f t="shared" si="72"/>
        <v>0</v>
      </c>
      <c r="R32" s="35">
        <f t="shared" si="72"/>
        <v>0</v>
      </c>
      <c r="S32" s="35">
        <f t="shared" si="72"/>
        <v>0</v>
      </c>
      <c r="T32" s="35">
        <f t="shared" si="72"/>
        <v>0</v>
      </c>
      <c r="U32" s="35">
        <f t="shared" si="72"/>
        <v>0</v>
      </c>
      <c r="V32" s="35">
        <f t="shared" si="72"/>
        <v>0</v>
      </c>
      <c r="W32" s="35">
        <f t="shared" si="72"/>
        <v>0</v>
      </c>
      <c r="X32" s="35">
        <f t="shared" si="72"/>
        <v>0</v>
      </c>
      <c r="Y32" s="35">
        <f t="shared" si="72"/>
        <v>0</v>
      </c>
      <c r="Z32" s="35">
        <f t="shared" si="72"/>
        <v>0</v>
      </c>
      <c r="AA32" s="35">
        <f t="shared" si="72"/>
        <v>0</v>
      </c>
      <c r="AG32" s="35"/>
      <c r="AH32" s="35">
        <f>SUM(AH28:AH31)</f>
        <v>0</v>
      </c>
      <c r="AI32" s="35">
        <f>SUM(AI28:AI31)</f>
        <v>0</v>
      </c>
      <c r="AJ32" s="35">
        <f>SUM(AJ28:AJ31)</f>
        <v>0</v>
      </c>
      <c r="AK32" s="35">
        <f>SUM(AK28:AK31)</f>
        <v>0</v>
      </c>
      <c r="AL32" s="35">
        <f>SUM(AL28:AL31)</f>
        <v>0</v>
      </c>
      <c r="AM32" s="35">
        <f t="shared" ref="AM32:AP32" si="73">SUM(AM28:AM31)</f>
        <v>0</v>
      </c>
      <c r="AN32" s="35">
        <f t="shared" si="73"/>
        <v>0</v>
      </c>
      <c r="AO32" s="35">
        <f t="shared" si="73"/>
        <v>0</v>
      </c>
      <c r="AP32" s="35">
        <f t="shared" si="73"/>
        <v>0</v>
      </c>
      <c r="AQ32" s="35">
        <f t="shared" ref="AQ32:BE32" si="74">SUM(AQ28:AQ31)</f>
        <v>0</v>
      </c>
      <c r="AR32" s="35">
        <f t="shared" si="74"/>
        <v>0</v>
      </c>
      <c r="AS32" s="35">
        <f t="shared" si="74"/>
        <v>0</v>
      </c>
      <c r="AT32" s="35">
        <f t="shared" si="74"/>
        <v>0</v>
      </c>
      <c r="AU32" s="35">
        <f t="shared" si="74"/>
        <v>0</v>
      </c>
      <c r="AV32" s="35">
        <f t="shared" si="74"/>
        <v>0</v>
      </c>
      <c r="AW32" s="35">
        <f t="shared" si="74"/>
        <v>0</v>
      </c>
      <c r="AX32" s="35">
        <f t="shared" si="74"/>
        <v>0</v>
      </c>
      <c r="AY32" s="35">
        <f t="shared" si="74"/>
        <v>0</v>
      </c>
      <c r="AZ32" s="35">
        <f t="shared" si="74"/>
        <v>0</v>
      </c>
      <c r="BA32" s="35">
        <f t="shared" si="74"/>
        <v>0</v>
      </c>
      <c r="BB32" s="35">
        <f t="shared" si="74"/>
        <v>0</v>
      </c>
      <c r="BC32" s="35">
        <f t="shared" si="74"/>
        <v>0</v>
      </c>
      <c r="BD32" s="35">
        <f t="shared" si="74"/>
        <v>0</v>
      </c>
      <c r="BE32" s="35">
        <f t="shared" si="74"/>
        <v>0</v>
      </c>
    </row>
    <row r="33" spans="1:57" x14ac:dyDescent="0.35">
      <c r="A33" s="46"/>
      <c r="B33" s="19"/>
      <c r="C33" s="19"/>
      <c r="D33" s="19"/>
      <c r="E33" s="19"/>
      <c r="F33" s="19"/>
      <c r="G33" s="19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G33" s="19"/>
      <c r="AH33" s="19"/>
      <c r="AI33" s="19"/>
      <c r="AJ33" s="19"/>
      <c r="AK33" s="19"/>
      <c r="AL33" s="47"/>
      <c r="AM33" s="19"/>
      <c r="AN33" s="19"/>
      <c r="AO33" s="47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</row>
    <row r="34" spans="1:57" x14ac:dyDescent="0.35">
      <c r="A34" s="48">
        <f>MAX(A$6:A33)+1</f>
        <v>17</v>
      </c>
      <c r="B34" s="34" t="s">
        <v>59</v>
      </c>
      <c r="C34" s="35"/>
      <c r="D34" s="35">
        <f>+D32+D20</f>
        <v>0</v>
      </c>
      <c r="E34" s="35">
        <f>+E32+E20</f>
        <v>0</v>
      </c>
      <c r="F34" s="35">
        <f>+F32+F20</f>
        <v>0</v>
      </c>
      <c r="G34" s="35">
        <f>+G32+G20</f>
        <v>4000000</v>
      </c>
      <c r="H34" s="35">
        <f t="shared" ref="H34:I34" si="75">+H32+H20</f>
        <v>4135200</v>
      </c>
      <c r="I34" s="35">
        <f t="shared" si="75"/>
        <v>4308051.3600000003</v>
      </c>
      <c r="J34" s="35">
        <f t="shared" ref="J34:L34" si="76">+J32+J20</f>
        <v>4488127.9068480004</v>
      </c>
      <c r="K34" s="35">
        <f t="shared" si="76"/>
        <v>4675731.6533542471</v>
      </c>
      <c r="L34" s="35">
        <f t="shared" si="76"/>
        <v>4871177.2364644548</v>
      </c>
      <c r="M34" s="35">
        <f t="shared" ref="M34:AA34" si="77">+M32+M20</f>
        <v>5074792.4449486695</v>
      </c>
      <c r="N34" s="35">
        <f t="shared" si="77"/>
        <v>5286918.7691475246</v>
      </c>
      <c r="O34" s="35">
        <f t="shared" si="77"/>
        <v>5507911.9736978915</v>
      </c>
      <c r="P34" s="35">
        <f t="shared" si="77"/>
        <v>5738142.6941984631</v>
      </c>
      <c r="Q34" s="35">
        <f t="shared" si="77"/>
        <v>5977997.0588159598</v>
      </c>
      <c r="R34" s="35">
        <f t="shared" si="77"/>
        <v>6227877.3358744672</v>
      </c>
      <c r="S34" s="35">
        <f t="shared" si="77"/>
        <v>6488202.6085140212</v>
      </c>
      <c r="T34" s="35">
        <f t="shared" si="77"/>
        <v>6759409.4775499068</v>
      </c>
      <c r="U34" s="35">
        <f t="shared" si="77"/>
        <v>7041952.7937114928</v>
      </c>
      <c r="V34" s="35">
        <f t="shared" si="77"/>
        <v>7336306.4204886341</v>
      </c>
      <c r="W34" s="35">
        <f t="shared" si="77"/>
        <v>7642964.0288650589</v>
      </c>
      <c r="X34" s="35">
        <f t="shared" si="77"/>
        <v>7962439.9252716191</v>
      </c>
      <c r="Y34" s="35">
        <f t="shared" si="77"/>
        <v>8295269.9141479731</v>
      </c>
      <c r="Z34" s="35">
        <f t="shared" si="77"/>
        <v>8642012.1965593584</v>
      </c>
      <c r="AA34" s="35">
        <f t="shared" si="77"/>
        <v>9003248.3063755389</v>
      </c>
      <c r="AG34" s="35"/>
      <c r="AH34" s="35">
        <f>+AH32+AH20</f>
        <v>0</v>
      </c>
      <c r="AI34" s="35">
        <f>+AI32+AI20</f>
        <v>0</v>
      </c>
      <c r="AJ34" s="35">
        <f>+AJ32+AJ20</f>
        <v>0</v>
      </c>
      <c r="AK34" s="35">
        <f>+AK32+AK20</f>
        <v>3809327</v>
      </c>
      <c r="AL34" s="35">
        <f t="shared" ref="AL34:AN34" si="78">+AL32+AL20</f>
        <v>3938082.2526000002</v>
      </c>
      <c r="AM34" s="35">
        <f t="shared" si="78"/>
        <v>4102694.0907586804</v>
      </c>
      <c r="AN34" s="35">
        <f t="shared" si="78"/>
        <v>4274186.7037523929</v>
      </c>
      <c r="AO34" s="35">
        <f t="shared" ref="AO34:AP34" si="79">+AO32+AO20</f>
        <v>4452847.7079692436</v>
      </c>
      <c r="AP34" s="35">
        <f t="shared" si="79"/>
        <v>4638976.742162358</v>
      </c>
      <c r="AQ34" s="35">
        <f t="shared" ref="AQ34:BE34" si="80">+AQ32+AQ20</f>
        <v>4832885.9699847456</v>
      </c>
      <c r="AR34" s="35">
        <f t="shared" si="80"/>
        <v>5034900.603530108</v>
      </c>
      <c r="AS34" s="35">
        <f t="shared" si="80"/>
        <v>5245359.4487576671</v>
      </c>
      <c r="AT34" s="35">
        <f t="shared" si="80"/>
        <v>5464615.4737157375</v>
      </c>
      <c r="AU34" s="35">
        <f t="shared" si="80"/>
        <v>5693036.4005170558</v>
      </c>
      <c r="AV34" s="35">
        <f t="shared" si="80"/>
        <v>5931005.3220586693</v>
      </c>
      <c r="AW34" s="35">
        <f t="shared" si="80"/>
        <v>6178921.3445207225</v>
      </c>
      <c r="AX34" s="35">
        <f t="shared" si="80"/>
        <v>6437200.2567216884</v>
      </c>
      <c r="AY34" s="35">
        <f t="shared" si="80"/>
        <v>6706275.2274526553</v>
      </c>
      <c r="AZ34" s="35">
        <f t="shared" si="80"/>
        <v>6986597.5319601772</v>
      </c>
      <c r="BA34" s="35">
        <f t="shared" si="80"/>
        <v>7278637.3087961124</v>
      </c>
      <c r="BB34" s="35">
        <f t="shared" si="80"/>
        <v>7582884.3483037902</v>
      </c>
      <c r="BC34" s="35">
        <f t="shared" si="80"/>
        <v>7899848.9140628893</v>
      </c>
      <c r="BD34" s="35">
        <f t="shared" si="80"/>
        <v>8230062.5986707183</v>
      </c>
      <c r="BE34" s="35">
        <f t="shared" si="80"/>
        <v>8574079.2152951527</v>
      </c>
    </row>
    <row r="35" spans="1:57" x14ac:dyDescent="0.35">
      <c r="A35" s="26"/>
      <c r="B35" s="25"/>
      <c r="C35" s="25"/>
      <c r="D35" s="25"/>
      <c r="E35" s="25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</row>
    <row r="36" spans="1:57" x14ac:dyDescent="0.35">
      <c r="A36" t="s">
        <v>16</v>
      </c>
    </row>
    <row r="41" spans="1:57" x14ac:dyDescent="0.35">
      <c r="E41" s="1">
        <f t="shared" ref="E41:AA41" si="81">ROUND(+E13,0)</f>
        <v>0</v>
      </c>
      <c r="F41" s="1">
        <f t="shared" si="81"/>
        <v>0</v>
      </c>
      <c r="G41" s="1">
        <f t="shared" si="81"/>
        <v>4000000</v>
      </c>
      <c r="H41" s="1">
        <f t="shared" si="81"/>
        <v>4135200</v>
      </c>
      <c r="I41" s="1">
        <f t="shared" si="81"/>
        <v>4308051</v>
      </c>
      <c r="J41" s="1">
        <f t="shared" si="81"/>
        <v>4488128</v>
      </c>
      <c r="K41" s="1">
        <f t="shared" si="81"/>
        <v>4675732</v>
      </c>
      <c r="L41" s="1">
        <f t="shared" si="81"/>
        <v>4871177</v>
      </c>
      <c r="M41" s="1">
        <f t="shared" si="81"/>
        <v>5074792</v>
      </c>
      <c r="N41" s="1">
        <f t="shared" si="81"/>
        <v>5286919</v>
      </c>
      <c r="O41" s="1">
        <f t="shared" si="81"/>
        <v>5507912</v>
      </c>
      <c r="P41" s="1">
        <f t="shared" si="81"/>
        <v>5738143</v>
      </c>
      <c r="Q41" s="1">
        <f t="shared" si="81"/>
        <v>5977997</v>
      </c>
      <c r="R41" s="1">
        <f t="shared" si="81"/>
        <v>6227877</v>
      </c>
      <c r="S41" s="1">
        <f t="shared" si="81"/>
        <v>6488203</v>
      </c>
      <c r="T41" s="1">
        <f t="shared" si="81"/>
        <v>6759409</v>
      </c>
      <c r="U41" s="1">
        <f t="shared" si="81"/>
        <v>7041953</v>
      </c>
      <c r="V41" s="1">
        <f t="shared" si="81"/>
        <v>7336306</v>
      </c>
      <c r="W41" s="1">
        <f t="shared" si="81"/>
        <v>7642964</v>
      </c>
      <c r="X41" s="1">
        <f t="shared" si="81"/>
        <v>7962440</v>
      </c>
      <c r="Y41" s="1">
        <f t="shared" si="81"/>
        <v>8295270</v>
      </c>
      <c r="Z41" s="1">
        <f t="shared" si="81"/>
        <v>8642012</v>
      </c>
      <c r="AA41" s="1">
        <f t="shared" si="81"/>
        <v>9003248</v>
      </c>
    </row>
    <row r="103" spans="1:57" x14ac:dyDescent="0.35">
      <c r="A103" s="85">
        <f>MAX(A$6:A102)+1</f>
        <v>18</v>
      </c>
      <c r="B103" s="72" t="s">
        <v>265</v>
      </c>
      <c r="C103" s="88">
        <f>+C20</f>
        <v>0</v>
      </c>
      <c r="D103" s="88">
        <f>+D20</f>
        <v>0</v>
      </c>
      <c r="E103" s="88">
        <f>+E20</f>
        <v>0</v>
      </c>
      <c r="F103" s="88">
        <f>+F20</f>
        <v>0</v>
      </c>
      <c r="G103" s="88">
        <f>+G20</f>
        <v>4000000</v>
      </c>
      <c r="H103" s="88">
        <f>+H20</f>
        <v>4135200</v>
      </c>
      <c r="I103" s="88">
        <f>+I20</f>
        <v>4308051.3600000003</v>
      </c>
      <c r="J103" s="88">
        <f>+J20</f>
        <v>4488127.9068480004</v>
      </c>
      <c r="K103" s="88">
        <f>+K20</f>
        <v>4675731.6533542471</v>
      </c>
      <c r="L103" s="88">
        <f>+L20</f>
        <v>4871177.2364644548</v>
      </c>
      <c r="M103" s="88">
        <f>+M20</f>
        <v>5074792.4449486695</v>
      </c>
      <c r="N103" s="88">
        <f>+N20</f>
        <v>5286918.7691475246</v>
      </c>
      <c r="O103" s="88">
        <f>+O20</f>
        <v>5507911.9736978915</v>
      </c>
      <c r="P103" s="88">
        <f>+P20</f>
        <v>5738142.6941984631</v>
      </c>
      <c r="Q103" s="88">
        <f>+Q20</f>
        <v>5977997.0588159598</v>
      </c>
      <c r="R103" s="88">
        <f>+R20</f>
        <v>6227877.3358744672</v>
      </c>
      <c r="S103" s="88">
        <f>+S20</f>
        <v>6488202.6085140212</v>
      </c>
      <c r="T103" s="88">
        <f>+T20</f>
        <v>6759409.4775499068</v>
      </c>
      <c r="U103" s="88">
        <f>+U20</f>
        <v>7041952.7937114928</v>
      </c>
      <c r="V103" s="88">
        <f>+V20</f>
        <v>7336306.4204886341</v>
      </c>
      <c r="W103" s="88">
        <f>+W20</f>
        <v>7642964.0288650589</v>
      </c>
      <c r="X103" s="88">
        <f>+X20</f>
        <v>7962439.9252716191</v>
      </c>
      <c r="Y103" s="88">
        <f>+Y20</f>
        <v>8295269.9141479731</v>
      </c>
      <c r="Z103" s="88">
        <f>+Z20</f>
        <v>8642012.1965593584</v>
      </c>
      <c r="AA103" s="88">
        <f>+AA20</f>
        <v>9003248.3063755389</v>
      </c>
      <c r="AE103" s="154" t="str">
        <f>B103</f>
        <v xml:space="preserve">PWD (Dept 28) Subtotal </v>
      </c>
      <c r="AF103" s="183"/>
      <c r="AG103" s="88">
        <f>+AG20</f>
        <v>0</v>
      </c>
      <c r="AH103" s="88">
        <f>+AH20</f>
        <v>0</v>
      </c>
      <c r="AI103" s="88">
        <f>+AI20</f>
        <v>0</v>
      </c>
      <c r="AJ103" s="88">
        <f>+AJ20</f>
        <v>0</v>
      </c>
      <c r="AK103" s="88">
        <f>+AK20</f>
        <v>3809327</v>
      </c>
      <c r="AL103" s="88">
        <f>+AL20</f>
        <v>3938082.2526000002</v>
      </c>
      <c r="AM103" s="88">
        <f>+AM20</f>
        <v>4102694.0907586804</v>
      </c>
      <c r="AN103" s="88">
        <f>+AN20</f>
        <v>4274186.7037523929</v>
      </c>
      <c r="AO103" s="88">
        <f>+AO20</f>
        <v>4452847.7079692436</v>
      </c>
      <c r="AP103" s="88">
        <f>+AP20</f>
        <v>4638976.742162358</v>
      </c>
      <c r="AQ103" s="88">
        <f>+AQ20</f>
        <v>4832885.9699847456</v>
      </c>
      <c r="AR103" s="88">
        <f>+AR20</f>
        <v>5034900.603530108</v>
      </c>
      <c r="AS103" s="88">
        <f>+AS20</f>
        <v>5245359.4487576671</v>
      </c>
      <c r="AT103" s="88">
        <f>+AT20</f>
        <v>5464615.4737157375</v>
      </c>
      <c r="AU103" s="88">
        <f>+AU20</f>
        <v>5693036.4005170558</v>
      </c>
      <c r="AV103" s="88">
        <f>+AV20</f>
        <v>5931005.3220586693</v>
      </c>
      <c r="AW103" s="88">
        <f>+AW20</f>
        <v>6178921.3445207225</v>
      </c>
      <c r="AX103" s="88">
        <f>+AX20</f>
        <v>6437200.2567216884</v>
      </c>
      <c r="AY103" s="88">
        <f>+AY20</f>
        <v>6706275.2274526553</v>
      </c>
      <c r="AZ103" s="88">
        <f>+AZ20</f>
        <v>6986597.5319601772</v>
      </c>
      <c r="BA103" s="88">
        <f>+BA20</f>
        <v>7278637.3087961124</v>
      </c>
      <c r="BB103" s="88">
        <f>+BB20</f>
        <v>7582884.3483037902</v>
      </c>
      <c r="BC103" s="88">
        <f>+BC20</f>
        <v>7899848.9140628893</v>
      </c>
      <c r="BD103" s="88">
        <f>+BD20</f>
        <v>8230062.5986707183</v>
      </c>
      <c r="BE103" s="88">
        <f>+BE20</f>
        <v>8574079.2152951527</v>
      </c>
    </row>
    <row r="104" spans="1:57" x14ac:dyDescent="0.35">
      <c r="A104" s="86"/>
      <c r="B104" s="65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G104" s="81"/>
      <c r="AH104" s="81"/>
      <c r="AI104" s="81"/>
      <c r="AJ104" s="81"/>
      <c r="AK104" s="81"/>
      <c r="AL104" s="81"/>
      <c r="AM104" s="81"/>
      <c r="AN104" s="81"/>
      <c r="AO104" s="81"/>
      <c r="AP104" s="81"/>
      <c r="AQ104" s="81"/>
      <c r="AR104" s="81"/>
      <c r="AS104" s="81"/>
      <c r="AT104" s="81"/>
      <c r="AU104" s="81"/>
      <c r="AV104" s="81"/>
      <c r="AW104" s="81"/>
      <c r="AX104" s="81"/>
      <c r="AY104" s="81"/>
      <c r="AZ104" s="81"/>
      <c r="BA104" s="81"/>
      <c r="BB104" s="81"/>
      <c r="BC104" s="81"/>
      <c r="BD104" s="81"/>
      <c r="BE104" s="81"/>
    </row>
    <row r="105" spans="1:57" x14ac:dyDescent="0.35">
      <c r="A105" s="85">
        <f>MAX(A$6:A104)+1</f>
        <v>19</v>
      </c>
      <c r="B105" s="72" t="s">
        <v>266</v>
      </c>
      <c r="C105" s="88">
        <f>+C32</f>
        <v>0</v>
      </c>
      <c r="D105" s="88">
        <f>+D32</f>
        <v>0</v>
      </c>
      <c r="E105" s="88">
        <f>+E32</f>
        <v>0</v>
      </c>
      <c r="F105" s="88">
        <f>+F32</f>
        <v>0</v>
      </c>
      <c r="G105" s="88">
        <f>+G32</f>
        <v>0</v>
      </c>
      <c r="H105" s="88">
        <f>+H32</f>
        <v>0</v>
      </c>
      <c r="I105" s="88">
        <f>+I32</f>
        <v>0</v>
      </c>
      <c r="J105" s="88">
        <f>+J32</f>
        <v>0</v>
      </c>
      <c r="K105" s="88">
        <f>+K32</f>
        <v>0</v>
      </c>
      <c r="L105" s="88">
        <f>+L32</f>
        <v>0</v>
      </c>
      <c r="M105" s="88">
        <f>+M32</f>
        <v>0</v>
      </c>
      <c r="N105" s="88">
        <f>+N32</f>
        <v>0</v>
      </c>
      <c r="O105" s="88">
        <f>+O32</f>
        <v>0</v>
      </c>
      <c r="P105" s="88">
        <f>+P32</f>
        <v>0</v>
      </c>
      <c r="Q105" s="88">
        <f>+Q32</f>
        <v>0</v>
      </c>
      <c r="R105" s="88">
        <f>+R32</f>
        <v>0</v>
      </c>
      <c r="S105" s="88">
        <f>+S32</f>
        <v>0</v>
      </c>
      <c r="T105" s="88">
        <f>+T32</f>
        <v>0</v>
      </c>
      <c r="U105" s="88">
        <f>+U32</f>
        <v>0</v>
      </c>
      <c r="V105" s="88">
        <f>+V32</f>
        <v>0</v>
      </c>
      <c r="W105" s="88">
        <f>+W32</f>
        <v>0</v>
      </c>
      <c r="X105" s="88">
        <f>+X32</f>
        <v>0</v>
      </c>
      <c r="Y105" s="88">
        <f>+Y32</f>
        <v>0</v>
      </c>
      <c r="Z105" s="88">
        <f>+Z32</f>
        <v>0</v>
      </c>
      <c r="AA105" s="88">
        <f>+AA32</f>
        <v>0</v>
      </c>
      <c r="AE105" s="154" t="str">
        <f>B105</f>
        <v>OD Subtotal</v>
      </c>
      <c r="AF105" s="183"/>
      <c r="AG105" s="88">
        <f>+AG32</f>
        <v>0</v>
      </c>
      <c r="AH105" s="88">
        <f>+AH32</f>
        <v>0</v>
      </c>
      <c r="AI105" s="88">
        <f>+AI32</f>
        <v>0</v>
      </c>
      <c r="AJ105" s="88">
        <f>+AJ32</f>
        <v>0</v>
      </c>
      <c r="AK105" s="88">
        <f>+AK32</f>
        <v>0</v>
      </c>
      <c r="AL105" s="88">
        <f>+AL32</f>
        <v>0</v>
      </c>
      <c r="AM105" s="88">
        <f>+AM32</f>
        <v>0</v>
      </c>
      <c r="AN105" s="88">
        <f>+AN32</f>
        <v>0</v>
      </c>
      <c r="AO105" s="88">
        <f>+AO32</f>
        <v>0</v>
      </c>
      <c r="AP105" s="88">
        <f>+AP32</f>
        <v>0</v>
      </c>
      <c r="AQ105" s="88">
        <f>+AQ32</f>
        <v>0</v>
      </c>
      <c r="AR105" s="88">
        <f>+AR32</f>
        <v>0</v>
      </c>
      <c r="AS105" s="88">
        <f>+AS32</f>
        <v>0</v>
      </c>
      <c r="AT105" s="88">
        <f>+AT32</f>
        <v>0</v>
      </c>
      <c r="AU105" s="88">
        <f>+AU32</f>
        <v>0</v>
      </c>
      <c r="AV105" s="88">
        <f>+AV32</f>
        <v>0</v>
      </c>
      <c r="AW105" s="88">
        <f>+AW32</f>
        <v>0</v>
      </c>
      <c r="AX105" s="88">
        <f>+AX32</f>
        <v>0</v>
      </c>
      <c r="AY105" s="88">
        <f>+AY32</f>
        <v>0</v>
      </c>
      <c r="AZ105" s="88">
        <f>+AZ32</f>
        <v>0</v>
      </c>
      <c r="BA105" s="88">
        <f>+BA32</f>
        <v>0</v>
      </c>
      <c r="BB105" s="88">
        <f>+BB32</f>
        <v>0</v>
      </c>
      <c r="BC105" s="88">
        <f>+BC32</f>
        <v>0</v>
      </c>
      <c r="BD105" s="88">
        <f>+BD32</f>
        <v>0</v>
      </c>
      <c r="BE105" s="88">
        <f>+BE32</f>
        <v>0</v>
      </c>
    </row>
    <row r="106" spans="1:57" x14ac:dyDescent="0.35">
      <c r="A106" s="87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</row>
    <row r="107" spans="1:57" x14ac:dyDescent="0.35">
      <c r="A107" s="87"/>
      <c r="B107" t="s">
        <v>267</v>
      </c>
      <c r="C107" s="78">
        <f>C34-C103-C105</f>
        <v>0</v>
      </c>
      <c r="D107" s="78">
        <f>D34-D103-D105</f>
        <v>0</v>
      </c>
      <c r="E107" s="78">
        <f>E34-E103-E105</f>
        <v>0</v>
      </c>
      <c r="F107" s="78">
        <f>F34-F103-F105</f>
        <v>0</v>
      </c>
      <c r="G107" s="78">
        <f>G34-G103-G105</f>
        <v>0</v>
      </c>
      <c r="H107" s="78">
        <f>H34-H103-H105</f>
        <v>0</v>
      </c>
      <c r="I107" s="78">
        <f>I34-I103-I105</f>
        <v>0</v>
      </c>
      <c r="J107" s="78">
        <f>J34-J103-J105</f>
        <v>0</v>
      </c>
      <c r="K107" s="78">
        <f>K34-K103-K105</f>
        <v>0</v>
      </c>
      <c r="L107" s="78">
        <f>L34-L103-L105</f>
        <v>0</v>
      </c>
      <c r="M107" s="78">
        <f>M34-M103-M105</f>
        <v>0</v>
      </c>
      <c r="N107" s="78">
        <f>N34-N103-N105</f>
        <v>0</v>
      </c>
      <c r="O107" s="78">
        <f>O34-O103-O105</f>
        <v>0</v>
      </c>
      <c r="P107" s="78">
        <f>P34-P103-P105</f>
        <v>0</v>
      </c>
      <c r="Q107" s="78">
        <f>Q34-Q103-Q105</f>
        <v>0</v>
      </c>
      <c r="R107" s="78">
        <f>R34-R103-R105</f>
        <v>0</v>
      </c>
      <c r="S107" s="78">
        <f>S34-S103-S105</f>
        <v>0</v>
      </c>
      <c r="T107" s="78">
        <f>T34-T103-T105</f>
        <v>0</v>
      </c>
      <c r="U107" s="78">
        <f>U34-U103-U105</f>
        <v>0</v>
      </c>
      <c r="V107" s="78">
        <f>V34-V103-V105</f>
        <v>0</v>
      </c>
      <c r="W107" s="78">
        <f>W34-W103-W105</f>
        <v>0</v>
      </c>
      <c r="X107" s="78">
        <f>X34-X103-X105</f>
        <v>0</v>
      </c>
      <c r="Y107" s="78">
        <f>Y34-Y103-Y105</f>
        <v>0</v>
      </c>
      <c r="Z107" s="78">
        <f>Z34-Z103-Z105</f>
        <v>0</v>
      </c>
      <c r="AA107" s="78">
        <f>AA34-AA103-AA105</f>
        <v>0</v>
      </c>
      <c r="AE107" t="str">
        <f>B107</f>
        <v xml:space="preserve">Check </v>
      </c>
      <c r="AG107" s="78">
        <f>AG34-AG103-AG105</f>
        <v>0</v>
      </c>
      <c r="AH107" s="78">
        <f>AH34-AH103-AH105</f>
        <v>0</v>
      </c>
      <c r="AI107" s="78">
        <f>AI34-AI103-AI105</f>
        <v>0</v>
      </c>
      <c r="AJ107" s="78">
        <f>AJ34-AJ103-AJ105</f>
        <v>0</v>
      </c>
      <c r="AK107" s="78">
        <f>AK34-AK103-AK105</f>
        <v>0</v>
      </c>
      <c r="AL107" s="78">
        <f>AL34-AL103-AL105</f>
        <v>0</v>
      </c>
      <c r="AM107" s="78">
        <f>AM34-AM103-AM105</f>
        <v>0</v>
      </c>
      <c r="AN107" s="78">
        <f>AN34-AN103-AN105</f>
        <v>0</v>
      </c>
      <c r="AO107" s="78">
        <f>AO34-AO103-AO105</f>
        <v>0</v>
      </c>
      <c r="AP107" s="78">
        <f>AP34-AP103-AP105</f>
        <v>0</v>
      </c>
      <c r="AQ107" s="78">
        <f>AQ34-AQ103-AQ105</f>
        <v>0</v>
      </c>
      <c r="AR107" s="78">
        <f>AR34-AR103-AR105</f>
        <v>0</v>
      </c>
      <c r="AS107" s="78">
        <f>AS34-AS103-AS105</f>
        <v>0</v>
      </c>
      <c r="AT107" s="78">
        <f>AT34-AT103-AT105</f>
        <v>0</v>
      </c>
      <c r="AU107" s="78">
        <f>AU34-AU103-AU105</f>
        <v>0</v>
      </c>
      <c r="AV107" s="78">
        <f>AV34-AV103-AV105</f>
        <v>0</v>
      </c>
      <c r="AW107" s="78">
        <f>AW34-AW103-AW105</f>
        <v>0</v>
      </c>
      <c r="AX107" s="78">
        <f>AX34-AX103-AX105</f>
        <v>0</v>
      </c>
      <c r="AY107" s="78">
        <f>AY34-AY103-AY105</f>
        <v>0</v>
      </c>
      <c r="AZ107" s="78">
        <f>AZ34-AZ103-AZ105</f>
        <v>0</v>
      </c>
      <c r="BA107" s="78">
        <f>BA34-BA103-BA105</f>
        <v>0</v>
      </c>
      <c r="BB107" s="78">
        <f>BB34-BB103-BB105</f>
        <v>0</v>
      </c>
      <c r="BC107" s="78">
        <f>BC34-BC103-BC105</f>
        <v>0</v>
      </c>
      <c r="BD107" s="78">
        <f>BD34-BD103-BD105</f>
        <v>0</v>
      </c>
      <c r="BE107" s="78">
        <f>BE34-BE103-BE105</f>
        <v>0</v>
      </c>
    </row>
  </sheetData>
  <mergeCells count="1">
    <mergeCell ref="AC1:AE1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2CD02CD-5CA2-491C-816A-28225EEADA68}">
          <x14:formula1>
            <xm:f>Assumptions!$B$6:$B$20</xm:f>
          </x14:formula1>
          <xm:sqref>AC6</xm:sqref>
        </x14:dataValidation>
        <x14:dataValidation type="list" allowBlank="1" showInputMessage="1" showErrorMessage="1" xr:uid="{D99250D2-9106-410B-9568-B6F04E9E852E}">
          <x14:formula1>
            <xm:f>Assumptions!$E$27:$E$193</xm:f>
          </x14:formula1>
          <xm:sqref>AE13 AE28:AE30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005CA3EC97C240B6A6DE541C216FC3" ma:contentTypeVersion="15" ma:contentTypeDescription="Create a new document." ma:contentTypeScope="" ma:versionID="2517a6f1ca3335858433434df49ed9af">
  <xsd:schema xmlns:xsd="http://www.w3.org/2001/XMLSchema" xmlns:xs="http://www.w3.org/2001/XMLSchema" xmlns:p="http://schemas.microsoft.com/office/2006/metadata/properties" xmlns:ns2="c1eecfb3-5e1e-4c14-a199-821554a453d0" xmlns:ns3="74a816c8-2012-4a06-9eee-7fac2e12fc01" xmlns:ns4="1ecad1bf-37b2-4fe5-8d43-af4e731dea56" targetNamespace="http://schemas.microsoft.com/office/2006/metadata/properties" ma:root="true" ma:fieldsID="2c671242afc96f9d4cdcc99b3c73aeb4" ns2:_="" ns3:_="" ns4:_="">
    <xsd:import namespace="c1eecfb3-5e1e-4c14-a199-821554a453d0"/>
    <xsd:import namespace="74a816c8-2012-4a06-9eee-7fac2e12fc01"/>
    <xsd:import namespace="1ecad1bf-37b2-4fe5-8d43-af4e731dea5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ecfb3-5e1e-4c14-a199-821554a4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16c8-2012-4a06-9eee-7fac2e12fc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ad1bf-37b2-4fe5-8d43-af4e731dea5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84a3c7f-f0c9-4c06-880c-e92bf7e68a2c}" ma:internalName="TaxCatchAll" ma:showField="CatchAllData" ma:web="c1eecfb3-5e1e-4c14-a199-821554a4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lcf76f155ced4ddcb4097134ff3c332f xmlns="74a816c8-2012-4a06-9eee-7fac2e12fc01">
      <Terms xmlns="http://schemas.microsoft.com/office/infopath/2007/PartnerControls"/>
    </lcf76f155ced4ddcb4097134ff3c332f>
    <TaxCatchAll xmlns="1ecad1bf-37b2-4fe5-8d43-af4e731dea5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722030-7DFC-49E8-81A4-5A19458259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ecfb3-5e1e-4c14-a199-821554a453d0"/>
    <ds:schemaRef ds:uri="74a816c8-2012-4a06-9eee-7fac2e12fc01"/>
    <ds:schemaRef ds:uri="1ecad1bf-37b2-4fe5-8d43-af4e731dea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98ED1C-DADD-419A-BF60-33C4669536F6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d59613a8-d12d-4524-84d0-4c9d658e1732"/>
    <ds:schemaRef ds:uri="http://www.w3.org/XML/1998/namespace"/>
    <ds:schemaRef ds:uri="http://purl.org/dc/dcmitype/"/>
    <ds:schemaRef ds:uri="74a816c8-2012-4a06-9eee-7fac2e12fc01"/>
    <ds:schemaRef ds:uri="1ecad1bf-37b2-4fe5-8d43-af4e731dea56"/>
  </ds:schemaRefs>
</ds:datastoreItem>
</file>

<file path=customXml/itemProps3.xml><?xml version="1.0" encoding="utf-8"?>
<ds:datastoreItem xmlns:ds="http://schemas.openxmlformats.org/officeDocument/2006/customXml" ds:itemID="{901C14E7-29D7-4F8F-8C3C-B974282832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OM Adj 1</vt:lpstr>
      <vt:lpstr>OM Adj 2</vt:lpstr>
      <vt:lpstr>OM Adj 3</vt:lpstr>
      <vt:lpstr>OM Adj 4</vt:lpstr>
      <vt:lpstr>OM Adj 5</vt:lpstr>
      <vt:lpstr>OM Adj 6</vt:lpstr>
      <vt:lpstr>OM Adj 7</vt:lpstr>
      <vt:lpstr>OM Adj 8</vt:lpstr>
      <vt:lpstr>OM Adj 9</vt:lpstr>
      <vt:lpstr>OM Adj 10</vt:lpstr>
      <vt:lpstr>OM Adj 11</vt:lpstr>
      <vt:lpstr>Pension &amp; Fringes Ratio</vt:lpstr>
      <vt:lpstr>TOTAL</vt:lpstr>
      <vt:lpstr>Assumptions</vt:lpstr>
    </vt:vector>
  </TitlesOfParts>
  <Manager/>
  <Company>Black &amp; Veatch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Black &amp; Veatch</dc:creator>
  <cp:keywords/>
  <dc:description/>
  <cp:lastModifiedBy>Jagt, Dave A.</cp:lastModifiedBy>
  <cp:revision/>
  <dcterms:created xsi:type="dcterms:W3CDTF">2015-07-09T16:05:02Z</dcterms:created>
  <dcterms:modified xsi:type="dcterms:W3CDTF">2025-04-21T17:49:36Z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0x01010058005CA3EC97C240B6A6DE541C216FC3</vt:lpwstr>
  </property>
  <property fmtid="{D5CDD505-2E9C-101B-9397-08002B2CF9AE}" pid="3" name="Order">
    <vt:r8>128000</vt:r8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MediaServiceImageTags">
    <vt:lpwstr/>
  </property>
</Properties>
</file>