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6 to FY 2027 Rate Proceeding/General Rate Proceeding Discovery/PA-SET-III/"/>
    </mc:Choice>
  </mc:AlternateContent>
  <xr:revisionPtr revIDLastSave="236" documentId="13_ncr:1_{A314D98D-BD7C-4B95-BDCD-FC5C22D084C8}" xr6:coauthVersionLast="47" xr6:coauthVersionMax="47" xr10:uidLastSave="{A14794C2-7FCE-4F69-9A8A-D92F86F0A80A}"/>
  <bookViews>
    <workbookView xWindow="28680" yWindow="-120" windowWidth="29040" windowHeight="15840" tabRatio="667" xr2:uid="{00000000-000D-0000-FFFF-FFFF00000000}"/>
  </bookViews>
  <sheets>
    <sheet name="Summary" sheetId="23" r:id="rId1"/>
    <sheet name="2025 Bill Detail" sheetId="20" r:id="rId2"/>
    <sheet name="2026 Bill Detail" sheetId="18" r:id="rId3"/>
    <sheet name="2027 Bill Detail" sheetId="29" r:id="rId4"/>
    <sheet name="Press Release" sheetId="12" r:id="rId5"/>
    <sheet name="Water Charges" sheetId="2" r:id="rId6"/>
    <sheet name="Wastewater Charges" sheetId="1" r:id="rId7"/>
    <sheet name="Service Charge Summary" sheetId="19" state="hidden" r:id="rId8"/>
    <sheet name="Typical Res Bills TOTAL" sheetId="3" r:id="rId9"/>
    <sheet name="Typ Non Res Bill TOTAL PARCEL" sheetId="10" r:id="rId10"/>
    <sheet name="Typical Bills WATER" sheetId="5" r:id="rId11"/>
    <sheet name="Typical Bills SANITARY" sheetId="4" r:id="rId12"/>
    <sheet name="Typical Res Bills SW" sheetId="7" r:id="rId13"/>
    <sheet name="Typical Non-Res Bills SW" sheetId="11" r:id="rId14"/>
    <sheet name="Inputs" sheetId="15" state="hidden" r:id="rId15"/>
    <sheet name="REPORT Typical Res Bills TOTAL " sheetId="27" r:id="rId16"/>
    <sheet name="REPORT Typ Non Res Bill TOTAL" sheetId="28" r:id="rId17"/>
  </sheets>
  <externalReferences>
    <externalReference r:id="rId18"/>
  </externalReferences>
  <definedNames>
    <definedName name="Client">[1]TOC!$C$2</definedName>
    <definedName name="_xlnm.Print_Area" localSheetId="4">'Press Release'!$C$1:$I$41</definedName>
    <definedName name="_xlnm.Print_Area" localSheetId="16">'REPORT Typ Non Res Bill TOTAL'!$B$2:$H$68</definedName>
    <definedName name="_xlnm.Print_Area" localSheetId="15">'REPORT Typical Res Bills TOTAL '!$B$2:$F$45</definedName>
    <definedName name="_xlnm.Print_Area" localSheetId="7">'Service Charge Summary'!$B$2:$S$37</definedName>
    <definedName name="_xlnm.Print_Area" localSheetId="9">'Typ Non Res Bill TOTAL PARCEL'!$B$2:$K$67</definedName>
    <definedName name="_xlnm.Print_Area" localSheetId="13">'Typical Non-Res Bills SW'!$B$1:$H$61</definedName>
    <definedName name="_xlnm.Print_Area" localSheetId="8">'Typical Res Bills TOTAL'!$B$2:$I$38</definedName>
    <definedName name="_xlnm.Print_Area" localSheetId="6">'Wastewater Charges'!$B$1:$Z$58</definedName>
    <definedName name="_xlnm.Print_Area" localSheetId="5">'Water Charges'!$B$2:$M$44</definedName>
    <definedName name="Title">[1]TOC!$C$4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N17" i="3" s="1"/>
  <c r="L17" i="3"/>
  <c r="M17" i="3"/>
  <c r="Q17" i="3"/>
  <c r="R17" i="3"/>
  <c r="S17" i="3"/>
  <c r="T17" i="3"/>
  <c r="W17" i="3"/>
  <c r="Z17" i="3" s="1"/>
  <c r="X17" i="3"/>
  <c r="Y17" i="3"/>
  <c r="K18" i="3"/>
  <c r="N18" i="3" s="1"/>
  <c r="O18" i="3" s="1"/>
  <c r="L18" i="3"/>
  <c r="M18" i="3"/>
  <c r="Q18" i="3"/>
  <c r="R18" i="3"/>
  <c r="S18" i="3"/>
  <c r="T18" i="3"/>
  <c r="U18" i="3" s="1"/>
  <c r="W18" i="3"/>
  <c r="Z18" i="3" s="1"/>
  <c r="AA18" i="3" s="1"/>
  <c r="X18" i="3"/>
  <c r="Y18" i="3"/>
  <c r="K20" i="3"/>
  <c r="L20" i="3"/>
  <c r="N20" i="3" s="1"/>
  <c r="M20" i="3"/>
  <c r="Q20" i="3"/>
  <c r="R20" i="3"/>
  <c r="S20" i="3"/>
  <c r="T20" i="3"/>
  <c r="W20" i="3"/>
  <c r="Z20" i="3" s="1"/>
  <c r="X20" i="3"/>
  <c r="Y20" i="3"/>
  <c r="K22" i="3"/>
  <c r="L22" i="3"/>
  <c r="N22" i="3" s="1"/>
  <c r="M22" i="3"/>
  <c r="Q22" i="3"/>
  <c r="R22" i="3"/>
  <c r="S22" i="3"/>
  <c r="T22" i="3"/>
  <c r="W22" i="3"/>
  <c r="Z22" i="3" s="1"/>
  <c r="X22" i="3"/>
  <c r="Y22" i="3"/>
  <c r="N24" i="20"/>
  <c r="D25" i="20"/>
  <c r="F25" i="20"/>
  <c r="J25" i="20"/>
  <c r="K25" i="20"/>
  <c r="Q30" i="20" s="1"/>
  <c r="L25" i="20"/>
  <c r="D26" i="20"/>
  <c r="J26" i="20"/>
  <c r="L26" i="20" s="1"/>
  <c r="K26" i="20"/>
  <c r="D27" i="20"/>
  <c r="J27" i="20"/>
  <c r="L27" i="20" s="1"/>
  <c r="K27" i="20"/>
  <c r="D28" i="20"/>
  <c r="J28" i="20"/>
  <c r="K28" i="20"/>
  <c r="L28" i="20"/>
  <c r="J29" i="20"/>
  <c r="L29" i="20" s="1"/>
  <c r="K29" i="20"/>
  <c r="J30" i="20"/>
  <c r="K30" i="20"/>
  <c r="L30" i="20"/>
  <c r="P30" i="20"/>
  <c r="D31" i="20"/>
  <c r="F31" i="20"/>
  <c r="J31" i="20"/>
  <c r="K31" i="20"/>
  <c r="L31" i="20"/>
  <c r="P31" i="20"/>
  <c r="T31" i="20"/>
  <c r="J32" i="20"/>
  <c r="K32" i="20"/>
  <c r="L32" i="20"/>
  <c r="P32" i="20"/>
  <c r="Q32" i="20"/>
  <c r="R32" i="20"/>
  <c r="J33" i="20"/>
  <c r="L33" i="20" s="1"/>
  <c r="K33" i="20"/>
  <c r="P33" i="20"/>
  <c r="Q33" i="20"/>
  <c r="R33" i="20"/>
  <c r="J34" i="20"/>
  <c r="K34" i="20"/>
  <c r="L34" i="20"/>
  <c r="C35" i="20"/>
  <c r="E35" i="20"/>
  <c r="J35" i="20"/>
  <c r="L35" i="20" s="1"/>
  <c r="K35" i="20"/>
  <c r="M54" i="19"/>
  <c r="M57" i="19"/>
  <c r="M58" i="19"/>
  <c r="M59" i="19"/>
  <c r="M60" i="19"/>
  <c r="F57" i="19"/>
  <c r="F58" i="19"/>
  <c r="F59" i="19"/>
  <c r="F60" i="19"/>
  <c r="F54" i="19"/>
  <c r="F50" i="19"/>
  <c r="F42" i="19"/>
  <c r="F43" i="19"/>
  <c r="F44" i="19"/>
  <c r="F45" i="19"/>
  <c r="F46" i="19"/>
  <c r="F39" i="19"/>
  <c r="R30" i="20" l="1"/>
  <c r="Q31" i="20"/>
  <c r="R31" i="20" s="1"/>
  <c r="F10" i="12"/>
  <c r="G10" i="12"/>
  <c r="G22" i="12"/>
  <c r="G34" i="12"/>
  <c r="F34" i="12"/>
  <c r="B31" i="3"/>
  <c r="B62" i="10"/>
  <c r="D48" i="2"/>
  <c r="E35" i="19" l="1"/>
  <c r="D35" i="19"/>
  <c r="B18" i="28" l="1"/>
  <c r="C18" i="28"/>
  <c r="D18" i="28"/>
  <c r="E18" i="28"/>
  <c r="B19" i="28"/>
  <c r="C19" i="28"/>
  <c r="D19" i="28"/>
  <c r="E19" i="28"/>
  <c r="B31" i="27"/>
  <c r="B61" i="10"/>
  <c r="B30" i="3"/>
  <c r="D124" i="2" l="1"/>
  <c r="E124" i="2"/>
  <c r="N24" i="18" s="1"/>
  <c r="F124" i="2"/>
  <c r="N24" i="29" s="1"/>
  <c r="AF14" i="20"/>
  <c r="B20" i="10"/>
  <c r="C20" i="10"/>
  <c r="D20" i="10"/>
  <c r="E20" i="10"/>
  <c r="B20" i="11"/>
  <c r="C20" i="11"/>
  <c r="F20" i="11"/>
  <c r="G20" i="11"/>
  <c r="AF14" i="18" s="1"/>
  <c r="I20" i="11"/>
  <c r="AF14" i="29" s="1"/>
  <c r="B20" i="4"/>
  <c r="C20" i="4"/>
  <c r="U20" i="4" s="1"/>
  <c r="AF8" i="29" s="1"/>
  <c r="O20" i="4"/>
  <c r="P20" i="4"/>
  <c r="Q20" i="4"/>
  <c r="S20" i="4"/>
  <c r="AF8" i="20" s="1"/>
  <c r="S20" i="5"/>
  <c r="R20" i="5"/>
  <c r="Q20" i="5"/>
  <c r="L20" i="5"/>
  <c r="B20" i="3"/>
  <c r="C20" i="3"/>
  <c r="B62" i="28"/>
  <c r="B61" i="28"/>
  <c r="B30" i="27"/>
  <c r="P32" i="29"/>
  <c r="P31" i="29"/>
  <c r="G50" i="2"/>
  <c r="K36" i="2"/>
  <c r="AA28" i="19" s="1"/>
  <c r="D27" i="29"/>
  <c r="K35" i="2"/>
  <c r="AA27" i="19" s="1"/>
  <c r="L34" i="2"/>
  <c r="AB26" i="19" s="1"/>
  <c r="D26" i="18"/>
  <c r="F25" i="19"/>
  <c r="E25" i="19"/>
  <c r="F19" i="19"/>
  <c r="S51" i="5"/>
  <c r="S44" i="5"/>
  <c r="S40" i="5"/>
  <c r="S37" i="5"/>
  <c r="F11" i="19"/>
  <c r="F10" i="19"/>
  <c r="J26" i="29"/>
  <c r="S15" i="5"/>
  <c r="S24" i="5"/>
  <c r="C35" i="29"/>
  <c r="M26" i="19"/>
  <c r="L35" i="2"/>
  <c r="AB27" i="19" s="1"/>
  <c r="M67" i="19"/>
  <c r="G25" i="7"/>
  <c r="M14" i="19"/>
  <c r="M9" i="19"/>
  <c r="K28" i="29"/>
  <c r="M12" i="19"/>
  <c r="AJ12" i="19"/>
  <c r="AJ13" i="19"/>
  <c r="AJ10" i="19"/>
  <c r="AJ9" i="19"/>
  <c r="C20" i="27"/>
  <c r="B20" i="27"/>
  <c r="B59" i="28"/>
  <c r="B63" i="28"/>
  <c r="B65" i="28"/>
  <c r="B66" i="28"/>
  <c r="B58" i="28"/>
  <c r="J52" i="28"/>
  <c r="J47" i="28"/>
  <c r="J42" i="28"/>
  <c r="J37" i="28"/>
  <c r="J32" i="28"/>
  <c r="J27" i="28"/>
  <c r="I9" i="28"/>
  <c r="I11" i="28"/>
  <c r="J10" i="28"/>
  <c r="I10" i="28"/>
  <c r="B32" i="27"/>
  <c r="B34" i="27"/>
  <c r="B37" i="27"/>
  <c r="B19" i="27"/>
  <c r="C19" i="27"/>
  <c r="G9" i="27"/>
  <c r="H11" i="27"/>
  <c r="G11" i="27"/>
  <c r="G12" i="27"/>
  <c r="B60" i="28"/>
  <c r="B29" i="27"/>
  <c r="F98" i="2"/>
  <c r="T31" i="29"/>
  <c r="T31" i="18"/>
  <c r="I9" i="10"/>
  <c r="D10" i="12"/>
  <c r="D22" i="12" s="1"/>
  <c r="D34" i="12" s="1"/>
  <c r="F31" i="29"/>
  <c r="D31" i="29"/>
  <c r="I9" i="11"/>
  <c r="G9" i="7"/>
  <c r="G9" i="4"/>
  <c r="U11" i="4"/>
  <c r="Q11" i="4"/>
  <c r="G9" i="5"/>
  <c r="W11" i="5"/>
  <c r="S11" i="5"/>
  <c r="G9" i="3"/>
  <c r="W11" i="3" s="1"/>
  <c r="M5" i="19"/>
  <c r="F5" i="19"/>
  <c r="E5" i="19"/>
  <c r="F76" i="2"/>
  <c r="F63" i="2"/>
  <c r="L28" i="2"/>
  <c r="B50" i="2"/>
  <c r="F28" i="2"/>
  <c r="F8" i="2"/>
  <c r="Y22" i="1"/>
  <c r="Y10" i="1"/>
  <c r="Q19" i="1"/>
  <c r="Q10" i="1"/>
  <c r="G38" i="1"/>
  <c r="K30" i="1"/>
  <c r="G30" i="1"/>
  <c r="G10" i="1"/>
  <c r="G4" i="23"/>
  <c r="C1" i="29"/>
  <c r="B21" i="3"/>
  <c r="C21" i="3"/>
  <c r="E19" i="10"/>
  <c r="D19" i="10"/>
  <c r="C19" i="10"/>
  <c r="B19" i="10"/>
  <c r="B19" i="11"/>
  <c r="C19" i="11"/>
  <c r="F19" i="11"/>
  <c r="B19" i="7"/>
  <c r="C19" i="7"/>
  <c r="D19" i="7"/>
  <c r="B19" i="4"/>
  <c r="O19" i="4" s="1"/>
  <c r="C19" i="4"/>
  <c r="S19" i="4" s="1"/>
  <c r="L19" i="5"/>
  <c r="M19" i="5"/>
  <c r="Q19" i="5"/>
  <c r="F12" i="27"/>
  <c r="F11" i="27"/>
  <c r="E12" i="27"/>
  <c r="E11" i="27"/>
  <c r="D12" i="27"/>
  <c r="D11" i="27"/>
  <c r="C12" i="27"/>
  <c r="C11" i="27"/>
  <c r="B12" i="27"/>
  <c r="B11" i="27"/>
  <c r="H11" i="28"/>
  <c r="H10" i="28"/>
  <c r="G11" i="28"/>
  <c r="G10" i="28"/>
  <c r="F11" i="28"/>
  <c r="F10" i="28"/>
  <c r="E11" i="28"/>
  <c r="E10" i="28"/>
  <c r="D11" i="28"/>
  <c r="D10" i="28"/>
  <c r="C11" i="28"/>
  <c r="C10" i="28"/>
  <c r="B11" i="28"/>
  <c r="B10" i="28"/>
  <c r="E56" i="28"/>
  <c r="D56" i="28"/>
  <c r="C56" i="28"/>
  <c r="B56" i="28"/>
  <c r="E55" i="28"/>
  <c r="D55" i="28"/>
  <c r="C55" i="28"/>
  <c r="B55" i="28"/>
  <c r="E54" i="28"/>
  <c r="D54" i="28"/>
  <c r="C54" i="28"/>
  <c r="B54" i="28"/>
  <c r="E53" i="28"/>
  <c r="D53" i="28"/>
  <c r="C53" i="28"/>
  <c r="B53" i="28"/>
  <c r="E51" i="28"/>
  <c r="D51" i="28"/>
  <c r="C51" i="28"/>
  <c r="B51" i="28"/>
  <c r="E50" i="28"/>
  <c r="D50" i="28"/>
  <c r="C50" i="28"/>
  <c r="B50" i="28"/>
  <c r="E49" i="28"/>
  <c r="D49" i="28"/>
  <c r="C49" i="28"/>
  <c r="B49" i="28"/>
  <c r="E48" i="28"/>
  <c r="D48" i="28"/>
  <c r="C48" i="28"/>
  <c r="B48" i="28"/>
  <c r="E46" i="28"/>
  <c r="D46" i="28"/>
  <c r="C46" i="28"/>
  <c r="B46" i="28"/>
  <c r="E45" i="28"/>
  <c r="D45" i="28"/>
  <c r="C45" i="28"/>
  <c r="B45" i="28"/>
  <c r="E44" i="28"/>
  <c r="D44" i="28"/>
  <c r="C44" i="28"/>
  <c r="B44" i="28"/>
  <c r="E43" i="28"/>
  <c r="D43" i="28"/>
  <c r="C43" i="28"/>
  <c r="B43" i="28"/>
  <c r="E41" i="28"/>
  <c r="D41" i="28"/>
  <c r="C41" i="28"/>
  <c r="B41" i="28"/>
  <c r="E40" i="28"/>
  <c r="D40" i="28"/>
  <c r="C40" i="28"/>
  <c r="B40" i="28"/>
  <c r="E39" i="28"/>
  <c r="D39" i="28"/>
  <c r="C39" i="28"/>
  <c r="B39" i="28"/>
  <c r="E38" i="28"/>
  <c r="D38" i="28"/>
  <c r="C38" i="28"/>
  <c r="B38" i="28"/>
  <c r="E36" i="28"/>
  <c r="D36" i="28"/>
  <c r="C36" i="28"/>
  <c r="B36" i="28"/>
  <c r="E35" i="28"/>
  <c r="D35" i="28"/>
  <c r="C35" i="28"/>
  <c r="B35" i="28"/>
  <c r="E34" i="28"/>
  <c r="D34" i="28"/>
  <c r="C34" i="28"/>
  <c r="B34" i="28"/>
  <c r="E33" i="28"/>
  <c r="C33" i="28"/>
  <c r="B33" i="28"/>
  <c r="E31" i="28"/>
  <c r="D31" i="28"/>
  <c r="C31" i="28"/>
  <c r="B31" i="28"/>
  <c r="E30" i="28"/>
  <c r="D30" i="28"/>
  <c r="C30" i="28"/>
  <c r="B30" i="28"/>
  <c r="E29" i="28"/>
  <c r="D29" i="28"/>
  <c r="C29" i="28"/>
  <c r="B29" i="28"/>
  <c r="E28" i="28"/>
  <c r="D28" i="28"/>
  <c r="C28" i="28"/>
  <c r="B28" i="28"/>
  <c r="E26" i="28"/>
  <c r="D26" i="28"/>
  <c r="C26" i="28"/>
  <c r="B26" i="28"/>
  <c r="E25" i="28"/>
  <c r="D25" i="28"/>
  <c r="C25" i="28"/>
  <c r="B25" i="28"/>
  <c r="E24" i="28"/>
  <c r="D24" i="28"/>
  <c r="C24" i="28"/>
  <c r="B24" i="28"/>
  <c r="E23" i="28"/>
  <c r="D23" i="28"/>
  <c r="C23" i="28"/>
  <c r="B23" i="28"/>
  <c r="E22" i="28"/>
  <c r="D22" i="28"/>
  <c r="C22" i="28"/>
  <c r="B22" i="28"/>
  <c r="E21" i="28"/>
  <c r="D21" i="28"/>
  <c r="C21" i="28"/>
  <c r="B21" i="28"/>
  <c r="E20" i="28"/>
  <c r="D20" i="28"/>
  <c r="C20" i="28"/>
  <c r="B20" i="28"/>
  <c r="E17" i="28"/>
  <c r="C17" i="28"/>
  <c r="B17" i="28"/>
  <c r="E16" i="28"/>
  <c r="C16" i="28"/>
  <c r="B16" i="28"/>
  <c r="E15" i="28"/>
  <c r="C15" i="28"/>
  <c r="B15" i="28"/>
  <c r="E14" i="28"/>
  <c r="C14" i="28"/>
  <c r="B14" i="28"/>
  <c r="G9" i="28"/>
  <c r="F9" i="28"/>
  <c r="C26" i="27"/>
  <c r="B26" i="27"/>
  <c r="C25" i="27"/>
  <c r="B25" i="27"/>
  <c r="C24" i="27"/>
  <c r="B24" i="27"/>
  <c r="C23" i="27"/>
  <c r="B23" i="27"/>
  <c r="C22" i="27"/>
  <c r="B22" i="27"/>
  <c r="C21" i="27"/>
  <c r="B21" i="27"/>
  <c r="C18" i="27"/>
  <c r="B18" i="27"/>
  <c r="C17" i="27"/>
  <c r="B17" i="27"/>
  <c r="C16" i="27"/>
  <c r="B16" i="27"/>
  <c r="C15" i="27"/>
  <c r="B15" i="27"/>
  <c r="E9" i="27"/>
  <c r="D9" i="27"/>
  <c r="AG26" i="19"/>
  <c r="AG27" i="19"/>
  <c r="AG28" i="19"/>
  <c r="AG25" i="19"/>
  <c r="AK19" i="19"/>
  <c r="AK18" i="19"/>
  <c r="AK17" i="19"/>
  <c r="AK16" i="19"/>
  <c r="AK15" i="19"/>
  <c r="D9" i="12"/>
  <c r="D21" i="12"/>
  <c r="D33" i="12" s="1"/>
  <c r="E9" i="4"/>
  <c r="H11" i="4" s="1"/>
  <c r="B49" i="2"/>
  <c r="B48" i="2"/>
  <c r="K28" i="2"/>
  <c r="J28" i="2"/>
  <c r="F38" i="1"/>
  <c r="E38" i="1"/>
  <c r="F48" i="2"/>
  <c r="G9" i="11"/>
  <c r="J11" i="11" s="1"/>
  <c r="B14" i="11"/>
  <c r="C14" i="11"/>
  <c r="D14" i="11"/>
  <c r="D15" i="10" s="1"/>
  <c r="B15" i="11"/>
  <c r="C15" i="11"/>
  <c r="D15" i="11"/>
  <c r="B16" i="11"/>
  <c r="C16" i="11"/>
  <c r="D16" i="11"/>
  <c r="F16" i="11"/>
  <c r="B17" i="11"/>
  <c r="C17" i="11"/>
  <c r="D17" i="11"/>
  <c r="F17" i="11"/>
  <c r="B18" i="11"/>
  <c r="C18" i="11"/>
  <c r="D18" i="11"/>
  <c r="B21" i="11"/>
  <c r="C21" i="11"/>
  <c r="F21" i="11"/>
  <c r="B22" i="11"/>
  <c r="C22" i="11"/>
  <c r="F22" i="11"/>
  <c r="B23" i="11"/>
  <c r="C23" i="11"/>
  <c r="F23" i="11"/>
  <c r="B24" i="11"/>
  <c r="C24" i="11"/>
  <c r="F24" i="11"/>
  <c r="B25" i="11"/>
  <c r="C25" i="11"/>
  <c r="F25" i="11"/>
  <c r="B26" i="11"/>
  <c r="C26" i="11"/>
  <c r="F26" i="11"/>
  <c r="B27" i="11"/>
  <c r="C27" i="11"/>
  <c r="F27" i="11"/>
  <c r="B29" i="11"/>
  <c r="C29" i="11"/>
  <c r="F29" i="11"/>
  <c r="B30" i="11"/>
  <c r="C30" i="11"/>
  <c r="F30" i="11"/>
  <c r="B31" i="11"/>
  <c r="C31" i="11"/>
  <c r="F31" i="11"/>
  <c r="B32" i="11"/>
  <c r="C32" i="11"/>
  <c r="F32" i="11"/>
  <c r="B34" i="11"/>
  <c r="C34" i="11"/>
  <c r="D34" i="11"/>
  <c r="D33" i="28" s="1"/>
  <c r="B35" i="11"/>
  <c r="C35" i="11"/>
  <c r="F35" i="11"/>
  <c r="B36" i="11"/>
  <c r="C36" i="11"/>
  <c r="F36" i="11"/>
  <c r="B37" i="11"/>
  <c r="C37" i="11"/>
  <c r="F37" i="11"/>
  <c r="B39" i="11"/>
  <c r="C39" i="11"/>
  <c r="F39" i="11"/>
  <c r="B40" i="11"/>
  <c r="C40" i="11"/>
  <c r="F40" i="11"/>
  <c r="B41" i="11"/>
  <c r="C41" i="11"/>
  <c r="F41" i="11"/>
  <c r="B42" i="11"/>
  <c r="C42" i="11"/>
  <c r="F42" i="11"/>
  <c r="B44" i="11"/>
  <c r="C44" i="11"/>
  <c r="F44" i="11"/>
  <c r="B45" i="11"/>
  <c r="C45" i="11"/>
  <c r="F45" i="11"/>
  <c r="B46" i="11"/>
  <c r="C46" i="11"/>
  <c r="F46" i="11"/>
  <c r="B47" i="11"/>
  <c r="C47" i="11"/>
  <c r="F47" i="11"/>
  <c r="B49" i="11"/>
  <c r="C49" i="11"/>
  <c r="F49" i="11"/>
  <c r="B50" i="11"/>
  <c r="C50" i="11"/>
  <c r="F50" i="11"/>
  <c r="B51" i="11"/>
  <c r="C51" i="11"/>
  <c r="F51" i="11"/>
  <c r="B52" i="11"/>
  <c r="C52" i="11"/>
  <c r="F52" i="11"/>
  <c r="B54" i="11"/>
  <c r="C54" i="11"/>
  <c r="F54" i="11"/>
  <c r="B55" i="11"/>
  <c r="C55" i="11"/>
  <c r="F55" i="11"/>
  <c r="B56" i="11"/>
  <c r="C56" i="11"/>
  <c r="F56" i="11"/>
  <c r="B57" i="11"/>
  <c r="C57" i="11"/>
  <c r="F57" i="11"/>
  <c r="D70" i="11"/>
  <c r="D74" i="11"/>
  <c r="D9" i="7"/>
  <c r="E9" i="7"/>
  <c r="H11" i="7" s="1"/>
  <c r="B14" i="7"/>
  <c r="C14" i="7"/>
  <c r="D14" i="7"/>
  <c r="B15" i="7"/>
  <c r="C15" i="7"/>
  <c r="D15" i="7"/>
  <c r="M16" i="27" s="1"/>
  <c r="B16" i="7"/>
  <c r="C16" i="7"/>
  <c r="D16" i="7"/>
  <c r="M17" i="27" s="1"/>
  <c r="B17" i="7"/>
  <c r="C17" i="7"/>
  <c r="D17" i="7"/>
  <c r="B18" i="7"/>
  <c r="C18" i="7"/>
  <c r="D18" i="7"/>
  <c r="M19" i="27" s="1"/>
  <c r="B20" i="7"/>
  <c r="C20" i="7"/>
  <c r="D20" i="7"/>
  <c r="M20" i="2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D9" i="4"/>
  <c r="O11" i="4"/>
  <c r="P11" i="4"/>
  <c r="S11" i="4"/>
  <c r="T11" i="4"/>
  <c r="B14" i="4"/>
  <c r="O14" i="4" s="1"/>
  <c r="C14" i="4"/>
  <c r="S14" i="4" s="1"/>
  <c r="B15" i="4"/>
  <c r="P15" i="4" s="1"/>
  <c r="C15" i="4"/>
  <c r="U15" i="4" s="1"/>
  <c r="B16" i="4"/>
  <c r="C16" i="4"/>
  <c r="S16" i="4" s="1"/>
  <c r="X8" i="20" s="1"/>
  <c r="B17" i="4"/>
  <c r="Q17" i="4" s="1"/>
  <c r="C17" i="4"/>
  <c r="S17" i="4" s="1"/>
  <c r="B18" i="4"/>
  <c r="Q18" i="4" s="1"/>
  <c r="C18" i="4"/>
  <c r="S18" i="4" s="1"/>
  <c r="L8" i="20" s="1"/>
  <c r="E6" i="23" s="1"/>
  <c r="B21" i="4"/>
  <c r="O21" i="4" s="1"/>
  <c r="C21" i="4"/>
  <c r="S21" i="4" s="1"/>
  <c r="B22" i="4"/>
  <c r="O22" i="4" s="1"/>
  <c r="C22" i="4"/>
  <c r="S22" i="4" s="1"/>
  <c r="B23" i="4"/>
  <c r="O23" i="4" s="1"/>
  <c r="C23" i="4"/>
  <c r="S23" i="4" s="1"/>
  <c r="B24" i="4"/>
  <c r="Q24" i="4" s="1"/>
  <c r="C24" i="4"/>
  <c r="S24" i="4" s="1"/>
  <c r="B25" i="4"/>
  <c r="O25" i="4" s="1"/>
  <c r="C25" i="4"/>
  <c r="S25" i="4" s="1"/>
  <c r="B26" i="4"/>
  <c r="O26" i="4" s="1"/>
  <c r="C26" i="4"/>
  <c r="S26" i="4" s="1"/>
  <c r="B27" i="4"/>
  <c r="O27" i="4" s="1"/>
  <c r="C27" i="4"/>
  <c r="S27" i="4" s="1"/>
  <c r="B29" i="4"/>
  <c r="O29" i="4" s="1"/>
  <c r="C29" i="4"/>
  <c r="S29" i="4" s="1"/>
  <c r="B30" i="4"/>
  <c r="P30" i="4" s="1"/>
  <c r="C30" i="4"/>
  <c r="S30" i="4" s="1"/>
  <c r="B31" i="4"/>
  <c r="O31" i="4" s="1"/>
  <c r="C31" i="4"/>
  <c r="U31" i="4" s="1"/>
  <c r="B32" i="4"/>
  <c r="Q32" i="4" s="1"/>
  <c r="C32" i="4"/>
  <c r="S32" i="4" s="1"/>
  <c r="B34" i="4"/>
  <c r="Q34" i="4" s="1"/>
  <c r="C34" i="4"/>
  <c r="T34" i="4" s="1"/>
  <c r="B35" i="4"/>
  <c r="P35" i="4" s="1"/>
  <c r="C35" i="4"/>
  <c r="S35" i="4" s="1"/>
  <c r="B36" i="4"/>
  <c r="P36" i="4" s="1"/>
  <c r="C36" i="4"/>
  <c r="S36" i="4" s="1"/>
  <c r="B37" i="4"/>
  <c r="Q37" i="4" s="1"/>
  <c r="C37" i="4"/>
  <c r="S37" i="4" s="1"/>
  <c r="B39" i="4"/>
  <c r="P39" i="4" s="1"/>
  <c r="C39" i="4"/>
  <c r="B40" i="4"/>
  <c r="O40" i="4" s="1"/>
  <c r="C40" i="4"/>
  <c r="S40" i="4" s="1"/>
  <c r="B41" i="4"/>
  <c r="O41" i="4" s="1"/>
  <c r="C41" i="4"/>
  <c r="T41" i="4" s="1"/>
  <c r="B42" i="4"/>
  <c r="O42" i="4" s="1"/>
  <c r="C42" i="4"/>
  <c r="S42" i="4" s="1"/>
  <c r="B44" i="4"/>
  <c r="O44" i="4" s="1"/>
  <c r="C44" i="4"/>
  <c r="S44" i="4" s="1"/>
  <c r="B45" i="4"/>
  <c r="O45" i="4" s="1"/>
  <c r="C45" i="4"/>
  <c r="S45" i="4" s="1"/>
  <c r="B46" i="4"/>
  <c r="O46" i="4" s="1"/>
  <c r="C46" i="4"/>
  <c r="S46" i="4" s="1"/>
  <c r="B47" i="4"/>
  <c r="P47" i="4" s="1"/>
  <c r="C47" i="4"/>
  <c r="B49" i="4"/>
  <c r="O49" i="4" s="1"/>
  <c r="C49" i="4"/>
  <c r="S49" i="4" s="1"/>
  <c r="B50" i="4"/>
  <c r="O50" i="4" s="1"/>
  <c r="C50" i="4"/>
  <c r="U50" i="4" s="1"/>
  <c r="B51" i="4"/>
  <c r="O51" i="4" s="1"/>
  <c r="C51" i="4"/>
  <c r="S51" i="4" s="1"/>
  <c r="B52" i="4"/>
  <c r="C52" i="4"/>
  <c r="S52" i="4" s="1"/>
  <c r="B54" i="4"/>
  <c r="O54" i="4" s="1"/>
  <c r="C54" i="4"/>
  <c r="S54" i="4" s="1"/>
  <c r="B55" i="4"/>
  <c r="O55" i="4" s="1"/>
  <c r="C55" i="4"/>
  <c r="S55" i="4" s="1"/>
  <c r="B56" i="4"/>
  <c r="Q56" i="4" s="1"/>
  <c r="C56" i="4"/>
  <c r="S56" i="4" s="1"/>
  <c r="B57" i="4"/>
  <c r="Q57" i="4" s="1"/>
  <c r="C57" i="4"/>
  <c r="U57" i="4" s="1"/>
  <c r="D9" i="5"/>
  <c r="E9" i="5"/>
  <c r="H11" i="5" s="1"/>
  <c r="Q11" i="5"/>
  <c r="R11" i="5"/>
  <c r="U11" i="5"/>
  <c r="V11" i="5"/>
  <c r="L14" i="5"/>
  <c r="Q14" i="5"/>
  <c r="L15" i="5"/>
  <c r="Q15" i="5"/>
  <c r="L16" i="5"/>
  <c r="M16" i="5" s="1"/>
  <c r="Q16" i="5"/>
  <c r="L17" i="5"/>
  <c r="M17" i="5" s="1"/>
  <c r="Q17" i="5"/>
  <c r="L18" i="5"/>
  <c r="M18" i="5" s="1"/>
  <c r="Q18" i="5"/>
  <c r="L21" i="5"/>
  <c r="Q21" i="5"/>
  <c r="L22" i="5"/>
  <c r="M22" i="5" s="1"/>
  <c r="Q22" i="5"/>
  <c r="L23" i="5"/>
  <c r="M23" i="5" s="1"/>
  <c r="Q23" i="5"/>
  <c r="L24" i="5"/>
  <c r="Q24" i="5"/>
  <c r="L25" i="5"/>
  <c r="M25" i="5" s="1"/>
  <c r="Q25" i="5"/>
  <c r="L26" i="5"/>
  <c r="M26" i="5" s="1"/>
  <c r="Q26" i="5"/>
  <c r="L27" i="5"/>
  <c r="Q27" i="5"/>
  <c r="L29" i="5"/>
  <c r="M29" i="5" s="1"/>
  <c r="N29" i="5" s="1"/>
  <c r="Q29" i="5"/>
  <c r="L30" i="5"/>
  <c r="Q30" i="5"/>
  <c r="L31" i="5"/>
  <c r="M31" i="5" s="1"/>
  <c r="N31" i="5" s="1"/>
  <c r="Q31" i="5"/>
  <c r="L32" i="5"/>
  <c r="M32" i="5"/>
  <c r="N32" i="5" s="1"/>
  <c r="Q32" i="5"/>
  <c r="L34" i="5"/>
  <c r="Q34" i="5"/>
  <c r="L35" i="5"/>
  <c r="M35" i="5" s="1"/>
  <c r="Q35" i="5"/>
  <c r="L36" i="5"/>
  <c r="M36" i="5" s="1"/>
  <c r="Q36" i="5"/>
  <c r="L37" i="5"/>
  <c r="M37" i="5" s="1"/>
  <c r="Q37" i="5"/>
  <c r="L39" i="5"/>
  <c r="M39" i="5" s="1"/>
  <c r="Q39" i="5"/>
  <c r="L40" i="5"/>
  <c r="M40" i="5" s="1"/>
  <c r="Q40" i="5"/>
  <c r="L41" i="5"/>
  <c r="M41" i="5" s="1"/>
  <c r="Q41" i="5"/>
  <c r="L42" i="5"/>
  <c r="M42" i="5" s="1"/>
  <c r="N42" i="5" s="1"/>
  <c r="Q42" i="5"/>
  <c r="L44" i="5"/>
  <c r="Q44" i="5"/>
  <c r="L45" i="5"/>
  <c r="M45" i="5" s="1"/>
  <c r="Q45" i="5"/>
  <c r="L46" i="5"/>
  <c r="M46" i="5" s="1"/>
  <c r="Q46" i="5"/>
  <c r="L47" i="5"/>
  <c r="Q47" i="5"/>
  <c r="L49" i="5"/>
  <c r="M49" i="5" s="1"/>
  <c r="Q49" i="5"/>
  <c r="L50" i="5"/>
  <c r="M50" i="5" s="1"/>
  <c r="Q50" i="5"/>
  <c r="L51" i="5"/>
  <c r="M51" i="5" s="1"/>
  <c r="Q51" i="5"/>
  <c r="L52" i="5"/>
  <c r="Q52" i="5"/>
  <c r="L54" i="5"/>
  <c r="Q54" i="5"/>
  <c r="L55" i="5"/>
  <c r="M55" i="5" s="1"/>
  <c r="Q55" i="5"/>
  <c r="L56" i="5"/>
  <c r="M56" i="5" s="1"/>
  <c r="Q56" i="5"/>
  <c r="L57" i="5"/>
  <c r="M57" i="5" s="1"/>
  <c r="Q57" i="5"/>
  <c r="F9" i="10"/>
  <c r="G9" i="10"/>
  <c r="J12" i="10"/>
  <c r="J11" i="28" s="1"/>
  <c r="B15" i="10"/>
  <c r="C15" i="10"/>
  <c r="E15" i="10"/>
  <c r="B16" i="10"/>
  <c r="C16" i="10"/>
  <c r="E16" i="10"/>
  <c r="B17" i="10"/>
  <c r="C17" i="10"/>
  <c r="D17" i="10"/>
  <c r="E17" i="10"/>
  <c r="B18" i="10"/>
  <c r="C18" i="10"/>
  <c r="E18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4" i="10"/>
  <c r="C34" i="10"/>
  <c r="E34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B47" i="10"/>
  <c r="C47" i="10"/>
  <c r="D47" i="10"/>
  <c r="E47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2" i="10"/>
  <c r="C52" i="10"/>
  <c r="D52" i="10"/>
  <c r="E52" i="10"/>
  <c r="B54" i="10"/>
  <c r="C54" i="10"/>
  <c r="D54" i="10"/>
  <c r="E54" i="10"/>
  <c r="B55" i="10"/>
  <c r="C55" i="10"/>
  <c r="D55" i="10"/>
  <c r="E55" i="10"/>
  <c r="B56" i="10"/>
  <c r="C56" i="10"/>
  <c r="D56" i="10"/>
  <c r="E56" i="10"/>
  <c r="B57" i="10"/>
  <c r="C57" i="10"/>
  <c r="D57" i="10"/>
  <c r="E57" i="10"/>
  <c r="D9" i="3"/>
  <c r="K11" i="3" s="1"/>
  <c r="E9" i="3"/>
  <c r="Q11" i="3" s="1"/>
  <c r="B16" i="3"/>
  <c r="C16" i="3"/>
  <c r="B17" i="3"/>
  <c r="C17" i="3"/>
  <c r="B18" i="3"/>
  <c r="C18" i="3"/>
  <c r="B19" i="3"/>
  <c r="C19" i="3"/>
  <c r="B22" i="3"/>
  <c r="C22" i="3"/>
  <c r="B23" i="3"/>
  <c r="C23" i="3"/>
  <c r="B24" i="3"/>
  <c r="C24" i="3"/>
  <c r="B25" i="3"/>
  <c r="C25" i="3"/>
  <c r="B26" i="3"/>
  <c r="C26" i="3"/>
  <c r="B27" i="3"/>
  <c r="C27" i="3"/>
  <c r="D5" i="19"/>
  <c r="K5" i="19"/>
  <c r="L5" i="19"/>
  <c r="D8" i="19"/>
  <c r="AI8" i="19" s="1"/>
  <c r="I8" i="19"/>
  <c r="K8" i="19"/>
  <c r="T8" i="19" s="1"/>
  <c r="D9" i="19"/>
  <c r="AI9" i="19" s="1"/>
  <c r="I9" i="19"/>
  <c r="K9" i="19"/>
  <c r="T9" i="19" s="1"/>
  <c r="D10" i="19"/>
  <c r="AI10" i="19" s="1"/>
  <c r="I10" i="19"/>
  <c r="K10" i="19"/>
  <c r="T10" i="19" s="1"/>
  <c r="D11" i="19"/>
  <c r="AI11" i="19" s="1"/>
  <c r="I11" i="19"/>
  <c r="K11" i="19"/>
  <c r="T11" i="19"/>
  <c r="D12" i="19"/>
  <c r="AI12" i="19" s="1"/>
  <c r="I12" i="19"/>
  <c r="K12" i="19"/>
  <c r="T12" i="19" s="1"/>
  <c r="D13" i="19"/>
  <c r="AI13" i="19" s="1"/>
  <c r="I13" i="19"/>
  <c r="K13" i="19"/>
  <c r="T13" i="19" s="1"/>
  <c r="D14" i="19"/>
  <c r="AI14" i="19" s="1"/>
  <c r="I14" i="19"/>
  <c r="K14" i="19"/>
  <c r="T14" i="19" s="1"/>
  <c r="D15" i="19"/>
  <c r="AI15" i="19" s="1"/>
  <c r="I15" i="19"/>
  <c r="K15" i="19"/>
  <c r="T15" i="19" s="1"/>
  <c r="D16" i="19"/>
  <c r="AI16" i="19" s="1"/>
  <c r="I16" i="19"/>
  <c r="K16" i="19"/>
  <c r="T16" i="19" s="1"/>
  <c r="D17" i="19"/>
  <c r="AI17" i="19" s="1"/>
  <c r="I17" i="19"/>
  <c r="K17" i="19"/>
  <c r="T17" i="19" s="1"/>
  <c r="D18" i="19"/>
  <c r="AI18" i="19" s="1"/>
  <c r="I18" i="19"/>
  <c r="K18" i="19"/>
  <c r="T18" i="19" s="1"/>
  <c r="D19" i="19"/>
  <c r="AI19" i="19" s="1"/>
  <c r="I19" i="19"/>
  <c r="K19" i="19"/>
  <c r="T19" i="19" s="1"/>
  <c r="D22" i="19"/>
  <c r="E22" i="19"/>
  <c r="K22" i="19"/>
  <c r="L22" i="19"/>
  <c r="Z22" i="19"/>
  <c r="AA22" i="19"/>
  <c r="D25" i="19"/>
  <c r="AI25" i="19" s="1"/>
  <c r="K25" i="19"/>
  <c r="T25" i="19" s="1"/>
  <c r="D26" i="19"/>
  <c r="AI26" i="19" s="1"/>
  <c r="K26" i="19"/>
  <c r="T26" i="19" s="1"/>
  <c r="D27" i="19"/>
  <c r="AI27" i="19" s="1"/>
  <c r="D28" i="19"/>
  <c r="AI28" i="19" s="1"/>
  <c r="K31" i="19"/>
  <c r="T29" i="19" s="1"/>
  <c r="K32" i="19"/>
  <c r="T30" i="19" s="1"/>
  <c r="K35" i="19"/>
  <c r="D39" i="19"/>
  <c r="E39" i="19"/>
  <c r="D42" i="19"/>
  <c r="D43" i="19"/>
  <c r="D44" i="19"/>
  <c r="D45" i="19"/>
  <c r="D46" i="19"/>
  <c r="D50" i="19"/>
  <c r="D54" i="19"/>
  <c r="E54" i="19"/>
  <c r="K54" i="19"/>
  <c r="L54" i="19"/>
  <c r="B57" i="19"/>
  <c r="I57" i="19" s="1"/>
  <c r="D57" i="19"/>
  <c r="B58" i="19"/>
  <c r="I58" i="19" s="1"/>
  <c r="D58" i="19"/>
  <c r="B59" i="19"/>
  <c r="I59" i="19" s="1"/>
  <c r="D59" i="19"/>
  <c r="B60" i="19"/>
  <c r="I60" i="19"/>
  <c r="D60" i="19"/>
  <c r="K64" i="19"/>
  <c r="X8" i="19" s="1"/>
  <c r="K67" i="19"/>
  <c r="X12" i="19" s="1"/>
  <c r="K71" i="19"/>
  <c r="X15" i="19" s="1"/>
  <c r="K72" i="19"/>
  <c r="X16" i="19" s="1"/>
  <c r="K75" i="19"/>
  <c r="X19" i="19" s="1"/>
  <c r="D8" i="2"/>
  <c r="E8" i="2"/>
  <c r="D28" i="2"/>
  <c r="E28" i="2"/>
  <c r="J33" i="2"/>
  <c r="Z25" i="19" s="1"/>
  <c r="J34" i="2"/>
  <c r="Z26" i="19" s="1"/>
  <c r="J35" i="2"/>
  <c r="Z27" i="19" s="1"/>
  <c r="J36" i="2"/>
  <c r="Z28" i="19" s="1"/>
  <c r="D46" i="2"/>
  <c r="E48" i="2"/>
  <c r="G48" i="2"/>
  <c r="D63" i="2"/>
  <c r="E63" i="2"/>
  <c r="D76" i="2"/>
  <c r="E76" i="2"/>
  <c r="E97" i="2"/>
  <c r="F97" i="2"/>
  <c r="D98" i="2"/>
  <c r="E98" i="2"/>
  <c r="A104" i="2"/>
  <c r="K57" i="19"/>
  <c r="K58" i="19"/>
  <c r="K59" i="19"/>
  <c r="K60" i="19"/>
  <c r="E10" i="1"/>
  <c r="F10" i="1"/>
  <c r="O10" i="1"/>
  <c r="P10" i="1"/>
  <c r="W10" i="1"/>
  <c r="X10" i="1"/>
  <c r="O19" i="1"/>
  <c r="P19" i="1"/>
  <c r="W22" i="1"/>
  <c r="X22" i="1"/>
  <c r="E30" i="1"/>
  <c r="I30" i="1"/>
  <c r="F30" i="1"/>
  <c r="J30" i="1"/>
  <c r="I35" i="1"/>
  <c r="I36" i="1"/>
  <c r="C1" i="18"/>
  <c r="C1" i="20"/>
  <c r="L11" i="20"/>
  <c r="E4" i="23"/>
  <c r="F4" i="23"/>
  <c r="M14" i="5"/>
  <c r="F18" i="11"/>
  <c r="F15" i="11"/>
  <c r="F34" i="11"/>
  <c r="D31" i="18"/>
  <c r="U8" i="20"/>
  <c r="F31" i="18"/>
  <c r="U8" i="18" s="1"/>
  <c r="L35" i="19"/>
  <c r="D34" i="10"/>
  <c r="S41" i="4"/>
  <c r="A105" i="2"/>
  <c r="D17" i="28"/>
  <c r="D18" i="10"/>
  <c r="D14" i="28"/>
  <c r="D16" i="28"/>
  <c r="J48" i="10"/>
  <c r="J38" i="10"/>
  <c r="J43" i="10"/>
  <c r="J28" i="10"/>
  <c r="J33" i="10"/>
  <c r="J53" i="10"/>
  <c r="D28" i="29"/>
  <c r="J30" i="29"/>
  <c r="J29" i="29"/>
  <c r="F12" i="19"/>
  <c r="P30" i="29"/>
  <c r="P33" i="29"/>
  <c r="S52" i="5"/>
  <c r="F14" i="19"/>
  <c r="F26" i="19"/>
  <c r="E50" i="2"/>
  <c r="D26" i="29"/>
  <c r="L33" i="2"/>
  <c r="AB25" i="19" s="1"/>
  <c r="S54" i="5"/>
  <c r="S55" i="5"/>
  <c r="S56" i="5"/>
  <c r="F18" i="19"/>
  <c r="S57" i="5"/>
  <c r="J35" i="29"/>
  <c r="S27" i="5"/>
  <c r="J25" i="29"/>
  <c r="S34" i="5"/>
  <c r="S36" i="5"/>
  <c r="J31" i="29"/>
  <c r="S47" i="5"/>
  <c r="J33" i="29"/>
  <c r="S41" i="5"/>
  <c r="F15" i="19"/>
  <c r="K34" i="2"/>
  <c r="AA26" i="19" s="1"/>
  <c r="E27" i="19"/>
  <c r="S25" i="5"/>
  <c r="S26" i="5"/>
  <c r="J34" i="29"/>
  <c r="S17" i="5"/>
  <c r="S49" i="5"/>
  <c r="S22" i="5"/>
  <c r="F17" i="19"/>
  <c r="M72" i="19"/>
  <c r="F49" i="2"/>
  <c r="D25" i="29"/>
  <c r="U5" i="29" s="1"/>
  <c r="D27" i="18"/>
  <c r="K29" i="29"/>
  <c r="M19" i="19"/>
  <c r="E35" i="29"/>
  <c r="M32" i="19"/>
  <c r="K35" i="29"/>
  <c r="K36" i="1"/>
  <c r="U41" i="4"/>
  <c r="F25" i="29"/>
  <c r="U8" i="29"/>
  <c r="M25" i="19"/>
  <c r="K35" i="1"/>
  <c r="K33" i="29"/>
  <c r="M16" i="19"/>
  <c r="M31" i="19"/>
  <c r="I31" i="11"/>
  <c r="I52" i="11"/>
  <c r="I24" i="11"/>
  <c r="I37" i="11"/>
  <c r="M75" i="19"/>
  <c r="I22" i="11"/>
  <c r="M17" i="19"/>
  <c r="F16" i="19"/>
  <c r="S18" i="5"/>
  <c r="S23" i="5"/>
  <c r="S46" i="5"/>
  <c r="S21" i="5"/>
  <c r="S45" i="5"/>
  <c r="S14" i="5"/>
  <c r="S19" i="5"/>
  <c r="F8" i="19"/>
  <c r="I57" i="11"/>
  <c r="K26" i="29"/>
  <c r="I26" i="11"/>
  <c r="I29" i="11"/>
  <c r="I50" i="11"/>
  <c r="I23" i="11"/>
  <c r="I21" i="11"/>
  <c r="K31" i="29"/>
  <c r="M18" i="19"/>
  <c r="I19" i="11"/>
  <c r="I15" i="11"/>
  <c r="I47" i="11"/>
  <c r="G22" i="7"/>
  <c r="I36" i="11"/>
  <c r="I18" i="11"/>
  <c r="I16" i="11"/>
  <c r="I51" i="11"/>
  <c r="S39" i="5"/>
  <c r="D28" i="18"/>
  <c r="S42" i="5"/>
  <c r="G49" i="2"/>
  <c r="E28" i="19"/>
  <c r="J32" i="29"/>
  <c r="K33" i="2"/>
  <c r="AA25" i="19" s="1"/>
  <c r="D49" i="2"/>
  <c r="D25" i="18"/>
  <c r="I44" i="11"/>
  <c r="I49" i="11"/>
  <c r="I41" i="11"/>
  <c r="I40" i="11"/>
  <c r="I54" i="11"/>
  <c r="J54" i="11" s="1"/>
  <c r="I34" i="11"/>
  <c r="I46" i="11"/>
  <c r="I56" i="11"/>
  <c r="M15" i="19"/>
  <c r="K34" i="29"/>
  <c r="M11" i="19"/>
  <c r="I17" i="11"/>
  <c r="I27" i="11"/>
  <c r="K32" i="29"/>
  <c r="I35" i="11"/>
  <c r="M71" i="19"/>
  <c r="I45" i="11"/>
  <c r="I32" i="11"/>
  <c r="I39" i="11"/>
  <c r="I25" i="11"/>
  <c r="I30" i="11"/>
  <c r="I42" i="11"/>
  <c r="I55" i="11"/>
  <c r="J28" i="29"/>
  <c r="F50" i="2"/>
  <c r="M64" i="19"/>
  <c r="G18" i="7"/>
  <c r="L14" i="29" s="1"/>
  <c r="G20" i="7"/>
  <c r="H20" i="7" s="1"/>
  <c r="G16" i="7"/>
  <c r="G19" i="7"/>
  <c r="G24" i="7"/>
  <c r="H24" i="7" s="1"/>
  <c r="G15" i="7"/>
  <c r="G17" i="7"/>
  <c r="G21" i="7"/>
  <c r="G23" i="7"/>
  <c r="G14" i="7"/>
  <c r="M13" i="19"/>
  <c r="K27" i="29"/>
  <c r="M10" i="19"/>
  <c r="J27" i="29"/>
  <c r="F27" i="19"/>
  <c r="S16" i="5"/>
  <c r="E26" i="19"/>
  <c r="S35" i="5"/>
  <c r="S50" i="5"/>
  <c r="D50" i="2"/>
  <c r="L36" i="2"/>
  <c r="AB28" i="19" s="1"/>
  <c r="E49" i="2"/>
  <c r="F13" i="19"/>
  <c r="F9" i="19"/>
  <c r="S30" i="5"/>
  <c r="S29" i="5"/>
  <c r="S32" i="5"/>
  <c r="F28" i="19"/>
  <c r="S31" i="5"/>
  <c r="K25" i="29"/>
  <c r="Q32" i="29" s="1"/>
  <c r="M8" i="19"/>
  <c r="Q21" i="4"/>
  <c r="K30" i="29"/>
  <c r="U40" i="4"/>
  <c r="J36" i="1"/>
  <c r="L26" i="19"/>
  <c r="E50" i="19"/>
  <c r="E46" i="19"/>
  <c r="E42" i="19"/>
  <c r="E43" i="19"/>
  <c r="E44" i="19"/>
  <c r="E45" i="19"/>
  <c r="E11" i="19"/>
  <c r="J28" i="18"/>
  <c r="E12" i="19"/>
  <c r="E58" i="19"/>
  <c r="P31" i="18"/>
  <c r="E15" i="19"/>
  <c r="R42" i="5"/>
  <c r="R41" i="5"/>
  <c r="R40" i="5"/>
  <c r="J31" i="18"/>
  <c r="R39" i="5"/>
  <c r="R54" i="5"/>
  <c r="E18" i="19"/>
  <c r="R56" i="5"/>
  <c r="R55" i="5"/>
  <c r="R57" i="5"/>
  <c r="J34" i="18"/>
  <c r="P33" i="18"/>
  <c r="E60" i="19"/>
  <c r="J35" i="18"/>
  <c r="E19" i="19"/>
  <c r="E59" i="19"/>
  <c r="P32" i="18"/>
  <c r="J26" i="18"/>
  <c r="E9" i="19"/>
  <c r="J30" i="18"/>
  <c r="E14" i="19"/>
  <c r="J33" i="18"/>
  <c r="R49" i="5"/>
  <c r="E17" i="19"/>
  <c r="R52" i="5"/>
  <c r="R51" i="5"/>
  <c r="R50" i="5"/>
  <c r="E57" i="19"/>
  <c r="P30" i="18"/>
  <c r="R30" i="5"/>
  <c r="E10" i="19"/>
  <c r="R31" i="5"/>
  <c r="R29" i="5"/>
  <c r="R32" i="5"/>
  <c r="J27" i="18"/>
  <c r="R46" i="5"/>
  <c r="R47" i="5"/>
  <c r="R44" i="5"/>
  <c r="E16" i="19"/>
  <c r="J32" i="18"/>
  <c r="R45" i="5"/>
  <c r="R34" i="5"/>
  <c r="R36" i="5"/>
  <c r="R35" i="5"/>
  <c r="E13" i="19"/>
  <c r="R37" i="5"/>
  <c r="J29" i="18"/>
  <c r="R24" i="5"/>
  <c r="R26" i="5"/>
  <c r="J25" i="18"/>
  <c r="R15" i="5"/>
  <c r="R18" i="5"/>
  <c r="E8" i="19"/>
  <c r="R22" i="5"/>
  <c r="R21" i="5"/>
  <c r="R25" i="5"/>
  <c r="R16" i="5"/>
  <c r="R17" i="5"/>
  <c r="R14" i="5"/>
  <c r="R23" i="5"/>
  <c r="R19" i="5"/>
  <c r="R27" i="5"/>
  <c r="E35" i="18"/>
  <c r="L32" i="19"/>
  <c r="L31" i="19"/>
  <c r="C35" i="18"/>
  <c r="L11" i="19"/>
  <c r="K29" i="18"/>
  <c r="L13" i="19"/>
  <c r="L9" i="19"/>
  <c r="K26" i="18"/>
  <c r="K27" i="18"/>
  <c r="L10" i="19"/>
  <c r="K31" i="18"/>
  <c r="L15" i="19"/>
  <c r="L18" i="19"/>
  <c r="K34" i="18"/>
  <c r="L34" i="18" s="1"/>
  <c r="L8" i="19"/>
  <c r="K25" i="18"/>
  <c r="Q33" i="18" s="1"/>
  <c r="R33" i="18" s="1"/>
  <c r="L17" i="19"/>
  <c r="K33" i="18"/>
  <c r="K32" i="18"/>
  <c r="L16" i="19"/>
  <c r="K28" i="18"/>
  <c r="L12" i="19"/>
  <c r="K30" i="18"/>
  <c r="L14" i="19"/>
  <c r="L57" i="19"/>
  <c r="L71" i="19"/>
  <c r="L58" i="19"/>
  <c r="L75" i="19"/>
  <c r="K35" i="18"/>
  <c r="L19" i="19"/>
  <c r="L67" i="19"/>
  <c r="F25" i="18"/>
  <c r="J35" i="1"/>
  <c r="T36" i="4"/>
  <c r="T55" i="4"/>
  <c r="T22" i="4"/>
  <c r="T49" i="4"/>
  <c r="L25" i="19"/>
  <c r="E24" i="7"/>
  <c r="E14" i="7"/>
  <c r="F14" i="7" s="1"/>
  <c r="E23" i="7"/>
  <c r="H23" i="7" s="1"/>
  <c r="L64" i="19"/>
  <c r="E19" i="7"/>
  <c r="E16" i="7"/>
  <c r="E22" i="7"/>
  <c r="F22" i="7" s="1"/>
  <c r="E25" i="7"/>
  <c r="E20" i="7"/>
  <c r="E21" i="7"/>
  <c r="H21" i="7" s="1"/>
  <c r="E18" i="7"/>
  <c r="E17" i="7"/>
  <c r="F17" i="7" s="1"/>
  <c r="E15" i="7"/>
  <c r="H15" i="7" s="1"/>
  <c r="G39" i="11"/>
  <c r="H39" i="11" s="1"/>
  <c r="G50" i="11"/>
  <c r="G49" i="11"/>
  <c r="H49" i="11" s="1"/>
  <c r="G54" i="11"/>
  <c r="H54" i="11" s="1"/>
  <c r="G19" i="11"/>
  <c r="G37" i="11"/>
  <c r="L72" i="19"/>
  <c r="G21" i="11"/>
  <c r="G40" i="11"/>
  <c r="J40" i="11" s="1"/>
  <c r="G42" i="11"/>
  <c r="H42" i="11" s="1"/>
  <c r="G41" i="11"/>
  <c r="H41" i="11" s="1"/>
  <c r="G17" i="11"/>
  <c r="H17" i="11" s="1"/>
  <c r="G35" i="11"/>
  <c r="G45" i="11"/>
  <c r="G34" i="11"/>
  <c r="G14" i="11"/>
  <c r="G36" i="11"/>
  <c r="G52" i="11"/>
  <c r="G25" i="11"/>
  <c r="J25" i="11" s="1"/>
  <c r="G24" i="11"/>
  <c r="J24" i="11" s="1"/>
  <c r="G22" i="11"/>
  <c r="H22" i="11" s="1"/>
  <c r="G44" i="11"/>
  <c r="G26" i="11"/>
  <c r="J26" i="11" s="1"/>
  <c r="G46" i="11"/>
  <c r="L60" i="19"/>
  <c r="L59" i="19"/>
  <c r="G30" i="11"/>
  <c r="G15" i="11"/>
  <c r="J15" i="11" s="1"/>
  <c r="G23" i="11"/>
  <c r="G57" i="11"/>
  <c r="J57" i="11" s="1"/>
  <c r="G31" i="11"/>
  <c r="H31" i="11" s="1"/>
  <c r="G16" i="11"/>
  <c r="F20" i="7"/>
  <c r="G56" i="11"/>
  <c r="H56" i="11" s="1"/>
  <c r="G51" i="11"/>
  <c r="H51" i="11" s="1"/>
  <c r="G55" i="11"/>
  <c r="G27" i="11"/>
  <c r="G32" i="11"/>
  <c r="H32" i="11" s="1"/>
  <c r="G29" i="11"/>
  <c r="H29" i="11" s="1"/>
  <c r="G18" i="11"/>
  <c r="H18" i="11" s="1"/>
  <c r="G47" i="11"/>
  <c r="J36" i="11"/>
  <c r="P27" i="4" l="1"/>
  <c r="AC5" i="18"/>
  <c r="AC5" i="20"/>
  <c r="Q33" i="29"/>
  <c r="R33" i="29" s="1"/>
  <c r="L28" i="29"/>
  <c r="J21" i="11"/>
  <c r="J45" i="11"/>
  <c r="J41" i="11"/>
  <c r="H24" i="11"/>
  <c r="J55" i="11"/>
  <c r="J20" i="11"/>
  <c r="J47" i="11"/>
  <c r="J19" i="11"/>
  <c r="H30" i="11"/>
  <c r="H21" i="11"/>
  <c r="H14" i="7"/>
  <c r="G9" i="23"/>
  <c r="X14" i="29"/>
  <c r="F23" i="7"/>
  <c r="F24" i="7"/>
  <c r="H25" i="7"/>
  <c r="F15" i="7"/>
  <c r="H19" i="7"/>
  <c r="F19" i="7"/>
  <c r="AC8" i="29"/>
  <c r="Q32" i="18"/>
  <c r="L33" i="29"/>
  <c r="Q31" i="18"/>
  <c r="R31" i="18" s="1"/>
  <c r="Q31" i="29"/>
  <c r="R31" i="29" s="1"/>
  <c r="L27" i="29"/>
  <c r="L31" i="29"/>
  <c r="Q30" i="29"/>
  <c r="R30" i="29" s="1"/>
  <c r="L32" i="29"/>
  <c r="L28" i="18"/>
  <c r="L32" i="18"/>
  <c r="L31" i="18"/>
  <c r="Q30" i="18"/>
  <c r="R30" i="18" s="1"/>
  <c r="L29" i="18"/>
  <c r="L27" i="18"/>
  <c r="L34" i="29"/>
  <c r="L25" i="29"/>
  <c r="L11" i="29" s="1"/>
  <c r="X11" i="29" s="1"/>
  <c r="AF11" i="29" s="1"/>
  <c r="L26" i="29"/>
  <c r="L33" i="18"/>
  <c r="R32" i="18"/>
  <c r="L35" i="29"/>
  <c r="L25" i="18"/>
  <c r="L11" i="18" s="1"/>
  <c r="F12" i="23" s="1"/>
  <c r="L29" i="29"/>
  <c r="R32" i="29"/>
  <c r="L30" i="29"/>
  <c r="L35" i="18"/>
  <c r="I8" i="20"/>
  <c r="AC8" i="20"/>
  <c r="I8" i="18"/>
  <c r="AC8" i="18"/>
  <c r="I8" i="29"/>
  <c r="G20" i="4"/>
  <c r="I5" i="20"/>
  <c r="I5" i="29"/>
  <c r="AC5" i="29"/>
  <c r="I5" i="18"/>
  <c r="U5" i="20"/>
  <c r="A106" i="2"/>
  <c r="A109" i="2"/>
  <c r="A110" i="2" s="1"/>
  <c r="L30" i="18"/>
  <c r="U5" i="18"/>
  <c r="L26" i="18"/>
  <c r="E12" i="23"/>
  <c r="X11" i="20"/>
  <c r="AF11" i="20" s="1"/>
  <c r="X11" i="18"/>
  <c r="AF11" i="18" s="1"/>
  <c r="J23" i="11"/>
  <c r="J29" i="11"/>
  <c r="H44" i="11"/>
  <c r="H57" i="11"/>
  <c r="H27" i="11"/>
  <c r="H23" i="11"/>
  <c r="J44" i="11"/>
  <c r="J49" i="11"/>
  <c r="H16" i="11"/>
  <c r="H52" i="11"/>
  <c r="H37" i="11"/>
  <c r="H50" i="11"/>
  <c r="H15" i="11"/>
  <c r="H25" i="11"/>
  <c r="H46" i="11"/>
  <c r="H36" i="11"/>
  <c r="H19" i="11"/>
  <c r="H45" i="11"/>
  <c r="J42" i="11"/>
  <c r="J18" i="11"/>
  <c r="J50" i="11"/>
  <c r="H47" i="11"/>
  <c r="J30" i="11"/>
  <c r="H20" i="11"/>
  <c r="J16" i="11"/>
  <c r="H35" i="11"/>
  <c r="H55" i="11"/>
  <c r="J39" i="11"/>
  <c r="H26" i="11"/>
  <c r="J46" i="11"/>
  <c r="J35" i="11"/>
  <c r="J52" i="11"/>
  <c r="J17" i="11"/>
  <c r="J31" i="11"/>
  <c r="H34" i="11"/>
  <c r="J27" i="11"/>
  <c r="L14" i="20"/>
  <c r="X14" i="20" s="1"/>
  <c r="F25" i="7"/>
  <c r="F21" i="7"/>
  <c r="H18" i="7"/>
  <c r="H22" i="7"/>
  <c r="H17" i="7"/>
  <c r="E9" i="23"/>
  <c r="F16" i="7"/>
  <c r="H16" i="7"/>
  <c r="F18" i="7"/>
  <c r="L14" i="18"/>
  <c r="D20" i="4"/>
  <c r="J56" i="11"/>
  <c r="F14" i="11"/>
  <c r="H14" i="11" s="1"/>
  <c r="J32" i="11"/>
  <c r="D15" i="28"/>
  <c r="H40" i="11"/>
  <c r="D16" i="10"/>
  <c r="J37" i="11"/>
  <c r="J34" i="11"/>
  <c r="J22" i="11"/>
  <c r="J51" i="11"/>
  <c r="I14" i="11"/>
  <c r="J14" i="11" s="1"/>
  <c r="T20" i="4"/>
  <c r="Q27" i="4"/>
  <c r="U21" i="4"/>
  <c r="G21" i="4" s="1"/>
  <c r="M20" i="5"/>
  <c r="N20" i="5" s="1"/>
  <c r="Q35" i="4"/>
  <c r="S57" i="4"/>
  <c r="P40" i="4"/>
  <c r="T14" i="4"/>
  <c r="P25" i="4"/>
  <c r="M21" i="5"/>
  <c r="N21" i="5" s="1"/>
  <c r="Q25" i="4"/>
  <c r="P17" i="4"/>
  <c r="O47" i="4"/>
  <c r="O24" i="4"/>
  <c r="D24" i="4" s="1"/>
  <c r="T16" i="4"/>
  <c r="X8" i="18" s="1"/>
  <c r="N41" i="5"/>
  <c r="N19" i="5"/>
  <c r="P21" i="4"/>
  <c r="U18" i="4"/>
  <c r="L8" i="29" s="1"/>
  <c r="G6" i="23" s="1"/>
  <c r="P44" i="4"/>
  <c r="P14" i="4"/>
  <c r="T19" i="4"/>
  <c r="P24" i="4"/>
  <c r="U22" i="4"/>
  <c r="T45" i="4"/>
  <c r="T29" i="4"/>
  <c r="U49" i="4"/>
  <c r="T54" i="4"/>
  <c r="T26" i="4"/>
  <c r="U19" i="4"/>
  <c r="D14" i="4"/>
  <c r="T24" i="4"/>
  <c r="U55" i="4"/>
  <c r="T51" i="4"/>
  <c r="T40" i="4"/>
  <c r="U16" i="4"/>
  <c r="X8" i="29" s="1"/>
  <c r="P34" i="4"/>
  <c r="E34" i="4" s="1"/>
  <c r="O56" i="4"/>
  <c r="D56" i="4" s="1"/>
  <c r="O34" i="4"/>
  <c r="U54" i="4"/>
  <c r="P56" i="4"/>
  <c r="T18" i="4"/>
  <c r="L8" i="18" s="1"/>
  <c r="F6" i="23" s="1"/>
  <c r="P57" i="4"/>
  <c r="H13" i="3"/>
  <c r="H12" i="27" s="1"/>
  <c r="T44" i="4"/>
  <c r="Q14" i="4"/>
  <c r="Q29" i="4"/>
  <c r="P29" i="4"/>
  <c r="T56" i="4"/>
  <c r="P55" i="4"/>
  <c r="E55" i="4" s="1"/>
  <c r="Q47" i="4"/>
  <c r="U30" i="4"/>
  <c r="T57" i="4"/>
  <c r="Q15" i="4"/>
  <c r="G15" i="4" s="1"/>
  <c r="T30" i="4"/>
  <c r="E30" i="4" s="1"/>
  <c r="T15" i="4"/>
  <c r="E15" i="4" s="1"/>
  <c r="U32" i="4"/>
  <c r="G32" i="4" s="1"/>
  <c r="T21" i="4"/>
  <c r="P45" i="4"/>
  <c r="Q36" i="4"/>
  <c r="T50" i="4"/>
  <c r="T23" i="4"/>
  <c r="T32" i="4"/>
  <c r="Q40" i="4"/>
  <c r="G40" i="4" s="1"/>
  <c r="O37" i="4"/>
  <c r="D37" i="4" s="1"/>
  <c r="D51" i="4"/>
  <c r="O36" i="4"/>
  <c r="D36" i="4" s="1"/>
  <c r="T25" i="4"/>
  <c r="T37" i="4"/>
  <c r="P41" i="4"/>
  <c r="E41" i="4" s="1"/>
  <c r="O15" i="4"/>
  <c r="T27" i="4"/>
  <c r="T31" i="4"/>
  <c r="P46" i="4"/>
  <c r="P32" i="4"/>
  <c r="Q44" i="4"/>
  <c r="O39" i="4"/>
  <c r="Q39" i="4"/>
  <c r="Q46" i="4"/>
  <c r="P19" i="4"/>
  <c r="P26" i="4"/>
  <c r="P50" i="4"/>
  <c r="U29" i="4"/>
  <c r="T35" i="4"/>
  <c r="E35" i="4" s="1"/>
  <c r="P42" i="4"/>
  <c r="U25" i="4"/>
  <c r="O35" i="4"/>
  <c r="D35" i="4" s="1"/>
  <c r="D27" i="4"/>
  <c r="P51" i="4"/>
  <c r="P54" i="4"/>
  <c r="Q19" i="4"/>
  <c r="Q45" i="4"/>
  <c r="U45" i="4"/>
  <c r="Q49" i="4"/>
  <c r="D44" i="4"/>
  <c r="T42" i="4"/>
  <c r="P37" i="4"/>
  <c r="U44" i="4"/>
  <c r="E36" i="4"/>
  <c r="D25" i="4"/>
  <c r="S50" i="4"/>
  <c r="D50" i="4" s="1"/>
  <c r="D55" i="4"/>
  <c r="Q26" i="4"/>
  <c r="D41" i="4"/>
  <c r="D29" i="4"/>
  <c r="Q50" i="4"/>
  <c r="G50" i="4" s="1"/>
  <c r="D45" i="4"/>
  <c r="D22" i="4"/>
  <c r="D26" i="4"/>
  <c r="P49" i="4"/>
  <c r="E49" i="4" s="1"/>
  <c r="S31" i="4"/>
  <c r="D31" i="4" s="1"/>
  <c r="O18" i="4"/>
  <c r="D18" i="4" s="1"/>
  <c r="T17" i="4"/>
  <c r="P18" i="4"/>
  <c r="U17" i="4"/>
  <c r="G17" i="4" s="1"/>
  <c r="D23" i="4"/>
  <c r="N35" i="5"/>
  <c r="O35" i="5" s="1"/>
  <c r="N49" i="5"/>
  <c r="T52" i="4"/>
  <c r="Q54" i="4"/>
  <c r="U51" i="4"/>
  <c r="N26" i="5"/>
  <c r="O26" i="5" s="1"/>
  <c r="V26" i="5" s="1"/>
  <c r="E26" i="5" s="1"/>
  <c r="Q42" i="4"/>
  <c r="U56" i="4"/>
  <c r="G56" i="4" s="1"/>
  <c r="U35" i="4"/>
  <c r="O31" i="5"/>
  <c r="W31" i="5" s="1"/>
  <c r="G31" i="5" s="1"/>
  <c r="D40" i="4"/>
  <c r="Q51" i="4"/>
  <c r="N22" i="5"/>
  <c r="O22" i="5" s="1"/>
  <c r="V22" i="5" s="1"/>
  <c r="E22" i="5" s="1"/>
  <c r="N16" i="5"/>
  <c r="T46" i="4"/>
  <c r="P23" i="4"/>
  <c r="P31" i="4"/>
  <c r="U46" i="4"/>
  <c r="U36" i="4"/>
  <c r="U27" i="4"/>
  <c r="O17" i="4"/>
  <c r="D17" i="4" s="1"/>
  <c r="O41" i="5"/>
  <c r="U41" i="5" s="1"/>
  <c r="D41" i="5" s="1"/>
  <c r="D21" i="4"/>
  <c r="O42" i="5"/>
  <c r="W42" i="5" s="1"/>
  <c r="G42" i="5" s="1"/>
  <c r="D49" i="4"/>
  <c r="U26" i="4"/>
  <c r="U42" i="4"/>
  <c r="U24" i="4"/>
  <c r="G24" i="4" s="1"/>
  <c r="D19" i="4"/>
  <c r="Q23" i="4"/>
  <c r="Q31" i="4"/>
  <c r="G31" i="4" s="1"/>
  <c r="U23" i="4"/>
  <c r="U52" i="4"/>
  <c r="N51" i="5"/>
  <c r="N45" i="5"/>
  <c r="O45" i="5" s="1"/>
  <c r="W45" i="5" s="1"/>
  <c r="G45" i="5" s="1"/>
  <c r="O57" i="4"/>
  <c r="O32" i="4"/>
  <c r="D32" i="4" s="1"/>
  <c r="D54" i="4"/>
  <c r="D46" i="4"/>
  <c r="Q41" i="4"/>
  <c r="G41" i="4" s="1"/>
  <c r="M15" i="5"/>
  <c r="N15" i="5" s="1"/>
  <c r="G57" i="4"/>
  <c r="O16" i="4"/>
  <c r="D16" i="4" s="1"/>
  <c r="Q16" i="4"/>
  <c r="P16" i="4"/>
  <c r="N50" i="5"/>
  <c r="O50" i="5" s="1"/>
  <c r="N18" i="5"/>
  <c r="S39" i="4"/>
  <c r="T39" i="4"/>
  <c r="E39" i="4" s="1"/>
  <c r="U39" i="4"/>
  <c r="U34" i="4"/>
  <c r="G34" i="4" s="1"/>
  <c r="S34" i="4"/>
  <c r="Q30" i="4"/>
  <c r="O30" i="4"/>
  <c r="D30" i="4" s="1"/>
  <c r="P22" i="4"/>
  <c r="E22" i="4" s="1"/>
  <c r="Q22" i="4"/>
  <c r="M54" i="5"/>
  <c r="N54" i="5" s="1"/>
  <c r="O54" i="5" s="1"/>
  <c r="M24" i="5"/>
  <c r="N24" i="5" s="1"/>
  <c r="S47" i="4"/>
  <c r="T47" i="4"/>
  <c r="E47" i="4" s="1"/>
  <c r="U47" i="4"/>
  <c r="O29" i="5"/>
  <c r="U29" i="5" s="1"/>
  <c r="D29" i="5" s="1"/>
  <c r="N40" i="5"/>
  <c r="D42" i="4"/>
  <c r="M34" i="5"/>
  <c r="N36" i="5"/>
  <c r="N14" i="5"/>
  <c r="N39" i="5"/>
  <c r="O39" i="5" s="1"/>
  <c r="W39" i="5" s="1"/>
  <c r="G39" i="5" s="1"/>
  <c r="M27" i="5"/>
  <c r="O52" i="4"/>
  <c r="D52" i="4" s="1"/>
  <c r="P52" i="4"/>
  <c r="Q52" i="4"/>
  <c r="O32" i="5"/>
  <c r="W32" i="5" s="1"/>
  <c r="G32" i="5" s="1"/>
  <c r="N17" i="5"/>
  <c r="M47" i="5"/>
  <c r="N47" i="5" s="1"/>
  <c r="N37" i="5"/>
  <c r="O37" i="5" s="1"/>
  <c r="M30" i="5"/>
  <c r="S15" i="4"/>
  <c r="N57" i="5"/>
  <c r="M52" i="5"/>
  <c r="N52" i="5" s="1"/>
  <c r="O52" i="5" s="1"/>
  <c r="O19" i="5"/>
  <c r="W19" i="5" s="1"/>
  <c r="G19" i="5" s="1"/>
  <c r="U37" i="4"/>
  <c r="G37" i="4" s="1"/>
  <c r="N46" i="5"/>
  <c r="O46" i="5" s="1"/>
  <c r="V46" i="5" s="1"/>
  <c r="E46" i="5" s="1"/>
  <c r="Q55" i="4"/>
  <c r="N56" i="5"/>
  <c r="O56" i="5" s="1"/>
  <c r="U14" i="4"/>
  <c r="N55" i="5"/>
  <c r="O55" i="5" s="1"/>
  <c r="N25" i="5"/>
  <c r="M44" i="5"/>
  <c r="N23" i="5"/>
  <c r="E27" i="4" l="1"/>
  <c r="G55" i="4"/>
  <c r="G12" i="23"/>
  <c r="G35" i="4"/>
  <c r="E25" i="4"/>
  <c r="F25" i="4" s="1"/>
  <c r="G46" i="4"/>
  <c r="E20" i="4"/>
  <c r="F20" i="4" s="1"/>
  <c r="H20" i="4" s="1"/>
  <c r="AF8" i="18"/>
  <c r="A112" i="2"/>
  <c r="A113" i="2" s="1"/>
  <c r="X14" i="18"/>
  <c r="F9" i="23"/>
  <c r="D57" i="4"/>
  <c r="E40" i="4"/>
  <c r="F40" i="4" s="1"/>
  <c r="H40" i="4" s="1"/>
  <c r="D47" i="4"/>
  <c r="F47" i="4" s="1"/>
  <c r="G27" i="4"/>
  <c r="E45" i="4"/>
  <c r="F45" i="4" s="1"/>
  <c r="V20" i="5"/>
  <c r="O20" i="5"/>
  <c r="U20" i="5"/>
  <c r="W20" i="5"/>
  <c r="E14" i="4"/>
  <c r="F14" i="4" s="1"/>
  <c r="E57" i="4"/>
  <c r="E16" i="4"/>
  <c r="F16" i="4" s="1"/>
  <c r="U45" i="5"/>
  <c r="D45" i="5" s="1"/>
  <c r="F44" i="28" s="1"/>
  <c r="G49" i="4"/>
  <c r="E26" i="4"/>
  <c r="G26" i="10" s="1"/>
  <c r="G36" i="4"/>
  <c r="E29" i="4"/>
  <c r="F29" i="4" s="1"/>
  <c r="E17" i="4"/>
  <c r="F17" i="4" s="1"/>
  <c r="H17" i="4" s="1"/>
  <c r="F22" i="4"/>
  <c r="D34" i="4"/>
  <c r="F34" i="4" s="1"/>
  <c r="H34" i="4" s="1"/>
  <c r="O21" i="5"/>
  <c r="W21" i="5" s="1"/>
  <c r="G44" i="4"/>
  <c r="G25" i="4"/>
  <c r="W41" i="5"/>
  <c r="G41" i="5" s="1"/>
  <c r="I41" i="10" s="1"/>
  <c r="V31" i="5"/>
  <c r="E31" i="5" s="1"/>
  <c r="H31" i="5" s="1"/>
  <c r="G18" i="4"/>
  <c r="V35" i="5"/>
  <c r="E35" i="5" s="1"/>
  <c r="G34" i="28" s="1"/>
  <c r="N27" i="5"/>
  <c r="O27" i="5" s="1"/>
  <c r="U42" i="5"/>
  <c r="D42" i="5" s="1"/>
  <c r="F41" i="28" s="1"/>
  <c r="F55" i="4"/>
  <c r="H55" i="4" s="1"/>
  <c r="O49" i="5"/>
  <c r="U49" i="5" s="1"/>
  <c r="D49" i="5" s="1"/>
  <c r="F48" i="28" s="1"/>
  <c r="U35" i="5"/>
  <c r="D35" i="5" s="1"/>
  <c r="F35" i="10" s="1"/>
  <c r="W35" i="5"/>
  <c r="G35" i="5" s="1"/>
  <c r="G45" i="4"/>
  <c r="I44" i="28" s="1"/>
  <c r="E19" i="4"/>
  <c r="F19" i="4" s="1"/>
  <c r="E44" i="4"/>
  <c r="F44" i="4" s="1"/>
  <c r="G22" i="4"/>
  <c r="W22" i="5"/>
  <c r="G22" i="5" s="1"/>
  <c r="U31" i="5"/>
  <c r="D31" i="5" s="1"/>
  <c r="F31" i="10" s="1"/>
  <c r="F36" i="4"/>
  <c r="U55" i="5"/>
  <c r="D55" i="5" s="1"/>
  <c r="F54" i="28" s="1"/>
  <c r="G16" i="4"/>
  <c r="V45" i="5"/>
  <c r="E45" i="5" s="1"/>
  <c r="H45" i="5" s="1"/>
  <c r="E24" i="4"/>
  <c r="F24" i="4" s="1"/>
  <c r="H24" i="4" s="1"/>
  <c r="G54" i="4"/>
  <c r="E56" i="4"/>
  <c r="F56" i="4" s="1"/>
  <c r="H56" i="4" s="1"/>
  <c r="E50" i="4"/>
  <c r="F50" i="4" s="1"/>
  <c r="H50" i="4" s="1"/>
  <c r="E54" i="4"/>
  <c r="F54" i="4" s="1"/>
  <c r="E51" i="4"/>
  <c r="F51" i="4" s="1"/>
  <c r="G19" i="4"/>
  <c r="I19" i="10" s="1"/>
  <c r="E46" i="4"/>
  <c r="F46" i="4" s="1"/>
  <c r="E18" i="4"/>
  <c r="D15" i="4"/>
  <c r="L16" i="27" s="1"/>
  <c r="G23" i="4"/>
  <c r="E21" i="4"/>
  <c r="E37" i="4"/>
  <c r="F37" i="4" s="1"/>
  <c r="H37" i="4" s="1"/>
  <c r="E23" i="4"/>
  <c r="F23" i="4" s="1"/>
  <c r="E52" i="4"/>
  <c r="F52" i="4" s="1"/>
  <c r="E42" i="4"/>
  <c r="F42" i="4" s="1"/>
  <c r="E32" i="4"/>
  <c r="F32" i="4" s="1"/>
  <c r="H32" i="4" s="1"/>
  <c r="G47" i="4"/>
  <c r="G30" i="4"/>
  <c r="F30" i="4"/>
  <c r="F27" i="4"/>
  <c r="G14" i="4"/>
  <c r="F35" i="4"/>
  <c r="G29" i="4"/>
  <c r="G51" i="4"/>
  <c r="G39" i="4"/>
  <c r="I39" i="10" s="1"/>
  <c r="G26" i="4"/>
  <c r="F49" i="4"/>
  <c r="E31" i="4"/>
  <c r="F31" i="4" s="1"/>
  <c r="H31" i="4" s="1"/>
  <c r="D39" i="4"/>
  <c r="F39" i="4" s="1"/>
  <c r="F41" i="4"/>
  <c r="H41" i="4" s="1"/>
  <c r="L19" i="27"/>
  <c r="V55" i="5"/>
  <c r="E55" i="5" s="1"/>
  <c r="G54" i="28" s="1"/>
  <c r="L20" i="27"/>
  <c r="O16" i="5"/>
  <c r="V16" i="5" s="1"/>
  <c r="O40" i="5"/>
  <c r="W40" i="5" s="1"/>
  <c r="G40" i="5" s="1"/>
  <c r="V29" i="5"/>
  <c r="E29" i="5" s="1"/>
  <c r="U46" i="5"/>
  <c r="D46" i="5" s="1"/>
  <c r="F45" i="28" s="1"/>
  <c r="W29" i="5"/>
  <c r="G29" i="5" s="1"/>
  <c r="I30" i="28"/>
  <c r="I31" i="10"/>
  <c r="V41" i="5"/>
  <c r="E41" i="5" s="1"/>
  <c r="G40" i="28" s="1"/>
  <c r="O15" i="5"/>
  <c r="U15" i="5" s="1"/>
  <c r="D15" i="5" s="1"/>
  <c r="K16" i="27" s="1"/>
  <c r="O51" i="5"/>
  <c r="U51" i="5" s="1"/>
  <c r="D51" i="5" s="1"/>
  <c r="G42" i="4"/>
  <c r="U22" i="5"/>
  <c r="D22" i="5" s="1"/>
  <c r="G52" i="4"/>
  <c r="V42" i="5"/>
  <c r="E42" i="5" s="1"/>
  <c r="H42" i="5" s="1"/>
  <c r="O47" i="5"/>
  <c r="V47" i="5" s="1"/>
  <c r="E47" i="5" s="1"/>
  <c r="F28" i="28"/>
  <c r="F29" i="10"/>
  <c r="U26" i="5"/>
  <c r="D26" i="5" s="1"/>
  <c r="F26" i="5" s="1"/>
  <c r="N44" i="5"/>
  <c r="V32" i="5"/>
  <c r="E32" i="5" s="1"/>
  <c r="H32" i="5" s="1"/>
  <c r="O23" i="5"/>
  <c r="V23" i="5" s="1"/>
  <c r="E23" i="5" s="1"/>
  <c r="U52" i="5"/>
  <c r="D52" i="5" s="1"/>
  <c r="W50" i="5"/>
  <c r="G50" i="5" s="1"/>
  <c r="V50" i="5"/>
  <c r="E50" i="5" s="1"/>
  <c r="W55" i="5"/>
  <c r="G55" i="5" s="1"/>
  <c r="W46" i="5"/>
  <c r="G46" i="5" s="1"/>
  <c r="N30" i="5"/>
  <c r="V19" i="5"/>
  <c r="E19" i="5" s="1"/>
  <c r="U50" i="5"/>
  <c r="D50" i="5" s="1"/>
  <c r="U32" i="5"/>
  <c r="D32" i="5" s="1"/>
  <c r="W37" i="5"/>
  <c r="G37" i="5" s="1"/>
  <c r="U54" i="5"/>
  <c r="D54" i="5" s="1"/>
  <c r="O18" i="5"/>
  <c r="W18" i="5" s="1"/>
  <c r="F41" i="10"/>
  <c r="F40" i="28"/>
  <c r="U37" i="5"/>
  <c r="D37" i="5" s="1"/>
  <c r="U39" i="5"/>
  <c r="D39" i="5" s="1"/>
  <c r="V39" i="5"/>
  <c r="E39" i="5" s="1"/>
  <c r="O36" i="5"/>
  <c r="U36" i="5" s="1"/>
  <c r="D36" i="5" s="1"/>
  <c r="V54" i="5"/>
  <c r="E54" i="5" s="1"/>
  <c r="U19" i="5"/>
  <c r="D19" i="5" s="1"/>
  <c r="F18" i="28" s="1"/>
  <c r="L17" i="27"/>
  <c r="O17" i="5"/>
  <c r="W17" i="5" s="1"/>
  <c r="G17" i="5" s="1"/>
  <c r="O25" i="5"/>
  <c r="V25" i="5" s="1"/>
  <c r="E25" i="5" s="1"/>
  <c r="O57" i="5"/>
  <c r="U57" i="5" s="1"/>
  <c r="D57" i="5" s="1"/>
  <c r="O14" i="5"/>
  <c r="W54" i="5"/>
  <c r="G54" i="5" s="1"/>
  <c r="W52" i="5"/>
  <c r="G52" i="5" s="1"/>
  <c r="V52" i="5"/>
  <c r="E52" i="5" s="1"/>
  <c r="N34" i="5"/>
  <c r="W26" i="5"/>
  <c r="G26" i="5" s="1"/>
  <c r="I31" i="28"/>
  <c r="I32" i="10"/>
  <c r="U56" i="5"/>
  <c r="D56" i="5" s="1"/>
  <c r="W56" i="5"/>
  <c r="G56" i="5" s="1"/>
  <c r="V56" i="5"/>
  <c r="E56" i="5" s="1"/>
  <c r="G22" i="10"/>
  <c r="G21" i="28"/>
  <c r="E23" i="3"/>
  <c r="E22" i="27"/>
  <c r="O24" i="5"/>
  <c r="U24" i="5" s="1"/>
  <c r="D24" i="5" s="1"/>
  <c r="V37" i="5"/>
  <c r="E37" i="5" s="1"/>
  <c r="I35" i="10" l="1"/>
  <c r="I45" i="10"/>
  <c r="F57" i="4"/>
  <c r="H57" i="4" s="1"/>
  <c r="H35" i="4"/>
  <c r="H36" i="4"/>
  <c r="H54" i="4"/>
  <c r="I18" i="28"/>
  <c r="H46" i="4"/>
  <c r="H19" i="5"/>
  <c r="G18" i="28"/>
  <c r="I34" i="28"/>
  <c r="J34" i="28" s="1"/>
  <c r="H27" i="4"/>
  <c r="D20" i="5"/>
  <c r="AF5" i="20"/>
  <c r="E20" i="5"/>
  <c r="G19" i="28" s="1"/>
  <c r="AF5" i="18"/>
  <c r="G20" i="5"/>
  <c r="AF5" i="29"/>
  <c r="AF15" i="29" s="1"/>
  <c r="E34" i="12" s="1"/>
  <c r="F45" i="10"/>
  <c r="F30" i="28"/>
  <c r="F26" i="4"/>
  <c r="H26" i="4" s="1"/>
  <c r="G25" i="28"/>
  <c r="E26" i="27"/>
  <c r="E27" i="3"/>
  <c r="H49" i="4"/>
  <c r="F31" i="5"/>
  <c r="U23" i="5"/>
  <c r="D23" i="5" s="1"/>
  <c r="F23" i="5" s="1"/>
  <c r="F55" i="10"/>
  <c r="V21" i="5"/>
  <c r="U21" i="5"/>
  <c r="G41" i="10"/>
  <c r="H41" i="10" s="1"/>
  <c r="G55" i="10"/>
  <c r="H22" i="4"/>
  <c r="G29" i="10"/>
  <c r="H29" i="10" s="1"/>
  <c r="F41" i="5"/>
  <c r="G21" i="5"/>
  <c r="I20" i="28" s="1"/>
  <c r="G21" i="3"/>
  <c r="W36" i="5"/>
  <c r="G36" i="5" s="1"/>
  <c r="I35" i="28" s="1"/>
  <c r="F46" i="5"/>
  <c r="H25" i="4"/>
  <c r="I40" i="28"/>
  <c r="J40" i="28" s="1"/>
  <c r="F46" i="10"/>
  <c r="F34" i="28"/>
  <c r="H34" i="28" s="1"/>
  <c r="H14" i="4"/>
  <c r="G23" i="3"/>
  <c r="H23" i="3" s="1"/>
  <c r="F45" i="5"/>
  <c r="H30" i="4"/>
  <c r="F49" i="10"/>
  <c r="F42" i="5"/>
  <c r="W23" i="5"/>
  <c r="G23" i="5" s="1"/>
  <c r="I23" i="10" s="1"/>
  <c r="H45" i="4"/>
  <c r="H44" i="4"/>
  <c r="H16" i="4"/>
  <c r="H22" i="5"/>
  <c r="W15" i="5"/>
  <c r="G15" i="5" s="1"/>
  <c r="G17" i="3" s="1"/>
  <c r="H29" i="4"/>
  <c r="I22" i="10"/>
  <c r="J22" i="10" s="1"/>
  <c r="V40" i="5"/>
  <c r="E40" i="5" s="1"/>
  <c r="H40" i="5" s="1"/>
  <c r="G22" i="27"/>
  <c r="H22" i="27" s="1"/>
  <c r="F42" i="10"/>
  <c r="I21" i="28"/>
  <c r="J21" i="28" s="1"/>
  <c r="H23" i="4"/>
  <c r="H41" i="5"/>
  <c r="H29" i="5"/>
  <c r="H47" i="4"/>
  <c r="H35" i="5"/>
  <c r="G28" i="28"/>
  <c r="H28" i="28" s="1"/>
  <c r="W51" i="5"/>
  <c r="G51" i="5" s="1"/>
  <c r="V49" i="5"/>
  <c r="E49" i="5" s="1"/>
  <c r="V51" i="5"/>
  <c r="E51" i="5" s="1"/>
  <c r="G51" i="10" s="1"/>
  <c r="V27" i="5"/>
  <c r="E27" i="5" s="1"/>
  <c r="U40" i="5"/>
  <c r="D40" i="5" s="1"/>
  <c r="G44" i="28"/>
  <c r="J44" i="28" s="1"/>
  <c r="G35" i="10"/>
  <c r="H35" i="10" s="1"/>
  <c r="W49" i="5"/>
  <c r="G49" i="5" s="1"/>
  <c r="F35" i="5"/>
  <c r="U27" i="5"/>
  <c r="D27" i="5" s="1"/>
  <c r="V36" i="5"/>
  <c r="E36" i="5" s="1"/>
  <c r="F36" i="5" s="1"/>
  <c r="W27" i="5"/>
  <c r="G27" i="5" s="1"/>
  <c r="I26" i="28" s="1"/>
  <c r="G45" i="10"/>
  <c r="H51" i="4"/>
  <c r="F21" i="4"/>
  <c r="H21" i="4" s="1"/>
  <c r="G20" i="27"/>
  <c r="F15" i="4"/>
  <c r="H15" i="4" s="1"/>
  <c r="I29" i="10"/>
  <c r="G46" i="10"/>
  <c r="F15" i="28"/>
  <c r="G42" i="10"/>
  <c r="H19" i="4"/>
  <c r="G45" i="28"/>
  <c r="H45" i="28" s="1"/>
  <c r="F18" i="4"/>
  <c r="H18" i="4" s="1"/>
  <c r="D16" i="27"/>
  <c r="H39" i="4"/>
  <c r="I38" i="28"/>
  <c r="H52" i="4"/>
  <c r="G31" i="10"/>
  <c r="H31" i="10" s="1"/>
  <c r="G30" i="28"/>
  <c r="V18" i="5"/>
  <c r="L5" i="18" s="1"/>
  <c r="F51" i="10"/>
  <c r="F50" i="28"/>
  <c r="F21" i="28"/>
  <c r="H21" i="28" s="1"/>
  <c r="D23" i="3"/>
  <c r="F23" i="3" s="1"/>
  <c r="D22" i="27"/>
  <c r="F22" i="27" s="1"/>
  <c r="F22" i="10"/>
  <c r="H22" i="10" s="1"/>
  <c r="G41" i="28"/>
  <c r="H41" i="28" s="1"/>
  <c r="F16" i="10"/>
  <c r="X5" i="18"/>
  <c r="X15" i="18" s="1"/>
  <c r="E16" i="5"/>
  <c r="I28" i="28"/>
  <c r="V15" i="5"/>
  <c r="E15" i="5" s="1"/>
  <c r="E17" i="3" s="1"/>
  <c r="D17" i="3"/>
  <c r="W47" i="5"/>
  <c r="G47" i="5" s="1"/>
  <c r="H47" i="5" s="1"/>
  <c r="F29" i="5"/>
  <c r="F22" i="5"/>
  <c r="F55" i="5"/>
  <c r="U25" i="5"/>
  <c r="D25" i="5" s="1"/>
  <c r="D26" i="3" s="1"/>
  <c r="W16" i="5"/>
  <c r="U16" i="5"/>
  <c r="I42" i="10"/>
  <c r="I41" i="28"/>
  <c r="V24" i="5"/>
  <c r="E24" i="5" s="1"/>
  <c r="E24" i="27" s="1"/>
  <c r="V57" i="5"/>
  <c r="E57" i="5" s="1"/>
  <c r="G57" i="10" s="1"/>
  <c r="H42" i="4"/>
  <c r="F57" i="10"/>
  <c r="F56" i="28"/>
  <c r="G25" i="10"/>
  <c r="G24" i="28"/>
  <c r="E25" i="27"/>
  <c r="E26" i="3"/>
  <c r="E24" i="3"/>
  <c r="E23" i="27"/>
  <c r="G22" i="28"/>
  <c r="G23" i="10"/>
  <c r="G46" i="28"/>
  <c r="G47" i="10"/>
  <c r="L5" i="29"/>
  <c r="G18" i="5"/>
  <c r="F36" i="10"/>
  <c r="F35" i="28"/>
  <c r="H56" i="5"/>
  <c r="I56" i="10"/>
  <c r="I55" i="28"/>
  <c r="F52" i="5"/>
  <c r="G52" i="10"/>
  <c r="G51" i="28"/>
  <c r="G18" i="27"/>
  <c r="I17" i="28"/>
  <c r="G19" i="3"/>
  <c r="I18" i="10"/>
  <c r="F49" i="28"/>
  <c r="F50" i="10"/>
  <c r="F55" i="28"/>
  <c r="F56" i="10"/>
  <c r="V17" i="5"/>
  <c r="E17" i="5" s="1"/>
  <c r="U18" i="5"/>
  <c r="G31" i="28"/>
  <c r="F32" i="5"/>
  <c r="G32" i="10"/>
  <c r="U47" i="5"/>
  <c r="D47" i="5" s="1"/>
  <c r="F47" i="5" s="1"/>
  <c r="H50" i="5"/>
  <c r="I50" i="10"/>
  <c r="I49" i="28"/>
  <c r="H54" i="28"/>
  <c r="F38" i="28"/>
  <c r="F39" i="10"/>
  <c r="O34" i="5"/>
  <c r="U34" i="5" s="1"/>
  <c r="D34" i="5" s="1"/>
  <c r="G54" i="10"/>
  <c r="F54" i="5"/>
  <c r="G53" i="28"/>
  <c r="O30" i="5"/>
  <c r="U30" i="5" s="1"/>
  <c r="D30" i="5" s="1"/>
  <c r="F25" i="28"/>
  <c r="D26" i="27"/>
  <c r="D27" i="3"/>
  <c r="F26" i="10"/>
  <c r="H26" i="10" s="1"/>
  <c r="W25" i="5"/>
  <c r="G25" i="5" s="1"/>
  <c r="F50" i="5"/>
  <c r="G50" i="10"/>
  <c r="G49" i="28"/>
  <c r="F53" i="28"/>
  <c r="F54" i="10"/>
  <c r="I54" i="10"/>
  <c r="I53" i="28"/>
  <c r="H54" i="5"/>
  <c r="U14" i="5"/>
  <c r="D14" i="5" s="1"/>
  <c r="V14" i="5"/>
  <c r="E14" i="5" s="1"/>
  <c r="F36" i="28"/>
  <c r="F37" i="10"/>
  <c r="I37" i="10"/>
  <c r="H37" i="5"/>
  <c r="I36" i="28"/>
  <c r="W24" i="5"/>
  <c r="G24" i="5" s="1"/>
  <c r="H52" i="5"/>
  <c r="I52" i="10"/>
  <c r="I51" i="28"/>
  <c r="G19" i="10"/>
  <c r="E21" i="3"/>
  <c r="E20" i="27"/>
  <c r="F19" i="5"/>
  <c r="G37" i="10"/>
  <c r="G36" i="28"/>
  <c r="F37" i="5"/>
  <c r="I26" i="10"/>
  <c r="J26" i="10" s="1"/>
  <c r="I25" i="28"/>
  <c r="H26" i="5"/>
  <c r="G26" i="27"/>
  <c r="G27" i="3"/>
  <c r="F19" i="10"/>
  <c r="D20" i="27"/>
  <c r="D21" i="3"/>
  <c r="W57" i="5"/>
  <c r="G57" i="5" s="1"/>
  <c r="H40" i="28"/>
  <c r="N16" i="27"/>
  <c r="F31" i="28"/>
  <c r="F32" i="10"/>
  <c r="H46" i="5"/>
  <c r="I45" i="28"/>
  <c r="I46" i="10"/>
  <c r="D25" i="3"/>
  <c r="F24" i="10"/>
  <c r="D24" i="27"/>
  <c r="F23" i="28"/>
  <c r="H55" i="5"/>
  <c r="I55" i="10"/>
  <c r="I54" i="28"/>
  <c r="J54" i="28" s="1"/>
  <c r="F51" i="28"/>
  <c r="F52" i="10"/>
  <c r="O44" i="5"/>
  <c r="V44" i="5" s="1"/>
  <c r="E44" i="5" s="1"/>
  <c r="I39" i="28"/>
  <c r="I40" i="10"/>
  <c r="G39" i="10"/>
  <c r="G38" i="28"/>
  <c r="F39" i="5"/>
  <c r="U17" i="5"/>
  <c r="D17" i="5" s="1"/>
  <c r="G55" i="28"/>
  <c r="F56" i="5"/>
  <c r="G56" i="10"/>
  <c r="H39" i="5"/>
  <c r="W14" i="5"/>
  <c r="G14" i="5" s="1"/>
  <c r="J45" i="10" l="1"/>
  <c r="F20" i="10"/>
  <c r="F19" i="28"/>
  <c r="H19" i="28" s="1"/>
  <c r="G23" i="27"/>
  <c r="H23" i="27" s="1"/>
  <c r="D23" i="27"/>
  <c r="F23" i="10"/>
  <c r="H23" i="10" s="1"/>
  <c r="G20" i="10"/>
  <c r="F20" i="5"/>
  <c r="I20" i="10"/>
  <c r="I19" i="28"/>
  <c r="J19" i="28" s="1"/>
  <c r="H18" i="28"/>
  <c r="J18" i="28"/>
  <c r="G24" i="3"/>
  <c r="H24" i="3" s="1"/>
  <c r="I36" i="10"/>
  <c r="H20" i="5"/>
  <c r="I46" i="28"/>
  <c r="J46" i="28" s="1"/>
  <c r="G36" i="10"/>
  <c r="H36" i="10" s="1"/>
  <c r="H20" i="27"/>
  <c r="H30" i="28"/>
  <c r="I47" i="10"/>
  <c r="J47" i="10" s="1"/>
  <c r="F25" i="10"/>
  <c r="H25" i="10" s="1"/>
  <c r="F22" i="28"/>
  <c r="H22" i="28" s="1"/>
  <c r="D24" i="3"/>
  <c r="F24" i="3" s="1"/>
  <c r="G35" i="28"/>
  <c r="H35" i="28" s="1"/>
  <c r="F26" i="27"/>
  <c r="F27" i="3"/>
  <c r="H26" i="27"/>
  <c r="H27" i="3"/>
  <c r="H55" i="10"/>
  <c r="J35" i="10"/>
  <c r="H46" i="10"/>
  <c r="J25" i="28"/>
  <c r="H25" i="28"/>
  <c r="J41" i="10"/>
  <c r="J55" i="10"/>
  <c r="I27" i="10"/>
  <c r="I15" i="28"/>
  <c r="H27" i="5"/>
  <c r="G16" i="27"/>
  <c r="W34" i="5"/>
  <c r="G34" i="5" s="1"/>
  <c r="I33" i="28" s="1"/>
  <c r="H36" i="5"/>
  <c r="F24" i="28"/>
  <c r="H24" i="28" s="1"/>
  <c r="F40" i="5"/>
  <c r="F15" i="5"/>
  <c r="D21" i="5"/>
  <c r="AF15" i="20"/>
  <c r="E32" i="12" s="1"/>
  <c r="F33" i="12" s="1"/>
  <c r="G33" i="12" s="1"/>
  <c r="V34" i="5"/>
  <c r="E34" i="5" s="1"/>
  <c r="I16" i="10"/>
  <c r="J29" i="10"/>
  <c r="AF15" i="18"/>
  <c r="E33" i="12" s="1"/>
  <c r="E21" i="5"/>
  <c r="H21" i="5" s="1"/>
  <c r="H42" i="10"/>
  <c r="I22" i="28"/>
  <c r="J22" i="28" s="1"/>
  <c r="H15" i="5"/>
  <c r="H23" i="5"/>
  <c r="G15" i="28"/>
  <c r="H15" i="28" s="1"/>
  <c r="G22" i="3"/>
  <c r="I21" i="10"/>
  <c r="G21" i="27"/>
  <c r="J28" i="28"/>
  <c r="F57" i="5"/>
  <c r="G56" i="28"/>
  <c r="H56" i="28" s="1"/>
  <c r="H44" i="28"/>
  <c r="H45" i="10"/>
  <c r="D25" i="27"/>
  <c r="F25" i="27" s="1"/>
  <c r="F51" i="5"/>
  <c r="F39" i="28"/>
  <c r="F40" i="10"/>
  <c r="F27" i="5"/>
  <c r="G27" i="10"/>
  <c r="G26" i="28"/>
  <c r="E18" i="5"/>
  <c r="G50" i="28"/>
  <c r="H50" i="28" s="1"/>
  <c r="G48" i="28"/>
  <c r="H48" i="28" s="1"/>
  <c r="F49" i="5"/>
  <c r="G49" i="10"/>
  <c r="H49" i="10" s="1"/>
  <c r="G39" i="28"/>
  <c r="J39" i="28" s="1"/>
  <c r="G40" i="10"/>
  <c r="J45" i="28"/>
  <c r="U44" i="5"/>
  <c r="D44" i="5" s="1"/>
  <c r="F44" i="10" s="1"/>
  <c r="I51" i="10"/>
  <c r="J51" i="10" s="1"/>
  <c r="H51" i="5"/>
  <c r="F26" i="28"/>
  <c r="F27" i="10"/>
  <c r="G20" i="3"/>
  <c r="F25" i="5"/>
  <c r="J42" i="10"/>
  <c r="I50" i="28"/>
  <c r="I48" i="28"/>
  <c r="H49" i="5"/>
  <c r="I49" i="10"/>
  <c r="J31" i="10"/>
  <c r="J54" i="10"/>
  <c r="J41" i="28"/>
  <c r="J46" i="10"/>
  <c r="J51" i="28"/>
  <c r="H37" i="10"/>
  <c r="J52" i="10"/>
  <c r="H57" i="10"/>
  <c r="H36" i="28"/>
  <c r="J23" i="10"/>
  <c r="J30" i="28"/>
  <c r="J53" i="28"/>
  <c r="H38" i="28"/>
  <c r="F17" i="3"/>
  <c r="F24" i="27"/>
  <c r="X5" i="29"/>
  <c r="X15" i="29" s="1"/>
  <c r="X17" i="29" s="1"/>
  <c r="X18" i="29" s="1"/>
  <c r="G16" i="5"/>
  <c r="E25" i="3"/>
  <c r="F25" i="3" s="1"/>
  <c r="G24" i="10"/>
  <c r="H24" i="10" s="1"/>
  <c r="X5" i="20"/>
  <c r="X15" i="20" s="1"/>
  <c r="D16" i="5"/>
  <c r="G17" i="10"/>
  <c r="G16" i="28"/>
  <c r="E17" i="27"/>
  <c r="E18" i="3"/>
  <c r="G23" i="28"/>
  <c r="H23" i="28" s="1"/>
  <c r="X17" i="18"/>
  <c r="X18" i="18" s="1"/>
  <c r="E47" i="27"/>
  <c r="E44" i="3"/>
  <c r="F24" i="5"/>
  <c r="E16" i="27"/>
  <c r="F16" i="27" s="1"/>
  <c r="J37" i="10"/>
  <c r="H39" i="10"/>
  <c r="H54" i="10"/>
  <c r="G16" i="10"/>
  <c r="H16" i="10" s="1"/>
  <c r="H55" i="28"/>
  <c r="H17" i="3"/>
  <c r="H51" i="10"/>
  <c r="H50" i="10"/>
  <c r="F34" i="10"/>
  <c r="F33" i="28"/>
  <c r="H32" i="10"/>
  <c r="J55" i="28"/>
  <c r="F23" i="27"/>
  <c r="J56" i="10"/>
  <c r="H31" i="28"/>
  <c r="F5" i="23"/>
  <c r="F7" i="23" s="1"/>
  <c r="F14" i="23" s="1"/>
  <c r="L15" i="18"/>
  <c r="H56" i="10"/>
  <c r="I23" i="28"/>
  <c r="I24" i="10"/>
  <c r="G24" i="27"/>
  <c r="H24" i="27" s="1"/>
  <c r="H24" i="5"/>
  <c r="G25" i="3"/>
  <c r="L5" i="20"/>
  <c r="D18" i="5"/>
  <c r="V7" i="5"/>
  <c r="J31" i="28"/>
  <c r="F20" i="27"/>
  <c r="V30" i="5"/>
  <c r="E30" i="5" s="1"/>
  <c r="G18" i="10"/>
  <c r="E19" i="3"/>
  <c r="E18" i="27"/>
  <c r="H18" i="27" s="1"/>
  <c r="G17" i="28"/>
  <c r="J17" i="28" s="1"/>
  <c r="F17" i="5"/>
  <c r="H17" i="5"/>
  <c r="G19" i="27"/>
  <c r="F26" i="3"/>
  <c r="J39" i="10"/>
  <c r="F29" i="28"/>
  <c r="F30" i="10"/>
  <c r="G44" i="10"/>
  <c r="G43" i="28"/>
  <c r="W30" i="5"/>
  <c r="G30" i="5" s="1"/>
  <c r="H19" i="10"/>
  <c r="J36" i="28"/>
  <c r="G5" i="23"/>
  <c r="G7" i="23" s="1"/>
  <c r="G14" i="23" s="1"/>
  <c r="L15" i="29"/>
  <c r="I14" i="28"/>
  <c r="G15" i="27"/>
  <c r="I15" i="10"/>
  <c r="G16" i="3"/>
  <c r="H14" i="5"/>
  <c r="H57" i="5"/>
  <c r="I57" i="10"/>
  <c r="J57" i="10" s="1"/>
  <c r="I56" i="28"/>
  <c r="H53" i="28"/>
  <c r="F17" i="28"/>
  <c r="D19" i="3"/>
  <c r="F18" i="10"/>
  <c r="D18" i="27"/>
  <c r="F21" i="3"/>
  <c r="J38" i="28"/>
  <c r="F14" i="5"/>
  <c r="G15" i="10"/>
  <c r="G14" i="28"/>
  <c r="E16" i="3"/>
  <c r="E15" i="27"/>
  <c r="J19" i="10"/>
  <c r="H21" i="3"/>
  <c r="H51" i="28"/>
  <c r="D15" i="27"/>
  <c r="D16" i="3"/>
  <c r="F14" i="28"/>
  <c r="F15" i="10"/>
  <c r="J32" i="10"/>
  <c r="J49" i="28"/>
  <c r="F46" i="28"/>
  <c r="H46" i="28" s="1"/>
  <c r="F47" i="10"/>
  <c r="H47" i="10" s="1"/>
  <c r="H52" i="10"/>
  <c r="H49" i="28"/>
  <c r="I24" i="28"/>
  <c r="J24" i="28" s="1"/>
  <c r="H25" i="5"/>
  <c r="G25" i="27"/>
  <c r="H25" i="27" s="1"/>
  <c r="G26" i="3"/>
  <c r="H26" i="3" s="1"/>
  <c r="I25" i="10"/>
  <c r="J25" i="10" s="1"/>
  <c r="J50" i="10"/>
  <c r="W44" i="5"/>
  <c r="G44" i="5" s="1"/>
  <c r="H20" i="10" l="1"/>
  <c r="I34" i="10"/>
  <c r="J36" i="10"/>
  <c r="H16" i="3"/>
  <c r="J20" i="10"/>
  <c r="U31" i="29"/>
  <c r="J35" i="28"/>
  <c r="H34" i="5"/>
  <c r="J49" i="10"/>
  <c r="J50" i="28"/>
  <c r="F44" i="5"/>
  <c r="J27" i="10"/>
  <c r="G33" i="28"/>
  <c r="J33" i="28" s="1"/>
  <c r="G34" i="10"/>
  <c r="H40" i="10"/>
  <c r="F34" i="5"/>
  <c r="F43" i="28"/>
  <c r="H43" i="28" s="1"/>
  <c r="J15" i="28"/>
  <c r="D21" i="27"/>
  <c r="F20" i="28"/>
  <c r="D22" i="3"/>
  <c r="F21" i="10"/>
  <c r="K20" i="27"/>
  <c r="N20" i="27" s="1"/>
  <c r="G21" i="10"/>
  <c r="J21" i="10" s="1"/>
  <c r="E21" i="27"/>
  <c r="E22" i="3"/>
  <c r="F21" i="5"/>
  <c r="G20" i="28"/>
  <c r="J56" i="28"/>
  <c r="F18" i="5"/>
  <c r="J40" i="10"/>
  <c r="H18" i="5"/>
  <c r="H39" i="28"/>
  <c r="D20" i="3"/>
  <c r="U31" i="20" s="1"/>
  <c r="E19" i="27"/>
  <c r="H19" i="27" s="1"/>
  <c r="H26" i="28"/>
  <c r="J26" i="28"/>
  <c r="E20" i="3"/>
  <c r="J48" i="28"/>
  <c r="H27" i="10"/>
  <c r="H25" i="3"/>
  <c r="F16" i="3"/>
  <c r="J24" i="10"/>
  <c r="F17" i="10"/>
  <c r="H17" i="10" s="1"/>
  <c r="D18" i="3"/>
  <c r="F18" i="3" s="1"/>
  <c r="F16" i="28"/>
  <c r="H16" i="28" s="1"/>
  <c r="K17" i="27"/>
  <c r="N17" i="27" s="1"/>
  <c r="D17" i="27"/>
  <c r="F17" i="27" s="1"/>
  <c r="D47" i="27"/>
  <c r="F47" i="27" s="1"/>
  <c r="D44" i="3"/>
  <c r="F44" i="3" s="1"/>
  <c r="X17" i="20"/>
  <c r="X18" i="20" s="1"/>
  <c r="J23" i="28"/>
  <c r="H44" i="10"/>
  <c r="E21" i="12"/>
  <c r="E45" i="3"/>
  <c r="E48" i="27"/>
  <c r="J16" i="10"/>
  <c r="H16" i="27"/>
  <c r="H15" i="27"/>
  <c r="F16" i="5"/>
  <c r="H16" i="5"/>
  <c r="I17" i="10"/>
  <c r="J17" i="10" s="1"/>
  <c r="G17" i="27"/>
  <c r="H17" i="27" s="1"/>
  <c r="I16" i="28"/>
  <c r="J16" i="28" s="1"/>
  <c r="G18" i="3"/>
  <c r="E22" i="12"/>
  <c r="X19" i="29"/>
  <c r="X20" i="29" s="1"/>
  <c r="H44" i="5"/>
  <c r="I44" i="10"/>
  <c r="J44" i="10" s="1"/>
  <c r="I43" i="28"/>
  <c r="J43" i="28" s="1"/>
  <c r="E5" i="23"/>
  <c r="E7" i="23" s="1"/>
  <c r="E14" i="23" s="1"/>
  <c r="L15" i="20"/>
  <c r="O15" i="18" s="1"/>
  <c r="F19" i="3"/>
  <c r="H18" i="10"/>
  <c r="G30" i="10"/>
  <c r="H30" i="10" s="1"/>
  <c r="G29" i="28"/>
  <c r="H29" i="28" s="1"/>
  <c r="F30" i="5"/>
  <c r="J15" i="10"/>
  <c r="W31" i="29"/>
  <c r="E9" i="12"/>
  <c r="E43" i="3"/>
  <c r="E46" i="27"/>
  <c r="F15" i="27"/>
  <c r="J14" i="28"/>
  <c r="H19" i="3"/>
  <c r="J18" i="10"/>
  <c r="I29" i="28"/>
  <c r="H30" i="5"/>
  <c r="I30" i="10"/>
  <c r="E10" i="12"/>
  <c r="O15" i="29"/>
  <c r="H14" i="28"/>
  <c r="H15" i="10"/>
  <c r="H17" i="28"/>
  <c r="K19" i="27"/>
  <c r="N19" i="27" s="1"/>
  <c r="D19" i="27"/>
  <c r="F18" i="27"/>
  <c r="V31" i="29" l="1"/>
  <c r="J34" i="10"/>
  <c r="H33" i="28"/>
  <c r="H34" i="10"/>
  <c r="F20" i="3"/>
  <c r="F22" i="3"/>
  <c r="F19" i="27"/>
  <c r="H22" i="3"/>
  <c r="H21" i="27"/>
  <c r="F21" i="27"/>
  <c r="H21" i="10"/>
  <c r="J20" i="28"/>
  <c r="H20" i="28"/>
  <c r="U30" i="29"/>
  <c r="U31" i="18"/>
  <c r="H20" i="3"/>
  <c r="B36" i="3"/>
  <c r="B35" i="27" s="1"/>
  <c r="F22" i="12"/>
  <c r="J29" i="28"/>
  <c r="J17" i="27"/>
  <c r="D45" i="3"/>
  <c r="F45" i="3" s="1"/>
  <c r="E20" i="12"/>
  <c r="F21" i="12" s="1"/>
  <c r="G21" i="12" s="1"/>
  <c r="D48" i="27"/>
  <c r="F48" i="27" s="1"/>
  <c r="H18" i="3"/>
  <c r="X19" i="18"/>
  <c r="X20" i="18" s="1"/>
  <c r="J30" i="10"/>
  <c r="U30" i="18"/>
  <c r="E8" i="12"/>
  <c r="D43" i="3"/>
  <c r="F43" i="3" s="1"/>
  <c r="D46" i="27"/>
  <c r="F46" i="27" s="1"/>
  <c r="V31" i="18"/>
  <c r="J9" i="12" l="1"/>
  <c r="F9" i="12"/>
  <c r="G9" i="12" s="1"/>
  <c r="K8" i="12"/>
  <c r="K9" i="12"/>
  <c r="L9" i="12" s="1"/>
  <c r="F11" i="12"/>
  <c r="G11" i="12"/>
  <c r="W3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Kester, Megan M</author>
  </authors>
  <commentList>
    <comment ref="AA1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Kester, Megan M:</t>
        </r>
        <r>
          <rPr>
            <sz val="9"/>
            <color indexed="81"/>
            <rFont val="Tahoma"/>
            <family val="2"/>
          </rPr>
          <t xml:space="preserve">
need to add reference report for 4.5 ccf</t>
        </r>
      </text>
    </comment>
  </commentList>
</comments>
</file>

<file path=xl/sharedStrings.xml><?xml version="1.0" encoding="utf-8"?>
<sst xmlns="http://schemas.openxmlformats.org/spreadsheetml/2006/main" count="1048" uniqueCount="286">
  <si>
    <t>"What Does A Typical Residential Water Bill Pay For" Summary</t>
  </si>
  <si>
    <t>TOC</t>
  </si>
  <si>
    <t>USAGE CHARGES</t>
  </si>
  <si>
    <t xml:space="preserve">Water Quantity Charge </t>
  </si>
  <si>
    <t xml:space="preserve">Sewer Quantity Charge </t>
  </si>
  <si>
    <t>Subtotal</t>
  </si>
  <si>
    <t>STORMWATER CHARGES</t>
  </si>
  <si>
    <t>SERVICE CHARGES</t>
  </si>
  <si>
    <t>For a 5/8-inch meter:</t>
  </si>
  <si>
    <t>TOTAL MONTHLY BILL</t>
  </si>
  <si>
    <t>Stormwater charges include SWMS and Billing &amp; Collections Charges.</t>
  </si>
  <si>
    <t>Service charges include both water and sewer service charges for 5/8" meter.</t>
  </si>
  <si>
    <t xml:space="preserve">Updated per TAP-R Determination </t>
  </si>
  <si>
    <t>TYPICAL RESIDENTIAL CUSTOMER</t>
  </si>
  <si>
    <t>TYPICAL SENIOR CITIZEN</t>
  </si>
  <si>
    <t>TYPICAL SMALL BUSINESS</t>
  </si>
  <si>
    <t>Water Quantity Charge including TAP-R Surcharge</t>
  </si>
  <si>
    <t>Sewer Quantity Charge including TAP-R Surcharge</t>
  </si>
  <si>
    <t>SERVICE CHARGE</t>
  </si>
  <si>
    <t xml:space="preserve">(See Service Charge table for allocation between </t>
  </si>
  <si>
    <t>water and sewer charges)</t>
  </si>
  <si>
    <t>STORMWATER CHARGE</t>
  </si>
  <si>
    <t>(Includes Quantity, Service &amp; Stormwater Charges and TAP-R Surcharge)</t>
  </si>
  <si>
    <t>Senior Discount</t>
  </si>
  <si>
    <t>TOTAL MONTHLY BILL WITH DISCOUNT</t>
  </si>
  <si>
    <t>USAGE:</t>
  </si>
  <si>
    <t>SERVICE</t>
  </si>
  <si>
    <t xml:space="preserve">Information for homes with </t>
  </si>
  <si>
    <t>Quantity Charges</t>
  </si>
  <si>
    <t>Monthly Charges</t>
  </si>
  <si>
    <t>residential fire sprinkler systems</t>
  </si>
  <si>
    <t>MONTHLY WATER USAGE</t>
  </si>
  <si>
    <t>WATER QUANTITY CHARGE PER MCF</t>
  </si>
  <si>
    <t>SEWER QUANTITY CHARGE PER MCF</t>
  </si>
  <si>
    <r>
      <t xml:space="preserve">METER SIZE </t>
    </r>
    <r>
      <rPr>
        <sz val="8"/>
        <color indexed="30"/>
        <rFont val="Calibri"/>
        <family val="2"/>
      </rPr>
      <t>(INCHES)</t>
    </r>
  </si>
  <si>
    <t>METER CODE</t>
  </si>
  <si>
    <t>MONTHLY WATER CHARGE</t>
  </si>
  <si>
    <t>MONTHLY SEWER CHARGE</t>
  </si>
  <si>
    <t>COMBINED MONTHLY CHARGE*</t>
  </si>
  <si>
    <t>First 2 Mcf</t>
  </si>
  <si>
    <t>All Billable Water Usage</t>
  </si>
  <si>
    <t>5/8</t>
  </si>
  <si>
    <t>R</t>
  </si>
  <si>
    <t>Next 98 Mcf</t>
  </si>
  <si>
    <t>3/4</t>
  </si>
  <si>
    <t>Z</t>
  </si>
  <si>
    <t>Next 1900 Mcf</t>
  </si>
  <si>
    <t>1 Mcf</t>
  </si>
  <si>
    <t>=1,000 cubic feet</t>
  </si>
  <si>
    <t>Q</t>
  </si>
  <si>
    <t>Monthly Service Charges for</t>
  </si>
  <si>
    <t>Over 2000 Mcf</t>
  </si>
  <si>
    <t>=7,480 gallons</t>
  </si>
  <si>
    <t>1-1/2</t>
  </si>
  <si>
    <t>P</t>
  </si>
  <si>
    <t>Customers with Residential Fire Service</t>
  </si>
  <si>
    <t>MONTHLY BILLINGS</t>
  </si>
  <si>
    <t>TAP Rider (TAP-R) Surcharge Rates</t>
  </si>
  <si>
    <t>X</t>
  </si>
  <si>
    <t>COMBINED MONTHLY CHARGE</t>
  </si>
  <si>
    <t>PERIOD</t>
  </si>
  <si>
    <t>INCREASE OF MONTHLY BILL</t>
  </si>
  <si>
    <t>% INCREASE OF MONTHLY BILL</t>
  </si>
  <si>
    <t>WATER TAP-R SURCHARGE PER MCF*</t>
  </si>
  <si>
    <t>SEWER TAP-R SURCHARGE PER MCF*</t>
  </si>
  <si>
    <t>O</t>
  </si>
  <si>
    <t>Current Rates</t>
  </si>
  <si>
    <t>N/A</t>
  </si>
  <si>
    <t>W</t>
  </si>
  <si>
    <t>Wastewater surcharges</t>
  </si>
  <si>
    <t>N</t>
  </si>
  <si>
    <r>
      <rPr>
        <b/>
        <sz val="10"/>
        <color indexed="30"/>
        <rFont val="Calibri"/>
        <family val="2"/>
      </rPr>
      <t>Note:</t>
    </r>
    <r>
      <rPr>
        <sz val="10"/>
        <color indexed="30"/>
        <rFont val="Calibri"/>
        <family val="2"/>
      </rPr>
      <t xml:space="preserve">  The typical residential customer has a 5/8-inch meter and uses </t>
    </r>
  </si>
  <si>
    <t xml:space="preserve"> </t>
  </si>
  <si>
    <t xml:space="preserve">Biochemical </t>
  </si>
  <si>
    <t>Suspended</t>
  </si>
  <si>
    <t>V</t>
  </si>
  <si>
    <t>approximately 500 cubic feet monthly.</t>
  </si>
  <si>
    <t>Oxygen Demand=</t>
  </si>
  <si>
    <t>Solids=</t>
  </si>
  <si>
    <t>E</t>
  </si>
  <si>
    <t xml:space="preserve">Billings includes charges for water, sanitary sewer, and stormwater </t>
  </si>
  <si>
    <t>T</t>
  </si>
  <si>
    <t>services.</t>
  </si>
  <si>
    <t xml:space="preserve">per pound of </t>
  </si>
  <si>
    <t>Biochemical Oxygen</t>
  </si>
  <si>
    <t>Suspended Solids</t>
  </si>
  <si>
    <t>* Does not include Stormwater Charges</t>
  </si>
  <si>
    <t>Demand in excess of</t>
  </si>
  <si>
    <t>in excess of 350 mg/l</t>
  </si>
  <si>
    <t>250 mg/l</t>
  </si>
  <si>
    <t>mg/l</t>
  </si>
  <si>
    <t>=milligrams per liter</t>
  </si>
  <si>
    <t>* Note:  TAP-R Surcharge Rates are added to the Quantity Charge rates.  Water TAP-R Surcharge Rate is added to each block rate.</t>
  </si>
  <si>
    <t>Typical Bill Information for Press Release</t>
  </si>
  <si>
    <t>Typical Residential Customer Monthly Billings</t>
  </si>
  <si>
    <t>Rate Period</t>
  </si>
  <si>
    <t>Total Monthly Bill</t>
  </si>
  <si>
    <t>Additional Monthly Water &amp; Wastewater Charge</t>
  </si>
  <si>
    <t>Percentage Increase of Monthly Bill</t>
  </si>
  <si>
    <t>Current</t>
  </si>
  <si>
    <t>Notes</t>
  </si>
  <si>
    <t>- Reflects a 5/8" meter with 4.3 ccf of water consumption.</t>
  </si>
  <si>
    <t xml:space="preserve">- Typical Monthly Bill includes Quantity Charges, TAP Rider Surcharge, Service Charge, and Stormwater Charges.  </t>
  </si>
  <si>
    <t>Typical Senior Citizen Monthly Billings</t>
  </si>
  <si>
    <t>Fiscal Year</t>
  </si>
  <si>
    <t>Notes:</t>
  </si>
  <si>
    <t>- Reflects a 5/8" meter with 3 ccf of water consumption.</t>
  </si>
  <si>
    <t xml:space="preserve">- Includes application of Senior Citizen discount of 25%. </t>
  </si>
  <si>
    <t>Typical Non-Residential Customer Monthly Billings</t>
  </si>
  <si>
    <t xml:space="preserve">- Reflects a 5/8" meter with 5.5 ccf water consumption </t>
  </si>
  <si>
    <t>- Reflects Parcel gross area of 5,500 sq. ft. and impervious area of 4,000 sq. ft.</t>
  </si>
  <si>
    <t>Table WW-18</t>
  </si>
  <si>
    <t>Table SW-19A</t>
  </si>
  <si>
    <t>Table SW-19B</t>
  </si>
  <si>
    <t>WASTEWATER:  PROPOSED RATES</t>
  </si>
  <si>
    <t>STORMWATER:  PROPOSED RATES</t>
  </si>
  <si>
    <t>FOR GENERAL SERVICE</t>
  </si>
  <si>
    <t>FOR RESIDENTIAL SERVICE</t>
  </si>
  <si>
    <t>FOR NON-RESIDENTIAL</t>
  </si>
  <si>
    <t>SANITARY SEWER</t>
  </si>
  <si>
    <t>METER BASED SERVICE CHARGE</t>
  </si>
  <si>
    <t>STORMWATER MANAGEMENT SERVICE CHARGE</t>
  </si>
  <si>
    <t>Monthly</t>
  </si>
  <si>
    <t>Meter Size</t>
  </si>
  <si>
    <t>Charge</t>
  </si>
  <si>
    <t>Inches</t>
  </si>
  <si>
    <t>$</t>
  </si>
  <si>
    <t>Charge Per Parcel</t>
  </si>
  <si>
    <t>Min Charge</t>
  </si>
  <si>
    <t>BILLING &amp; COLLECTION CHARGE</t>
  </si>
  <si>
    <t>GA ($/500 sf)</t>
  </si>
  <si>
    <t>1-1/4</t>
  </si>
  <si>
    <t>IA ($/500 sf)</t>
  </si>
  <si>
    <t>Charge per Bill</t>
  </si>
  <si>
    <t>QUANTITY CHARGE (BASE RATES)</t>
  </si>
  <si>
    <t>QUANTITY CHARGE (TOTAL)</t>
  </si>
  <si>
    <t>per Mcf</t>
  </si>
  <si>
    <t>Groundwater Charge</t>
  </si>
  <si>
    <t/>
  </si>
  <si>
    <t>per 1000 gallons</t>
  </si>
  <si>
    <t>Wastewater Delivered to WPCP</t>
  </si>
  <si>
    <t>TAP RIDER SEWER SURCHARGE</t>
  </si>
  <si>
    <t xml:space="preserve">FY 2020 TAP Rate Rider Surcharge rate is estimated and subject to annual reconciliation. </t>
  </si>
  <si>
    <t>SURCHARGE RATES</t>
  </si>
  <si>
    <t>BOD ($/lb in excess of 250 mg/l)</t>
  </si>
  <si>
    <t>SS ($/lb in excess of 350 mg/l)</t>
  </si>
  <si>
    <t>Mcf - Thousand cubic feet</t>
  </si>
  <si>
    <t>mg/l - milligrams per liter</t>
  </si>
  <si>
    <t>TABLE W-18</t>
  </si>
  <si>
    <t>PROPOSED WATER RATES FOR</t>
  </si>
  <si>
    <t>GENERAL SERVICE</t>
  </si>
  <si>
    <t>Monthly Water Usage</t>
  </si>
  <si>
    <t>Next 1,900 Mcf</t>
  </si>
  <si>
    <t>Over 2,000 Mcf</t>
  </si>
  <si>
    <t>TAP RIDER WATER SURCHARGE</t>
  </si>
  <si>
    <t>TABLE W-19</t>
  </si>
  <si>
    <t>PROPOSED RATES FOR</t>
  </si>
  <si>
    <t>FIRE PROTECTION</t>
  </si>
  <si>
    <t>PRIVATE FIRE PROTECTION</t>
  </si>
  <si>
    <t>Size of Meter</t>
  </si>
  <si>
    <t>or Connection</t>
  </si>
  <si>
    <t>4" or less</t>
  </si>
  <si>
    <t>PUBLIC FIRE PROTECTION</t>
  </si>
  <si>
    <t>Annual</t>
  </si>
  <si>
    <t>Standard Pressure</t>
  </si>
  <si>
    <t>TABLE W-19A</t>
  </si>
  <si>
    <t>RESIDENTIAL PRIVATE FIRE PROTECTION</t>
  </si>
  <si>
    <t>Line</t>
  </si>
  <si>
    <t>No.</t>
  </si>
  <si>
    <t>Water Service Charge Including Fire Protection</t>
  </si>
  <si>
    <t>Sewer Service Charge</t>
  </si>
  <si>
    <t xml:space="preserve">Report Version </t>
  </si>
  <si>
    <t>Existing Water Rates</t>
  </si>
  <si>
    <t>Water</t>
  </si>
  <si>
    <t>Wastewater</t>
  </si>
  <si>
    <t>Existing</t>
  </si>
  <si>
    <t>Proposed</t>
  </si>
  <si>
    <t>PRIVATE FIRE</t>
  </si>
  <si>
    <t xml:space="preserve">Description </t>
  </si>
  <si>
    <t>Sanitary Sewer</t>
  </si>
  <si>
    <t xml:space="preserve">Stormwater </t>
  </si>
  <si>
    <t>DESCRIPTION</t>
  </si>
  <si>
    <t>WATER</t>
  </si>
  <si>
    <t>RESIDENTIAL</t>
  </si>
  <si>
    <t>OTHER</t>
  </si>
  <si>
    <t>Monthly Water Service Charge ($/bill)</t>
  </si>
  <si>
    <t>Monthly Sanitary Sewer Service Charge ($/bill)</t>
  </si>
  <si>
    <t>Residential Stormwater Charges</t>
  </si>
  <si>
    <t xml:space="preserve">Meter Size (Inches) </t>
  </si>
  <si>
    <t>Monthly Stormwater Management Service Charge</t>
  </si>
  <si>
    <t>Monthly Billing &amp; Collection Charge</t>
  </si>
  <si>
    <t>Charge Per Bill</t>
  </si>
  <si>
    <t>Non-Residential Stormwater Charges</t>
  </si>
  <si>
    <t xml:space="preserve">Gross Area </t>
  </si>
  <si>
    <t>($/500 sf)</t>
  </si>
  <si>
    <t>Impervious Area</t>
  </si>
  <si>
    <t>FY 2020</t>
  </si>
  <si>
    <t>Base Rate - Water Quantity Charges ($/Mcf)</t>
  </si>
  <si>
    <t>Base Rate - Sanitary Sewer Quantity Charges ($/Mcf)</t>
  </si>
  <si>
    <t>Total Quantity Charges Including TAP-R Surcharge  ($/Mcf)</t>
  </si>
  <si>
    <t>Monthly Usage</t>
  </si>
  <si>
    <t xml:space="preserve">Non-Residential Stormwater Charges includes Condominiums.  </t>
  </si>
  <si>
    <t xml:space="preserve">Non-Residential Stormwater Customers are </t>
  </si>
  <si>
    <t xml:space="preserve">subject to a minimum Stormwater Management Service Charge </t>
  </si>
  <si>
    <t>Sanitary - Surcharge Rates ($/lb)</t>
  </si>
  <si>
    <t xml:space="preserve">equal to the residential charge per parcel. </t>
  </si>
  <si>
    <t>Quantity Charges presented above exclude TAP-R rates.</t>
  </si>
  <si>
    <t>TAP RIDER WATER SURCHARGE ($/Mcf)</t>
  </si>
  <si>
    <t>TAP RIDER SANITARY SURCHARGE ($/Mcf)</t>
  </si>
  <si>
    <t>Monthly Private Fire Protection Charge ($/bill)</t>
  </si>
  <si>
    <t>Annual Public Fire Protection Charge ($)</t>
  </si>
  <si>
    <t>Fire Protection for Residential Private Fire Protection</t>
  </si>
  <si>
    <t>sf - square feet</t>
  </si>
  <si>
    <t>BOD - Biochemical Oxygen Demand</t>
  </si>
  <si>
    <t>SS - Suspended Solids</t>
  </si>
  <si>
    <t>lb - pounds</t>
  </si>
  <si>
    <t xml:space="preserve">All charges (existing and proposed) are effective September 1st of the respective Fiscal Year. </t>
  </si>
  <si>
    <t xml:space="preserve">Non-Residential Stormwater Customers (including Condominiums) are subject to a minimum Stormwater Management Service Charge </t>
  </si>
  <si>
    <t>TABLE C-4</t>
  </si>
  <si>
    <t>COMBINED SYSTEM:  COMPARISON OF TYPICAL</t>
  </si>
  <si>
    <t>BILL FOR RESIDENTIAL CUSTOMERS</t>
  </si>
  <si>
    <t>UNDER EXISTING AND PROPOSED RATES</t>
  </si>
  <si>
    <t>Meter</t>
  </si>
  <si>
    <t>% Proposed</t>
  </si>
  <si>
    <t>Revised to ROUND each charge</t>
  </si>
  <si>
    <t>Size</t>
  </si>
  <si>
    <t>Use</t>
  </si>
  <si>
    <t>Rates</t>
  </si>
  <si>
    <t>of Existing</t>
  </si>
  <si>
    <t>Sewer</t>
  </si>
  <si>
    <t>SW</t>
  </si>
  <si>
    <t>Total</t>
  </si>
  <si>
    <t>Discount</t>
  </si>
  <si>
    <t>Mcf</t>
  </si>
  <si>
    <t>%</t>
  </si>
  <si>
    <t>Typical Senior</t>
  </si>
  <si>
    <t>Typical Residential</t>
  </si>
  <si>
    <t xml:space="preserve">Notes: </t>
  </si>
  <si>
    <t xml:space="preserve">The TAP-R Rates are subject to annual reconciliation. </t>
  </si>
  <si>
    <t xml:space="preserve">Typical Senior Citizen is presented prior to discount. Eligible Senior Citizen's receive a 25% discount </t>
  </si>
  <si>
    <t>TABLE C-5</t>
  </si>
  <si>
    <t>COMBINED SYSTEM:  COMPARISON OF EXAMPLE BILLS</t>
  </si>
  <si>
    <t>FOR NON-RESIDENTIAL CUSTOMERS</t>
  </si>
  <si>
    <t>Impervious</t>
  </si>
  <si>
    <t>Gross</t>
  </si>
  <si>
    <t>Area</t>
  </si>
  <si>
    <t>sf</t>
  </si>
  <si>
    <t>Typical Small Business</t>
  </si>
  <si>
    <t xml:space="preserve">(a) Examples with gross area less than 5,000 square feet reflect an impervious area of 85% of the gross area consistent with PWD Regulations </t>
  </si>
  <si>
    <t xml:space="preserve">       section 304.3.</t>
  </si>
  <si>
    <t>Criteria used for calculation of typical non-residential bill</t>
  </si>
  <si>
    <t>WATER:  COMPARISON OF TYPICAL BILLS</t>
  </si>
  <si>
    <t>Volume by Block</t>
  </si>
  <si>
    <t>Service Charge</t>
  </si>
  <si>
    <t>Volume Charge including TAP-R Surcharge</t>
  </si>
  <si>
    <t>&gt; 2000</t>
  </si>
  <si>
    <t>Calculate the senior citizen water usage charge for a 5/8 inch residential customer with 3 ccf usage per month. The 3 ccf was derived from RFC report dated 9/15/2017</t>
  </si>
  <si>
    <t>Use 4.5 ccf for typical bill for a residential customer</t>
  </si>
  <si>
    <t>WASTEWATER:  COMPARISON OF TYPICAL BILLS</t>
  </si>
  <si>
    <t xml:space="preserve">STORMWATER:  COMPARISON OF TYPICAL RESIDENTIAL </t>
  </si>
  <si>
    <t>BILLS UNDER EXISTING AND PROPOSED RATES</t>
  </si>
  <si>
    <t xml:space="preserve">Proposed </t>
  </si>
  <si>
    <t xml:space="preserve">STORMWATER: COMPARISON OF EXAMPLE NON-RESIDENTIAL </t>
  </si>
  <si>
    <t>Non Residential Non Discount</t>
  </si>
  <si>
    <t># of Parcels</t>
  </si>
  <si>
    <t>GA (1000 Sq ft)</t>
  </si>
  <si>
    <t>Average GA (sq ft)</t>
  </si>
  <si>
    <t>IA (1000 Sq ft)</t>
  </si>
  <si>
    <t>Average IA (sq ft)</t>
  </si>
  <si>
    <t>Source: BV Fin Plan Model</t>
  </si>
  <si>
    <t>Current Year</t>
  </si>
  <si>
    <t>Rate Year 1</t>
  </si>
  <si>
    <t>Rate Year 2</t>
  </si>
  <si>
    <t>FY 2025</t>
  </si>
  <si>
    <t>FY 2026</t>
  </si>
  <si>
    <t>FY 2027</t>
  </si>
  <si>
    <t>Effective Date</t>
  </si>
  <si>
    <t>September 1, 2024</t>
  </si>
  <si>
    <t>September 1, 2025</t>
  </si>
  <si>
    <t>September 1, 2026</t>
  </si>
  <si>
    <t>Rate Proceeding for Rate Year 1 Rates</t>
  </si>
  <si>
    <t>2025 General Rate Proceeding</t>
  </si>
  <si>
    <t>UNDER EXISTING AND APPROVED RATES</t>
  </si>
  <si>
    <t xml:space="preserve">Increase </t>
  </si>
  <si>
    <t>(d) The FY 2026 TAP-R rates are subject to the Rate Board's Determination in the 2025 TAP-R Reconciliation Proceeding.</t>
  </si>
  <si>
    <t>The FY 2026 TAP-R rates are subject to the Rate Board's Determination in the 2025 TAP-R Reconciliation Proceeding.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</si>
</sst>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0&quot;_);_(@_)"/>
    <numFmt numFmtId="165" formatCode="#,##0.000_);\(#,##0.000\)"/>
    <numFmt numFmtId="166" formatCode="#,##0.0_);\(#,##0.0\)"/>
    <numFmt numFmtId="167" formatCode="#,##0.0000_);\(#,##0.0000\)"/>
    <numFmt numFmtId="168" formatCode="&quot;$&quot;#,##0.00"/>
    <numFmt numFmtId="169" formatCode="_(* #,##0_);_(* \(#,##0\);_(* &quot;-&quot;??_);_(@_)"/>
    <numFmt numFmtId="170" formatCode="&quot;$&quot;#,##0.000"/>
    <numFmt numFmtId="171" formatCode="0_);\(0\)"/>
    <numFmt numFmtId="172" formatCode="0.0"/>
    <numFmt numFmtId="173" formatCode="0.000"/>
    <numFmt numFmtId="174" formatCode="0.00_);\(0.00\)"/>
    <numFmt numFmtId="175" formatCode="&quot;$&quot;#,##0"/>
    <numFmt numFmtId="176" formatCode="&quot;$&quot;#,##0.000_);\(&quot;$&quot;#,##0.000\)"/>
    <numFmt numFmtId="177" formatCode="0.0%"/>
  </numFmts>
  <fonts count="122">
    <font>
      <sz val="11"/>
      <color theme="1"/>
      <name val="Times New Roman"/>
      <family val="2"/>
      <scheme val="minor"/>
    </font>
    <font>
      <b/>
      <sz val="14"/>
      <color indexed="8"/>
      <name val="Arial"/>
      <family val="2"/>
    </font>
    <font>
      <sz val="12"/>
      <name val="Arial MT"/>
    </font>
    <font>
      <b/>
      <sz val="12"/>
      <color indexed="8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u val="singleAccounting"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color indexed="30"/>
      <name val="Calibri"/>
      <family val="2"/>
    </font>
    <font>
      <b/>
      <sz val="10"/>
      <color indexed="30"/>
      <name val="Calibri"/>
      <family val="2"/>
    </font>
    <font>
      <sz val="8"/>
      <color indexed="30"/>
      <name val="Calibri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hadow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color indexed="23"/>
      <name val="Times New Roman"/>
      <family val="1"/>
    </font>
    <font>
      <sz val="10"/>
      <color indexed="12"/>
      <name val="Times New Roman"/>
      <family val="1"/>
    </font>
    <font>
      <sz val="8"/>
      <color indexed="8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4"/>
      <name val="Arial"/>
      <family val="2"/>
    </font>
    <font>
      <shadow/>
      <sz val="10"/>
      <color indexed="16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2"/>
      <color indexed="9"/>
      <name val="Arial"/>
      <family val="2"/>
    </font>
    <font>
      <sz val="12"/>
      <color indexed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1"/>
      <color indexed="31"/>
      <name val="Calibri"/>
      <family val="2"/>
    </font>
    <font>
      <b/>
      <sz val="11"/>
      <color indexed="13"/>
      <name val="Calibri"/>
      <family val="2"/>
    </font>
    <font>
      <b/>
      <sz val="11"/>
      <color indexed="31"/>
      <name val="Calibri"/>
      <family val="2"/>
    </font>
    <font>
      <i/>
      <sz val="11"/>
      <color indexed="63"/>
      <name val="Calibri"/>
      <family val="2"/>
    </font>
    <font>
      <b/>
      <sz val="11"/>
      <color indexed="48"/>
      <name val="Calibri"/>
      <family val="2"/>
    </font>
    <font>
      <sz val="11"/>
      <color indexed="13"/>
      <name val="Calibri"/>
      <family val="2"/>
    </font>
    <font>
      <sz val="11"/>
      <color indexed="19"/>
      <name val="Calibri"/>
      <family val="2"/>
    </font>
    <font>
      <b/>
      <sz val="18"/>
      <color indexed="48"/>
      <name val="Cambria"/>
      <family val="2"/>
    </font>
    <font>
      <sz val="10"/>
      <color indexed="12"/>
      <name val="Arial"/>
      <family val="2"/>
    </font>
    <font>
      <shadow/>
      <sz val="12"/>
      <color indexed="12"/>
      <name val="Arial"/>
      <family val="2"/>
    </font>
    <font>
      <b/>
      <sz val="14"/>
      <name val="Times New Roman"/>
      <family val="1"/>
    </font>
    <font>
      <sz val="6"/>
      <name val="Times New Roman"/>
      <family val="1"/>
    </font>
    <font>
      <sz val="10"/>
      <color indexed="16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u val="singleAccounting"/>
      <sz val="11"/>
      <name val="Calibri"/>
      <family val="2"/>
    </font>
    <font>
      <u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8"/>
      <name val="Times New 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2"/>
      <scheme val="minor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2"/>
      <color theme="1"/>
      <name val="Times New Roman"/>
      <family val="2"/>
      <scheme val="minor"/>
    </font>
    <font>
      <b/>
      <u/>
      <sz val="12"/>
      <color theme="1"/>
      <name val="Times New Roman"/>
      <family val="1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  <scheme val="minor"/>
    </font>
    <font>
      <sz val="12"/>
      <color theme="1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0"/>
      <color rgb="FF0070C0"/>
      <name val="Calibri"/>
      <family val="2"/>
    </font>
    <font>
      <sz val="11"/>
      <color rgb="FF0070C0"/>
      <name val="Times New Roman"/>
      <family val="2"/>
      <scheme val="minor"/>
    </font>
    <font>
      <sz val="8"/>
      <color rgb="FF0070C0"/>
      <name val="Calibri"/>
      <family val="2"/>
    </font>
    <font>
      <b/>
      <sz val="10"/>
      <color rgb="FF0070C0"/>
      <name val="Calibri"/>
      <family val="2"/>
    </font>
    <font>
      <sz val="9"/>
      <color rgb="FF0070C0"/>
      <name val="Calibri"/>
      <family val="2"/>
    </font>
    <font>
      <sz val="12"/>
      <color rgb="FF0070C0"/>
      <name val="Calibri"/>
      <family val="2"/>
    </font>
    <font>
      <sz val="10"/>
      <color rgb="FFFF0000"/>
      <name val="Times New Roman"/>
      <family val="1"/>
    </font>
    <font>
      <b/>
      <u val="singleAccounting"/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Times New Roman"/>
      <family val="2"/>
      <scheme val="minor"/>
    </font>
    <font>
      <sz val="11"/>
      <name val="Times New Roman"/>
      <family val="1"/>
      <scheme val="minor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Arial"/>
      <family val="2"/>
    </font>
    <font>
      <sz val="11"/>
      <color rgb="FFFF0000"/>
      <name val="Calibri"/>
      <family val="2"/>
    </font>
    <font>
      <b/>
      <u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3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Arial"/>
      <family val="2"/>
      <scheme val="major"/>
    </font>
    <font>
      <b/>
      <u/>
      <sz val="10"/>
      <color theme="0"/>
      <name val="Times New Roman"/>
      <family val="1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2"/>
      <color theme="0"/>
      <name val="Roboto"/>
    </font>
    <font>
      <sz val="11"/>
      <color theme="1"/>
      <name val="Roboto"/>
    </font>
    <font>
      <b/>
      <sz val="11"/>
      <color theme="0"/>
      <name val="Roboto"/>
    </font>
    <font>
      <b/>
      <u val="singleAccounting"/>
      <sz val="11"/>
      <color theme="0"/>
      <name val="Roboto"/>
    </font>
    <font>
      <sz val="10"/>
      <name val="Roboto"/>
    </font>
    <font>
      <sz val="11"/>
      <name val="Roboto"/>
    </font>
    <font>
      <sz val="9"/>
      <color theme="1"/>
      <name val="Roboto"/>
    </font>
    <font>
      <sz val="10"/>
      <color theme="1"/>
      <name val="Roboto"/>
    </font>
    <font>
      <b/>
      <sz val="11"/>
      <color indexed="8"/>
      <name val="Roboto"/>
    </font>
    <font>
      <b/>
      <u/>
      <sz val="11"/>
      <color theme="0"/>
      <name val="Roboto"/>
    </font>
    <font>
      <b/>
      <sz val="11"/>
      <color indexed="10"/>
      <name val="Roboto"/>
    </font>
    <font>
      <b/>
      <sz val="11"/>
      <name val="Roboto"/>
    </font>
    <font>
      <u/>
      <sz val="11"/>
      <name val="Roboto"/>
    </font>
    <font>
      <sz val="11"/>
      <color rgb="FFFF0000"/>
      <name val="Roboto"/>
    </font>
    <font>
      <u val="singleAccounting"/>
      <sz val="11"/>
      <name val="Roboto"/>
    </font>
    <font>
      <u/>
      <sz val="11"/>
      <color theme="1"/>
      <name val="Roboto"/>
    </font>
    <font>
      <b/>
      <sz val="11"/>
      <color theme="1"/>
      <name val="Roboto"/>
    </font>
    <font>
      <b/>
      <sz val="10"/>
      <color theme="0"/>
      <name val="Roboto"/>
    </font>
    <font>
      <b/>
      <sz val="10"/>
      <name val="Roboto"/>
    </font>
    <font>
      <u/>
      <sz val="10"/>
      <name val="Roboto"/>
    </font>
    <font>
      <u/>
      <sz val="10"/>
      <color theme="1"/>
      <name val="Roboto"/>
    </font>
    <font>
      <b/>
      <u val="singleAccounting"/>
      <sz val="10"/>
      <color theme="0"/>
      <name val="Roboto"/>
    </font>
    <font>
      <b/>
      <u/>
      <sz val="10"/>
      <color theme="0"/>
      <name val="Roboto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gray0625">
        <fgColor indexed="8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6"/>
      </patternFill>
    </fill>
    <fill>
      <patternFill patternType="solid">
        <fgColor indexed="31"/>
        <bgColor indexed="11"/>
      </patternFill>
    </fill>
    <fill>
      <patternFill patternType="solid">
        <fgColor indexed="43"/>
      </patternFill>
    </fill>
    <fill>
      <patternFill patternType="solid">
        <fgColor indexed="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9D"/>
        <bgColor indexed="64"/>
      </patternFill>
    </fill>
    <fill>
      <patternFill patternType="solid">
        <fgColor rgb="FF6FC1FF"/>
        <bgColor indexed="64"/>
      </patternFill>
    </fill>
    <fill>
      <patternFill patternType="solid">
        <fgColor rgb="FF8ED094"/>
        <bgColor indexed="64"/>
      </patternFill>
    </fill>
    <fill>
      <patternFill patternType="solid">
        <fgColor rgb="FF0077A4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5596"/>
        <bgColor indexed="64"/>
      </patternFill>
    </fill>
    <fill>
      <patternFill patternType="solid">
        <fgColor rgb="FF1172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rgb="FF000000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2" tint="-0.499984740745262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/>
      <right/>
      <top/>
      <bottom style="medium">
        <color theme="1" tint="0.34998626667073579"/>
      </bottom>
      <diagonal/>
    </border>
  </borders>
  <cellStyleXfs count="186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0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14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5" borderId="0" applyNumberFormat="0" applyBorder="0" applyAlignment="0" applyProtection="0"/>
    <xf numFmtId="0" fontId="40" fillId="13" borderId="0" applyNumberFormat="0" applyBorder="0" applyAlignment="0" applyProtection="0"/>
    <xf numFmtId="0" fontId="40" fillId="9" borderId="0" applyNumberFormat="0" applyBorder="0" applyAlignment="0" applyProtection="0"/>
    <xf numFmtId="0" fontId="26" fillId="6" borderId="0" applyNumberFormat="0" applyBorder="0" applyAlignment="0" applyProtection="0"/>
    <xf numFmtId="0" fontId="41" fillId="16" borderId="1" applyNumberFormat="0" applyAlignment="0" applyProtection="0"/>
    <xf numFmtId="0" fontId="42" fillId="16" borderId="2" applyNumberFormat="0" applyAlignment="0" applyProtection="0"/>
    <xf numFmtId="43" fontId="66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2" fillId="0" borderId="0" applyFont="0" applyFill="0" applyBorder="0" applyAlignment="0" applyProtection="0"/>
    <xf numFmtId="4" fontId="23" fillId="17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3" fillId="17" borderId="0" applyFont="0" applyFill="0" applyBorder="0" applyAlignment="0" applyProtection="0"/>
    <xf numFmtId="44" fontId="66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23" fillId="17" borderId="0" applyFont="0" applyFill="0" applyBorder="0" applyAlignment="0" applyProtection="0"/>
    <xf numFmtId="0" fontId="23" fillId="17" borderId="0" applyFont="0" applyFill="0" applyBorder="0" applyAlignment="0" applyProtection="0"/>
    <xf numFmtId="0" fontId="43" fillId="0" borderId="0" applyNumberFormat="0" applyFill="0" applyBorder="0" applyAlignment="0" applyProtection="0"/>
    <xf numFmtId="2" fontId="23" fillId="17" borderId="0" applyFont="0" applyFill="0" applyBorder="0" applyAlignment="0" applyProtection="0"/>
    <xf numFmtId="0" fontId="27" fillId="7" borderId="0" applyNumberFormat="0" applyBorder="0" applyAlignment="0" applyProtection="0"/>
    <xf numFmtId="0" fontId="39" fillId="17" borderId="0" applyFont="0" applyFill="0" applyBorder="0" applyAlignment="0" applyProtection="0"/>
    <xf numFmtId="0" fontId="34" fillId="17" borderId="0" applyFont="0" applyFill="0" applyBorder="0" applyAlignment="0" applyProtection="0"/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>
      <alignment horizontal="left"/>
    </xf>
    <xf numFmtId="38" fontId="24" fillId="0" borderId="0"/>
    <xf numFmtId="3" fontId="2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3" fontId="21" fillId="0" borderId="0" applyNumberFormat="0" applyFill="0" applyBorder="0" applyAlignment="0"/>
    <xf numFmtId="37" fontId="49" fillId="18" borderId="0" applyNumberFormat="0" applyBorder="0" applyAlignment="0">
      <protection locked="0"/>
    </xf>
    <xf numFmtId="37" fontId="14" fillId="5" borderId="0" applyNumberFormat="0" applyAlignment="0">
      <protection locked="0"/>
    </xf>
    <xf numFmtId="37" fontId="14" fillId="19" borderId="0" applyNumberFormat="0" applyAlignment="0">
      <protection locked="0"/>
    </xf>
    <xf numFmtId="37" fontId="14" fillId="5" borderId="0" applyNumberFormat="0" applyAlignment="0">
      <protection locked="0"/>
    </xf>
    <xf numFmtId="37" fontId="14" fillId="5" borderId="0" applyAlignment="0">
      <protection locked="0"/>
    </xf>
    <xf numFmtId="0" fontId="45" fillId="0" borderId="4" applyNumberFormat="0" applyFill="0" applyAlignment="0" applyProtection="0"/>
    <xf numFmtId="37" fontId="20" fillId="20" borderId="0" applyNumberFormat="0" applyAlignment="0"/>
    <xf numFmtId="37" fontId="20" fillId="21" borderId="0" applyNumberFormat="0" applyAlignment="0"/>
    <xf numFmtId="37" fontId="20" fillId="20" borderId="0" applyNumberFormat="0" applyAlignment="0"/>
    <xf numFmtId="37" fontId="20" fillId="20" borderId="0" applyNumberFormat="0" applyBorder="0" applyAlignment="0"/>
    <xf numFmtId="167" fontId="7" fillId="22" borderId="5"/>
    <xf numFmtId="0" fontId="35" fillId="0" borderId="0" applyNumberFormat="0" applyBorder="0" applyAlignment="0" applyProtection="0"/>
    <xf numFmtId="0" fontId="35" fillId="0" borderId="0" applyNumberFormat="0" applyBorder="0" applyAlignment="0" applyProtection="0"/>
    <xf numFmtId="0" fontId="35" fillId="0" borderId="0" applyNumberFormat="0" applyBorder="0" applyAlignment="0" applyProtection="0"/>
    <xf numFmtId="0" fontId="30" fillId="0" borderId="0" applyNumberFormat="0" applyBorder="0" applyAlignment="0" applyProtection="0"/>
    <xf numFmtId="0" fontId="30" fillId="0" borderId="0" applyNumberFormat="0" applyBorder="0" applyAlignment="0" applyProtection="0"/>
    <xf numFmtId="0" fontId="30" fillId="0" borderId="0" applyNumberFormat="0" applyBorder="0" applyAlignment="0" applyProtection="0"/>
    <xf numFmtId="0" fontId="36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7" fillId="0" borderId="6" applyNumberFormat="0" applyBorder="0">
      <alignment horizontal="center"/>
    </xf>
    <xf numFmtId="0" fontId="34" fillId="25" borderId="0" applyNumberFormat="0" applyBorder="0" applyAlignment="0" applyProtection="0"/>
    <xf numFmtId="0" fontId="34" fillId="26" borderId="7" applyNumberFormat="0" applyBorder="0" applyAlignment="0" applyProtection="0"/>
    <xf numFmtId="0" fontId="34" fillId="26" borderId="7" applyNumberFormat="0" applyBorder="0" applyAlignment="0" applyProtection="0"/>
    <xf numFmtId="38" fontId="22" fillId="27" borderId="0" applyNumberFormat="0" applyAlignment="0"/>
    <xf numFmtId="0" fontId="22" fillId="0" borderId="0"/>
    <xf numFmtId="38" fontId="22" fillId="27" borderId="0" applyNumberFormat="0" applyAlignment="0"/>
    <xf numFmtId="37" fontId="52" fillId="28" borderId="5" applyNumberFormat="0" applyAlignment="0"/>
    <xf numFmtId="38" fontId="22" fillId="27" borderId="0" applyNumberFormat="0" applyBorder="0" applyAlignment="0"/>
    <xf numFmtId="0" fontId="46" fillId="29" borderId="0" applyNumberFormat="0" applyBorder="0" applyAlignment="0" applyProtection="0"/>
    <xf numFmtId="0" fontId="66" fillId="0" borderId="0"/>
    <xf numFmtId="0" fontId="66" fillId="0" borderId="0"/>
    <xf numFmtId="38" fontId="53" fillId="0" borderId="0"/>
    <xf numFmtId="38" fontId="62" fillId="0" borderId="0"/>
    <xf numFmtId="0" fontId="30" fillId="0" borderId="0"/>
    <xf numFmtId="0" fontId="30" fillId="0" borderId="0"/>
    <xf numFmtId="38" fontId="4" fillId="0" borderId="0"/>
    <xf numFmtId="0" fontId="66" fillId="0" borderId="0"/>
    <xf numFmtId="38" fontId="4" fillId="0" borderId="0"/>
    <xf numFmtId="38" fontId="4" fillId="0" borderId="0"/>
    <xf numFmtId="0" fontId="23" fillId="0" borderId="0"/>
    <xf numFmtId="0" fontId="23" fillId="0" borderId="0"/>
    <xf numFmtId="0" fontId="66" fillId="0" borderId="0"/>
    <xf numFmtId="0" fontId="23" fillId="0" borderId="0">
      <alignment vertical="top"/>
    </xf>
    <xf numFmtId="37" fontId="31" fillId="0" borderId="0" applyFill="0" applyBorder="0" applyAlignment="0"/>
    <xf numFmtId="0" fontId="30" fillId="0" borderId="0"/>
    <xf numFmtId="0" fontId="30" fillId="0" borderId="0"/>
    <xf numFmtId="38" fontId="4" fillId="0" borderId="0"/>
    <xf numFmtId="38" fontId="12" fillId="0" borderId="0"/>
    <xf numFmtId="0" fontId="30" fillId="8" borderId="8" applyNumberFormat="0" applyFont="0" applyAlignment="0" applyProtection="0"/>
    <xf numFmtId="0" fontId="28" fillId="16" borderId="1" applyNumberFormat="0" applyAlignment="0" applyProtection="0"/>
    <xf numFmtId="9" fontId="66" fillId="0" borderId="0" applyFont="0" applyFill="0" applyBorder="0" applyAlignment="0" applyProtection="0"/>
    <xf numFmtId="9" fontId="62" fillId="0" borderId="0" applyFont="0" applyFill="0" applyBorder="0" applyAlignment="0" applyProtection="0"/>
    <xf numFmtId="10" fontId="23" fillId="17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71" fontId="15" fillId="8" borderId="9">
      <alignment horizontal="left" vertical="center"/>
    </xf>
    <xf numFmtId="37" fontId="15" fillId="8" borderId="10" applyAlignment="0">
      <alignment horizontal="left" vertical="center"/>
      <protection locked="0"/>
    </xf>
    <xf numFmtId="37" fontId="15" fillId="8" borderId="9">
      <alignment horizontal="left" vertical="center"/>
      <protection locked="0"/>
    </xf>
    <xf numFmtId="37" fontId="15" fillId="8" borderId="9">
      <alignment horizontal="left" vertical="center"/>
      <protection locked="0"/>
    </xf>
    <xf numFmtId="37" fontId="15" fillId="8" borderId="11">
      <alignment horizontal="left" vertical="center"/>
    </xf>
    <xf numFmtId="39" fontId="18" fillId="0" borderId="0">
      <alignment horizontal="center"/>
    </xf>
    <xf numFmtId="37" fontId="18" fillId="0" borderId="0">
      <alignment horizontal="center"/>
    </xf>
    <xf numFmtId="2" fontId="17" fillId="30" borderId="0" applyNumberFormat="0" applyBorder="0" applyAlignment="0" applyProtection="0"/>
    <xf numFmtId="2" fontId="17" fillId="30" borderId="0" applyNumberFormat="0" applyBorder="0" applyAlignment="0" applyProtection="0"/>
    <xf numFmtId="38" fontId="17" fillId="30" borderId="0" applyNumberFormat="0" applyAlignment="0" applyProtection="0"/>
    <xf numFmtId="0" fontId="50" fillId="0" borderId="0"/>
    <xf numFmtId="0" fontId="19" fillId="0" borderId="0"/>
    <xf numFmtId="0" fontId="51" fillId="0" borderId="0"/>
    <xf numFmtId="0" fontId="32" fillId="0" borderId="0"/>
    <xf numFmtId="0" fontId="19" fillId="0" borderId="0"/>
    <xf numFmtId="0" fontId="47" fillId="0" borderId="0" applyNumberFormat="0" applyFill="0" applyBorder="0" applyAlignment="0" applyProtection="0"/>
    <xf numFmtId="37" fontId="1" fillId="0" borderId="0">
      <alignment horizontal="center"/>
    </xf>
    <xf numFmtId="0" fontId="1" fillId="0" borderId="0">
      <alignment horizontal="centerContinuous"/>
    </xf>
    <xf numFmtId="0" fontId="23" fillId="17" borderId="0" applyFont="0" applyFill="0" applyBorder="0" applyAlignment="0" applyProtection="0"/>
    <xf numFmtId="169" fontId="48" fillId="0" borderId="0" applyNumberFormat="0" applyBorder="0" applyAlignment="0">
      <protection locked="0"/>
    </xf>
    <xf numFmtId="0" fontId="16" fillId="0" borderId="0"/>
    <xf numFmtId="0" fontId="29" fillId="0" borderId="0" applyNumberFormat="0" applyFill="0" applyBorder="0" applyAlignment="0" applyProtection="0"/>
  </cellStyleXfs>
  <cellXfs count="475">
    <xf numFmtId="0" fontId="0" fillId="0" borderId="0" xfId="0"/>
    <xf numFmtId="0" fontId="1" fillId="0" borderId="0" xfId="181" applyAlignment="1"/>
    <xf numFmtId="37" fontId="2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center"/>
    </xf>
    <xf numFmtId="38" fontId="4" fillId="0" borderId="0" xfId="0" applyNumberFormat="1" applyFont="1"/>
    <xf numFmtId="37" fontId="5" fillId="0" borderId="0" xfId="0" applyNumberFormat="1" applyFont="1" applyAlignment="1">
      <alignment horizontal="center"/>
    </xf>
    <xf numFmtId="38" fontId="6" fillId="0" borderId="0" xfId="0" applyNumberFormat="1" applyFont="1"/>
    <xf numFmtId="38" fontId="6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7" fontId="4" fillId="0" borderId="0" xfId="0" quotePrefix="1" applyNumberFormat="1" applyFont="1" applyAlignment="1">
      <alignment horizontal="center"/>
    </xf>
    <xf numFmtId="9" fontId="4" fillId="0" borderId="0" xfId="142" applyFont="1" applyProtection="1"/>
    <xf numFmtId="39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 indent="1"/>
    </xf>
    <xf numFmtId="164" fontId="4" fillId="0" borderId="0" xfId="0" applyNumberFormat="1" applyFont="1"/>
    <xf numFmtId="37" fontId="4" fillId="0" borderId="0" xfId="0" applyNumberFormat="1" applyFont="1" applyAlignment="1">
      <alignment horizontal="left" indent="2"/>
    </xf>
    <xf numFmtId="37" fontId="4" fillId="0" borderId="0" xfId="0" applyNumberFormat="1" applyFont="1" applyAlignment="1">
      <alignment horizontal="left" indent="3"/>
    </xf>
    <xf numFmtId="37" fontId="5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3" fillId="0" borderId="0" xfId="181" applyFont="1" applyAlignment="1">
      <alignment horizontal="center"/>
    </xf>
    <xf numFmtId="37" fontId="4" fillId="0" borderId="0" xfId="0" applyNumberFormat="1" applyFont="1" applyAlignment="1">
      <alignment horizontal="left"/>
    </xf>
    <xf numFmtId="39" fontId="0" fillId="0" borderId="0" xfId="0" applyNumberFormat="1"/>
    <xf numFmtId="0" fontId="1" fillId="0" borderId="0" xfId="181" applyAlignment="1">
      <alignment horizontal="center"/>
    </xf>
    <xf numFmtId="38" fontId="0" fillId="0" borderId="0" xfId="0" quotePrefix="1" applyNumberFormat="1"/>
    <xf numFmtId="39" fontId="0" fillId="0" borderId="0" xfId="0" quotePrefix="1" applyNumberFormat="1"/>
    <xf numFmtId="38" fontId="0" fillId="0" borderId="0" xfId="0" applyNumberFormat="1"/>
    <xf numFmtId="166" fontId="4" fillId="0" borderId="0" xfId="0" applyNumberFormat="1" applyFont="1"/>
    <xf numFmtId="39" fontId="4" fillId="0" borderId="0" xfId="0" applyNumberFormat="1" applyFont="1"/>
    <xf numFmtId="166" fontId="8" fillId="0" borderId="0" xfId="0" applyNumberFormat="1" applyFont="1"/>
    <xf numFmtId="39" fontId="8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37" fontId="67" fillId="0" borderId="0" xfId="0" quotePrefix="1" applyNumberFormat="1" applyFont="1" applyAlignment="1">
      <alignment horizontal="center"/>
    </xf>
    <xf numFmtId="38" fontId="8" fillId="0" borderId="0" xfId="0" applyNumberFormat="1" applyFont="1" applyAlignment="1">
      <alignment horizontal="center"/>
    </xf>
    <xf numFmtId="37" fontId="68" fillId="31" borderId="0" xfId="0" applyNumberFormat="1" applyFont="1" applyFill="1"/>
    <xf numFmtId="166" fontId="68" fillId="31" borderId="0" xfId="0" applyNumberFormat="1" applyFont="1" applyFill="1"/>
    <xf numFmtId="37" fontId="68" fillId="31" borderId="0" xfId="0" applyNumberFormat="1" applyFont="1" applyFill="1" applyAlignment="1">
      <alignment horizontal="center"/>
    </xf>
    <xf numFmtId="10" fontId="4" fillId="0" borderId="0" xfId="142" applyNumberFormat="1" applyFont="1" applyProtection="1"/>
    <xf numFmtId="38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 wrapText="1"/>
    </xf>
    <xf numFmtId="37" fontId="7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69" fillId="0" borderId="0" xfId="0" applyFont="1"/>
    <xf numFmtId="0" fontId="70" fillId="0" borderId="0" xfId="0" applyFont="1" applyAlignment="1">
      <alignment horizontal="centerContinuous"/>
    </xf>
    <xf numFmtId="39" fontId="4" fillId="32" borderId="0" xfId="0" applyNumberFormat="1" applyFont="1" applyFill="1"/>
    <xf numFmtId="166" fontId="4" fillId="32" borderId="0" xfId="0" applyNumberFormat="1" applyFont="1" applyFill="1"/>
    <xf numFmtId="38" fontId="4" fillId="32" borderId="0" xfId="0" applyNumberFormat="1" applyFont="1" applyFill="1" applyAlignment="1">
      <alignment horizontal="center"/>
    </xf>
    <xf numFmtId="0" fontId="69" fillId="0" borderId="12" xfId="0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 wrapText="1"/>
    </xf>
    <xf numFmtId="0" fontId="69" fillId="0" borderId="12" xfId="0" applyFont="1" applyBorder="1" applyAlignment="1">
      <alignment horizontal="center"/>
    </xf>
    <xf numFmtId="168" fontId="69" fillId="0" borderId="12" xfId="0" applyNumberFormat="1" applyFont="1" applyBorder="1" applyAlignment="1">
      <alignment horizontal="center"/>
    </xf>
    <xf numFmtId="0" fontId="71" fillId="0" borderId="0" xfId="0" applyFont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3" fontId="0" fillId="0" borderId="7" xfId="0" applyNumberFormat="1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37" fontId="68" fillId="32" borderId="0" xfId="0" applyNumberFormat="1" applyFont="1" applyFill="1"/>
    <xf numFmtId="37" fontId="68" fillId="31" borderId="7" xfId="0" applyNumberFormat="1" applyFont="1" applyFill="1" applyBorder="1"/>
    <xf numFmtId="0" fontId="72" fillId="0" borderId="0" xfId="0" applyFont="1"/>
    <xf numFmtId="0" fontId="71" fillId="0" borderId="0" xfId="0" applyFont="1"/>
    <xf numFmtId="0" fontId="73" fillId="33" borderId="0" xfId="0" applyFont="1" applyFill="1"/>
    <xf numFmtId="0" fontId="71" fillId="33" borderId="0" xfId="0" applyFont="1" applyFill="1"/>
    <xf numFmtId="0" fontId="73" fillId="33" borderId="24" xfId="0" applyFont="1" applyFill="1" applyBorder="1"/>
    <xf numFmtId="0" fontId="71" fillId="33" borderId="24" xfId="0" applyFont="1" applyFill="1" applyBorder="1"/>
    <xf numFmtId="0" fontId="71" fillId="0" borderId="25" xfId="0" applyFont="1" applyBorder="1"/>
    <xf numFmtId="0" fontId="74" fillId="33" borderId="26" xfId="0" applyFont="1" applyFill="1" applyBorder="1"/>
    <xf numFmtId="7" fontId="74" fillId="33" borderId="26" xfId="0" applyNumberFormat="1" applyFont="1" applyFill="1" applyBorder="1"/>
    <xf numFmtId="0" fontId="74" fillId="33" borderId="26" xfId="0" applyFont="1" applyFill="1" applyBorder="1" applyAlignment="1">
      <alignment wrapText="1"/>
    </xf>
    <xf numFmtId="0" fontId="74" fillId="33" borderId="27" xfId="0" applyFont="1" applyFill="1" applyBorder="1"/>
    <xf numFmtId="0" fontId="74" fillId="33" borderId="0" xfId="0" applyFont="1" applyFill="1"/>
    <xf numFmtId="0" fontId="74" fillId="33" borderId="26" xfId="0" applyFont="1" applyFill="1" applyBorder="1" applyAlignment="1">
      <alignment horizontal="center"/>
    </xf>
    <xf numFmtId="37" fontId="74" fillId="33" borderId="26" xfId="0" applyNumberFormat="1" applyFont="1" applyFill="1" applyBorder="1" applyAlignment="1">
      <alignment horizontal="center"/>
    </xf>
    <xf numFmtId="0" fontId="71" fillId="0" borderId="28" xfId="0" applyFont="1" applyBorder="1"/>
    <xf numFmtId="0" fontId="71" fillId="0" borderId="29" xfId="0" applyFont="1" applyBorder="1"/>
    <xf numFmtId="7" fontId="74" fillId="0" borderId="0" xfId="0" applyNumberFormat="1" applyFont="1"/>
    <xf numFmtId="7" fontId="75" fillId="0" borderId="0" xfId="0" applyNumberFormat="1" applyFont="1"/>
    <xf numFmtId="0" fontId="74" fillId="0" borderId="0" xfId="0" applyFont="1"/>
    <xf numFmtId="0" fontId="75" fillId="0" borderId="0" xfId="0" applyFont="1"/>
    <xf numFmtId="0" fontId="75" fillId="0" borderId="28" xfId="0" applyFont="1" applyBorder="1"/>
    <xf numFmtId="0" fontId="76" fillId="0" borderId="0" xfId="0" applyFont="1"/>
    <xf numFmtId="0" fontId="76" fillId="0" borderId="29" xfId="0" applyFont="1" applyBorder="1"/>
    <xf numFmtId="0" fontId="77" fillId="0" borderId="29" xfId="0" applyFont="1" applyBorder="1"/>
    <xf numFmtId="0" fontId="77" fillId="0" borderId="0" xfId="0" applyFont="1"/>
    <xf numFmtId="7" fontId="74" fillId="0" borderId="29" xfId="0" applyNumberFormat="1" applyFont="1" applyBorder="1"/>
    <xf numFmtId="0" fontId="78" fillId="0" borderId="0" xfId="0" applyFont="1"/>
    <xf numFmtId="0" fontId="78" fillId="0" borderId="29" xfId="0" applyFont="1" applyBorder="1"/>
    <xf numFmtId="0" fontId="74" fillId="0" borderId="29" xfId="0" applyFont="1" applyBorder="1"/>
    <xf numFmtId="7" fontId="74" fillId="0" borderId="28" xfId="0" applyNumberFormat="1" applyFont="1" applyBorder="1"/>
    <xf numFmtId="0" fontId="79" fillId="34" borderId="29" xfId="0" applyFont="1" applyFill="1" applyBorder="1" applyAlignment="1">
      <alignment wrapText="1"/>
    </xf>
    <xf numFmtId="0" fontId="79" fillId="34" borderId="30" xfId="0" applyFont="1" applyFill="1" applyBorder="1" applyAlignment="1">
      <alignment wrapText="1"/>
    </xf>
    <xf numFmtId="0" fontId="79" fillId="34" borderId="31" xfId="0" applyFont="1" applyFill="1" applyBorder="1" applyAlignment="1">
      <alignment wrapText="1"/>
    </xf>
    <xf numFmtId="7" fontId="74" fillId="33" borderId="27" xfId="0" applyNumberFormat="1" applyFont="1" applyFill="1" applyBorder="1"/>
    <xf numFmtId="0" fontId="76" fillId="33" borderId="0" xfId="0" applyFont="1" applyFill="1"/>
    <xf numFmtId="0" fontId="75" fillId="33" borderId="0" xfId="0" applyFont="1" applyFill="1" applyAlignment="1">
      <alignment horizontal="right"/>
    </xf>
    <xf numFmtId="0" fontId="80" fillId="33" borderId="0" xfId="0" quotePrefix="1" applyFont="1" applyFill="1"/>
    <xf numFmtId="0" fontId="79" fillId="33" borderId="0" xfId="0" applyFont="1" applyFill="1"/>
    <xf numFmtId="170" fontId="74" fillId="33" borderId="0" xfId="0" applyNumberFormat="1" applyFont="1" applyFill="1" applyAlignment="1">
      <alignment horizontal="left"/>
    </xf>
    <xf numFmtId="0" fontId="81" fillId="0" borderId="24" xfId="0" applyFont="1" applyBorder="1"/>
    <xf numFmtId="0" fontId="76" fillId="33" borderId="26" xfId="0" applyFont="1" applyFill="1" applyBorder="1" applyAlignment="1">
      <alignment wrapText="1"/>
    </xf>
    <xf numFmtId="0" fontId="74" fillId="33" borderId="26" xfId="142" applyNumberFormat="1" applyFont="1" applyFill="1" applyBorder="1" applyAlignment="1">
      <alignment horizontal="center"/>
    </xf>
    <xf numFmtId="7" fontId="74" fillId="33" borderId="26" xfId="0" applyNumberFormat="1" applyFont="1" applyFill="1" applyBorder="1" applyAlignment="1">
      <alignment horizontal="center"/>
    </xf>
    <xf numFmtId="0" fontId="0" fillId="33" borderId="0" xfId="0" applyFill="1"/>
    <xf numFmtId="37" fontId="68" fillId="33" borderId="0" xfId="0" applyNumberFormat="1" applyFont="1" applyFill="1" applyAlignment="1">
      <alignment horizontal="center"/>
    </xf>
    <xf numFmtId="39" fontId="8" fillId="33" borderId="0" xfId="0" applyNumberFormat="1" applyFont="1" applyFill="1"/>
    <xf numFmtId="166" fontId="8" fillId="33" borderId="0" xfId="0" applyNumberFormat="1" applyFont="1" applyFill="1"/>
    <xf numFmtId="166" fontId="4" fillId="33" borderId="0" xfId="0" applyNumberFormat="1" applyFont="1" applyFill="1"/>
    <xf numFmtId="0" fontId="1" fillId="0" borderId="0" xfId="181">
      <alignment horizontal="centerContinuous"/>
    </xf>
    <xf numFmtId="4" fontId="0" fillId="0" borderId="0" xfId="0" applyNumberFormat="1"/>
    <xf numFmtId="39" fontId="82" fillId="0" borderId="0" xfId="0" applyNumberFormat="1" applyFont="1" applyAlignment="1">
      <alignment horizontal="center"/>
    </xf>
    <xf numFmtId="165" fontId="82" fillId="0" borderId="0" xfId="0" applyNumberFormat="1" applyFont="1" applyAlignment="1">
      <alignment horizontal="center"/>
    </xf>
    <xf numFmtId="2" fontId="69" fillId="0" borderId="12" xfId="142" applyNumberFormat="1" applyFont="1" applyBorder="1" applyAlignment="1">
      <alignment horizontal="center"/>
    </xf>
    <xf numFmtId="172" fontId="69" fillId="0" borderId="12" xfId="0" applyNumberFormat="1" applyFont="1" applyBorder="1" applyAlignment="1">
      <alignment horizontal="center"/>
    </xf>
    <xf numFmtId="0" fontId="3" fillId="0" borderId="0" xfId="181" applyFont="1" applyAlignment="1"/>
    <xf numFmtId="37" fontId="2" fillId="0" borderId="0" xfId="0" applyNumberFormat="1" applyFont="1" applyAlignment="1">
      <alignment horizontal="centerContinuous"/>
    </xf>
    <xf numFmtId="173" fontId="0" fillId="0" borderId="0" xfId="0" applyNumberFormat="1"/>
    <xf numFmtId="173" fontId="0" fillId="33" borderId="0" xfId="0" applyNumberFormat="1" applyFill="1"/>
    <xf numFmtId="43" fontId="66" fillId="0" borderId="0" xfId="28" applyFont="1"/>
    <xf numFmtId="0" fontId="3" fillId="0" borderId="0" xfId="181" applyFont="1">
      <alignment horizontal="centerContinuous"/>
    </xf>
    <xf numFmtId="0" fontId="83" fillId="35" borderId="0" xfId="0" applyFont="1" applyFill="1" applyAlignment="1">
      <alignment horizontal="center"/>
    </xf>
    <xf numFmtId="0" fontId="84" fillId="35" borderId="0" xfId="0" applyFont="1" applyFill="1" applyAlignment="1">
      <alignment horizontal="center"/>
    </xf>
    <xf numFmtId="0" fontId="85" fillId="0" borderId="0" xfId="0" applyFont="1"/>
    <xf numFmtId="0" fontId="85" fillId="0" borderId="0" xfId="0" quotePrefix="1" applyFont="1"/>
    <xf numFmtId="37" fontId="54" fillId="0" borderId="32" xfId="0" applyNumberFormat="1" applyFont="1" applyBorder="1" applyAlignment="1">
      <alignment horizontal="center" vertical="center"/>
    </xf>
    <xf numFmtId="165" fontId="0" fillId="0" borderId="0" xfId="0" applyNumberFormat="1"/>
    <xf numFmtId="0" fontId="85" fillId="0" borderId="0" xfId="0" quotePrefix="1" applyFont="1" applyAlignment="1">
      <alignment horizontal="left" indent="1"/>
    </xf>
    <xf numFmtId="39" fontId="4" fillId="0" borderId="0" xfId="138" applyNumberFormat="1" applyAlignment="1">
      <alignment horizontal="center"/>
    </xf>
    <xf numFmtId="0" fontId="3" fillId="0" borderId="0" xfId="181" applyFont="1" applyAlignment="1">
      <alignment horizontal="left"/>
    </xf>
    <xf numFmtId="169" fontId="4" fillId="0" borderId="0" xfId="28" applyNumberFormat="1" applyFont="1" applyAlignment="1" applyProtection="1">
      <alignment horizontal="center"/>
    </xf>
    <xf numFmtId="0" fontId="86" fillId="0" borderId="0" xfId="0" applyFont="1"/>
    <xf numFmtId="37" fontId="84" fillId="35" borderId="0" xfId="0" applyNumberFormat="1" applyFont="1" applyFill="1" applyAlignment="1">
      <alignment horizontal="centerContinuous"/>
    </xf>
    <xf numFmtId="172" fontId="74" fillId="33" borderId="26" xfId="142" applyNumberFormat="1" applyFont="1" applyFill="1" applyBorder="1" applyAlignment="1">
      <alignment horizontal="center"/>
    </xf>
    <xf numFmtId="0" fontId="87" fillId="33" borderId="24" xfId="0" applyFont="1" applyFill="1" applyBorder="1"/>
    <xf numFmtId="0" fontId="87" fillId="33" borderId="0" xfId="0" applyFont="1" applyFill="1"/>
    <xf numFmtId="0" fontId="88" fillId="33" borderId="0" xfId="0" applyFont="1" applyFill="1"/>
    <xf numFmtId="0" fontId="87" fillId="0" borderId="24" xfId="0" applyFont="1" applyBorder="1"/>
    <xf numFmtId="0" fontId="87" fillId="33" borderId="0" xfId="0" applyFont="1" applyFill="1" applyAlignment="1">
      <alignment vertical="center"/>
    </xf>
    <xf numFmtId="7" fontId="76" fillId="33" borderId="0" xfId="0" applyNumberFormat="1" applyFont="1" applyFill="1"/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89" fillId="36" borderId="0" xfId="181" applyFont="1" applyFill="1">
      <alignment horizontal="centerContinuous"/>
    </xf>
    <xf numFmtId="0" fontId="83" fillId="35" borderId="0" xfId="0" applyFont="1" applyFill="1"/>
    <xf numFmtId="37" fontId="84" fillId="35" borderId="0" xfId="0" applyNumberFormat="1" applyFont="1" applyFill="1"/>
    <xf numFmtId="37" fontId="84" fillId="35" borderId="0" xfId="0" applyNumberFormat="1" applyFont="1" applyFill="1" applyAlignment="1">
      <alignment horizontal="center"/>
    </xf>
    <xf numFmtId="37" fontId="54" fillId="0" borderId="0" xfId="0" applyNumberFormat="1" applyFont="1" applyAlignment="1">
      <alignment horizontal="center"/>
    </xf>
    <xf numFmtId="37" fontId="54" fillId="0" borderId="0" xfId="0" applyNumberFormat="1" applyFont="1"/>
    <xf numFmtId="41" fontId="84" fillId="37" borderId="0" xfId="0" applyNumberFormat="1" applyFont="1" applyFill="1" applyAlignment="1">
      <alignment horizontal="centerContinuous"/>
    </xf>
    <xf numFmtId="37" fontId="54" fillId="0" borderId="33" xfId="0" applyNumberFormat="1" applyFont="1" applyBorder="1" applyAlignment="1">
      <alignment horizontal="center" vertical="center"/>
    </xf>
    <xf numFmtId="174" fontId="54" fillId="0" borderId="33" xfId="0" applyNumberFormat="1" applyFont="1" applyBorder="1" applyAlignment="1">
      <alignment horizontal="center" vertical="center"/>
    </xf>
    <xf numFmtId="37" fontId="57" fillId="38" borderId="0" xfId="0" applyNumberFormat="1" applyFont="1" applyFill="1"/>
    <xf numFmtId="39" fontId="55" fillId="38" borderId="0" xfId="0" applyNumberFormat="1" applyFont="1" applyFill="1" applyAlignment="1">
      <alignment horizontal="center"/>
    </xf>
    <xf numFmtId="168" fontId="55" fillId="38" borderId="0" xfId="0" applyNumberFormat="1" applyFont="1" applyFill="1" applyAlignment="1">
      <alignment horizontal="center"/>
    </xf>
    <xf numFmtId="168" fontId="55" fillId="38" borderId="34" xfId="0" applyNumberFormat="1" applyFont="1" applyFill="1" applyBorder="1" applyAlignment="1">
      <alignment horizontal="center"/>
    </xf>
    <xf numFmtId="0" fontId="71" fillId="38" borderId="0" xfId="0" applyFont="1" applyFill="1"/>
    <xf numFmtId="0" fontId="71" fillId="38" borderId="0" xfId="0" quotePrefix="1" applyFont="1" applyFill="1" applyAlignment="1">
      <alignment horizontal="left" indent="1"/>
    </xf>
    <xf numFmtId="168" fontId="55" fillId="38" borderId="34" xfId="0" applyNumberFormat="1" applyFont="1" applyFill="1" applyBorder="1"/>
    <xf numFmtId="165" fontId="90" fillId="0" borderId="0" xfId="0" applyNumberFormat="1" applyFont="1" applyAlignment="1">
      <alignment horizontal="center"/>
    </xf>
    <xf numFmtId="37" fontId="71" fillId="38" borderId="0" xfId="0" applyNumberFormat="1" applyFont="1" applyFill="1" applyAlignment="1">
      <alignment horizontal="left" indent="1"/>
    </xf>
    <xf numFmtId="168" fontId="71" fillId="38" borderId="0" xfId="0" applyNumberFormat="1" applyFont="1" applyFill="1"/>
    <xf numFmtId="37" fontId="71" fillId="38" borderId="34" xfId="0" applyNumberFormat="1" applyFont="1" applyFill="1" applyBorder="1" applyAlignment="1">
      <alignment horizontal="left" indent="1"/>
    </xf>
    <xf numFmtId="0" fontId="71" fillId="38" borderId="34" xfId="0" applyFont="1" applyFill="1" applyBorder="1"/>
    <xf numFmtId="168" fontId="71" fillId="38" borderId="34" xfId="0" applyNumberFormat="1" applyFont="1" applyFill="1" applyBorder="1"/>
    <xf numFmtId="0" fontId="71" fillId="38" borderId="0" xfId="0" applyFont="1" applyFill="1" applyAlignment="1">
      <alignment horizontal="left" indent="1"/>
    </xf>
    <xf numFmtId="0" fontId="84" fillId="39" borderId="0" xfId="0" applyFont="1" applyFill="1" applyAlignment="1">
      <alignment horizontal="centerContinuous"/>
    </xf>
    <xf numFmtId="37" fontId="60" fillId="40" borderId="0" xfId="132" applyNumberFormat="1" applyFont="1" applyFill="1" applyAlignment="1">
      <alignment horizontal="centerContinuous"/>
    </xf>
    <xf numFmtId="37" fontId="60" fillId="41" borderId="0" xfId="132" applyNumberFormat="1" applyFont="1" applyFill="1" applyAlignment="1">
      <alignment horizontal="centerContinuous"/>
    </xf>
    <xf numFmtId="7" fontId="71" fillId="0" borderId="0" xfId="0" applyNumberFormat="1" applyFont="1"/>
    <xf numFmtId="0" fontId="92" fillId="0" borderId="0" xfId="0" applyFont="1"/>
    <xf numFmtId="0" fontId="58" fillId="0" borderId="0" xfId="181" applyFont="1" applyAlignment="1">
      <alignment horizontal="center"/>
    </xf>
    <xf numFmtId="0" fontId="58" fillId="38" borderId="0" xfId="181" applyFont="1" applyFill="1" applyAlignment="1">
      <alignment horizontal="center"/>
    </xf>
    <xf numFmtId="37" fontId="55" fillId="0" borderId="0" xfId="0" applyNumberFormat="1" applyFont="1" applyAlignment="1">
      <alignment horizontal="center"/>
    </xf>
    <xf numFmtId="37" fontId="55" fillId="0" borderId="0" xfId="0" applyNumberFormat="1" applyFont="1"/>
    <xf numFmtId="38" fontId="55" fillId="0" borderId="0" xfId="0" applyNumberFormat="1" applyFont="1" applyAlignment="1">
      <alignment horizontal="center"/>
    </xf>
    <xf numFmtId="37" fontId="59" fillId="0" borderId="0" xfId="0" applyNumberFormat="1" applyFont="1" applyAlignment="1">
      <alignment horizontal="center"/>
    </xf>
    <xf numFmtId="39" fontId="90" fillId="0" borderId="0" xfId="0" applyNumberFormat="1" applyFont="1" applyAlignment="1">
      <alignment horizontal="center"/>
    </xf>
    <xf numFmtId="37" fontId="55" fillId="0" borderId="0" xfId="0" applyNumberFormat="1" applyFont="1" applyAlignment="1">
      <alignment horizontal="left" indent="3"/>
    </xf>
    <xf numFmtId="37" fontId="56" fillId="0" borderId="0" xfId="0" applyNumberFormat="1" applyFont="1" applyAlignment="1">
      <alignment horizontal="left"/>
    </xf>
    <xf numFmtId="164" fontId="55" fillId="0" borderId="0" xfId="0" applyNumberFormat="1" applyFont="1"/>
    <xf numFmtId="39" fontId="55" fillId="0" borderId="0" xfId="0" applyNumberFormat="1" applyFont="1" applyAlignment="1">
      <alignment horizontal="center"/>
    </xf>
    <xf numFmtId="0" fontId="55" fillId="0" borderId="0" xfId="0" applyFont="1"/>
    <xf numFmtId="0" fontId="58" fillId="38" borderId="0" xfId="181" applyFont="1" applyFill="1" applyAlignment="1"/>
    <xf numFmtId="0" fontId="58" fillId="0" borderId="0" xfId="181" applyFont="1" applyAlignment="1"/>
    <xf numFmtId="0" fontId="71" fillId="38" borderId="0" xfId="0" applyFont="1" applyFill="1" applyAlignment="1">
      <alignment horizontal="centerContinuous"/>
    </xf>
    <xf numFmtId="0" fontId="92" fillId="38" borderId="0" xfId="0" applyFont="1" applyFill="1" applyAlignment="1">
      <alignment horizontal="centerContinuous"/>
    </xf>
    <xf numFmtId="37" fontId="71" fillId="0" borderId="0" xfId="0" applyNumberFormat="1" applyFont="1" applyAlignment="1">
      <alignment horizontal="center" wrapText="1"/>
    </xf>
    <xf numFmtId="39" fontId="71" fillId="38" borderId="0" xfId="0" applyNumberFormat="1" applyFont="1" applyFill="1"/>
    <xf numFmtId="39" fontId="71" fillId="0" borderId="0" xfId="0" applyNumberFormat="1" applyFont="1"/>
    <xf numFmtId="37" fontId="55" fillId="0" borderId="0" xfId="0" applyNumberFormat="1" applyFont="1" applyAlignment="1">
      <alignment horizontal="left"/>
    </xf>
    <xf numFmtId="37" fontId="55" fillId="0" borderId="0" xfId="0" quotePrefix="1" applyNumberFormat="1" applyFont="1" applyAlignment="1">
      <alignment horizontal="center"/>
    </xf>
    <xf numFmtId="39" fontId="93" fillId="0" borderId="0" xfId="0" applyNumberFormat="1" applyFont="1" applyAlignment="1">
      <alignment horizontal="center"/>
    </xf>
    <xf numFmtId="39" fontId="93" fillId="38" borderId="0" xfId="0" applyNumberFormat="1" applyFont="1" applyFill="1" applyAlignment="1">
      <alignment horizontal="center"/>
    </xf>
    <xf numFmtId="165" fontId="93" fillId="0" borderId="0" xfId="0" applyNumberFormat="1" applyFont="1" applyAlignment="1">
      <alignment horizontal="center"/>
    </xf>
    <xf numFmtId="167" fontId="93" fillId="38" borderId="0" xfId="0" applyNumberFormat="1" applyFont="1" applyFill="1" applyAlignment="1">
      <alignment horizontal="center"/>
    </xf>
    <xf numFmtId="167" fontId="93" fillId="0" borderId="0" xfId="0" applyNumberFormat="1" applyFont="1" applyAlignment="1">
      <alignment horizontal="center"/>
    </xf>
    <xf numFmtId="176" fontId="74" fillId="0" borderId="29" xfId="0" applyNumberFormat="1" applyFont="1" applyBorder="1"/>
    <xf numFmtId="2" fontId="0" fillId="0" borderId="0" xfId="0" applyNumberFormat="1"/>
    <xf numFmtId="2" fontId="0" fillId="33" borderId="0" xfId="0" applyNumberFormat="1" applyFill="1"/>
    <xf numFmtId="44" fontId="75" fillId="0" borderId="28" xfId="0" applyNumberFormat="1" applyFont="1" applyBorder="1"/>
    <xf numFmtId="176" fontId="74" fillId="0" borderId="0" xfId="0" applyNumberFormat="1" applyFont="1"/>
    <xf numFmtId="177" fontId="66" fillId="0" borderId="0" xfId="142" applyNumberFormat="1" applyFont="1"/>
    <xf numFmtId="41" fontId="94" fillId="0" borderId="0" xfId="138" applyNumberFormat="1" applyFont="1"/>
    <xf numFmtId="41" fontId="94" fillId="0" borderId="0" xfId="138" applyNumberFormat="1" applyFont="1" applyAlignment="1">
      <alignment horizontal="center"/>
    </xf>
    <xf numFmtId="37" fontId="84" fillId="0" borderId="0" xfId="0" applyNumberFormat="1" applyFont="1" applyAlignment="1">
      <alignment horizontal="center"/>
    </xf>
    <xf numFmtId="0" fontId="74" fillId="0" borderId="0" xfId="0" applyFont="1" applyAlignment="1">
      <alignment horizontal="left" indent="1"/>
    </xf>
    <xf numFmtId="0" fontId="74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44" fontId="74" fillId="0" borderId="0" xfId="0" applyNumberFormat="1" applyFont="1"/>
    <xf numFmtId="0" fontId="76" fillId="0" borderId="36" xfId="0" applyFont="1" applyBorder="1"/>
    <xf numFmtId="0" fontId="75" fillId="0" borderId="36" xfId="0" applyFont="1" applyBorder="1" applyAlignment="1">
      <alignment horizontal="right"/>
    </xf>
    <xf numFmtId="0" fontId="75" fillId="0" borderId="0" xfId="0" applyFont="1" applyAlignment="1">
      <alignment horizontal="right"/>
    </xf>
    <xf numFmtId="44" fontId="75" fillId="0" borderId="36" xfId="0" applyNumberFormat="1" applyFont="1" applyBorder="1"/>
    <xf numFmtId="44" fontId="75" fillId="0" borderId="0" xfId="0" applyNumberFormat="1" applyFont="1"/>
    <xf numFmtId="0" fontId="76" fillId="0" borderId="37" xfId="0" applyFont="1" applyBorder="1"/>
    <xf numFmtId="0" fontId="74" fillId="0" borderId="0" xfId="0" applyFont="1" applyAlignment="1">
      <alignment horizontal="left"/>
    </xf>
    <xf numFmtId="49" fontId="0" fillId="0" borderId="0" xfId="0" applyNumberFormat="1"/>
    <xf numFmtId="37" fontId="54" fillId="38" borderId="38" xfId="135" applyFont="1" applyFill="1" applyBorder="1" applyAlignment="1">
      <alignment horizontal="center" vertical="center" wrapText="1"/>
    </xf>
    <xf numFmtId="172" fontId="54" fillId="38" borderId="38" xfId="142" applyNumberFormat="1" applyFont="1" applyFill="1" applyBorder="1" applyAlignment="1">
      <alignment horizontal="center" vertical="center" wrapText="1"/>
    </xf>
    <xf numFmtId="166" fontId="54" fillId="38" borderId="38" xfId="135" applyNumberFormat="1" applyFont="1" applyFill="1" applyBorder="1" applyAlignment="1">
      <alignment horizontal="right" vertical="center" wrapText="1"/>
    </xf>
    <xf numFmtId="37" fontId="54" fillId="38" borderId="38" xfId="135" applyFont="1" applyFill="1" applyBorder="1" applyAlignment="1">
      <alignment horizontal="right" vertical="center" wrapText="1"/>
    </xf>
    <xf numFmtId="39" fontId="54" fillId="38" borderId="38" xfId="135" applyNumberFormat="1" applyFont="1" applyFill="1" applyBorder="1" applyAlignment="1">
      <alignment horizontal="right" vertical="center" wrapText="1"/>
    </xf>
    <xf numFmtId="38" fontId="4" fillId="39" borderId="0" xfId="0" applyNumberFormat="1" applyFont="1" applyFill="1" applyAlignment="1">
      <alignment horizontal="center"/>
    </xf>
    <xf numFmtId="166" fontId="4" fillId="39" borderId="0" xfId="0" applyNumberFormat="1" applyFont="1" applyFill="1" applyAlignment="1">
      <alignment horizontal="right"/>
    </xf>
    <xf numFmtId="37" fontId="4" fillId="39" borderId="0" xfId="0" applyNumberFormat="1" applyFont="1" applyFill="1" applyAlignment="1">
      <alignment horizontal="right"/>
    </xf>
    <xf numFmtId="39" fontId="4" fillId="39" borderId="0" xfId="0" applyNumberFormat="1" applyFont="1" applyFill="1" applyAlignment="1">
      <alignment horizontal="right"/>
    </xf>
    <xf numFmtId="37" fontId="54" fillId="0" borderId="0" xfId="0" quotePrefix="1" applyNumberFormat="1" applyFont="1" applyAlignment="1">
      <alignment horizontal="center"/>
    </xf>
    <xf numFmtId="7" fontId="0" fillId="0" borderId="0" xfId="0" applyNumberFormat="1"/>
    <xf numFmtId="167" fontId="0" fillId="0" borderId="0" xfId="0" applyNumberFormat="1"/>
    <xf numFmtId="0" fontId="95" fillId="42" borderId="0" xfId="181" applyFont="1" applyFill="1">
      <alignment horizontal="centerContinuous"/>
    </xf>
    <xf numFmtId="37" fontId="84" fillId="43" borderId="0" xfId="0" applyNumberFormat="1" applyFont="1" applyFill="1" applyAlignment="1">
      <alignment horizontal="centerContinuous"/>
    </xf>
    <xf numFmtId="37" fontId="91" fillId="43" borderId="0" xfId="0" applyNumberFormat="1" applyFont="1" applyFill="1" applyAlignment="1">
      <alignment horizontal="centerContinuous"/>
    </xf>
    <xf numFmtId="0" fontId="83" fillId="43" borderId="0" xfId="0" applyFont="1" applyFill="1" applyAlignment="1">
      <alignment horizontal="centerContinuous"/>
    </xf>
    <xf numFmtId="0" fontId="84" fillId="43" borderId="0" xfId="0" applyFont="1" applyFill="1" applyAlignment="1">
      <alignment horizontal="center"/>
    </xf>
    <xf numFmtId="0" fontId="83" fillId="43" borderId="0" xfId="0" applyFont="1" applyFill="1" applyAlignment="1">
      <alignment horizontal="center"/>
    </xf>
    <xf numFmtId="0" fontId="89" fillId="0" borderId="0" xfId="181" applyFont="1">
      <alignment horizontal="centerContinuous"/>
    </xf>
    <xf numFmtId="0" fontId="0" fillId="38" borderId="0" xfId="0" applyFill="1"/>
    <xf numFmtId="0" fontId="96" fillId="44" borderId="23" xfId="87" applyFont="1" applyFill="1" applyBorder="1" applyAlignment="1" applyProtection="1">
      <alignment horizontal="center"/>
    </xf>
    <xf numFmtId="9" fontId="4" fillId="0" borderId="0" xfId="142" quotePrefix="1" applyFont="1" applyProtection="1"/>
    <xf numFmtId="174" fontId="0" fillId="0" borderId="0" xfId="0" applyNumberFormat="1"/>
    <xf numFmtId="0" fontId="7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6" fontId="0" fillId="0" borderId="0" xfId="0" applyNumberFormat="1"/>
    <xf numFmtId="0" fontId="97" fillId="0" borderId="0" xfId="0" quotePrefix="1" applyFont="1" applyAlignment="1">
      <alignment horizontal="left" indent="1"/>
    </xf>
    <xf numFmtId="0" fontId="97" fillId="0" borderId="0" xfId="0" applyFont="1"/>
    <xf numFmtId="37" fontId="54" fillId="38" borderId="39" xfId="135" applyFont="1" applyFill="1" applyBorder="1" applyAlignment="1">
      <alignment horizontal="center" vertical="center" wrapText="1"/>
    </xf>
    <xf numFmtId="37" fontId="54" fillId="38" borderId="40" xfId="135" applyFont="1" applyFill="1" applyBorder="1" applyAlignment="1">
      <alignment horizontal="center" vertical="center" wrapText="1"/>
    </xf>
    <xf numFmtId="37" fontId="54" fillId="38" borderId="42" xfId="135" applyFont="1" applyFill="1" applyBorder="1" applyAlignment="1">
      <alignment horizontal="center" vertical="center" wrapText="1"/>
    </xf>
    <xf numFmtId="166" fontId="54" fillId="38" borderId="39" xfId="135" applyNumberFormat="1" applyFont="1" applyFill="1" applyBorder="1" applyAlignment="1">
      <alignment horizontal="right" vertical="center" wrapText="1"/>
    </xf>
    <xf numFmtId="37" fontId="54" fillId="38" borderId="39" xfId="135" applyFont="1" applyFill="1" applyBorder="1" applyAlignment="1">
      <alignment horizontal="right" vertical="center" wrapText="1"/>
    </xf>
    <xf numFmtId="39" fontId="54" fillId="38" borderId="39" xfId="135" applyNumberFormat="1" applyFont="1" applyFill="1" applyBorder="1" applyAlignment="1">
      <alignment horizontal="right" vertical="center" wrapText="1"/>
    </xf>
    <xf numFmtId="166" fontId="54" fillId="38" borderId="40" xfId="135" applyNumberFormat="1" applyFont="1" applyFill="1" applyBorder="1" applyAlignment="1">
      <alignment horizontal="right" vertical="center" wrapText="1"/>
    </xf>
    <xf numFmtId="37" fontId="54" fillId="38" borderId="40" xfId="135" applyFont="1" applyFill="1" applyBorder="1" applyAlignment="1">
      <alignment horizontal="right" vertical="center" wrapText="1"/>
    </xf>
    <xf numFmtId="39" fontId="54" fillId="38" borderId="40" xfId="135" applyNumberFormat="1" applyFont="1" applyFill="1" applyBorder="1" applyAlignment="1">
      <alignment horizontal="right" vertical="center" wrapText="1"/>
    </xf>
    <xf numFmtId="166" fontId="54" fillId="38" borderId="43" xfId="135" applyNumberFormat="1" applyFont="1" applyFill="1" applyBorder="1" applyAlignment="1">
      <alignment horizontal="right" vertical="center" wrapText="1"/>
    </xf>
    <xf numFmtId="37" fontId="54" fillId="38" borderId="43" xfId="135" applyFont="1" applyFill="1" applyBorder="1" applyAlignment="1">
      <alignment horizontal="right" vertical="center" wrapText="1"/>
    </xf>
    <xf numFmtId="39" fontId="54" fillId="38" borderId="43" xfId="135" applyNumberFormat="1" applyFont="1" applyFill="1" applyBorder="1" applyAlignment="1">
      <alignment horizontal="right" vertical="center" wrapText="1"/>
    </xf>
    <xf numFmtId="166" fontId="54" fillId="38" borderId="44" xfId="135" applyNumberFormat="1" applyFont="1" applyFill="1" applyBorder="1" applyAlignment="1">
      <alignment horizontal="right" vertical="center" wrapText="1"/>
    </xf>
    <xf numFmtId="10" fontId="66" fillId="0" borderId="0" xfId="142" applyNumberFormat="1" applyFont="1"/>
    <xf numFmtId="39" fontId="68" fillId="31" borderId="0" xfId="0" applyNumberFormat="1" applyFont="1" applyFill="1" applyAlignment="1">
      <alignment horizontal="center"/>
    </xf>
    <xf numFmtId="165" fontId="68" fillId="31" borderId="0" xfId="0" applyNumberFormat="1" applyFont="1" applyFill="1" applyAlignment="1">
      <alignment horizontal="center"/>
    </xf>
    <xf numFmtId="169" fontId="68" fillId="31" borderId="0" xfId="28" applyNumberFormat="1" applyFont="1" applyFill="1" applyAlignment="1" applyProtection="1">
      <alignment horizontal="center"/>
    </xf>
    <xf numFmtId="0" fontId="0" fillId="0" borderId="0" xfId="0" applyAlignment="1">
      <alignment wrapText="1"/>
    </xf>
    <xf numFmtId="39" fontId="68" fillId="33" borderId="0" xfId="0" applyNumberFormat="1" applyFont="1" applyFill="1"/>
    <xf numFmtId="10" fontId="71" fillId="0" borderId="0" xfId="142" applyNumberFormat="1" applyFont="1"/>
    <xf numFmtId="0" fontId="89" fillId="36" borderId="0" xfId="181" applyFont="1" applyFill="1" applyAlignment="1">
      <alignment horizontal="center"/>
    </xf>
    <xf numFmtId="172" fontId="54" fillId="38" borderId="0" xfId="142" applyNumberFormat="1" applyFont="1" applyFill="1" applyBorder="1" applyAlignment="1">
      <alignment horizontal="center" vertical="center" wrapText="1"/>
    </xf>
    <xf numFmtId="39" fontId="68" fillId="31" borderId="0" xfId="0" applyNumberFormat="1" applyFont="1" applyFill="1"/>
    <xf numFmtId="0" fontId="99" fillId="46" borderId="0" xfId="181" applyFont="1" applyFill="1">
      <alignment horizontal="centerContinuous"/>
    </xf>
    <xf numFmtId="38" fontId="100" fillId="0" borderId="0" xfId="0" quotePrefix="1" applyNumberFormat="1" applyFont="1"/>
    <xf numFmtId="39" fontId="100" fillId="0" borderId="0" xfId="0" quotePrefix="1" applyNumberFormat="1" applyFont="1"/>
    <xf numFmtId="37" fontId="101" fillId="47" borderId="0" xfId="0" applyNumberFormat="1" applyFont="1" applyFill="1" applyAlignment="1">
      <alignment horizontal="centerContinuous"/>
    </xf>
    <xf numFmtId="37" fontId="103" fillId="0" borderId="0" xfId="0" applyNumberFormat="1" applyFont="1"/>
    <xf numFmtId="0" fontId="100" fillId="0" borderId="0" xfId="0" applyFont="1"/>
    <xf numFmtId="165" fontId="100" fillId="0" borderId="0" xfId="0" applyNumberFormat="1" applyFont="1"/>
    <xf numFmtId="39" fontId="100" fillId="0" borderId="0" xfId="0" applyNumberFormat="1" applyFont="1"/>
    <xf numFmtId="2" fontId="100" fillId="0" borderId="0" xfId="0" applyNumberFormat="1" applyFont="1"/>
    <xf numFmtId="37" fontId="101" fillId="46" borderId="0" xfId="0" applyNumberFormat="1" applyFont="1" applyFill="1" applyAlignment="1">
      <alignment horizontal="centerContinuous"/>
    </xf>
    <xf numFmtId="0" fontId="102" fillId="46" borderId="0" xfId="0" applyFont="1" applyFill="1" applyAlignment="1">
      <alignment horizontal="center"/>
    </xf>
    <xf numFmtId="37" fontId="104" fillId="38" borderId="0" xfId="135" applyFont="1" applyFill="1" applyBorder="1" applyAlignment="1">
      <alignment horizontal="center" vertical="center" wrapText="1"/>
    </xf>
    <xf numFmtId="0" fontId="105" fillId="0" borderId="0" xfId="0" quotePrefix="1" applyFont="1" applyAlignment="1">
      <alignment horizontal="left" indent="1"/>
    </xf>
    <xf numFmtId="38" fontId="103" fillId="0" borderId="0" xfId="0" applyNumberFormat="1" applyFont="1" applyAlignment="1">
      <alignment horizontal="center"/>
    </xf>
    <xf numFmtId="166" fontId="103" fillId="0" borderId="0" xfId="0" applyNumberFormat="1" applyFont="1"/>
    <xf numFmtId="39" fontId="103" fillId="0" borderId="0" xfId="0" applyNumberFormat="1" applyFont="1"/>
    <xf numFmtId="0" fontId="106" fillId="0" borderId="0" xfId="0" quotePrefix="1" applyFont="1"/>
    <xf numFmtId="0" fontId="106" fillId="0" borderId="0" xfId="0" quotePrefix="1" applyFont="1" applyAlignment="1">
      <alignment horizontal="left" indent="1"/>
    </xf>
    <xf numFmtId="166" fontId="104" fillId="38" borderId="0" xfId="135" applyNumberFormat="1" applyFont="1" applyFill="1" applyBorder="1" applyAlignment="1">
      <alignment horizontal="right" vertical="center" wrapText="1"/>
    </xf>
    <xf numFmtId="37" fontId="104" fillId="38" borderId="0" xfId="135" applyFont="1" applyFill="1" applyBorder="1" applyAlignment="1">
      <alignment horizontal="right" vertical="center" wrapText="1"/>
    </xf>
    <xf numFmtId="39" fontId="104" fillId="38" borderId="0" xfId="135" applyNumberFormat="1" applyFont="1" applyFill="1" applyBorder="1" applyAlignment="1">
      <alignment horizontal="right" vertical="center" wrapText="1"/>
    </xf>
    <xf numFmtId="38" fontId="104" fillId="39" borderId="0" xfId="0" applyNumberFormat="1" applyFont="1" applyFill="1" applyAlignment="1">
      <alignment horizontal="center"/>
    </xf>
    <xf numFmtId="166" fontId="104" fillId="39" borderId="0" xfId="0" applyNumberFormat="1" applyFont="1" applyFill="1" applyAlignment="1">
      <alignment horizontal="right"/>
    </xf>
    <xf numFmtId="37" fontId="104" fillId="39" borderId="0" xfId="0" applyNumberFormat="1" applyFont="1" applyFill="1" applyAlignment="1">
      <alignment horizontal="right"/>
    </xf>
    <xf numFmtId="39" fontId="104" fillId="39" borderId="0" xfId="0" applyNumberFormat="1" applyFont="1" applyFill="1" applyAlignment="1">
      <alignment horizontal="right"/>
    </xf>
    <xf numFmtId="38" fontId="104" fillId="45" borderId="0" xfId="0" applyNumberFormat="1" applyFont="1" applyFill="1" applyAlignment="1">
      <alignment horizontal="center"/>
    </xf>
    <xf numFmtId="0" fontId="106" fillId="0" borderId="0" xfId="0" applyFont="1"/>
    <xf numFmtId="0" fontId="102" fillId="46" borderId="0" xfId="0" applyFont="1" applyFill="1" applyAlignment="1">
      <alignment horizontal="centerContinuous"/>
    </xf>
    <xf numFmtId="38" fontId="71" fillId="0" borderId="0" xfId="0" quotePrefix="1" applyNumberFormat="1" applyFont="1"/>
    <xf numFmtId="39" fontId="71" fillId="0" borderId="0" xfId="0" quotePrefix="1" applyNumberFormat="1" applyFont="1"/>
    <xf numFmtId="37" fontId="54" fillId="38" borderId="0" xfId="0" applyNumberFormat="1" applyFont="1" applyFill="1"/>
    <xf numFmtId="39" fontId="54" fillId="38" borderId="38" xfId="135" applyNumberFormat="1" applyFont="1" applyFill="1" applyBorder="1" applyAlignment="1">
      <alignment horizontal="center" vertical="center" wrapText="1"/>
    </xf>
    <xf numFmtId="39" fontId="54" fillId="38" borderId="39" xfId="135" applyNumberFormat="1" applyFont="1" applyFill="1" applyBorder="1" applyAlignment="1">
      <alignment horizontal="center" vertical="center" wrapText="1"/>
    </xf>
    <xf numFmtId="172" fontId="54" fillId="38" borderId="39" xfId="142" applyNumberFormat="1" applyFont="1" applyFill="1" applyBorder="1" applyAlignment="1">
      <alignment horizontal="center" vertical="center" wrapText="1"/>
    </xf>
    <xf numFmtId="39" fontId="54" fillId="38" borderId="43" xfId="135" applyNumberFormat="1" applyFont="1" applyFill="1" applyBorder="1" applyAlignment="1">
      <alignment horizontal="center" vertical="center" wrapText="1"/>
    </xf>
    <xf numFmtId="166" fontId="54" fillId="38" borderId="43" xfId="135" applyNumberFormat="1" applyFont="1" applyFill="1" applyBorder="1" applyAlignment="1">
      <alignment horizontal="center" vertical="center" wrapText="1"/>
    </xf>
    <xf numFmtId="172" fontId="54" fillId="38" borderId="44" xfId="142" applyNumberFormat="1" applyFont="1" applyFill="1" applyBorder="1" applyAlignment="1">
      <alignment horizontal="center" vertical="center" wrapText="1"/>
    </xf>
    <xf numFmtId="37" fontId="54" fillId="38" borderId="41" xfId="135" applyFont="1" applyFill="1" applyBorder="1" applyAlignment="1">
      <alignment horizontal="center" vertical="center" wrapText="1"/>
    </xf>
    <xf numFmtId="39" fontId="54" fillId="38" borderId="41" xfId="135" applyNumberFormat="1" applyFont="1" applyFill="1" applyBorder="1" applyAlignment="1">
      <alignment horizontal="center" vertical="center" wrapText="1"/>
    </xf>
    <xf numFmtId="172" fontId="54" fillId="38" borderId="41" xfId="142" applyNumberFormat="1" applyFont="1" applyFill="1" applyBorder="1" applyAlignment="1">
      <alignment horizontal="center" vertical="center" wrapText="1"/>
    </xf>
    <xf numFmtId="39" fontId="54" fillId="38" borderId="40" xfId="135" applyNumberFormat="1" applyFont="1" applyFill="1" applyBorder="1" applyAlignment="1">
      <alignment horizontal="center" vertical="center" wrapText="1"/>
    </xf>
    <xf numFmtId="172" fontId="54" fillId="38" borderId="40" xfId="142" applyNumberFormat="1" applyFont="1" applyFill="1" applyBorder="1" applyAlignment="1">
      <alignment horizontal="center" vertical="center" wrapText="1"/>
    </xf>
    <xf numFmtId="38" fontId="54" fillId="38" borderId="0" xfId="0" applyNumberFormat="1" applyFont="1" applyFill="1" applyAlignment="1">
      <alignment horizontal="center"/>
    </xf>
    <xf numFmtId="166" fontId="54" fillId="38" borderId="0" xfId="0" applyNumberFormat="1" applyFont="1" applyFill="1"/>
    <xf numFmtId="39" fontId="54" fillId="38" borderId="0" xfId="0" applyNumberFormat="1" applyFont="1" applyFill="1"/>
    <xf numFmtId="0" fontId="97" fillId="38" borderId="0" xfId="0" quotePrefix="1" applyFont="1" applyFill="1"/>
    <xf numFmtId="0" fontId="97" fillId="38" borderId="0" xfId="0" quotePrefix="1" applyFont="1" applyFill="1" applyAlignment="1">
      <alignment horizontal="left" indent="1"/>
    </xf>
    <xf numFmtId="0" fontId="71" fillId="43" borderId="0" xfId="0" applyFont="1" applyFill="1"/>
    <xf numFmtId="9" fontId="0" fillId="0" borderId="0" xfId="142" applyFont="1" applyAlignment="1">
      <alignment horizontal="center"/>
    </xf>
    <xf numFmtId="172" fontId="0" fillId="0" borderId="0" xfId="57" applyNumberFormat="1" applyFont="1" applyAlignment="1">
      <alignment horizontal="center"/>
    </xf>
    <xf numFmtId="177" fontId="0" fillId="0" borderId="0" xfId="142" applyNumberFormat="1" applyFont="1"/>
    <xf numFmtId="0" fontId="68" fillId="49" borderId="0" xfId="0" applyFont="1" applyFill="1"/>
    <xf numFmtId="0" fontId="101" fillId="46" borderId="35" xfId="0" applyFont="1" applyFill="1" applyBorder="1" applyAlignment="1">
      <alignment horizontal="centerContinuous"/>
    </xf>
    <xf numFmtId="0" fontId="107" fillId="46" borderId="35" xfId="181" applyFont="1" applyFill="1" applyBorder="1" applyAlignment="1">
      <alignment horizontal="center"/>
    </xf>
    <xf numFmtId="37" fontId="104" fillId="38" borderId="0" xfId="0" applyNumberFormat="1" applyFont="1" applyFill="1" applyAlignment="1">
      <alignment horizontal="center"/>
    </xf>
    <xf numFmtId="0" fontId="101" fillId="46" borderId="0" xfId="0" applyFont="1" applyFill="1" applyAlignment="1">
      <alignment horizontal="centerContinuous"/>
    </xf>
    <xf numFmtId="0" fontId="108" fillId="46" borderId="0" xfId="0" applyFont="1" applyFill="1" applyAlignment="1">
      <alignment horizontal="centerContinuous"/>
    </xf>
    <xf numFmtId="37" fontId="109" fillId="46" borderId="0" xfId="0" applyNumberFormat="1" applyFont="1" applyFill="1" applyAlignment="1">
      <alignment horizontal="center"/>
    </xf>
    <xf numFmtId="37" fontId="104" fillId="46" borderId="0" xfId="0" applyNumberFormat="1" applyFont="1" applyFill="1" applyAlignment="1">
      <alignment horizontal="center"/>
    </xf>
    <xf numFmtId="37" fontId="110" fillId="48" borderId="0" xfId="132" applyNumberFormat="1" applyFont="1" applyFill="1" applyAlignment="1">
      <alignment horizontal="centerContinuous"/>
    </xf>
    <xf numFmtId="37" fontId="110" fillId="37" borderId="0" xfId="132" applyNumberFormat="1" applyFont="1" applyFill="1" applyAlignment="1">
      <alignment horizontal="centerContinuous"/>
    </xf>
    <xf numFmtId="37" fontId="111" fillId="38" borderId="0" xfId="0" applyNumberFormat="1" applyFont="1" applyFill="1"/>
    <xf numFmtId="37" fontId="104" fillId="38" borderId="0" xfId="0" applyNumberFormat="1" applyFont="1" applyFill="1"/>
    <xf numFmtId="38" fontId="104" fillId="38" borderId="0" xfId="0" applyNumberFormat="1" applyFont="1" applyFill="1" applyAlignment="1">
      <alignment horizontal="center"/>
    </xf>
    <xf numFmtId="37" fontId="104" fillId="38" borderId="0" xfId="0" quotePrefix="1" applyNumberFormat="1" applyFont="1" applyFill="1" applyAlignment="1">
      <alignment horizontal="center" vertical="center"/>
    </xf>
    <xf numFmtId="39" fontId="104" fillId="38" borderId="0" xfId="0" applyNumberFormat="1" applyFont="1" applyFill="1" applyAlignment="1">
      <alignment horizontal="center" vertical="center"/>
    </xf>
    <xf numFmtId="168" fontId="104" fillId="38" borderId="0" xfId="57" applyNumberFormat="1" applyFont="1" applyFill="1" applyAlignment="1" applyProtection="1">
      <alignment horizontal="center" vertical="center"/>
    </xf>
    <xf numFmtId="39" fontId="112" fillId="38" borderId="0" xfId="0" applyNumberFormat="1" applyFont="1" applyFill="1" applyAlignment="1">
      <alignment horizontal="center" vertical="center"/>
    </xf>
    <xf numFmtId="37" fontId="104" fillId="38" borderId="0" xfId="0" applyNumberFormat="1" applyFont="1" applyFill="1" applyAlignment="1">
      <alignment horizontal="center" vertical="center"/>
    </xf>
    <xf numFmtId="37" fontId="104" fillId="38" borderId="34" xfId="0" quotePrefix="1" applyNumberFormat="1" applyFont="1" applyFill="1" applyBorder="1" applyAlignment="1">
      <alignment horizontal="center" vertical="center"/>
    </xf>
    <xf numFmtId="39" fontId="104" fillId="38" borderId="34" xfId="0" applyNumberFormat="1" applyFont="1" applyFill="1" applyBorder="1" applyAlignment="1">
      <alignment horizontal="center" vertical="center"/>
    </xf>
    <xf numFmtId="168" fontId="104" fillId="38" borderId="34" xfId="57" applyNumberFormat="1" applyFont="1" applyFill="1" applyBorder="1" applyAlignment="1" applyProtection="1">
      <alignment horizontal="center" vertical="center"/>
    </xf>
    <xf numFmtId="37" fontId="104" fillId="38" borderId="0" xfId="0" applyNumberFormat="1" applyFont="1" applyFill="1" applyAlignment="1">
      <alignment horizontal="left" indent="1"/>
    </xf>
    <xf numFmtId="164" fontId="104" fillId="38" borderId="0" xfId="0" applyNumberFormat="1" applyFont="1" applyFill="1"/>
    <xf numFmtId="0" fontId="101" fillId="39" borderId="0" xfId="0" applyFont="1" applyFill="1" applyAlignment="1">
      <alignment horizontal="centerContinuous"/>
    </xf>
    <xf numFmtId="37" fontId="113" fillId="38" borderId="0" xfId="0" applyNumberFormat="1" applyFont="1" applyFill="1" applyAlignment="1">
      <alignment horizontal="left"/>
    </xf>
    <xf numFmtId="0" fontId="114" fillId="38" borderId="0" xfId="0" applyFont="1" applyFill="1"/>
    <xf numFmtId="0" fontId="100" fillId="38" borderId="0" xfId="0" applyFont="1" applyFill="1"/>
    <xf numFmtId="38" fontId="104" fillId="38" borderId="0" xfId="0" applyNumberFormat="1" applyFont="1" applyFill="1" applyAlignment="1">
      <alignment horizontal="left" indent="1"/>
    </xf>
    <xf numFmtId="39" fontId="104" fillId="38" borderId="0" xfId="0" applyNumberFormat="1" applyFont="1" applyFill="1" applyAlignment="1">
      <alignment horizontal="center"/>
    </xf>
    <xf numFmtId="168" fontId="104" fillId="38" borderId="0" xfId="0" applyNumberFormat="1" applyFont="1" applyFill="1" applyAlignment="1">
      <alignment horizontal="center"/>
    </xf>
    <xf numFmtId="168" fontId="104" fillId="38" borderId="0" xfId="0" applyNumberFormat="1" applyFont="1" applyFill="1" applyAlignment="1">
      <alignment horizontal="left" indent="1"/>
    </xf>
    <xf numFmtId="37" fontId="104" fillId="38" borderId="34" xfId="0" applyNumberFormat="1" applyFont="1" applyFill="1" applyBorder="1" applyAlignment="1">
      <alignment horizontal="left" indent="1"/>
    </xf>
    <xf numFmtId="168" fontId="104" fillId="38" borderId="34" xfId="0" applyNumberFormat="1" applyFont="1" applyFill="1" applyBorder="1" applyAlignment="1">
      <alignment horizontal="left" indent="1"/>
    </xf>
    <xf numFmtId="39" fontId="104" fillId="38" borderId="34" xfId="0" applyNumberFormat="1" applyFont="1" applyFill="1" applyBorder="1" applyAlignment="1">
      <alignment horizontal="center"/>
    </xf>
    <xf numFmtId="168" fontId="104" fillId="38" borderId="34" xfId="0" applyNumberFormat="1" applyFont="1" applyFill="1" applyBorder="1" applyAlignment="1">
      <alignment horizontal="center"/>
    </xf>
    <xf numFmtId="38" fontId="104" fillId="38" borderId="0" xfId="0" applyNumberFormat="1" applyFont="1" applyFill="1"/>
    <xf numFmtId="0" fontId="107" fillId="38" borderId="0" xfId="181" applyFont="1" applyFill="1">
      <alignment horizontal="centerContinuous"/>
    </xf>
    <xf numFmtId="0" fontId="107" fillId="38" borderId="0" xfId="181" applyFont="1" applyFill="1" applyAlignment="1"/>
    <xf numFmtId="170" fontId="104" fillId="38" borderId="0" xfId="0" applyNumberFormat="1" applyFont="1" applyFill="1" applyAlignment="1">
      <alignment horizontal="center"/>
    </xf>
    <xf numFmtId="38" fontId="104" fillId="38" borderId="34" xfId="0" applyNumberFormat="1" applyFont="1" applyFill="1" applyBorder="1" applyAlignment="1">
      <alignment horizontal="left" indent="1"/>
    </xf>
    <xf numFmtId="37" fontId="104" fillId="38" borderId="34" xfId="0" applyNumberFormat="1" applyFont="1" applyFill="1" applyBorder="1"/>
    <xf numFmtId="170" fontId="104" fillId="38" borderId="34" xfId="0" applyNumberFormat="1" applyFont="1" applyFill="1" applyBorder="1" applyAlignment="1">
      <alignment horizontal="center"/>
    </xf>
    <xf numFmtId="0" fontId="100" fillId="38" borderId="0" xfId="0" applyFont="1" applyFill="1" applyAlignment="1">
      <alignment horizontal="left" indent="1"/>
    </xf>
    <xf numFmtId="37" fontId="110" fillId="40" borderId="0" xfId="132" applyNumberFormat="1" applyFont="1" applyFill="1" applyAlignment="1">
      <alignment horizontal="centerContinuous"/>
    </xf>
    <xf numFmtId="37" fontId="110" fillId="41" borderId="0" xfId="132" applyNumberFormat="1" applyFont="1" applyFill="1" applyAlignment="1">
      <alignment horizontal="centerContinuous"/>
    </xf>
    <xf numFmtId="38" fontId="104" fillId="38" borderId="34" xfId="0" applyNumberFormat="1" applyFont="1" applyFill="1" applyBorder="1"/>
    <xf numFmtId="168" fontId="104" fillId="38" borderId="0" xfId="138" applyNumberFormat="1" applyFont="1" applyFill="1" applyAlignment="1">
      <alignment horizontal="center"/>
    </xf>
    <xf numFmtId="165" fontId="112" fillId="38" borderId="0" xfId="0" applyNumberFormat="1" applyFont="1" applyFill="1" applyAlignment="1">
      <alignment horizontal="center"/>
    </xf>
    <xf numFmtId="168" fontId="104" fillId="38" borderId="34" xfId="0" applyNumberFormat="1" applyFont="1" applyFill="1" applyBorder="1"/>
    <xf numFmtId="168" fontId="104" fillId="38" borderId="34" xfId="138" applyNumberFormat="1" applyFont="1" applyFill="1" applyBorder="1" applyAlignment="1">
      <alignment horizontal="center"/>
    </xf>
    <xf numFmtId="0" fontId="100" fillId="38" borderId="0" xfId="0" quotePrefix="1" applyFont="1" applyFill="1" applyAlignment="1">
      <alignment horizontal="left" indent="1"/>
    </xf>
    <xf numFmtId="37" fontId="104" fillId="38" borderId="0" xfId="0" quotePrefix="1" applyNumberFormat="1" applyFont="1" applyFill="1" applyAlignment="1">
      <alignment horizontal="center"/>
    </xf>
    <xf numFmtId="37" fontId="104" fillId="38" borderId="34" xfId="0" quotePrefix="1" applyNumberFormat="1" applyFont="1" applyFill="1" applyBorder="1" applyAlignment="1">
      <alignment horizontal="center"/>
    </xf>
    <xf numFmtId="175" fontId="104" fillId="38" borderId="34" xfId="0" applyNumberFormat="1" applyFont="1" applyFill="1" applyBorder="1"/>
    <xf numFmtId="175" fontId="104" fillId="38" borderId="0" xfId="0" applyNumberFormat="1" applyFont="1" applyFill="1" applyAlignment="1">
      <alignment horizontal="centerContinuous"/>
    </xf>
    <xf numFmtId="0" fontId="100" fillId="38" borderId="0" xfId="0" applyFont="1" applyFill="1" applyAlignment="1">
      <alignment horizontal="centerContinuous"/>
    </xf>
    <xf numFmtId="0" fontId="115" fillId="38" borderId="0" xfId="0" applyFont="1" applyFill="1" applyAlignment="1">
      <alignment horizontal="centerContinuous"/>
    </xf>
    <xf numFmtId="41" fontId="101" fillId="37" borderId="0" xfId="0" applyNumberFormat="1" applyFont="1" applyFill="1" applyAlignment="1">
      <alignment horizontal="centerContinuous"/>
    </xf>
    <xf numFmtId="37" fontId="100" fillId="38" borderId="0" xfId="0" applyNumberFormat="1" applyFont="1" applyFill="1" applyAlignment="1">
      <alignment horizontal="left" indent="1"/>
    </xf>
    <xf numFmtId="168" fontId="100" fillId="38" borderId="0" xfId="0" applyNumberFormat="1" applyFont="1" applyFill="1"/>
    <xf numFmtId="37" fontId="100" fillId="38" borderId="34" xfId="0" applyNumberFormat="1" applyFont="1" applyFill="1" applyBorder="1" applyAlignment="1">
      <alignment horizontal="left" indent="1"/>
    </xf>
    <xf numFmtId="0" fontId="100" fillId="38" borderId="34" xfId="0" applyFont="1" applyFill="1" applyBorder="1"/>
    <xf numFmtId="168" fontId="100" fillId="38" borderId="34" xfId="0" applyNumberFormat="1" applyFont="1" applyFill="1" applyBorder="1"/>
    <xf numFmtId="168" fontId="100" fillId="38" borderId="0" xfId="0" applyNumberFormat="1" applyFont="1" applyFill="1" applyAlignment="1">
      <alignment horizontal="left" indent="1"/>
    </xf>
    <xf numFmtId="168" fontId="100" fillId="38" borderId="0" xfId="0" applyNumberFormat="1" applyFont="1" applyFill="1" applyAlignment="1">
      <alignment horizontal="center"/>
    </xf>
    <xf numFmtId="0" fontId="100" fillId="38" borderId="0" xfId="0" applyFont="1" applyFill="1" applyAlignment="1">
      <alignment horizontal="center"/>
    </xf>
    <xf numFmtId="0" fontId="114" fillId="38" borderId="0" xfId="0" applyFont="1" applyFill="1" applyAlignment="1">
      <alignment horizontal="left"/>
    </xf>
    <xf numFmtId="0" fontId="100" fillId="38" borderId="34" xfId="0" applyFont="1" applyFill="1" applyBorder="1" applyAlignment="1">
      <alignment horizontal="left" indent="1"/>
    </xf>
    <xf numFmtId="168" fontId="100" fillId="38" borderId="34" xfId="0" applyNumberFormat="1" applyFont="1" applyFill="1" applyBorder="1" applyAlignment="1">
      <alignment horizontal="center"/>
    </xf>
    <xf numFmtId="170" fontId="100" fillId="38" borderId="0" xfId="0" applyNumberFormat="1" applyFont="1" applyFill="1" applyAlignment="1">
      <alignment horizontal="center"/>
    </xf>
    <xf numFmtId="38" fontId="100" fillId="38" borderId="0" xfId="0" applyNumberFormat="1" applyFont="1" applyFill="1" applyAlignment="1">
      <alignment horizontal="center" wrapText="1"/>
    </xf>
    <xf numFmtId="37" fontId="100" fillId="38" borderId="0" xfId="0" applyNumberFormat="1" applyFont="1" applyFill="1" applyAlignment="1">
      <alignment horizontal="center" wrapText="1"/>
    </xf>
    <xf numFmtId="37" fontId="118" fillId="38" borderId="0" xfId="0" applyNumberFormat="1" applyFont="1" applyFill="1"/>
    <xf numFmtId="37" fontId="103" fillId="38" borderId="0" xfId="0" applyNumberFormat="1" applyFont="1" applyFill="1"/>
    <xf numFmtId="37" fontId="103" fillId="38" borderId="0" xfId="0" quotePrefix="1" applyNumberFormat="1" applyFont="1" applyFill="1" applyAlignment="1">
      <alignment horizontal="center" vertical="center"/>
    </xf>
    <xf numFmtId="39" fontId="103" fillId="38" borderId="0" xfId="0" applyNumberFormat="1" applyFont="1" applyFill="1" applyAlignment="1">
      <alignment horizontal="center" vertical="center"/>
    </xf>
    <xf numFmtId="168" fontId="103" fillId="38" borderId="0" xfId="57" applyNumberFormat="1" applyFont="1" applyFill="1" applyAlignment="1" applyProtection="1">
      <alignment horizontal="center" vertical="center"/>
    </xf>
    <xf numFmtId="37" fontId="103" fillId="38" borderId="0" xfId="0" applyNumberFormat="1" applyFont="1" applyFill="1" applyAlignment="1">
      <alignment horizontal="center" vertical="center"/>
    </xf>
    <xf numFmtId="37" fontId="103" fillId="38" borderId="34" xfId="0" quotePrefix="1" applyNumberFormat="1" applyFont="1" applyFill="1" applyBorder="1" applyAlignment="1">
      <alignment horizontal="center" vertical="center"/>
    </xf>
    <xf numFmtId="39" fontId="103" fillId="38" borderId="34" xfId="0" applyNumberFormat="1" applyFont="1" applyFill="1" applyBorder="1" applyAlignment="1">
      <alignment horizontal="center" vertical="center"/>
    </xf>
    <xf numFmtId="168" fontId="103" fillId="38" borderId="34" xfId="57" applyNumberFormat="1" applyFont="1" applyFill="1" applyBorder="1" applyAlignment="1" applyProtection="1">
      <alignment horizontal="center" vertical="center"/>
    </xf>
    <xf numFmtId="37" fontId="103" fillId="38" borderId="0" xfId="0" applyNumberFormat="1" applyFont="1" applyFill="1" applyAlignment="1">
      <alignment horizontal="left" indent="1"/>
    </xf>
    <xf numFmtId="0" fontId="116" fillId="39" borderId="0" xfId="0" applyFont="1" applyFill="1" applyAlignment="1">
      <alignment horizontal="centerContinuous"/>
    </xf>
    <xf numFmtId="0" fontId="106" fillId="38" borderId="0" xfId="0" applyFont="1" applyFill="1"/>
    <xf numFmtId="0" fontId="106" fillId="38" borderId="0" xfId="0" applyFont="1" applyFill="1" applyAlignment="1">
      <alignment horizontal="left" indent="1"/>
    </xf>
    <xf numFmtId="37" fontId="117" fillId="40" borderId="0" xfId="132" applyNumberFormat="1" applyFont="1" applyFill="1" applyAlignment="1">
      <alignment horizontal="centerContinuous"/>
    </xf>
    <xf numFmtId="0" fontId="106" fillId="38" borderId="0" xfId="0" quotePrefix="1" applyFont="1" applyFill="1" applyAlignment="1">
      <alignment horizontal="left" indent="1"/>
    </xf>
    <xf numFmtId="38" fontId="106" fillId="38" borderId="0" xfId="0" applyNumberFormat="1" applyFont="1" applyFill="1" applyAlignment="1">
      <alignment horizontal="center" wrapText="1"/>
    </xf>
    <xf numFmtId="37" fontId="106" fillId="38" borderId="0" xfId="0" applyNumberFormat="1" applyFont="1" applyFill="1" applyAlignment="1">
      <alignment horizontal="center" wrapText="1"/>
    </xf>
    <xf numFmtId="39" fontId="106" fillId="38" borderId="0" xfId="0" applyNumberFormat="1" applyFont="1" applyFill="1"/>
    <xf numFmtId="0" fontId="98" fillId="38" borderId="0" xfId="0" quotePrefix="1" applyFont="1" applyFill="1" applyAlignment="1">
      <alignment horizontal="left" indent="1"/>
    </xf>
    <xf numFmtId="0" fontId="100" fillId="0" borderId="0" xfId="0" quotePrefix="1" applyFont="1" applyAlignment="1">
      <alignment horizontal="left" indent="1"/>
    </xf>
    <xf numFmtId="37" fontId="104" fillId="0" borderId="0" xfId="0" applyNumberFormat="1" applyFont="1"/>
    <xf numFmtId="0" fontId="100" fillId="0" borderId="0" xfId="0" quotePrefix="1" applyFont="1" applyAlignment="1">
      <alignment horizontal="left"/>
    </xf>
    <xf numFmtId="0" fontId="120" fillId="46" borderId="0" xfId="0" applyFont="1" applyFill="1" applyAlignment="1">
      <alignment horizontal="center"/>
    </xf>
    <xf numFmtId="0" fontId="120" fillId="46" borderId="0" xfId="0" applyFont="1" applyFill="1" applyAlignment="1">
      <alignment horizontal="centerContinuous"/>
    </xf>
    <xf numFmtId="0" fontId="106" fillId="46" borderId="0" xfId="0" applyFont="1" applyFill="1"/>
    <xf numFmtId="37" fontId="116" fillId="46" borderId="0" xfId="0" applyNumberFormat="1" applyFont="1" applyFill="1" applyAlignment="1">
      <alignment horizontal="centerContinuous"/>
    </xf>
    <xf numFmtId="0" fontId="120" fillId="47" borderId="0" xfId="0" applyFont="1" applyFill="1" applyAlignment="1">
      <alignment horizontal="center"/>
    </xf>
    <xf numFmtId="37" fontId="103" fillId="38" borderId="0" xfId="135" applyFont="1" applyFill="1" applyBorder="1" applyAlignment="1">
      <alignment horizontal="center" vertical="center" wrapText="1"/>
    </xf>
    <xf numFmtId="39" fontId="103" fillId="38" borderId="0" xfId="135" applyNumberFormat="1" applyFont="1" applyFill="1" applyBorder="1" applyAlignment="1">
      <alignment horizontal="center" vertical="center" wrapText="1"/>
    </xf>
    <xf numFmtId="172" fontId="103" fillId="38" borderId="0" xfId="142" applyNumberFormat="1" applyFont="1" applyFill="1" applyBorder="1" applyAlignment="1">
      <alignment horizontal="center" vertical="center" wrapText="1"/>
    </xf>
    <xf numFmtId="37" fontId="103" fillId="38" borderId="20" xfId="135" applyFont="1" applyFill="1" applyBorder="1" applyAlignment="1">
      <alignment horizontal="center" vertical="center" wrapText="1"/>
    </xf>
    <xf numFmtId="39" fontId="103" fillId="38" borderId="21" xfId="135" applyNumberFormat="1" applyFont="1" applyFill="1" applyBorder="1" applyAlignment="1">
      <alignment horizontal="center" vertical="center" wrapText="1"/>
    </xf>
    <xf numFmtId="172" fontId="103" fillId="38" borderId="21" xfId="142" applyNumberFormat="1" applyFont="1" applyFill="1" applyBorder="1" applyAlignment="1">
      <alignment horizontal="center" vertical="center" wrapText="1"/>
    </xf>
    <xf numFmtId="172" fontId="103" fillId="38" borderId="22" xfId="142" applyNumberFormat="1" applyFont="1" applyFill="1" applyBorder="1" applyAlignment="1">
      <alignment horizontal="center" vertical="center" wrapText="1"/>
    </xf>
    <xf numFmtId="37" fontId="103" fillId="38" borderId="45" xfId="135" applyFont="1" applyFill="1" applyBorder="1" applyAlignment="1">
      <alignment horizontal="center" vertical="center" wrapText="1"/>
    </xf>
    <xf numFmtId="39" fontId="103" fillId="38" borderId="45" xfId="135" applyNumberFormat="1" applyFont="1" applyFill="1" applyBorder="1" applyAlignment="1">
      <alignment horizontal="center" vertical="center" wrapText="1"/>
    </xf>
    <xf numFmtId="172" fontId="103" fillId="38" borderId="45" xfId="142" applyNumberFormat="1" applyFont="1" applyFill="1" applyBorder="1" applyAlignment="1">
      <alignment horizontal="center" vertical="center" wrapText="1"/>
    </xf>
    <xf numFmtId="177" fontId="69" fillId="0" borderId="12" xfId="142" applyNumberFormat="1" applyFont="1" applyBorder="1" applyAlignment="1">
      <alignment horizontal="center"/>
    </xf>
    <xf numFmtId="0" fontId="120" fillId="39" borderId="0" xfId="0" applyFont="1" applyFill="1" applyAlignment="1">
      <alignment horizontal="centerContinuous"/>
    </xf>
    <xf numFmtId="38" fontId="119" fillId="38" borderId="0" xfId="0" applyNumberFormat="1" applyFont="1" applyFill="1"/>
    <xf numFmtId="40" fontId="106" fillId="38" borderId="0" xfId="0" applyNumberFormat="1" applyFont="1" applyFill="1"/>
    <xf numFmtId="38" fontId="106" fillId="38" borderId="0" xfId="0" applyNumberFormat="1" applyFont="1" applyFill="1"/>
    <xf numFmtId="168" fontId="106" fillId="38" borderId="0" xfId="57" applyNumberFormat="1" applyFont="1" applyFill="1" applyAlignment="1">
      <alignment horizontal="center"/>
    </xf>
    <xf numFmtId="168" fontId="103" fillId="38" borderId="34" xfId="57" applyNumberFormat="1" applyFont="1" applyFill="1" applyBorder="1" applyAlignment="1" applyProtection="1">
      <alignment horizontal="left" vertical="center"/>
    </xf>
    <xf numFmtId="0" fontId="116" fillId="46" borderId="0" xfId="0" applyFont="1" applyFill="1" applyAlignment="1">
      <alignment horizontal="centerContinuous"/>
    </xf>
    <xf numFmtId="0" fontId="121" fillId="46" borderId="0" xfId="0" applyFont="1" applyFill="1" applyAlignment="1">
      <alignment horizontal="centerContinuous"/>
    </xf>
    <xf numFmtId="37" fontId="117" fillId="37" borderId="0" xfId="132" applyNumberFormat="1" applyFont="1" applyFill="1" applyAlignment="1">
      <alignment horizontal="centerContinuous"/>
    </xf>
    <xf numFmtId="0" fontId="119" fillId="38" borderId="0" xfId="0" applyFont="1" applyFill="1"/>
    <xf numFmtId="37" fontId="103" fillId="38" borderId="0" xfId="0" quotePrefix="1" applyNumberFormat="1" applyFont="1" applyFill="1" applyAlignment="1">
      <alignment horizontal="center"/>
    </xf>
    <xf numFmtId="39" fontId="103" fillId="38" borderId="0" xfId="0" applyNumberFormat="1" applyFont="1" applyFill="1" applyAlignment="1">
      <alignment horizontal="center"/>
    </xf>
    <xf numFmtId="168" fontId="103" fillId="38" borderId="0" xfId="57" applyNumberFormat="1" applyFont="1" applyFill="1" applyAlignment="1" applyProtection="1">
      <alignment horizontal="center"/>
    </xf>
    <xf numFmtId="168" fontId="106" fillId="38" borderId="0" xfId="0" applyNumberFormat="1" applyFont="1" applyFill="1" applyAlignment="1">
      <alignment horizontal="left" indent="1"/>
    </xf>
    <xf numFmtId="168" fontId="106" fillId="38" borderId="0" xfId="0" applyNumberFormat="1" applyFont="1" applyFill="1" applyAlignment="1">
      <alignment horizontal="center"/>
    </xf>
    <xf numFmtId="0" fontId="106" fillId="38" borderId="0" xfId="0" applyFont="1" applyFill="1" applyAlignment="1">
      <alignment horizontal="center"/>
    </xf>
    <xf numFmtId="37" fontId="103" fillId="38" borderId="0" xfId="0" applyNumberFormat="1" applyFont="1" applyFill="1" applyAlignment="1">
      <alignment horizontal="center"/>
    </xf>
    <xf numFmtId="0" fontId="119" fillId="38" borderId="0" xfId="0" applyFont="1" applyFill="1" applyAlignment="1">
      <alignment horizontal="left"/>
    </xf>
    <xf numFmtId="0" fontId="106" fillId="38" borderId="34" xfId="0" applyFont="1" applyFill="1" applyBorder="1" applyAlignment="1">
      <alignment horizontal="left" indent="1"/>
    </xf>
    <xf numFmtId="0" fontId="106" fillId="38" borderId="34" xfId="0" applyFont="1" applyFill="1" applyBorder="1"/>
    <xf numFmtId="168" fontId="106" fillId="38" borderId="34" xfId="0" applyNumberFormat="1" applyFont="1" applyFill="1" applyBorder="1" applyAlignment="1">
      <alignment horizontal="center"/>
    </xf>
    <xf numFmtId="170" fontId="106" fillId="38" borderId="0" xfId="0" applyNumberFormat="1" applyFont="1" applyFill="1" applyAlignment="1">
      <alignment horizontal="center"/>
    </xf>
    <xf numFmtId="37" fontId="103" fillId="38" borderId="34" xfId="0" quotePrefix="1" applyNumberFormat="1" applyFont="1" applyFill="1" applyBorder="1" applyAlignment="1">
      <alignment horizontal="center"/>
    </xf>
    <xf numFmtId="39" fontId="103" fillId="38" borderId="34" xfId="0" applyNumberFormat="1" applyFont="1" applyFill="1" applyBorder="1" applyAlignment="1">
      <alignment horizontal="center"/>
    </xf>
    <xf numFmtId="164" fontId="103" fillId="38" borderId="0" xfId="0" applyNumberFormat="1" applyFont="1" applyFill="1"/>
    <xf numFmtId="168" fontId="103" fillId="38" borderId="0" xfId="0" applyNumberFormat="1" applyFont="1" applyFill="1" applyAlignment="1">
      <alignment horizontal="center"/>
    </xf>
    <xf numFmtId="37" fontId="103" fillId="38" borderId="34" xfId="0" applyNumberFormat="1" applyFont="1" applyFill="1" applyBorder="1" applyAlignment="1">
      <alignment horizontal="left" indent="1"/>
    </xf>
    <xf numFmtId="168" fontId="103" fillId="38" borderId="34" xfId="0" applyNumberFormat="1" applyFont="1" applyFill="1" applyBorder="1" applyAlignment="1">
      <alignment horizontal="center"/>
    </xf>
    <xf numFmtId="38" fontId="103" fillId="38" borderId="0" xfId="0" applyNumberFormat="1" applyFont="1" applyFill="1" applyAlignment="1">
      <alignment horizontal="left" indent="1"/>
    </xf>
    <xf numFmtId="170" fontId="103" fillId="38" borderId="0" xfId="0" applyNumberFormat="1" applyFont="1" applyFill="1" applyAlignment="1">
      <alignment horizontal="center"/>
    </xf>
    <xf numFmtId="38" fontId="103" fillId="38" borderId="34" xfId="0" applyNumberFormat="1" applyFont="1" applyFill="1" applyBorder="1" applyAlignment="1">
      <alignment horizontal="left" indent="1"/>
    </xf>
    <xf numFmtId="37" fontId="103" fillId="38" borderId="34" xfId="0" applyNumberFormat="1" applyFont="1" applyFill="1" applyBorder="1"/>
    <xf numFmtId="170" fontId="103" fillId="38" borderId="34" xfId="0" applyNumberFormat="1" applyFont="1" applyFill="1" applyBorder="1" applyAlignment="1">
      <alignment horizontal="center"/>
    </xf>
    <xf numFmtId="39" fontId="0" fillId="38" borderId="0" xfId="0" applyNumberFormat="1" applyFill="1"/>
    <xf numFmtId="37" fontId="4" fillId="38" borderId="0" xfId="0" applyNumberFormat="1" applyFont="1" applyFill="1"/>
    <xf numFmtId="0" fontId="97" fillId="38" borderId="0" xfId="0" quotePrefix="1" applyFont="1" applyFill="1" applyAlignment="1">
      <alignment horizontal="left"/>
    </xf>
    <xf numFmtId="0" fontId="80" fillId="33" borderId="0" xfId="0" applyFont="1" applyFill="1" applyAlignment="1">
      <alignment horizontal="left" vertical="top" wrapText="1"/>
    </xf>
    <xf numFmtId="0" fontId="76" fillId="33" borderId="0" xfId="0" applyFont="1" applyFill="1" applyAlignment="1">
      <alignment horizontal="left" wrapText="1"/>
    </xf>
    <xf numFmtId="0" fontId="80" fillId="33" borderId="0" xfId="0" applyFont="1" applyFill="1" applyAlignment="1">
      <alignment horizontal="left" vertical="center" wrapText="1"/>
    </xf>
    <xf numFmtId="0" fontId="89" fillId="36" borderId="0" xfId="181" applyFont="1" applyFill="1" applyAlignment="1">
      <alignment horizontal="center"/>
    </xf>
    <xf numFmtId="0" fontId="3" fillId="0" borderId="0" xfId="181" applyFont="1" applyAlignment="1">
      <alignment horizontal="center"/>
    </xf>
    <xf numFmtId="0" fontId="1" fillId="0" borderId="0" xfId="181" applyAlignment="1">
      <alignment horizontal="center"/>
    </xf>
    <xf numFmtId="0" fontId="58" fillId="0" borderId="0" xfId="181" applyFont="1" applyAlignment="1">
      <alignment horizontal="center"/>
    </xf>
    <xf numFmtId="38" fontId="6" fillId="0" borderId="0" xfId="0" applyNumberFormat="1" applyFont="1" applyAlignment="1">
      <alignment horizontal="center"/>
    </xf>
  </cellXfs>
  <cellStyles count="18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[0] 2 2" xfId="30" xr:uid="{00000000-0005-0000-0000-00001D000000}"/>
    <cellStyle name="Comma [0] 3" xfId="31" xr:uid="{00000000-0005-0000-0000-00001E000000}"/>
    <cellStyle name="Comma 10" xfId="32" xr:uid="{00000000-0005-0000-0000-00001F000000}"/>
    <cellStyle name="Comma 10 2" xfId="33" xr:uid="{00000000-0005-0000-0000-000020000000}"/>
    <cellStyle name="Comma 10 3" xfId="34" xr:uid="{00000000-0005-0000-0000-000021000000}"/>
    <cellStyle name="Comma 11" xfId="35" xr:uid="{00000000-0005-0000-0000-000022000000}"/>
    <cellStyle name="Comma 12" xfId="36" xr:uid="{00000000-0005-0000-0000-000023000000}"/>
    <cellStyle name="Comma 13" xfId="37" xr:uid="{00000000-0005-0000-0000-000024000000}"/>
    <cellStyle name="Comma 14" xfId="38" xr:uid="{00000000-0005-0000-0000-000025000000}"/>
    <cellStyle name="Comma 15" xfId="39" xr:uid="{00000000-0005-0000-0000-000026000000}"/>
    <cellStyle name="Comma 16" xfId="40" xr:uid="{00000000-0005-0000-0000-000027000000}"/>
    <cellStyle name="Comma 17" xfId="41" xr:uid="{00000000-0005-0000-0000-000028000000}"/>
    <cellStyle name="Comma 18" xfId="42" xr:uid="{00000000-0005-0000-0000-000029000000}"/>
    <cellStyle name="Comma 19" xfId="43" xr:uid="{00000000-0005-0000-0000-00002A000000}"/>
    <cellStyle name="Comma 2" xfId="44" xr:uid="{00000000-0005-0000-0000-00002B000000}"/>
    <cellStyle name="Comma 2 2" xfId="45" xr:uid="{00000000-0005-0000-0000-00002C000000}"/>
    <cellStyle name="Comma 2 3" xfId="46" xr:uid="{00000000-0005-0000-0000-00002D000000}"/>
    <cellStyle name="Comma 2 4" xfId="47" xr:uid="{00000000-0005-0000-0000-00002E000000}"/>
    <cellStyle name="Comma 3" xfId="48" xr:uid="{00000000-0005-0000-0000-00002F000000}"/>
    <cellStyle name="Comma 4" xfId="49" xr:uid="{00000000-0005-0000-0000-000030000000}"/>
    <cellStyle name="Comma 5" xfId="50" xr:uid="{00000000-0005-0000-0000-000031000000}"/>
    <cellStyle name="Comma 5 2" xfId="51" xr:uid="{00000000-0005-0000-0000-000032000000}"/>
    <cellStyle name="Comma 6" xfId="52" xr:uid="{00000000-0005-0000-0000-000033000000}"/>
    <cellStyle name="Comma 7" xfId="53" xr:uid="{00000000-0005-0000-0000-000034000000}"/>
    <cellStyle name="Comma 8" xfId="54" xr:uid="{00000000-0005-0000-0000-000035000000}"/>
    <cellStyle name="Comma 9" xfId="55" xr:uid="{00000000-0005-0000-0000-000036000000}"/>
    <cellStyle name="Comma0" xfId="56" xr:uid="{00000000-0005-0000-0000-000037000000}"/>
    <cellStyle name="Currency" xfId="57" builtinId="4"/>
    <cellStyle name="Currency [0] 2" xfId="58" xr:uid="{00000000-0005-0000-0000-000039000000}"/>
    <cellStyle name="Currency [0] 2 2" xfId="59" xr:uid="{00000000-0005-0000-0000-00003A000000}"/>
    <cellStyle name="Currency [0] 3" xfId="60" xr:uid="{00000000-0005-0000-0000-00003B000000}"/>
    <cellStyle name="Currency 10" xfId="61" xr:uid="{00000000-0005-0000-0000-00003C000000}"/>
    <cellStyle name="Currency 11" xfId="62" xr:uid="{00000000-0005-0000-0000-00003D000000}"/>
    <cellStyle name="Currency 12" xfId="63" xr:uid="{00000000-0005-0000-0000-00003E000000}"/>
    <cellStyle name="Currency 13" xfId="64" xr:uid="{00000000-0005-0000-0000-00003F000000}"/>
    <cellStyle name="Currency 2" xfId="65" xr:uid="{00000000-0005-0000-0000-000040000000}"/>
    <cellStyle name="Currency 2 2" xfId="66" xr:uid="{00000000-0005-0000-0000-000041000000}"/>
    <cellStyle name="Currency 3" xfId="67" xr:uid="{00000000-0005-0000-0000-000042000000}"/>
    <cellStyle name="Currency 4" xfId="68" xr:uid="{00000000-0005-0000-0000-000043000000}"/>
    <cellStyle name="Currency 5" xfId="69" xr:uid="{00000000-0005-0000-0000-000044000000}"/>
    <cellStyle name="Currency 5 2" xfId="70" xr:uid="{00000000-0005-0000-0000-000045000000}"/>
    <cellStyle name="Currency 6" xfId="71" xr:uid="{00000000-0005-0000-0000-000046000000}"/>
    <cellStyle name="Currency 7" xfId="72" xr:uid="{00000000-0005-0000-0000-000047000000}"/>
    <cellStyle name="Currency 8" xfId="73" xr:uid="{00000000-0005-0000-0000-000048000000}"/>
    <cellStyle name="Currency 9" xfId="74" xr:uid="{00000000-0005-0000-0000-000049000000}"/>
    <cellStyle name="Currency0" xfId="75" xr:uid="{00000000-0005-0000-0000-00004A000000}"/>
    <cellStyle name="Date" xfId="76" xr:uid="{00000000-0005-0000-0000-00004B000000}"/>
    <cellStyle name="Explanatory Text 2" xfId="77" xr:uid="{00000000-0005-0000-0000-00004C000000}"/>
    <cellStyle name="Fixed" xfId="78" xr:uid="{00000000-0005-0000-0000-00004D000000}"/>
    <cellStyle name="Good 2" xfId="79" xr:uid="{00000000-0005-0000-0000-00004E000000}"/>
    <cellStyle name="Heading 1 2" xfId="80" xr:uid="{00000000-0005-0000-0000-00004F000000}"/>
    <cellStyle name="Heading 2 2" xfId="81" xr:uid="{00000000-0005-0000-0000-000050000000}"/>
    <cellStyle name="Heading 3 2" xfId="82" xr:uid="{00000000-0005-0000-0000-000051000000}"/>
    <cellStyle name="Heading 4 2" xfId="83" xr:uid="{00000000-0005-0000-0000-000052000000}"/>
    <cellStyle name="Headings" xfId="84" xr:uid="{00000000-0005-0000-0000-000053000000}"/>
    <cellStyle name="Hidden" xfId="85" xr:uid="{00000000-0005-0000-0000-000054000000}"/>
    <cellStyle name="Hidden 2" xfId="86" xr:uid="{00000000-0005-0000-0000-000055000000}"/>
    <cellStyle name="Hyperlink" xfId="87" builtinId="8"/>
    <cellStyle name="IncomeChartSubtitle" xfId="88" xr:uid="{00000000-0005-0000-0000-000057000000}"/>
    <cellStyle name="Input 2" xfId="89" xr:uid="{00000000-0005-0000-0000-000058000000}"/>
    <cellStyle name="Input 2 2" xfId="90" xr:uid="{00000000-0005-0000-0000-000059000000}"/>
    <cellStyle name="Input 3" xfId="91" xr:uid="{00000000-0005-0000-0000-00005A000000}"/>
    <cellStyle name="Input 4" xfId="92" xr:uid="{00000000-0005-0000-0000-00005B000000}"/>
    <cellStyle name="Input 5" xfId="93" xr:uid="{00000000-0005-0000-0000-00005C000000}"/>
    <cellStyle name="Linked Cell 2" xfId="94" xr:uid="{00000000-0005-0000-0000-00005D000000}"/>
    <cellStyle name="Linked Data" xfId="95" xr:uid="{00000000-0005-0000-0000-00005E000000}"/>
    <cellStyle name="Linked Data 2" xfId="96" xr:uid="{00000000-0005-0000-0000-00005F000000}"/>
    <cellStyle name="Linked Data 2 2" xfId="97" xr:uid="{00000000-0005-0000-0000-000060000000}"/>
    <cellStyle name="Linked Data 3" xfId="98" xr:uid="{00000000-0005-0000-0000-000061000000}"/>
    <cellStyle name="Linked Data 4" xfId="99" xr:uid="{00000000-0005-0000-0000-000062000000}"/>
    <cellStyle name="Model Formula Ref Another Tab" xfId="100" xr:uid="{00000000-0005-0000-0000-000063000000}"/>
    <cellStyle name="Model Formula Ref Another Tab 2" xfId="101" xr:uid="{00000000-0005-0000-0000-000064000000}"/>
    <cellStyle name="Model Formula Ref Another Tab_Reading Rate Model v10.4" xfId="102" xr:uid="{00000000-0005-0000-0000-000065000000}"/>
    <cellStyle name="Model Formula Ref Only Within Tab" xfId="103" xr:uid="{00000000-0005-0000-0000-000066000000}"/>
    <cellStyle name="Model Formula Ref Only Within Tab 2" xfId="104" xr:uid="{00000000-0005-0000-0000-000067000000}"/>
    <cellStyle name="Model Formula Ref Only Within Tab_Reading Rate Model v10.4" xfId="105" xr:uid="{00000000-0005-0000-0000-000068000000}"/>
    <cellStyle name="Model Heading" xfId="106" xr:uid="{00000000-0005-0000-0000-000069000000}"/>
    <cellStyle name="Model Input" xfId="107" xr:uid="{00000000-0005-0000-0000-00006A000000}"/>
    <cellStyle name="Model Input 2" xfId="108" xr:uid="{00000000-0005-0000-0000-00006B000000}"/>
    <cellStyle name="Model Input 3" xfId="109" xr:uid="{00000000-0005-0000-0000-00006C000000}"/>
    <cellStyle name="Model Input_Reading Rate Model v10.4" xfId="110" xr:uid="{00000000-0005-0000-0000-00006D000000}"/>
    <cellStyle name="Model List" xfId="111" xr:uid="{00000000-0005-0000-0000-00006E000000}"/>
    <cellStyle name="Model Sub Heading" xfId="112" xr:uid="{00000000-0005-0000-0000-00006F000000}"/>
    <cellStyle name="Model Sub Heading 2" xfId="113" xr:uid="{00000000-0005-0000-0000-000070000000}"/>
    <cellStyle name="Model Sub Heading 2 2" xfId="114" xr:uid="{00000000-0005-0000-0000-000071000000}"/>
    <cellStyle name="Net Number" xfId="115" xr:uid="{00000000-0005-0000-0000-000072000000}"/>
    <cellStyle name="Net Number 2" xfId="116" xr:uid="{00000000-0005-0000-0000-000073000000}"/>
    <cellStyle name="Net Number 2 2" xfId="117" xr:uid="{00000000-0005-0000-0000-000074000000}"/>
    <cellStyle name="Net Number 3" xfId="118" xr:uid="{00000000-0005-0000-0000-000075000000}"/>
    <cellStyle name="Net Number 4" xfId="119" xr:uid="{00000000-0005-0000-0000-000076000000}"/>
    <cellStyle name="Neutral 2" xfId="120" xr:uid="{00000000-0005-0000-0000-000077000000}"/>
    <cellStyle name="Normal" xfId="0" builtinId="0"/>
    <cellStyle name="Normal 10" xfId="121" xr:uid="{00000000-0005-0000-0000-000079000000}"/>
    <cellStyle name="Normal 10 9 2" xfId="122" xr:uid="{00000000-0005-0000-0000-00007A000000}"/>
    <cellStyle name="Normal 11" xfId="123" xr:uid="{00000000-0005-0000-0000-00007B000000}"/>
    <cellStyle name="Normal 12" xfId="124" xr:uid="{00000000-0005-0000-0000-00007C000000}"/>
    <cellStyle name="Normal 132" xfId="125" xr:uid="{00000000-0005-0000-0000-00007D000000}"/>
    <cellStyle name="Normal 2" xfId="126" xr:uid="{00000000-0005-0000-0000-00007E000000}"/>
    <cellStyle name="Normal 2 2" xfId="127" xr:uid="{00000000-0005-0000-0000-00007F000000}"/>
    <cellStyle name="Normal 3" xfId="128" xr:uid="{00000000-0005-0000-0000-000080000000}"/>
    <cellStyle name="Normal 335" xfId="129" xr:uid="{00000000-0005-0000-0000-000081000000}"/>
    <cellStyle name="Normal 336" xfId="130" xr:uid="{00000000-0005-0000-0000-000082000000}"/>
    <cellStyle name="Normal 371" xfId="131" xr:uid="{00000000-0005-0000-0000-000083000000}"/>
    <cellStyle name="Normal 371 2" xfId="132" xr:uid="{00000000-0005-0000-0000-000084000000}"/>
    <cellStyle name="Normal 4" xfId="133" xr:uid="{00000000-0005-0000-0000-000085000000}"/>
    <cellStyle name="Normal 5" xfId="134" xr:uid="{00000000-0005-0000-0000-000086000000}"/>
    <cellStyle name="Normal 6" xfId="135" xr:uid="{00000000-0005-0000-0000-000087000000}"/>
    <cellStyle name="Normal 7" xfId="136" xr:uid="{00000000-0005-0000-0000-000088000000}"/>
    <cellStyle name="Normal 7 3" xfId="137" xr:uid="{00000000-0005-0000-0000-000089000000}"/>
    <cellStyle name="Normal 8" xfId="138" xr:uid="{00000000-0005-0000-0000-00008A000000}"/>
    <cellStyle name="Normal 9" xfId="139" xr:uid="{00000000-0005-0000-0000-00008B000000}"/>
    <cellStyle name="Note 2" xfId="140" xr:uid="{00000000-0005-0000-0000-00008C000000}"/>
    <cellStyle name="Output 2" xfId="141" xr:uid="{00000000-0005-0000-0000-00008D000000}"/>
    <cellStyle name="Percent" xfId="142" builtinId="5"/>
    <cellStyle name="Percent 10" xfId="143" xr:uid="{00000000-0005-0000-0000-00008F000000}"/>
    <cellStyle name="Percent 2" xfId="144" xr:uid="{00000000-0005-0000-0000-000090000000}"/>
    <cellStyle name="Percent 2 2" xfId="145" xr:uid="{00000000-0005-0000-0000-000091000000}"/>
    <cellStyle name="Percent 2 3" xfId="146" xr:uid="{00000000-0005-0000-0000-000092000000}"/>
    <cellStyle name="Percent 2 4" xfId="147" xr:uid="{00000000-0005-0000-0000-000093000000}"/>
    <cellStyle name="Percent 2 5" xfId="148" xr:uid="{00000000-0005-0000-0000-000094000000}"/>
    <cellStyle name="Percent 3" xfId="149" xr:uid="{00000000-0005-0000-0000-000095000000}"/>
    <cellStyle name="Percent 3 2" xfId="150" xr:uid="{00000000-0005-0000-0000-000096000000}"/>
    <cellStyle name="Percent 4" xfId="151" xr:uid="{00000000-0005-0000-0000-000097000000}"/>
    <cellStyle name="Percent 4 2" xfId="152" xr:uid="{00000000-0005-0000-0000-000098000000}"/>
    <cellStyle name="Percent 4 3" xfId="153" xr:uid="{00000000-0005-0000-0000-000099000000}"/>
    <cellStyle name="Percent 4 4" xfId="154" xr:uid="{00000000-0005-0000-0000-00009A000000}"/>
    <cellStyle name="Percent 5" xfId="155" xr:uid="{00000000-0005-0000-0000-00009B000000}"/>
    <cellStyle name="Percent 5 2" xfId="156" xr:uid="{00000000-0005-0000-0000-00009C000000}"/>
    <cellStyle name="Percent 5 3" xfId="157" xr:uid="{00000000-0005-0000-0000-00009D000000}"/>
    <cellStyle name="Percent 6" xfId="158" xr:uid="{00000000-0005-0000-0000-00009E000000}"/>
    <cellStyle name="Percent 6 2" xfId="159" xr:uid="{00000000-0005-0000-0000-00009F000000}"/>
    <cellStyle name="Percent 7" xfId="160" xr:uid="{00000000-0005-0000-0000-0000A0000000}"/>
    <cellStyle name="Percent 8" xfId="161" xr:uid="{00000000-0005-0000-0000-0000A1000000}"/>
    <cellStyle name="Percent 9" xfId="162" xr:uid="{00000000-0005-0000-0000-0000A2000000}"/>
    <cellStyle name="PSChar" xfId="163" xr:uid="{00000000-0005-0000-0000-0000A3000000}"/>
    <cellStyle name="Range Header" xfId="164" xr:uid="{00000000-0005-0000-0000-0000A4000000}"/>
    <cellStyle name="Range Header 2" xfId="165" xr:uid="{00000000-0005-0000-0000-0000A5000000}"/>
    <cellStyle name="Range Header 3" xfId="166" xr:uid="{00000000-0005-0000-0000-0000A6000000}"/>
    <cellStyle name="Range Header 4" xfId="167" xr:uid="{00000000-0005-0000-0000-0000A7000000}"/>
    <cellStyle name="Range Header_DaytonWorkingCopy33" xfId="168" xr:uid="{00000000-0005-0000-0000-0000A8000000}"/>
    <cellStyle name="Reference" xfId="169" xr:uid="{00000000-0005-0000-0000-0000A9000000}"/>
    <cellStyle name="Reference 2" xfId="170" xr:uid="{00000000-0005-0000-0000-0000AA000000}"/>
    <cellStyle name="REVISED" xfId="171" xr:uid="{00000000-0005-0000-0000-0000AB000000}"/>
    <cellStyle name="REVISED 2" xfId="172" xr:uid="{00000000-0005-0000-0000-0000AC000000}"/>
    <cellStyle name="REVISED 3" xfId="173" xr:uid="{00000000-0005-0000-0000-0000AD000000}"/>
    <cellStyle name="STYL1 - Style1" xfId="174" xr:uid="{00000000-0005-0000-0000-0000AE000000}"/>
    <cellStyle name="STYL2 - Style2" xfId="175" xr:uid="{00000000-0005-0000-0000-0000AF000000}"/>
    <cellStyle name="STYL3 - Style3" xfId="176" xr:uid="{00000000-0005-0000-0000-0000B0000000}"/>
    <cellStyle name="STYL4 - Style4" xfId="177" xr:uid="{00000000-0005-0000-0000-0000B1000000}"/>
    <cellStyle name="STYL5 - Style5" xfId="178" xr:uid="{00000000-0005-0000-0000-0000B2000000}"/>
    <cellStyle name="Title 2" xfId="179" xr:uid="{00000000-0005-0000-0000-0000B3000000}"/>
    <cellStyle name="Title 3" xfId="180" xr:uid="{00000000-0005-0000-0000-0000B4000000}"/>
    <cellStyle name="Titles" xfId="181" xr:uid="{00000000-0005-0000-0000-0000B5000000}"/>
    <cellStyle name="Total 2" xfId="182" xr:uid="{00000000-0005-0000-0000-0000B6000000}"/>
    <cellStyle name="Unprotected" xfId="183" xr:uid="{00000000-0005-0000-0000-0000B7000000}"/>
    <cellStyle name="Version" xfId="184" xr:uid="{00000000-0005-0000-0000-0000B8000000}"/>
    <cellStyle name="Warning Text 2" xfId="185" xr:uid="{00000000-0005-0000-0000-0000B9000000}"/>
  </cellStyles>
  <dxfs count="2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2B5C"/>
      <color rgb="FF005596"/>
      <color rgb="FF1172A0"/>
      <color rgb="FF179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ackandveatch-my.sharepoint.com/Users/kes94483/AppData/Local/Microsoft/Windows/INetCache/Content.Outlook/QJNVLDFU/PWD%20Misc%20Fee%20Model%202020.12.28-Ve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H Rate"/>
      <sheetName val="Salary Information"/>
      <sheetName val="Personnel Rates"/>
      <sheetName val="Equipment Rates"/>
      <sheetName val="Material Costs"/>
      <sheetName val="Labor Cost Calc"/>
      <sheetName val="Equipment Cost Calc "/>
      <sheetName val="Material Cost Calc"/>
      <sheetName val="Fee Calc"/>
      <sheetName val="CB_DATA_"/>
      <sheetName val="Existing Fees "/>
      <sheetName val="Proposed Fees"/>
      <sheetName val="Proposed FY 22-23 Fees"/>
      <sheetName val="Proposed FY 22-23 Overtime Fees"/>
      <sheetName val="Hydrant Permit Usage Cost"/>
      <sheetName val="Proposed Fees Comp Benchmarking"/>
      <sheetName val="Benchmarking"/>
      <sheetName val="Activity Volum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BV New 2025 Format">
      <a:dk1>
        <a:sysClr val="windowText" lastClr="000000"/>
      </a:dk1>
      <a:lt1>
        <a:sysClr val="window" lastClr="FFFFFF"/>
      </a:lt1>
      <a:dk2>
        <a:srgbClr val="005596"/>
      </a:dk2>
      <a:lt2>
        <a:srgbClr val="E4E3E1"/>
      </a:lt2>
      <a:accent1>
        <a:srgbClr val="D99B2C"/>
      </a:accent1>
      <a:accent2>
        <a:srgbClr val="00A4E4"/>
      </a:accent2>
      <a:accent3>
        <a:srgbClr val="789C49"/>
      </a:accent3>
      <a:accent4>
        <a:srgbClr val="EB6C1E"/>
      </a:accent4>
      <a:accent5>
        <a:srgbClr val="615D9C"/>
      </a:accent5>
      <a:accent6>
        <a:srgbClr val="C33338"/>
      </a:accent6>
      <a:hlink>
        <a:srgbClr val="0563C1"/>
      </a:hlink>
      <a:folHlink>
        <a:srgbClr val="954F72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G17"/>
  <sheetViews>
    <sheetView tabSelected="1" workbookViewId="0"/>
  </sheetViews>
  <sheetFormatPr defaultRowHeight="14"/>
  <cols>
    <col min="2" max="2" width="15.54296875" customWidth="1"/>
    <col min="3" max="3" width="20.54296875" customWidth="1"/>
  </cols>
  <sheetData>
    <row r="1" spans="1:7" ht="14.5" thickBot="1">
      <c r="A1" s="239" t="s">
        <v>1</v>
      </c>
    </row>
    <row r="2" spans="1:7" ht="14.5">
      <c r="B2" s="242" t="s">
        <v>0</v>
      </c>
      <c r="C2" s="243"/>
      <c r="D2" s="243"/>
      <c r="E2" s="243"/>
      <c r="F2" s="243"/>
      <c r="G2" s="243"/>
    </row>
    <row r="4" spans="1:7" ht="14.5">
      <c r="B4" s="82" t="s">
        <v>2</v>
      </c>
      <c r="E4" s="209" t="str">
        <f>Inputs!C4</f>
        <v>FY 2025</v>
      </c>
      <c r="F4" s="209" t="str">
        <f>Inputs!D4</f>
        <v>FY 2026</v>
      </c>
      <c r="G4" s="209" t="str">
        <f>Inputs!E4</f>
        <v>FY 2027</v>
      </c>
    </row>
    <row r="5" spans="1:7" ht="14.5">
      <c r="B5" s="207"/>
      <c r="C5" s="208" t="s">
        <v>3</v>
      </c>
      <c r="E5" s="210">
        <f>'2025 Bill Detail'!L5</f>
        <v>28.98</v>
      </c>
      <c r="F5" s="210">
        <f>'2026 Bill Detail'!L5</f>
        <v>32.82</v>
      </c>
      <c r="G5" s="79">
        <f>'2027 Bill Detail'!L5</f>
        <v>33.82</v>
      </c>
    </row>
    <row r="6" spans="1:7" ht="14.5">
      <c r="B6" s="207"/>
      <c r="C6" s="208" t="s">
        <v>4</v>
      </c>
      <c r="E6" s="210">
        <f>'2025 Bill Detail'!L8</f>
        <v>19.57</v>
      </c>
      <c r="F6" s="210">
        <f>'2026 Bill Detail'!L8</f>
        <v>22.82</v>
      </c>
      <c r="G6" s="79">
        <f>'2027 Bill Detail'!L8</f>
        <v>24.22</v>
      </c>
    </row>
    <row r="7" spans="1:7" ht="14.5">
      <c r="B7" s="211"/>
      <c r="C7" s="212" t="s">
        <v>5</v>
      </c>
      <c r="D7" s="211"/>
      <c r="E7" s="214">
        <f>SUM(E5:E6)</f>
        <v>48.55</v>
      </c>
      <c r="F7" s="214">
        <f>SUM(F5:F6)</f>
        <v>55.64</v>
      </c>
      <c r="G7" s="214">
        <f>SUM(G5:G6)</f>
        <v>58.04</v>
      </c>
    </row>
    <row r="8" spans="1:7" ht="14.5">
      <c r="B8" s="84"/>
      <c r="C8" s="213"/>
      <c r="D8" s="84"/>
      <c r="E8" s="215"/>
      <c r="F8" s="215"/>
      <c r="G8" s="215"/>
    </row>
    <row r="9" spans="1:7" ht="14.5">
      <c r="B9" s="82" t="s">
        <v>6</v>
      </c>
      <c r="E9" s="210">
        <f>'2025 Bill Detail'!L14</f>
        <v>20.41</v>
      </c>
      <c r="F9" s="210">
        <f>'2026 Bill Detail'!L14</f>
        <v>21.374241100541834</v>
      </c>
      <c r="G9" s="79">
        <f>'2027 Bill Detail'!L14</f>
        <v>23.49</v>
      </c>
    </row>
    <row r="10" spans="1:7" ht="14.5">
      <c r="B10" s="84"/>
      <c r="C10" s="213"/>
      <c r="D10" s="84"/>
      <c r="E10" s="215"/>
      <c r="F10" s="215"/>
      <c r="G10" s="215"/>
    </row>
    <row r="11" spans="1:7" ht="14.5">
      <c r="B11" s="82" t="s">
        <v>7</v>
      </c>
      <c r="E11" s="210"/>
      <c r="F11" s="210"/>
      <c r="G11" s="210"/>
    </row>
    <row r="12" spans="1:7" ht="14.5">
      <c r="C12" s="208" t="s">
        <v>8</v>
      </c>
      <c r="E12" s="210">
        <f>'2025 Bill Detail'!L11</f>
        <v>12.809999999999999</v>
      </c>
      <c r="F12" s="210">
        <f>'2026 Bill Detail'!L11</f>
        <v>14.3</v>
      </c>
      <c r="G12" s="79">
        <f>'2027 Bill Detail'!L11</f>
        <v>15.149999999999999</v>
      </c>
    </row>
    <row r="13" spans="1:7" ht="14.5" thickBot="1">
      <c r="B13" s="216"/>
      <c r="C13" s="216"/>
      <c r="D13" s="216"/>
      <c r="E13" s="216"/>
      <c r="F13" s="216"/>
      <c r="G13" s="216"/>
    </row>
    <row r="14" spans="1:7" ht="14.5">
      <c r="B14" s="82" t="s">
        <v>9</v>
      </c>
      <c r="E14" s="215">
        <f>E7+E12+E9</f>
        <v>81.77</v>
      </c>
      <c r="F14" s="215">
        <f>F7+F12+F9</f>
        <v>91.314241100541835</v>
      </c>
      <c r="G14" s="215">
        <f>G7+G12+G9</f>
        <v>96.679999999999993</v>
      </c>
    </row>
    <row r="16" spans="1:7" ht="14.5">
      <c r="B16" s="217" t="s">
        <v>10</v>
      </c>
    </row>
    <row r="17" spans="2:2" ht="14.5">
      <c r="B17" s="217" t="s">
        <v>11</v>
      </c>
    </row>
  </sheetData>
  <hyperlinks>
    <hyperlink ref="A1" location="TOC!A1" display="TOC!A1" xr:uid="{00000000-0004-0000-0100-000000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U74"/>
  <sheetViews>
    <sheetView zoomScaleNormal="100" zoomScaleSheetLayoutView="100" workbookViewId="0"/>
  </sheetViews>
  <sheetFormatPr defaultRowHeight="14"/>
  <cols>
    <col min="2" max="10" width="15.7265625" customWidth="1"/>
    <col min="11" max="11" width="17.1796875" customWidth="1"/>
  </cols>
  <sheetData>
    <row r="1" spans="1:18" ht="14.5" thickBot="1">
      <c r="A1" s="239" t="s">
        <v>1</v>
      </c>
    </row>
    <row r="2" spans="1:18" ht="15.5">
      <c r="B2" s="231" t="s">
        <v>240</v>
      </c>
      <c r="C2" s="231"/>
      <c r="D2" s="231"/>
      <c r="E2" s="231"/>
      <c r="F2" s="231"/>
      <c r="G2" s="231"/>
      <c r="H2" s="231"/>
      <c r="I2" s="231"/>
      <c r="J2" s="231"/>
      <c r="K2" s="238"/>
    </row>
    <row r="3" spans="1:18" ht="15.5" hidden="1">
      <c r="B3" s="231"/>
      <c r="C3" s="231"/>
      <c r="D3" s="231"/>
      <c r="E3" s="231"/>
      <c r="F3" s="231"/>
      <c r="G3" s="231"/>
      <c r="H3" s="231"/>
      <c r="I3" s="231"/>
      <c r="J3" s="231"/>
      <c r="K3" s="238"/>
    </row>
    <row r="4" spans="1:18" ht="15.5">
      <c r="B4" s="231" t="s">
        <v>241</v>
      </c>
      <c r="C4" s="231"/>
      <c r="D4" s="231"/>
      <c r="E4" s="231"/>
      <c r="F4" s="231"/>
      <c r="G4" s="231"/>
      <c r="H4" s="231"/>
      <c r="I4" s="231"/>
      <c r="J4" s="231"/>
      <c r="K4" s="238"/>
    </row>
    <row r="5" spans="1:18" ht="15.5">
      <c r="B5" s="231" t="s">
        <v>242</v>
      </c>
      <c r="C5" s="231"/>
      <c r="D5" s="231"/>
      <c r="E5" s="231"/>
      <c r="F5" s="231"/>
      <c r="G5" s="231"/>
      <c r="H5" s="231"/>
      <c r="I5" s="231"/>
      <c r="J5" s="231"/>
      <c r="K5" s="238"/>
    </row>
    <row r="6" spans="1:18" ht="15.5">
      <c r="B6" s="231" t="s">
        <v>221</v>
      </c>
      <c r="C6" s="231"/>
      <c r="D6" s="231"/>
      <c r="E6" s="231"/>
      <c r="F6" s="231"/>
      <c r="G6" s="231"/>
      <c r="H6" s="231"/>
      <c r="I6" s="231"/>
      <c r="J6" s="231"/>
      <c r="K6" s="238"/>
    </row>
    <row r="7" spans="1:18">
      <c r="B7" s="23"/>
      <c r="C7" s="23"/>
      <c r="D7" s="23"/>
      <c r="E7" s="23"/>
      <c r="F7" s="23"/>
      <c r="G7" s="24"/>
      <c r="H7" s="23"/>
      <c r="I7" s="23"/>
      <c r="J7" s="23"/>
      <c r="K7" s="238"/>
    </row>
    <row r="8" spans="1:18" ht="14.5">
      <c r="B8" s="232">
        <v>-1</v>
      </c>
      <c r="C8" s="232">
        <v>-2</v>
      </c>
      <c r="D8" s="232">
        <v>-3</v>
      </c>
      <c r="E8" s="232">
        <v>-4</v>
      </c>
      <c r="F8" s="232">
        <v>-5</v>
      </c>
      <c r="G8" s="232">
        <v>-6</v>
      </c>
      <c r="H8" s="232">
        <v>-7</v>
      </c>
      <c r="I8" s="232">
        <v>-8</v>
      </c>
      <c r="J8" s="232">
        <v>-9</v>
      </c>
      <c r="K8" s="238"/>
    </row>
    <row r="9" spans="1:18" ht="16">
      <c r="B9" s="232"/>
      <c r="C9" s="232"/>
      <c r="D9" s="232"/>
      <c r="E9" s="232"/>
      <c r="F9" s="234" t="str">
        <f>Inputs!$C$4</f>
        <v>FY 2025</v>
      </c>
      <c r="G9" s="234" t="str">
        <f>Inputs!$D$4</f>
        <v>FY 2026</v>
      </c>
      <c r="H9" s="234"/>
      <c r="I9" s="234" t="str">
        <f>Inputs!$E$4</f>
        <v>FY 2027</v>
      </c>
      <c r="J9" s="234"/>
      <c r="K9" s="238"/>
    </row>
    <row r="10" spans="1:18" ht="16">
      <c r="B10" s="232"/>
      <c r="C10" s="232"/>
      <c r="D10" s="232"/>
      <c r="E10" s="232"/>
      <c r="F10" s="233"/>
      <c r="G10" s="234"/>
      <c r="H10" s="234"/>
      <c r="I10" s="234"/>
      <c r="J10" s="234"/>
      <c r="K10" s="238"/>
    </row>
    <row r="11" spans="1:18" ht="14.5">
      <c r="B11" s="235" t="s">
        <v>222</v>
      </c>
      <c r="C11" s="235" t="s">
        <v>122</v>
      </c>
      <c r="D11" s="235" t="s">
        <v>243</v>
      </c>
      <c r="E11" s="235" t="s">
        <v>244</v>
      </c>
      <c r="F11" s="235" t="s">
        <v>175</v>
      </c>
      <c r="G11" s="232" t="s">
        <v>176</v>
      </c>
      <c r="H11" s="235" t="s">
        <v>223</v>
      </c>
      <c r="I11" s="232" t="s">
        <v>176</v>
      </c>
      <c r="J11" s="235" t="s">
        <v>223</v>
      </c>
      <c r="K11" s="238"/>
    </row>
    <row r="12" spans="1:18" ht="16">
      <c r="B12" s="236" t="s">
        <v>225</v>
      </c>
      <c r="C12" s="236" t="s">
        <v>226</v>
      </c>
      <c r="D12" s="236" t="s">
        <v>245</v>
      </c>
      <c r="E12" s="236" t="s">
        <v>245</v>
      </c>
      <c r="F12" s="236" t="s">
        <v>227</v>
      </c>
      <c r="G12" s="236" t="s">
        <v>227</v>
      </c>
      <c r="H12" s="236" t="s">
        <v>228</v>
      </c>
      <c r="I12" s="236" t="s">
        <v>227</v>
      </c>
      <c r="J12" s="236" t="str">
        <f>"of "&amp;TEXT($G$9,"0")&amp;""</f>
        <v>of FY 2026</v>
      </c>
      <c r="K12" s="238"/>
    </row>
    <row r="13" spans="1:18" ht="14.5">
      <c r="B13" s="232" t="s">
        <v>125</v>
      </c>
      <c r="C13" s="232" t="s">
        <v>233</v>
      </c>
      <c r="D13" s="232" t="s">
        <v>246</v>
      </c>
      <c r="E13" s="232" t="s">
        <v>246</v>
      </c>
      <c r="F13" s="232" t="s">
        <v>126</v>
      </c>
      <c r="G13" s="232" t="s">
        <v>126</v>
      </c>
      <c r="H13" s="232" t="s">
        <v>234</v>
      </c>
      <c r="I13" s="232" t="s">
        <v>126</v>
      </c>
      <c r="J13" s="232" t="s">
        <v>234</v>
      </c>
      <c r="K13" s="238"/>
    </row>
    <row r="14" spans="1:18" ht="4.4000000000000004" customHeight="1" thickBot="1">
      <c r="B14" s="9"/>
      <c r="C14" s="3"/>
      <c r="D14" s="3"/>
      <c r="E14" s="3"/>
      <c r="F14" s="27"/>
      <c r="G14" s="27"/>
      <c r="H14" s="3"/>
      <c r="I14" s="3"/>
      <c r="J14" s="3"/>
      <c r="K14" s="238"/>
    </row>
    <row r="15" spans="1:18" ht="15" thickTop="1" thickBot="1">
      <c r="B15" s="219" t="str">
        <f>+'Typical Bills WATER'!B14</f>
        <v>5/8</v>
      </c>
      <c r="C15" s="221">
        <f>+'Typical Bills WATER'!C14</f>
        <v>0</v>
      </c>
      <c r="D15" s="222">
        <f>+'Typical Non-Res Bills SW'!D14</f>
        <v>1794</v>
      </c>
      <c r="E15" s="222">
        <f>+'Typical Non-Res Bills SW'!E14</f>
        <v>2110</v>
      </c>
      <c r="F15" s="223">
        <f>+'Typical Bills WATER'!D14+'Typical Bills SANITARY'!D14+'Typical Non-Res Bills SW'!F14</f>
        <v>44.876000000000005</v>
      </c>
      <c r="G15" s="223">
        <f>+'Typical Bills WATER'!E14+'Typical Bills SANITARY'!E14+'Typical Non-Res Bills SW'!G14</f>
        <v>47.687078608852374</v>
      </c>
      <c r="H15" s="221">
        <f t="shared" ref="H15:H27" si="0">(+G15/F15-1)*100</f>
        <v>6.264102435271357</v>
      </c>
      <c r="I15" s="223">
        <f>+'Typical Bills WATER'!G14+'Typical Bills SANITARY'!G14+'Typical Non-Res Bills SW'!I14</f>
        <v>51.848999999999997</v>
      </c>
      <c r="J15" s="221">
        <f>(+I15/G15-1)*100</f>
        <v>8.7275662769893856</v>
      </c>
      <c r="K15" s="238"/>
      <c r="R15" s="260"/>
    </row>
    <row r="16" spans="1:18" ht="15" thickTop="1" thickBot="1">
      <c r="B16" s="219" t="str">
        <f>+'Typical Bills WATER'!B15</f>
        <v>5/8</v>
      </c>
      <c r="C16" s="221">
        <f>+'Typical Bills WATER'!C15</f>
        <v>0.2</v>
      </c>
      <c r="D16" s="222">
        <f>+'Typical Non-Res Bills SW'!D14</f>
        <v>1794</v>
      </c>
      <c r="E16" s="222">
        <f>+'Typical Non-Res Bills SW'!E14</f>
        <v>2110</v>
      </c>
      <c r="F16" s="223">
        <f>+'Typical Bills WATER'!D15+'Typical Bills SANITARY'!D15+'Typical Non-Res Bills SW'!F15</f>
        <v>67.456000000000003</v>
      </c>
      <c r="G16" s="223">
        <f>+'Typical Bills WATER'!E15+'Typical Bills SANITARY'!E15+'Typical Non-Res Bills SW'!G15</f>
        <v>73.557078608852379</v>
      </c>
      <c r="H16" s="221">
        <f>(+G16/F16-1)*100</f>
        <v>9.0445306701440575</v>
      </c>
      <c r="I16" s="223">
        <f>+'Typical Bills WATER'!G15+'Typical Bills SANITARY'!G15+'Typical Non-Res Bills SW'!I15</f>
        <v>78.84899999999999</v>
      </c>
      <c r="J16" s="221">
        <f t="shared" ref="J16:J57" si="1">(+I16/G16-1)*100</f>
        <v>7.1943060970215633</v>
      </c>
      <c r="K16" s="238"/>
    </row>
    <row r="17" spans="2:21" ht="15" thickTop="1" thickBot="1">
      <c r="B17" s="219" t="str">
        <f>+'Typical Bills WATER'!B16</f>
        <v>5/8</v>
      </c>
      <c r="C17" s="221">
        <f>+'Typical Bills WATER'!C16</f>
        <v>0.3</v>
      </c>
      <c r="D17" s="222">
        <f>+'Typical Non-Res Bills SW'!D16</f>
        <v>1794</v>
      </c>
      <c r="E17" s="222">
        <f>+'Typical Non-Res Bills SW'!E16</f>
        <v>2110</v>
      </c>
      <c r="F17" s="223">
        <f>+'Typical Bills WATER'!D16+'Typical Bills SANITARY'!D16+'Typical Non-Res Bills SW'!F16</f>
        <v>78.746000000000009</v>
      </c>
      <c r="G17" s="223">
        <f>+'Typical Bills WATER'!E16+'Typical Bills SANITARY'!E16+'Typical Non-Res Bills SW'!G16</f>
        <v>86.507078608852368</v>
      </c>
      <c r="H17" s="221">
        <f t="shared" si="0"/>
        <v>9.8558385300235649</v>
      </c>
      <c r="I17" s="223">
        <f>+'Typical Bills WATER'!G16+'Typical Bills SANITARY'!G16+'Typical Non-Res Bills SW'!I16</f>
        <v>92.34899999999999</v>
      </c>
      <c r="J17" s="221">
        <f t="shared" si="1"/>
        <v>6.753113716349457</v>
      </c>
      <c r="K17" s="238"/>
    </row>
    <row r="18" spans="2:21" ht="15" thickTop="1" thickBot="1">
      <c r="B18" s="219" t="str">
        <f>+'Typical Bills WATER'!B17</f>
        <v>5/8</v>
      </c>
      <c r="C18" s="221">
        <f>+'Typical Bills WATER'!C17</f>
        <v>0.4</v>
      </c>
      <c r="D18" s="222">
        <f>+'Typical Non-Res Bills SW'!D17</f>
        <v>1794</v>
      </c>
      <c r="E18" s="222">
        <f>+'Typical Non-Res Bills SW'!E17</f>
        <v>2110</v>
      </c>
      <c r="F18" s="223">
        <f>+'Typical Bills WATER'!D17+'Typical Bills SANITARY'!D17+'Typical Non-Res Bills SW'!F17</f>
        <v>90.036000000000001</v>
      </c>
      <c r="G18" s="223">
        <f>+'Typical Bills WATER'!E17+'Typical Bills SANITARY'!E17+'Typical Non-Res Bills SW'!G17</f>
        <v>99.437078608852374</v>
      </c>
      <c r="H18" s="221">
        <f>(+G18/F18-1)*100</f>
        <v>10.441466312199976</v>
      </c>
      <c r="I18" s="223">
        <f>+'Typical Bills WATER'!G17+'Typical Bills SANITARY'!G17+'Typical Non-Res Bills SW'!I17</f>
        <v>105.839</v>
      </c>
      <c r="J18" s="221">
        <f t="shared" si="1"/>
        <v>6.438163188935131</v>
      </c>
      <c r="K18" s="238"/>
    </row>
    <row r="19" spans="2:21" ht="15" thickTop="1" thickBot="1">
      <c r="B19" s="247" t="str">
        <f>+'Typical Bills WATER'!B19</f>
        <v>5/8</v>
      </c>
      <c r="C19" s="250">
        <f>+'Typical Bills WATER'!C19</f>
        <v>0.5</v>
      </c>
      <c r="D19" s="251">
        <f>+'Typical Non-Res Bills SW'!D19</f>
        <v>4000</v>
      </c>
      <c r="E19" s="251">
        <f>+'Typical Non-Res Bills SW'!E19</f>
        <v>5500</v>
      </c>
      <c r="F19" s="252">
        <f>+'Typical Bills WATER'!D19+'Typical Bills SANITARY'!D19+'Typical Non-Res Bills SW'!F19</f>
        <v>131.74400000000003</v>
      </c>
      <c r="G19" s="252">
        <f>+'Typical Bills WATER'!E19+'Typical Bills SANITARY'!E19+'Typical Non-Res Bills SW'!G19</f>
        <v>144.01866558474467</v>
      </c>
      <c r="H19" s="250">
        <f t="shared" si="0"/>
        <v>9.3170585261906691</v>
      </c>
      <c r="I19" s="252">
        <f>+'Typical Bills WATER'!G19+'Typical Bills SANITARY'!G19+'Typical Non-Res Bills SW'!I19</f>
        <v>154.179</v>
      </c>
      <c r="J19" s="250">
        <f t="shared" si="1"/>
        <v>7.0548733207618231</v>
      </c>
      <c r="K19" s="238"/>
    </row>
    <row r="20" spans="2:21" ht="15" thickTop="1" thickBot="1">
      <c r="B20" s="249" t="str">
        <f>+'Typical Bills WATER'!B20</f>
        <v>5/8</v>
      </c>
      <c r="C20" s="258">
        <f>+'Typical Bills WATER'!C20</f>
        <v>0.55000000000000004</v>
      </c>
      <c r="D20" s="257">
        <f>+'Typical Non-Res Bills SW'!D20</f>
        <v>4000</v>
      </c>
      <c r="E20" s="257">
        <f>+'Typical Non-Res Bills SW'!E20</f>
        <v>5500</v>
      </c>
      <c r="F20" s="258">
        <f>+'Typical Bills WATER'!D20+'Typical Bills SANITARY'!D20+'Typical Non-Res Bills SW'!F20</f>
        <v>137.38400000000001</v>
      </c>
      <c r="G20" s="258">
        <f>+'Typical Bills WATER'!E20+'Typical Bills SANITARY'!E20+'Typical Non-Res Bills SW'!G20</f>
        <v>150.48866558474464</v>
      </c>
      <c r="H20" s="256">
        <f t="shared" ref="H20" si="2">(+G20/F20-1)*100</f>
        <v>9.538713085035111</v>
      </c>
      <c r="I20" s="258">
        <f>+'Typical Bills WATER'!G20+'Typical Bills SANITARY'!G20+'Typical Non-Res Bills SW'!I20</f>
        <v>160.91899999999998</v>
      </c>
      <c r="J20" s="259">
        <f t="shared" ref="J20" si="3">(+I20/G20-1)*100</f>
        <v>6.9309767448112014</v>
      </c>
      <c r="K20" s="411" t="s">
        <v>247</v>
      </c>
      <c r="M20" s="21"/>
      <c r="U20" s="320"/>
    </row>
    <row r="21" spans="2:21" ht="15" thickTop="1" thickBot="1">
      <c r="B21" s="248" t="str">
        <f>+'Typical Bills WATER'!B21</f>
        <v>5/8</v>
      </c>
      <c r="C21" s="253">
        <f>+'Typical Bills WATER'!C21</f>
        <v>0.6</v>
      </c>
      <c r="D21" s="254">
        <f>+'Typical Non-Res Bills SW'!D21</f>
        <v>4000</v>
      </c>
      <c r="E21" s="254">
        <f>+'Typical Non-Res Bills SW'!E21</f>
        <v>5500</v>
      </c>
      <c r="F21" s="255">
        <f>+'Typical Bills WATER'!D21+'Typical Bills SANITARY'!D21+'Typical Non-Res Bills SW'!F21</f>
        <v>143.03399999999999</v>
      </c>
      <c r="G21" s="255">
        <f>+'Typical Bills WATER'!E21+'Typical Bills SANITARY'!E21+'Typical Non-Res Bills SW'!G21</f>
        <v>156.95866558474467</v>
      </c>
      <c r="H21" s="253">
        <f t="shared" si="0"/>
        <v>9.735213714742418</v>
      </c>
      <c r="I21" s="255">
        <f>+'Typical Bills WATER'!G21+'Typical Bills SANITARY'!G21+'Typical Non-Res Bills SW'!I21</f>
        <v>167.679</v>
      </c>
      <c r="J21" s="253">
        <f t="shared" si="1"/>
        <v>6.830036669410422</v>
      </c>
      <c r="K21" s="238"/>
      <c r="L21" s="21"/>
    </row>
    <row r="22" spans="2:21" ht="15" thickTop="1" thickBot="1">
      <c r="B22" s="248" t="str">
        <f>+'Typical Bills WATER'!B22</f>
        <v>5/8</v>
      </c>
      <c r="C22" s="253">
        <f>+'Typical Bills WATER'!C22</f>
        <v>0.7</v>
      </c>
      <c r="D22" s="254">
        <f>+'Typical Non-Res Bills SW'!D22</f>
        <v>4000</v>
      </c>
      <c r="E22" s="254">
        <f>+'Typical Non-Res Bills SW'!E22</f>
        <v>5500</v>
      </c>
      <c r="F22" s="255">
        <f>+'Typical Bills WATER'!D22+'Typical Bills SANITARY'!D22+'Typical Non-Res Bills SW'!F22</f>
        <v>154.32400000000001</v>
      </c>
      <c r="G22" s="255">
        <f>+'Typical Bills WATER'!E22+'Typical Bills SANITARY'!E22+'Typical Non-Res Bills SW'!G22</f>
        <v>169.88866558474467</v>
      </c>
      <c r="H22" s="253">
        <f t="shared" si="0"/>
        <v>10.0857064259251</v>
      </c>
      <c r="I22" s="255">
        <f>+'Typical Bills WATER'!G22+'Typical Bills SANITARY'!G22+'Typical Non-Res Bills SW'!I22</f>
        <v>181.16899999999998</v>
      </c>
      <c r="J22" s="253">
        <f t="shared" si="1"/>
        <v>6.6398393185497229</v>
      </c>
      <c r="K22" s="238"/>
    </row>
    <row r="23" spans="2:21" ht="15" thickTop="1" thickBot="1">
      <c r="B23" s="219" t="str">
        <f>+'Typical Bills WATER'!B23</f>
        <v>5/8</v>
      </c>
      <c r="C23" s="221">
        <f>+'Typical Bills WATER'!C23</f>
        <v>0.8</v>
      </c>
      <c r="D23" s="222">
        <f>+'Typical Non-Res Bills SW'!D23</f>
        <v>26000</v>
      </c>
      <c r="E23" s="222">
        <f>+'Typical Non-Res Bills SW'!E23</f>
        <v>38000</v>
      </c>
      <c r="F23" s="223">
        <f>+'Typical Bills WATER'!D23+'Typical Bills SANITARY'!D23+'Typical Non-Res Bills SW'!F23</f>
        <v>499.23999999999995</v>
      </c>
      <c r="G23" s="223">
        <f>+'Typical Bills WATER'!E23+'Typical Bills SANITARY'!E23+'Typical Non-Res Bills SW'!G23</f>
        <v>529.96876296118967</v>
      </c>
      <c r="H23" s="221">
        <f t="shared" si="0"/>
        <v>6.1551083569404863</v>
      </c>
      <c r="I23" s="223">
        <f>+'Typical Bills WATER'!G23+'Typical Bills SANITARY'!G23+'Typical Non-Res Bills SW'!I23</f>
        <v>576.77800000000002</v>
      </c>
      <c r="J23" s="221">
        <f t="shared" si="1"/>
        <v>8.8324520821311694</v>
      </c>
      <c r="K23" s="238"/>
    </row>
    <row r="24" spans="2:21" ht="15" thickTop="1" thickBot="1">
      <c r="B24" s="219" t="str">
        <f>+'Typical Bills WATER'!B24</f>
        <v>5/8</v>
      </c>
      <c r="C24" s="221">
        <f>+'Typical Bills WATER'!C24</f>
        <v>1.7</v>
      </c>
      <c r="D24" s="222">
        <f>+'Typical Non-Res Bills SW'!D24</f>
        <v>26000</v>
      </c>
      <c r="E24" s="222">
        <f>+'Typical Non-Res Bills SW'!E24</f>
        <v>38000</v>
      </c>
      <c r="F24" s="223">
        <f>+'Typical Bills WATER'!D24+'Typical Bills SANITARY'!D24+'Typical Non-Res Bills SW'!F24</f>
        <v>600.8599999999999</v>
      </c>
      <c r="G24" s="223">
        <f>+'Typical Bills WATER'!E24+'Typical Bills SANITARY'!E24+'Typical Non-Res Bills SW'!G24</f>
        <v>646.39876296118973</v>
      </c>
      <c r="H24" s="221">
        <f t="shared" si="0"/>
        <v>7.5789306928718547</v>
      </c>
      <c r="I24" s="223">
        <f>+'Typical Bills WATER'!G24+'Typical Bills SANITARY'!G24+'Typical Non-Res Bills SW'!I24</f>
        <v>698.26800000000003</v>
      </c>
      <c r="J24" s="221">
        <f t="shared" si="1"/>
        <v>8.0243403934120003</v>
      </c>
      <c r="K24" s="238"/>
    </row>
    <row r="25" spans="2:21" ht="15" thickTop="1" thickBot="1">
      <c r="B25" s="219" t="str">
        <f>+'Typical Bills WATER'!B25</f>
        <v>5/8</v>
      </c>
      <c r="C25" s="221">
        <f>+'Typical Bills WATER'!C25</f>
        <v>2.7</v>
      </c>
      <c r="D25" s="222">
        <f>+'Typical Non-Res Bills SW'!D25</f>
        <v>4000</v>
      </c>
      <c r="E25" s="222">
        <f>+'Typical Non-Res Bills SW'!E25</f>
        <v>5500</v>
      </c>
      <c r="F25" s="223">
        <f>+'Typical Bills WATER'!D25+'Typical Bills SANITARY'!D25+'Typical Non-Res Bills SW'!F25</f>
        <v>375.63399999999996</v>
      </c>
      <c r="G25" s="223">
        <f>+'Typical Bills WATER'!E25+'Typical Bills SANITARY'!E25+'Typical Non-Res Bills SW'!G25</f>
        <v>423.26866558474467</v>
      </c>
      <c r="H25" s="221">
        <f t="shared" si="0"/>
        <v>12.681137912101859</v>
      </c>
      <c r="I25" s="223">
        <f>+'Typical Bills WATER'!G25+'Typical Bills SANITARY'!G25+'Typical Non-Res Bills SW'!I25</f>
        <v>447.99900000000002</v>
      </c>
      <c r="J25" s="221">
        <f t="shared" si="1"/>
        <v>5.8427038016363619</v>
      </c>
      <c r="K25" s="238"/>
    </row>
    <row r="26" spans="2:21" ht="15" thickTop="1" thickBot="1">
      <c r="B26" s="219" t="str">
        <f>+'Typical Bills WATER'!B26</f>
        <v>5/8</v>
      </c>
      <c r="C26" s="221">
        <f>+'Typical Bills WATER'!C26</f>
        <v>3.3</v>
      </c>
      <c r="D26" s="222">
        <f>+'Typical Non-Res Bills SW'!D26</f>
        <v>4000</v>
      </c>
      <c r="E26" s="222">
        <f>+'Typical Non-Res Bills SW'!E26</f>
        <v>5500</v>
      </c>
      <c r="F26" s="223">
        <f>+'Typical Bills WATER'!D26+'Typical Bills SANITARY'!D26+'Typical Non-Res Bills SW'!F26</f>
        <v>439.51399999999995</v>
      </c>
      <c r="G26" s="223">
        <f>+'Typical Bills WATER'!E26+'Typical Bills SANITARY'!E26+'Typical Non-Res Bills SW'!G26</f>
        <v>496.28866558474465</v>
      </c>
      <c r="H26" s="221">
        <f t="shared" si="0"/>
        <v>12.917601165092506</v>
      </c>
      <c r="I26" s="223">
        <f>+'Typical Bills WATER'!G26+'Typical Bills SANITARY'!G26+'Typical Non-Res Bills SW'!I26</f>
        <v>526.28899999999999</v>
      </c>
      <c r="J26" s="221">
        <f t="shared" si="1"/>
        <v>6.0449364443791787</v>
      </c>
      <c r="K26" s="238"/>
    </row>
    <row r="27" spans="2:21" ht="15" thickTop="1" thickBot="1">
      <c r="B27" s="219" t="str">
        <f>+'Typical Bills WATER'!B27</f>
        <v>5/8</v>
      </c>
      <c r="C27" s="221">
        <f>+'Typical Bills WATER'!C27</f>
        <v>11</v>
      </c>
      <c r="D27" s="222">
        <f>+'Typical Non-Res Bills SW'!D27</f>
        <v>7000</v>
      </c>
      <c r="E27" s="222">
        <f>+'Typical Non-Res Bills SW'!E27</f>
        <v>11000</v>
      </c>
      <c r="F27" s="223">
        <f>+'Typical Bills WATER'!D27+'Typical Bills SANITARY'!D27+'Typical Non-Res Bills SW'!F27</f>
        <v>1306.67</v>
      </c>
      <c r="G27" s="223">
        <f>+'Typical Bills WATER'!E27+'Typical Bills SANITARY'!E27+'Typical Non-Res Bills SW'!G27</f>
        <v>1482.6157647653235</v>
      </c>
      <c r="H27" s="221">
        <f t="shared" si="0"/>
        <v>13.465202749379991</v>
      </c>
      <c r="I27" s="223">
        <f>+'Typical Bills WATER'!G27+'Typical Bills SANITARY'!G27+'Typical Non-Res Bills SW'!I27</f>
        <v>1585.2659999999998</v>
      </c>
      <c r="J27" s="221">
        <f t="shared" si="1"/>
        <v>6.9235898925521289</v>
      </c>
      <c r="K27" s="238"/>
    </row>
    <row r="28" spans="2:21" ht="4.4000000000000004" customHeight="1" thickTop="1" thickBot="1">
      <c r="B28" s="224"/>
      <c r="C28" s="225"/>
      <c r="D28" s="226"/>
      <c r="E28" s="226"/>
      <c r="F28" s="227"/>
      <c r="G28" s="227"/>
      <c r="H28" s="225"/>
      <c r="I28" s="227"/>
      <c r="J28" s="225" t="e">
        <f t="shared" si="1"/>
        <v>#DIV/0!</v>
      </c>
      <c r="K28" s="238"/>
    </row>
    <row r="29" spans="2:21" ht="15" thickTop="1" thickBot="1">
      <c r="B29" s="219">
        <f>+'Typical Bills WATER'!B29</f>
        <v>1</v>
      </c>
      <c r="C29" s="221">
        <f>+'Typical Bills WATER'!C29</f>
        <v>1.7</v>
      </c>
      <c r="D29" s="222">
        <f>+'Typical Non-Res Bills SW'!D29</f>
        <v>7700</v>
      </c>
      <c r="E29" s="222">
        <f>+'Typical Non-Res Bills SW'!E29</f>
        <v>7900</v>
      </c>
      <c r="F29" s="223">
        <f>+'Typical Bills WATER'!D29+'Typical Bills SANITARY'!D29+'Typical Non-Res Bills SW'!F29</f>
        <v>330.82600000000002</v>
      </c>
      <c r="G29" s="223">
        <f>+'Typical Bills WATER'!E29+'Typical Bills SANITARY'!E29+'Typical Non-Res Bills SW'!G29</f>
        <v>366.65032402793781</v>
      </c>
      <c r="H29" s="221">
        <f>(+G29/F29-1)*100</f>
        <v>10.828751073959664</v>
      </c>
      <c r="I29" s="223">
        <f>+'Typical Bills WATER'!G29+'Typical Bills SANITARY'!G29+'Typical Non-Res Bills SW'!I29</f>
        <v>390.11199999999997</v>
      </c>
      <c r="J29" s="221">
        <f t="shared" si="1"/>
        <v>6.3989241068485914</v>
      </c>
      <c r="K29" s="238"/>
    </row>
    <row r="30" spans="2:21" ht="15" thickTop="1" thickBot="1">
      <c r="B30" s="219">
        <f>+'Typical Bills WATER'!B30</f>
        <v>1</v>
      </c>
      <c r="C30" s="221">
        <f>+'Typical Bills WATER'!C30</f>
        <v>5</v>
      </c>
      <c r="D30" s="222">
        <f>+'Typical Non-Res Bills SW'!D30</f>
        <v>22500</v>
      </c>
      <c r="E30" s="222">
        <f>+'Typical Non-Res Bills SW'!E30</f>
        <v>24000</v>
      </c>
      <c r="F30" s="223">
        <f>+'Typical Bills WATER'!D30+'Typical Bills SANITARY'!D30+'Typical Non-Res Bills SW'!F30</f>
        <v>894.65100000000007</v>
      </c>
      <c r="G30" s="223">
        <f>+'Typical Bills WATER'!E30+'Typical Bills SANITARY'!E30+'Typical Non-Res Bills SW'!G30</f>
        <v>989.27719698189958</v>
      </c>
      <c r="H30" s="221">
        <f>(+G30/F30-1)*100</f>
        <v>10.576883833125938</v>
      </c>
      <c r="I30" s="223">
        <f>+'Typical Bills WATER'!G30+'Typical Bills SANITARY'!G30+'Typical Non-Res Bills SW'!I30</f>
        <v>1062.828</v>
      </c>
      <c r="J30" s="221">
        <f t="shared" si="1"/>
        <v>7.4348022215098286</v>
      </c>
      <c r="K30" s="238"/>
    </row>
    <row r="31" spans="2:21" ht="15" thickTop="1" thickBot="1">
      <c r="B31" s="219">
        <f>+'Typical Bills WATER'!B31</f>
        <v>1</v>
      </c>
      <c r="C31" s="221">
        <f>+'Typical Bills WATER'!C31</f>
        <v>8</v>
      </c>
      <c r="D31" s="222">
        <f>+'Typical Non-Res Bills SW'!D31</f>
        <v>7700</v>
      </c>
      <c r="E31" s="222">
        <f>+'Typical Non-Res Bills SW'!E31</f>
        <v>7900</v>
      </c>
      <c r="F31" s="223">
        <f>+'Typical Bills WATER'!D31+'Typical Bills SANITARY'!D31+'Typical Non-Res Bills SW'!F31</f>
        <v>1003.516</v>
      </c>
      <c r="G31" s="223">
        <f>+'Typical Bills WATER'!E31+'Typical Bills SANITARY'!E31+'Typical Non-Res Bills SW'!G31</f>
        <v>1135.6103240279378</v>
      </c>
      <c r="H31" s="221">
        <f>(+G31/F31-1)*100</f>
        <v>13.16315076470509</v>
      </c>
      <c r="I31" s="223">
        <f>+'Typical Bills WATER'!G31+'Typical Bills SANITARY'!G31+'Typical Non-Res Bills SW'!I31</f>
        <v>1213.492</v>
      </c>
      <c r="J31" s="221">
        <f t="shared" si="1"/>
        <v>6.8581338443473028</v>
      </c>
      <c r="K31" s="238"/>
    </row>
    <row r="32" spans="2:21" ht="15" thickTop="1" thickBot="1">
      <c r="B32" s="219">
        <f>+'Typical Bills WATER'!B32</f>
        <v>1</v>
      </c>
      <c r="C32" s="221">
        <f>+'Typical Bills WATER'!C32</f>
        <v>17</v>
      </c>
      <c r="D32" s="222">
        <f>+'Typical Non-Res Bills SW'!D32</f>
        <v>22500</v>
      </c>
      <c r="E32" s="222">
        <f>+'Typical Non-Res Bills SW'!E32</f>
        <v>24000</v>
      </c>
      <c r="F32" s="223">
        <f>+'Typical Bills WATER'!D32+'Typical Bills SANITARY'!D32+'Typical Non-Res Bills SW'!F32</f>
        <v>2172.2910000000002</v>
      </c>
      <c r="G32" s="223">
        <f>+'Typical Bills WATER'!E32+'Typical Bills SANITARY'!E32+'Typical Non-Res Bills SW'!G32</f>
        <v>2449.5571969818998</v>
      </c>
      <c r="H32" s="221">
        <f>(+G32/F32-1)*100</f>
        <v>12.763768619485116</v>
      </c>
      <c r="I32" s="223">
        <f>+'Typical Bills WATER'!G32+'Typical Bills SANITARY'!G32+'Typical Non-Res Bills SW'!I32</f>
        <v>2628.5879999999997</v>
      </c>
      <c r="J32" s="221">
        <f t="shared" si="1"/>
        <v>7.3087006598043125</v>
      </c>
      <c r="K32" s="238"/>
    </row>
    <row r="33" spans="2:11" ht="4.4000000000000004" customHeight="1" thickTop="1" thickBot="1">
      <c r="B33" s="224"/>
      <c r="C33" s="225"/>
      <c r="D33" s="226"/>
      <c r="E33" s="226"/>
      <c r="F33" s="227"/>
      <c r="G33" s="227"/>
      <c r="H33" s="225"/>
      <c r="I33" s="227"/>
      <c r="J33" s="225" t="e">
        <f t="shared" si="1"/>
        <v>#DIV/0!</v>
      </c>
      <c r="K33" s="238"/>
    </row>
    <row r="34" spans="2:11" ht="15" thickTop="1" thickBot="1">
      <c r="B34" s="219">
        <f>+'Typical Bills WATER'!B34</f>
        <v>2</v>
      </c>
      <c r="C34" s="221">
        <f>+'Typical Bills WATER'!C34</f>
        <v>7.6</v>
      </c>
      <c r="D34" s="222">
        <f>+'Typical Non-Res Bills SW'!D34</f>
        <v>1063</v>
      </c>
      <c r="E34" s="222">
        <f>+'Typical Non-Res Bills SW'!E34</f>
        <v>1250</v>
      </c>
      <c r="F34" s="223">
        <f>+'Typical Bills WATER'!D34+'Typical Bills SANITARY'!D34+'Typical Non-Res Bills SW'!F34</f>
        <v>900.28300000000002</v>
      </c>
      <c r="G34" s="223">
        <f>+'Typical Bills WATER'!E34+'Typical Bills SANITARY'!E34+'Typical Non-Res Bills SW'!G34</f>
        <v>1029.2530021856942</v>
      </c>
      <c r="H34" s="221">
        <f>(+G34/F34-1)*100</f>
        <v>14.325495670327459</v>
      </c>
      <c r="I34" s="223">
        <f>+'Typical Bills WATER'!G34+'Typical Bills SANITARY'!G34+'Typical Non-Res Bills SW'!I34</f>
        <v>1096.921</v>
      </c>
      <c r="J34" s="221">
        <f t="shared" si="1"/>
        <v>6.5744766029934176</v>
      </c>
      <c r="K34" s="238"/>
    </row>
    <row r="35" spans="2:11" ht="15" thickTop="1" thickBot="1">
      <c r="B35" s="219">
        <f>+'Typical Bills WATER'!B35</f>
        <v>2</v>
      </c>
      <c r="C35" s="221">
        <f>+'Typical Bills WATER'!C35</f>
        <v>16</v>
      </c>
      <c r="D35" s="222">
        <f>+'Typical Non-Res Bills SW'!D35</f>
        <v>22500</v>
      </c>
      <c r="E35" s="222">
        <f>+'Typical Non-Res Bills SW'!E35</f>
        <v>24000</v>
      </c>
      <c r="F35" s="223">
        <f>+'Typical Bills WATER'!D35+'Typical Bills SANITARY'!D35+'Typical Non-Res Bills SW'!F35</f>
        <v>2098.3910000000001</v>
      </c>
      <c r="G35" s="223">
        <f>+'Typical Bills WATER'!E35+'Typical Bills SANITARY'!E35+'Typical Non-Res Bills SW'!G35</f>
        <v>2366.9871969818996</v>
      </c>
      <c r="H35" s="221">
        <f>(+G35/F35-1)*100</f>
        <v>12.800102410937697</v>
      </c>
      <c r="I35" s="223">
        <f>+'Typical Bills WATER'!G35+'Typical Bills SANITARY'!G35+'Typical Non-Res Bills SW'!I35</f>
        <v>2540.2880000000005</v>
      </c>
      <c r="J35" s="221">
        <f t="shared" si="1"/>
        <v>7.3215775412335704</v>
      </c>
      <c r="K35" s="238"/>
    </row>
    <row r="36" spans="2:11" ht="15" thickTop="1" thickBot="1">
      <c r="B36" s="219">
        <f>+'Typical Bills WATER'!B36</f>
        <v>2</v>
      </c>
      <c r="C36" s="221">
        <f>+'Typical Bills WATER'!C36</f>
        <v>33</v>
      </c>
      <c r="D36" s="222">
        <f>+'Typical Non-Res Bills SW'!D36</f>
        <v>66500</v>
      </c>
      <c r="E36" s="222">
        <f>+'Typical Non-Res Bills SW'!E36</f>
        <v>80000</v>
      </c>
      <c r="F36" s="223">
        <f>+'Typical Bills WATER'!D36+'Typical Bills SANITARY'!D36+'Typical Non-Res Bills SW'!F36</f>
        <v>4560.1170000000002</v>
      </c>
      <c r="G36" s="223">
        <f>+'Typical Bills WATER'!E36+'Typical Bills SANITARY'!E36+'Typical Non-Res Bills SW'!G36</f>
        <v>5113.2849232841254</v>
      </c>
      <c r="H36" s="221">
        <f>(+G36/F36-1)*100</f>
        <v>12.130564265875755</v>
      </c>
      <c r="I36" s="223">
        <f>+'Typical Bills WATER'!G36+'Typical Bills SANITARY'!G36+'Typical Non-Res Bills SW'!I36</f>
        <v>5504.2880000000005</v>
      </c>
      <c r="J36" s="221">
        <f t="shared" si="1"/>
        <v>7.6468079244984555</v>
      </c>
      <c r="K36" s="238"/>
    </row>
    <row r="37" spans="2:11" ht="15" thickTop="1" thickBot="1">
      <c r="B37" s="219">
        <f>+'Typical Bills WATER'!B37</f>
        <v>2</v>
      </c>
      <c r="C37" s="221">
        <f>+'Typical Bills WATER'!C37</f>
        <v>100</v>
      </c>
      <c r="D37" s="222">
        <f>+'Typical Non-Res Bills SW'!D37</f>
        <v>7700</v>
      </c>
      <c r="E37" s="222">
        <f>+'Typical Non-Res Bills SW'!E37</f>
        <v>7900</v>
      </c>
      <c r="F37" s="223">
        <f>+'Typical Bills WATER'!D37+'Typical Bills SANITARY'!D37+'Typical Non-Res Bills SW'!F37</f>
        <v>10831.325999999999</v>
      </c>
      <c r="G37" s="223">
        <f>+'Typical Bills WATER'!E37+'Typical Bills SANITARY'!E37+'Typical Non-Res Bills SW'!G37</f>
        <v>12370.210324027938</v>
      </c>
      <c r="H37" s="221">
        <f>(+G37/F37-1)*100</f>
        <v>14.207718648925693</v>
      </c>
      <c r="I37" s="223">
        <f>+'Typical Bills WATER'!G37+'Typical Bills SANITARY'!G37+'Typical Non-Res Bills SW'!I37</f>
        <v>13259.832</v>
      </c>
      <c r="J37" s="221">
        <f t="shared" si="1"/>
        <v>7.1916455150649927</v>
      </c>
      <c r="K37" s="238"/>
    </row>
    <row r="38" spans="2:11" ht="4.4000000000000004" customHeight="1" thickTop="1" thickBot="1">
      <c r="B38" s="224"/>
      <c r="C38" s="225"/>
      <c r="D38" s="226"/>
      <c r="E38" s="226"/>
      <c r="F38" s="227"/>
      <c r="G38" s="227"/>
      <c r="H38" s="225"/>
      <c r="I38" s="227"/>
      <c r="J38" s="225" t="e">
        <f t="shared" si="1"/>
        <v>#DIV/0!</v>
      </c>
      <c r="K38" s="238"/>
    </row>
    <row r="39" spans="2:11" ht="15" thickTop="1" thickBot="1">
      <c r="B39" s="219">
        <f>+'Typical Bills WATER'!B39</f>
        <v>4</v>
      </c>
      <c r="C39" s="221">
        <f>+'Typical Bills WATER'!C39</f>
        <v>30</v>
      </c>
      <c r="D39" s="222">
        <f>+'Typical Non-Res Bills SW'!D39</f>
        <v>7700</v>
      </c>
      <c r="E39" s="222">
        <f>+'Typical Non-Res Bills SW'!E39</f>
        <v>7900</v>
      </c>
      <c r="F39" s="223">
        <f>+'Typical Bills WATER'!D39+'Typical Bills SANITARY'!D39+'Typical Non-Res Bills SW'!F39</f>
        <v>3488.4959999999996</v>
      </c>
      <c r="G39" s="223">
        <f>+'Typical Bills WATER'!E39+'Typical Bills SANITARY'!E39+'Typical Non-Res Bills SW'!G39</f>
        <v>3982.5803240279379</v>
      </c>
      <c r="H39" s="221">
        <f>(+G39/F39-1)*100</f>
        <v>14.163247543581491</v>
      </c>
      <c r="I39" s="223">
        <f>+'Typical Bills WATER'!G39+'Typical Bills SANITARY'!G39+'Typical Non-Res Bills SW'!I39</f>
        <v>4266.8220000000001</v>
      </c>
      <c r="J39" s="221">
        <f t="shared" si="1"/>
        <v>7.1371234939608952</v>
      </c>
      <c r="K39" s="238"/>
    </row>
    <row r="40" spans="2:11" ht="15" thickTop="1" thickBot="1">
      <c r="B40" s="219">
        <f>+'Typical Bills WATER'!B40</f>
        <v>4</v>
      </c>
      <c r="C40" s="221">
        <f>+'Typical Bills WATER'!C40</f>
        <v>170</v>
      </c>
      <c r="D40" s="222">
        <f>+'Typical Non-Res Bills SW'!D40</f>
        <v>10500</v>
      </c>
      <c r="E40" s="222">
        <f>+'Typical Non-Res Bills SW'!E40</f>
        <v>12000</v>
      </c>
      <c r="F40" s="223">
        <f>+'Typical Bills WATER'!D40+'Typical Bills SANITARY'!D40+'Typical Non-Res Bills SW'!F40</f>
        <v>17519.937000000002</v>
      </c>
      <c r="G40" s="223">
        <f>+'Typical Bills WATER'!E40+'Typical Bills SANITARY'!E40+'Typical Non-Res Bills SW'!G40</f>
        <v>20037.195987426989</v>
      </c>
      <c r="H40" s="221">
        <f>(+G40/F40-1)*100</f>
        <v>14.367968260542185</v>
      </c>
      <c r="I40" s="223">
        <f>+'Typical Bills WATER'!G40+'Typical Bills SANITARY'!G40+'Typical Non-Res Bills SW'!I40</f>
        <v>21506.37</v>
      </c>
      <c r="J40" s="221">
        <f t="shared" si="1"/>
        <v>7.3322335794633764</v>
      </c>
      <c r="K40" s="238"/>
    </row>
    <row r="41" spans="2:11" ht="15" thickTop="1" thickBot="1">
      <c r="B41" s="219">
        <f>+'Typical Bills WATER'!B41</f>
        <v>4</v>
      </c>
      <c r="C41" s="221">
        <f>+'Typical Bills WATER'!C41</f>
        <v>330</v>
      </c>
      <c r="D41" s="222">
        <f>+'Typical Non-Res Bills SW'!D41</f>
        <v>26000</v>
      </c>
      <c r="E41" s="222">
        <f>+'Typical Non-Res Bills SW'!E41</f>
        <v>38000</v>
      </c>
      <c r="F41" s="223">
        <f>+'Typical Bills WATER'!D41+'Typical Bills SANITARY'!D41+'Typical Non-Res Bills SW'!F41</f>
        <v>32709.139999999996</v>
      </c>
      <c r="G41" s="223">
        <f>+'Typical Bills WATER'!E41+'Typical Bills SANITARY'!E41+'Typical Non-Res Bills SW'!G41</f>
        <v>37421.918762961184</v>
      </c>
      <c r="H41" s="221">
        <f>(+G41/F41-1)*100</f>
        <v>14.408140241416278</v>
      </c>
      <c r="I41" s="223">
        <f>+'Typical Bills WATER'!G41+'Typical Bills SANITARY'!G41+'Typical Non-Res Bills SW'!I41</f>
        <v>40209.118000000002</v>
      </c>
      <c r="J41" s="221">
        <f t="shared" si="1"/>
        <v>7.44803935547389</v>
      </c>
      <c r="K41" s="238"/>
    </row>
    <row r="42" spans="2:11" ht="15" thickTop="1" thickBot="1">
      <c r="B42" s="219">
        <f>+'Typical Bills WATER'!B42</f>
        <v>4</v>
      </c>
      <c r="C42" s="221">
        <f>+'Typical Bills WATER'!C42</f>
        <v>500</v>
      </c>
      <c r="D42" s="222">
        <f>+'Typical Non-Res Bills SW'!D42</f>
        <v>140000</v>
      </c>
      <c r="E42" s="222">
        <f>+'Typical Non-Res Bills SW'!E42</f>
        <v>160000</v>
      </c>
      <c r="F42" s="223">
        <f>+'Typical Bills WATER'!D42+'Typical Bills SANITARY'!D42+'Typical Non-Res Bills SW'!F42</f>
        <v>50241.02</v>
      </c>
      <c r="G42" s="223">
        <f>+'Typical Bills WATER'!E42+'Typical Bills SANITARY'!E42+'Typical Non-Res Bills SW'!G42</f>
        <v>57339.908003466771</v>
      </c>
      <c r="H42" s="221">
        <f>(+G42/F42-1)*100</f>
        <v>14.12966536799367</v>
      </c>
      <c r="I42" s="223">
        <f>+'Typical Bills WATER'!G42+'Typical Bills SANITARY'!G42+'Typical Non-Res Bills SW'!I42</f>
        <v>61673.270000000004</v>
      </c>
      <c r="J42" s="221">
        <f t="shared" si="1"/>
        <v>7.5573228967706685</v>
      </c>
      <c r="K42" s="238"/>
    </row>
    <row r="43" spans="2:11" ht="4.4000000000000004" customHeight="1" thickTop="1" thickBot="1">
      <c r="B43" s="224"/>
      <c r="C43" s="225"/>
      <c r="D43" s="226"/>
      <c r="E43" s="226"/>
      <c r="F43" s="227"/>
      <c r="G43" s="227"/>
      <c r="H43" s="225"/>
      <c r="I43" s="227"/>
      <c r="J43" s="225" t="e">
        <f t="shared" si="1"/>
        <v>#DIV/0!</v>
      </c>
      <c r="K43" s="238"/>
    </row>
    <row r="44" spans="2:11" ht="15" thickTop="1" thickBot="1">
      <c r="B44" s="219">
        <f>+'Typical Bills WATER'!B44</f>
        <v>6</v>
      </c>
      <c r="C44" s="221">
        <f>+'Typical Bills WATER'!C44</f>
        <v>150</v>
      </c>
      <c r="D44" s="222">
        <f>+'Typical Non-Res Bills SW'!D44</f>
        <v>10500</v>
      </c>
      <c r="E44" s="222">
        <f>+'Typical Non-Res Bills SW'!E44</f>
        <v>12000</v>
      </c>
      <c r="F44" s="223">
        <f>+'Typical Bills WATER'!D44+'Typical Bills SANITARY'!D44+'Typical Non-Res Bills SW'!F44</f>
        <v>15808.177</v>
      </c>
      <c r="G44" s="223">
        <f>+'Typical Bills WATER'!E44+'Typical Bills SANITARY'!E44+'Typical Non-Res Bills SW'!G44</f>
        <v>18082.335987426988</v>
      </c>
      <c r="H44" s="221">
        <f>(+G44/F44-1)*100</f>
        <v>14.385966120109783</v>
      </c>
      <c r="I44" s="223">
        <f>+'Typical Bills WATER'!G44+'Typical Bills SANITARY'!G44+'Typical Non-Res Bills SW'!I44</f>
        <v>19404.259999999998</v>
      </c>
      <c r="J44" s="221">
        <f t="shared" si="1"/>
        <v>7.3105820702157542</v>
      </c>
      <c r="K44" s="238"/>
    </row>
    <row r="45" spans="2:11" ht="15" thickTop="1" thickBot="1">
      <c r="B45" s="219">
        <f>+'Typical Bills WATER'!B45</f>
        <v>6</v>
      </c>
      <c r="C45" s="221">
        <f>+'Typical Bills WATER'!C45</f>
        <v>500</v>
      </c>
      <c r="D45" s="222">
        <f>+'Typical Non-Res Bills SW'!D45</f>
        <v>41750</v>
      </c>
      <c r="E45" s="222">
        <f>+'Typical Non-Res Bills SW'!E45</f>
        <v>45500</v>
      </c>
      <c r="F45" s="223">
        <f>+'Typical Bills WATER'!D45+'Typical Bills SANITARY'!D45+'Typical Non-Res Bills SW'!F45</f>
        <v>48963.897999999994</v>
      </c>
      <c r="G45" s="223">
        <f>+'Typical Bills WATER'!E45+'Typical Bills SANITARY'!E45+'Typical Non-Res Bills SW'!G45</f>
        <v>56036.688599942114</v>
      </c>
      <c r="H45" s="221">
        <f>(+G45/F45-1)*100</f>
        <v>14.444909185829369</v>
      </c>
      <c r="I45" s="223">
        <f>+'Typical Bills WATER'!G45+'Typical Bills SANITARY'!G45+'Typical Non-Res Bills SW'!I45</f>
        <v>60234.254999999997</v>
      </c>
      <c r="J45" s="221">
        <f t="shared" si="1"/>
        <v>7.490746696374595</v>
      </c>
      <c r="K45" s="238"/>
    </row>
    <row r="46" spans="2:11" ht="15" thickTop="1" thickBot="1">
      <c r="B46" s="219">
        <f>+'Typical Bills WATER'!B46</f>
        <v>6</v>
      </c>
      <c r="C46" s="221">
        <f>+'Typical Bills WATER'!C46</f>
        <v>1000</v>
      </c>
      <c r="D46" s="222">
        <f>+'Typical Non-Res Bills SW'!D46</f>
        <v>26000</v>
      </c>
      <c r="E46" s="222">
        <f>+'Typical Non-Res Bills SW'!E46</f>
        <v>38000</v>
      </c>
      <c r="F46" s="223">
        <f>+'Typical Bills WATER'!D46+'Typical Bills SANITARY'!D46+'Typical Non-Res Bills SW'!F46</f>
        <v>95464.08</v>
      </c>
      <c r="G46" s="223">
        <f>+'Typical Bills WATER'!E46+'Typical Bills SANITARY'!E46+'Typical Non-Res Bills SW'!G46</f>
        <v>109359.15876296119</v>
      </c>
      <c r="H46" s="221">
        <f>(+G46/F46-1)*100</f>
        <v>14.555295314175964</v>
      </c>
      <c r="I46" s="223">
        <f>+'Typical Bills WATER'!G46+'Typical Bills SANITARY'!G46+'Typical Non-Res Bills SW'!I46</f>
        <v>117574.30799999999</v>
      </c>
      <c r="J46" s="221">
        <f t="shared" si="1"/>
        <v>7.51208159423149</v>
      </c>
      <c r="K46" s="238"/>
    </row>
    <row r="47" spans="2:11" ht="15" thickTop="1" thickBot="1">
      <c r="B47" s="219">
        <f>+'Typical Bills WATER'!B47</f>
        <v>6</v>
      </c>
      <c r="C47" s="221">
        <f>+'Typical Bills WATER'!C47</f>
        <v>1500</v>
      </c>
      <c r="D47" s="222">
        <f>+'Typical Non-Res Bills SW'!D47</f>
        <v>140000</v>
      </c>
      <c r="E47" s="222">
        <f>+'Typical Non-Res Bills SW'!E47</f>
        <v>160000</v>
      </c>
      <c r="F47" s="223">
        <f>+'Typical Bills WATER'!D47+'Typical Bills SANITARY'!D47+'Typical Non-Res Bills SW'!F47</f>
        <v>143827.86000000002</v>
      </c>
      <c r="G47" s="223">
        <f>+'Typical Bills WATER'!E47+'Typical Bills SANITARY'!E47+'Typical Non-Res Bills SW'!G47</f>
        <v>164616.84800346676</v>
      </c>
      <c r="H47" s="221">
        <f>(+G47/F47-1)*100</f>
        <v>14.454075867823345</v>
      </c>
      <c r="I47" s="223">
        <f>+'Typical Bills WATER'!G47+'Typical Bills SANITARY'!G47+'Typical Non-Res Bills SW'!I47</f>
        <v>177044.56</v>
      </c>
      <c r="J47" s="221">
        <f t="shared" si="1"/>
        <v>7.5494775578934137</v>
      </c>
      <c r="K47" s="238"/>
    </row>
    <row r="48" spans="2:11" ht="4.4000000000000004" customHeight="1" thickTop="1" thickBot="1">
      <c r="B48" s="224"/>
      <c r="C48" s="225"/>
      <c r="D48" s="226"/>
      <c r="E48" s="226"/>
      <c r="F48" s="227"/>
      <c r="G48" s="227"/>
      <c r="H48" s="225"/>
      <c r="I48" s="227"/>
      <c r="J48" s="225" t="e">
        <f t="shared" si="1"/>
        <v>#DIV/0!</v>
      </c>
      <c r="K48" s="238"/>
    </row>
    <row r="49" spans="2:11" ht="15" thickTop="1" thickBot="1">
      <c r="B49" s="219">
        <f>+'Typical Bills WATER'!B49</f>
        <v>8</v>
      </c>
      <c r="C49" s="221">
        <f>+'Typical Bills WATER'!C49</f>
        <v>750</v>
      </c>
      <c r="D49" s="222">
        <f>+'Typical Non-Res Bills SW'!D49</f>
        <v>10500</v>
      </c>
      <c r="E49" s="222">
        <f>+'Typical Non-Res Bills SW'!E49</f>
        <v>12000</v>
      </c>
      <c r="F49" s="223">
        <f>+'Typical Bills WATER'!D49+'Typical Bills SANITARY'!D49+'Typical Non-Res Bills SW'!F49</f>
        <v>72049.926999999996</v>
      </c>
      <c r="G49" s="223">
        <f>+'Typical Bills WATER'!E49+'Typical Bills SANITARY'!E49+'Typical Non-Res Bills SW'!G49</f>
        <v>82556.015987426988</v>
      </c>
      <c r="H49" s="221">
        <f>(+G49/F49-1)*100</f>
        <v>14.581678878629534</v>
      </c>
      <c r="I49" s="223">
        <f>+'Typical Bills WATER'!G49+'Typical Bills SANITARY'!G49+'Typical Non-Res Bills SW'!I49</f>
        <v>88742.959999999992</v>
      </c>
      <c r="J49" s="221">
        <f t="shared" si="1"/>
        <v>7.4942376258990695</v>
      </c>
      <c r="K49" s="238"/>
    </row>
    <row r="50" spans="2:11" ht="15" thickTop="1" thickBot="1">
      <c r="B50" s="219">
        <f>+'Typical Bills WATER'!B50</f>
        <v>8</v>
      </c>
      <c r="C50" s="221">
        <f>+'Typical Bills WATER'!C50</f>
        <v>1500</v>
      </c>
      <c r="D50" s="222">
        <f>+'Typical Non-Res Bills SW'!D50</f>
        <v>66500</v>
      </c>
      <c r="E50" s="222">
        <f>+'Typical Non-Res Bills SW'!E50</f>
        <v>80000</v>
      </c>
      <c r="F50" s="223">
        <f>+'Typical Bills WATER'!D50+'Typical Bills SANITARY'!D50+'Typical Non-Res Bills SW'!F50</f>
        <v>142946.26700000002</v>
      </c>
      <c r="G50" s="223">
        <f>+'Typical Bills WATER'!E50+'Typical Bills SANITARY'!E50+'Typical Non-Res Bills SW'!G50</f>
        <v>163729.80492328413</v>
      </c>
      <c r="H50" s="221">
        <f>(+G50/F50-1)*100</f>
        <v>14.539405861703347</v>
      </c>
      <c r="I50" s="223">
        <f>+'Typical Bills WATER'!G50+'Typical Bills SANITARY'!G50+'Typical Non-Res Bills SW'!I50</f>
        <v>176063.02799999999</v>
      </c>
      <c r="J50" s="221">
        <f t="shared" si="1"/>
        <v>7.5326682777730136</v>
      </c>
      <c r="K50" s="238"/>
    </row>
    <row r="51" spans="2:11" ht="15" thickTop="1" thickBot="1">
      <c r="B51" s="219">
        <f>+'Typical Bills WATER'!B51</f>
        <v>8</v>
      </c>
      <c r="C51" s="221">
        <f>+'Typical Bills WATER'!C51</f>
        <v>2000</v>
      </c>
      <c r="D51" s="222">
        <f>+'Typical Non-Res Bills SW'!D51</f>
        <v>26000</v>
      </c>
      <c r="E51" s="222">
        <f>+'Typical Non-Res Bills SW'!E51</f>
        <v>38000</v>
      </c>
      <c r="F51" s="223">
        <f>+'Typical Bills WATER'!D51+'Typical Bills SANITARY'!D51+'Typical Non-Res Bills SW'!F51</f>
        <v>189077.83000000002</v>
      </c>
      <c r="G51" s="223">
        <f>+'Typical Bills WATER'!E51+'Typical Bills SANITARY'!E51+'Typical Non-Res Bills SW'!G51</f>
        <v>216668.83876296118</v>
      </c>
      <c r="H51" s="221">
        <f>(+G51/F51-1)*100</f>
        <v>14.592408196646399</v>
      </c>
      <c r="I51" s="223">
        <f>+'Typical Bills WATER'!G51+'Typical Bills SANITARY'!G51+'Typical Non-Res Bills SW'!I51</f>
        <v>232981.008</v>
      </c>
      <c r="J51" s="221">
        <f t="shared" si="1"/>
        <v>7.5286180191719065</v>
      </c>
      <c r="K51" s="238"/>
    </row>
    <row r="52" spans="2:11" ht="15" thickTop="1" thickBot="1">
      <c r="B52" s="219">
        <f>+'Typical Bills WATER'!B52</f>
        <v>8</v>
      </c>
      <c r="C52" s="221">
        <f>+'Typical Bills WATER'!C52</f>
        <v>3000</v>
      </c>
      <c r="D52" s="222">
        <f>+'Typical Non-Res Bills SW'!D52</f>
        <v>140000</v>
      </c>
      <c r="E52" s="222">
        <f>+'Typical Non-Res Bills SW'!E52</f>
        <v>160000</v>
      </c>
      <c r="F52" s="223">
        <f>+'Typical Bills WATER'!D52+'Typical Bills SANITARY'!D52+'Typical Non-Res Bills SW'!F52</f>
        <v>282936.61</v>
      </c>
      <c r="G52" s="223">
        <f>+'Typical Bills WATER'!E52+'Typical Bills SANITARY'!E52+'Typical Non-Res Bills SW'!G52</f>
        <v>325471.52800346684</v>
      </c>
      <c r="H52" s="221">
        <f>(+G52/F52-1)*100</f>
        <v>15.033373731121923</v>
      </c>
      <c r="I52" s="223">
        <f>+'Typical Bills WATER'!G52+'Typical Bills SANITARY'!G52+'Typical Non-Res Bills SW'!I52</f>
        <v>350036.26</v>
      </c>
      <c r="J52" s="221">
        <f t="shared" si="1"/>
        <v>7.5474288479917329</v>
      </c>
      <c r="K52" s="238"/>
    </row>
    <row r="53" spans="2:11" ht="4.4000000000000004" customHeight="1" thickTop="1" thickBot="1">
      <c r="B53" s="224"/>
      <c r="C53" s="225"/>
      <c r="D53" s="226"/>
      <c r="E53" s="226"/>
      <c r="F53" s="227"/>
      <c r="G53" s="227"/>
      <c r="H53" s="225"/>
      <c r="I53" s="227"/>
      <c r="J53" s="225" t="e">
        <f t="shared" si="1"/>
        <v>#DIV/0!</v>
      </c>
      <c r="K53" s="238"/>
    </row>
    <row r="54" spans="2:11" ht="15" thickTop="1" thickBot="1">
      <c r="B54" s="219">
        <f>+'Typical Bills WATER'!B54</f>
        <v>10</v>
      </c>
      <c r="C54" s="221">
        <f>+'Typical Bills WATER'!C54</f>
        <v>600</v>
      </c>
      <c r="D54" s="222">
        <f>+'Typical Non-Res Bills SW'!D54</f>
        <v>22500</v>
      </c>
      <c r="E54" s="222">
        <f>+'Typical Non-Res Bills SW'!E54</f>
        <v>24000</v>
      </c>
      <c r="F54" s="223">
        <f>+'Typical Bills WATER'!D54+'Typical Bills SANITARY'!D54+'Typical Non-Res Bills SW'!F54</f>
        <v>58433.041000000005</v>
      </c>
      <c r="G54" s="223">
        <f>+'Typical Bills WATER'!E54+'Typical Bills SANITARY'!E54+'Typical Non-Res Bills SW'!G54</f>
        <v>66939.137196981901</v>
      </c>
      <c r="H54" s="221">
        <f>(+G54/F54-1)*100</f>
        <v>14.556997293674812</v>
      </c>
      <c r="I54" s="223">
        <f>+'Typical Bills WATER'!G54+'Typical Bills SANITARY'!G54+'Typical Non-Res Bills SW'!I54</f>
        <v>71952.457999999999</v>
      </c>
      <c r="J54" s="221">
        <f t="shared" si="1"/>
        <v>7.4893717083107658</v>
      </c>
      <c r="K54" s="238"/>
    </row>
    <row r="55" spans="2:11" ht="15" thickTop="1" thickBot="1">
      <c r="B55" s="219">
        <f>+'Typical Bills WATER'!B55</f>
        <v>10</v>
      </c>
      <c r="C55" s="221">
        <f>+'Typical Bills WATER'!C55</f>
        <v>1700</v>
      </c>
      <c r="D55" s="222">
        <f>+'Typical Non-Res Bills SW'!D55</f>
        <v>41750</v>
      </c>
      <c r="E55" s="222">
        <f>+'Typical Non-Res Bills SW'!E55</f>
        <v>45500</v>
      </c>
      <c r="F55" s="223">
        <f>+'Typical Bills WATER'!D55+'Typical Bills SANITARY'!D55+'Typical Non-Res Bills SW'!F55</f>
        <v>161489.158</v>
      </c>
      <c r="G55" s="223">
        <f>+'Typical Bills WATER'!E55+'Typical Bills SANITARY'!E55+'Typical Non-Res Bills SW'!G55</f>
        <v>185032.26859994212</v>
      </c>
      <c r="H55" s="221">
        <f>(+G55/F55-1)*100</f>
        <v>14.578756178753572</v>
      </c>
      <c r="I55" s="223">
        <f>+'Typical Bills WATER'!G55+'Typical Bills SANITARY'!G55+'Typical Non-Res Bills SW'!I55</f>
        <v>198963.22500000001</v>
      </c>
      <c r="J55" s="221">
        <f t="shared" si="1"/>
        <v>7.5289334695333388</v>
      </c>
      <c r="K55" s="238"/>
    </row>
    <row r="56" spans="2:11" ht="15" thickTop="1" thickBot="1">
      <c r="B56" s="219">
        <f>+'Typical Bills WATER'!B56</f>
        <v>10</v>
      </c>
      <c r="C56" s="221">
        <f>+'Typical Bills WATER'!C56</f>
        <v>3300</v>
      </c>
      <c r="D56" s="222">
        <f>+'Typical Non-Res Bills SW'!D56</f>
        <v>26000</v>
      </c>
      <c r="E56" s="222">
        <f>+'Typical Non-Res Bills SW'!E56</f>
        <v>38000</v>
      </c>
      <c r="F56" s="223">
        <f>+'Typical Bills WATER'!D56+'Typical Bills SANITARY'!D56+'Typical Non-Res Bills SW'!F56</f>
        <v>309176.33999999997</v>
      </c>
      <c r="G56" s="223">
        <f>+'Typical Bills WATER'!E56+'Typical Bills SANITARY'!E56+'Typical Non-Res Bills SW'!G56</f>
        <v>356153.73876296123</v>
      </c>
      <c r="H56" s="221">
        <f>(+G56/F56-1)*100</f>
        <v>15.194370553374581</v>
      </c>
      <c r="I56" s="223">
        <f>+'Typical Bills WATER'!G56+'Typical Bills SANITARY'!G56+'Typical Non-Res Bills SW'!I56</f>
        <v>382990.27799999999</v>
      </c>
      <c r="J56" s="221">
        <f t="shared" si="1"/>
        <v>7.5350996820223948</v>
      </c>
      <c r="K56" s="238"/>
    </row>
    <row r="57" spans="2:11" ht="15" thickTop="1" thickBot="1">
      <c r="B57" s="219">
        <f>+'Typical Bills WATER'!B57</f>
        <v>10</v>
      </c>
      <c r="C57" s="221">
        <f>+'Typical Bills WATER'!C57</f>
        <v>6000</v>
      </c>
      <c r="D57" s="222">
        <f>+'Typical Non-Res Bills SW'!D57</f>
        <v>140000</v>
      </c>
      <c r="E57" s="222">
        <f>+'Typical Non-Res Bills SW'!E57</f>
        <v>160000</v>
      </c>
      <c r="F57" s="223">
        <f>+'Typical Bills WATER'!D57+'Typical Bills SANITARY'!D57+'Typical Non-Res Bills SW'!F57</f>
        <v>559792.12</v>
      </c>
      <c r="G57" s="223">
        <f>+'Typical Bills WATER'!E57+'Typical Bills SANITARY'!E57+'Typical Non-Res Bills SW'!G57</f>
        <v>647009.42800346669</v>
      </c>
      <c r="H57" s="221">
        <f>(+G57/F57-1)*100</f>
        <v>15.580302917352018</v>
      </c>
      <c r="I57" s="223">
        <f>+'Typical Bills WATER'!G57+'Typical Bills SANITARY'!G57+'Typical Non-Res Bills SW'!I57</f>
        <v>695834.53</v>
      </c>
      <c r="J57" s="221">
        <f t="shared" si="1"/>
        <v>7.5462736527962537</v>
      </c>
      <c r="K57" s="238"/>
    </row>
    <row r="58" spans="2:11" ht="9" customHeight="1" thickTop="1">
      <c r="B58" s="465"/>
      <c r="C58" s="465"/>
      <c r="D58" s="465"/>
      <c r="E58" s="465"/>
      <c r="F58" s="465"/>
      <c r="G58" s="465"/>
      <c r="H58" s="465"/>
      <c r="I58" s="465"/>
      <c r="J58" s="465"/>
      <c r="K58" s="238"/>
    </row>
    <row r="59" spans="2:11">
      <c r="B59" s="300" t="s">
        <v>248</v>
      </c>
      <c r="C59" s="465"/>
      <c r="D59" s="465"/>
      <c r="E59" s="465"/>
      <c r="F59" s="465"/>
      <c r="G59" s="465"/>
      <c r="H59" s="465"/>
      <c r="I59" s="465"/>
      <c r="J59" s="465"/>
      <c r="K59" s="238"/>
    </row>
    <row r="60" spans="2:11">
      <c r="B60" s="300" t="s">
        <v>249</v>
      </c>
      <c r="C60" s="465"/>
      <c r="D60" s="465"/>
      <c r="E60" s="465"/>
      <c r="F60" s="465"/>
      <c r="G60" s="465"/>
      <c r="H60" s="465"/>
      <c r="I60" s="465"/>
      <c r="J60" s="465"/>
      <c r="K60" s="238"/>
    </row>
    <row r="61" spans="2:11">
      <c r="B61" s="315" t="str">
        <f>"(b) The FY 2025 figures reflect the existing base and current TAP-R rates, of $"&amp;FIXED('Water Charges'!$D$42,2,TRUE)&amp;"/Mcf for water and $"&amp;FIXED('Wastewater Charges'!$E$45,2,TRUE)&amp;"/Mcf for sewer. "</f>
        <v xml:space="preserve">(b) The FY 2025 figures reflect the existing base and current TAP-R rates, of $3.08/Mcf for water and $4.40/Mcf for sewer. </v>
      </c>
      <c r="C61" s="465"/>
      <c r="D61" s="465"/>
      <c r="E61" s="465"/>
      <c r="F61" s="465"/>
      <c r="G61" s="465"/>
      <c r="H61" s="465"/>
      <c r="I61" s="465"/>
      <c r="J61" s="465"/>
      <c r="K61" s="238"/>
    </row>
    <row r="62" spans="2:11">
      <c r="B62" s="466" t="str">
        <f>"(c) FY 2026 and FY 2027 figures reflect the proposed base and TAP-R rates, of $"&amp;FIXED('Water Charges'!$E$42,2,TRUE)&amp;"/Mcf for water and $"&amp;FIXED('Wastewater Charges'!$F$45,2,TRUE)&amp;"/Mcf for sewer."</f>
        <v>(c) FY 2026 and FY 2027 figures reflect the proposed base and TAP-R rates, of $3.87/Mcf for water and $5.67/Mcf for sewer.</v>
      </c>
      <c r="C62" s="465"/>
      <c r="D62" s="465"/>
      <c r="E62" s="465"/>
      <c r="F62" s="465"/>
      <c r="G62" s="465"/>
      <c r="H62" s="465"/>
      <c r="I62" s="465"/>
      <c r="J62" s="465"/>
      <c r="K62" s="238"/>
    </row>
    <row r="63" spans="2:11">
      <c r="B63" s="315" t="s">
        <v>284</v>
      </c>
      <c r="C63" s="465"/>
      <c r="D63" s="465"/>
      <c r="E63" s="465"/>
      <c r="F63" s="465"/>
      <c r="G63" s="465"/>
      <c r="H63" s="465"/>
      <c r="I63" s="465"/>
      <c r="J63" s="465"/>
      <c r="K63" s="238"/>
    </row>
    <row r="64" spans="2:11">
      <c r="B64" s="315" t="s">
        <v>238</v>
      </c>
      <c r="C64" s="465"/>
      <c r="D64" s="465"/>
      <c r="E64" s="465"/>
      <c r="F64" s="465"/>
      <c r="G64" s="465"/>
      <c r="H64" s="465"/>
      <c r="I64" s="465"/>
      <c r="J64" s="465"/>
      <c r="K64" s="238"/>
    </row>
    <row r="65" spans="2:11">
      <c r="B65" s="315"/>
      <c r="C65" s="465"/>
      <c r="D65" s="465"/>
      <c r="E65" s="465"/>
      <c r="F65" s="465"/>
      <c r="G65" s="465"/>
      <c r="H65" s="465"/>
      <c r="I65" s="465"/>
      <c r="J65" s="465"/>
      <c r="K65" s="238"/>
    </row>
    <row r="66" spans="2:11">
      <c r="B66" s="300" t="s">
        <v>146</v>
      </c>
      <c r="C66" s="465"/>
      <c r="D66" s="465"/>
      <c r="E66" s="465"/>
      <c r="F66" s="465"/>
      <c r="G66" s="465"/>
      <c r="H66" s="465"/>
      <c r="I66" s="465"/>
      <c r="J66" s="465"/>
      <c r="K66" s="238"/>
    </row>
    <row r="67" spans="2:11">
      <c r="B67" s="300" t="s">
        <v>212</v>
      </c>
      <c r="C67" s="465"/>
      <c r="D67" s="465"/>
      <c r="E67" s="465"/>
      <c r="F67" s="465"/>
      <c r="G67" s="465"/>
      <c r="H67" s="465"/>
      <c r="I67" s="465"/>
      <c r="J67" s="465"/>
      <c r="K67" s="238"/>
    </row>
    <row r="68" spans="2:11" ht="14.5">
      <c r="B68" s="64"/>
    </row>
    <row r="69" spans="2:11" ht="14.5">
      <c r="B69" s="64"/>
    </row>
    <row r="70" spans="2:11" ht="14.5">
      <c r="B70" s="64"/>
    </row>
    <row r="71" spans="2:11">
      <c r="B71" s="246" t="s">
        <v>250</v>
      </c>
    </row>
    <row r="73" spans="2:11" ht="14.5">
      <c r="B73" s="51"/>
    </row>
    <row r="74" spans="2:11" ht="14.5">
      <c r="B74" s="51"/>
    </row>
  </sheetData>
  <conditionalFormatting sqref="D18:F18 D23:F23 D27:F27">
    <cfRule type="cellIs" dxfId="18" priority="70" operator="lessThan">
      <formula>0</formula>
    </cfRule>
  </conditionalFormatting>
  <conditionalFormatting sqref="D32:F32">
    <cfRule type="cellIs" dxfId="17" priority="69" operator="lessThan">
      <formula>0</formula>
    </cfRule>
  </conditionalFormatting>
  <conditionalFormatting sqref="D37:F37">
    <cfRule type="cellIs" dxfId="16" priority="68" operator="lessThan">
      <formula>0</formula>
    </cfRule>
  </conditionalFormatting>
  <conditionalFormatting sqref="D42:F42">
    <cfRule type="cellIs" dxfId="15" priority="67" operator="lessThan">
      <formula>0</formula>
    </cfRule>
  </conditionalFormatting>
  <conditionalFormatting sqref="D47:F47">
    <cfRule type="cellIs" dxfId="14" priority="66" operator="lessThan">
      <formula>0</formula>
    </cfRule>
  </conditionalFormatting>
  <conditionalFormatting sqref="D52:F52">
    <cfRule type="cellIs" dxfId="13" priority="65" operator="lessThan">
      <formula>0</formula>
    </cfRule>
  </conditionalFormatting>
  <conditionalFormatting sqref="D57:F57">
    <cfRule type="cellIs" dxfId="12" priority="64" operator="lessThan">
      <formula>0</formula>
    </cfRule>
  </conditionalFormatting>
  <hyperlinks>
    <hyperlink ref="A1" location="TOC!A1" display="TOC!A1" xr:uid="{00000000-0004-0000-0A00-000000000000}"/>
  </hyperlinks>
  <printOptions horizontalCentered="1"/>
  <pageMargins left="1" right="0.25" top="1" bottom="0.5" header="0.3" footer="0.3"/>
  <pageSetup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A59"/>
  <sheetViews>
    <sheetView workbookViewId="0">
      <selection activeCell="A31" sqref="A31"/>
    </sheetView>
  </sheetViews>
  <sheetFormatPr defaultRowHeight="14"/>
  <cols>
    <col min="4" max="4" width="9.81640625" customWidth="1"/>
    <col min="5" max="5" width="10" customWidth="1"/>
    <col min="6" max="8" width="12.54296875" customWidth="1"/>
    <col min="21" max="22" width="12.453125" customWidth="1"/>
    <col min="23" max="26" width="10" customWidth="1"/>
  </cols>
  <sheetData>
    <row r="1" spans="1:27" ht="14.5" thickBot="1">
      <c r="A1" s="239" t="s">
        <v>1</v>
      </c>
    </row>
    <row r="2" spans="1:27" ht="18">
      <c r="B2" s="1"/>
      <c r="C2" s="1"/>
      <c r="D2" s="1"/>
      <c r="E2" s="1"/>
      <c r="F2" s="1"/>
      <c r="G2" s="1"/>
      <c r="H2" s="1"/>
    </row>
    <row r="3" spans="1:27" ht="18">
      <c r="B3" s="1"/>
      <c r="C3" s="1"/>
      <c r="D3" s="1"/>
      <c r="E3" s="1"/>
      <c r="F3" s="1"/>
      <c r="G3" s="1"/>
      <c r="H3" s="1"/>
    </row>
    <row r="4" spans="1:27" ht="18">
      <c r="B4" s="111" t="s">
        <v>251</v>
      </c>
      <c r="C4" s="111"/>
      <c r="D4" s="111"/>
      <c r="E4" s="111"/>
      <c r="F4" s="111"/>
      <c r="G4" s="111"/>
      <c r="H4" s="111"/>
    </row>
    <row r="5" spans="1:27" ht="18">
      <c r="B5" s="111" t="s">
        <v>221</v>
      </c>
      <c r="C5" s="111"/>
      <c r="D5" s="111"/>
      <c r="E5" s="111"/>
      <c r="F5" s="111"/>
      <c r="G5" s="111"/>
      <c r="H5" s="111"/>
    </row>
    <row r="6" spans="1:27" ht="18">
      <c r="B6" s="472"/>
      <c r="C6" s="472"/>
      <c r="D6" s="472"/>
      <c r="E6" s="472"/>
      <c r="F6" s="472"/>
      <c r="G6" s="22"/>
      <c r="H6" s="22"/>
    </row>
    <row r="7" spans="1:27">
      <c r="B7" s="23"/>
      <c r="C7" s="23"/>
      <c r="D7" s="23"/>
      <c r="E7" s="24"/>
      <c r="F7" s="23"/>
      <c r="G7" s="23"/>
      <c r="H7" s="23"/>
      <c r="V7">
        <f>V18-U18</f>
        <v>3.84</v>
      </c>
    </row>
    <row r="8" spans="1:27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>
        <v>-4</v>
      </c>
      <c r="H8" s="32">
        <v>-5</v>
      </c>
    </row>
    <row r="9" spans="1:27" ht="15.5">
      <c r="B9" s="25"/>
      <c r="C9" s="25"/>
      <c r="D9" s="8" t="str">
        <f>Inputs!$C$4</f>
        <v>FY 2025</v>
      </c>
      <c r="E9" s="474" t="str">
        <f>Inputs!$D$4</f>
        <v>FY 2026</v>
      </c>
      <c r="F9" s="474"/>
      <c r="G9" s="474" t="str">
        <f>Inputs!$E$4</f>
        <v>FY 2027</v>
      </c>
      <c r="H9" s="474"/>
      <c r="L9" t="s">
        <v>252</v>
      </c>
      <c r="Q9" t="s">
        <v>253</v>
      </c>
      <c r="U9" t="s">
        <v>254</v>
      </c>
    </row>
    <row r="10" spans="1:27">
      <c r="B10" s="4" t="s">
        <v>222</v>
      </c>
      <c r="C10" s="4" t="s">
        <v>122</v>
      </c>
      <c r="D10" s="4" t="s">
        <v>175</v>
      </c>
      <c r="E10" s="4" t="s">
        <v>176</v>
      </c>
      <c r="F10" s="4" t="s">
        <v>223</v>
      </c>
      <c r="G10" s="4" t="s">
        <v>176</v>
      </c>
      <c r="H10" s="4" t="s">
        <v>223</v>
      </c>
    </row>
    <row r="11" spans="1:27" ht="15.5">
      <c r="B11" s="6" t="s">
        <v>225</v>
      </c>
      <c r="C11" s="6" t="s">
        <v>226</v>
      </c>
      <c r="D11" s="6" t="s">
        <v>227</v>
      </c>
      <c r="E11" s="6" t="s">
        <v>227</v>
      </c>
      <c r="F11" s="6" t="s">
        <v>228</v>
      </c>
      <c r="G11" s="6" t="s">
        <v>227</v>
      </c>
      <c r="H11" s="6" t="str">
        <f>"of "&amp;TEXT($E$9,"0")&amp;""</f>
        <v>of FY 2026</v>
      </c>
      <c r="L11" s="30">
        <v>2</v>
      </c>
      <c r="M11" s="30">
        <v>100</v>
      </c>
      <c r="N11" s="30">
        <v>2000</v>
      </c>
      <c r="O11" s="30" t="s">
        <v>255</v>
      </c>
      <c r="Q11" s="4" t="str">
        <f>Inputs!$C$4</f>
        <v>FY 2025</v>
      </c>
      <c r="R11" s="4" t="str">
        <f>Inputs!$D$4</f>
        <v>FY 2026</v>
      </c>
      <c r="S11" s="4" t="str">
        <f>Inputs!$E$4</f>
        <v>FY 2027</v>
      </c>
      <c r="U11" s="4" t="str">
        <f>Inputs!$C$4</f>
        <v>FY 2025</v>
      </c>
      <c r="V11" s="4" t="str">
        <f>Inputs!$D$4</f>
        <v>FY 2026</v>
      </c>
      <c r="W11" s="4" t="str">
        <f>Inputs!$E$4</f>
        <v>FY 2027</v>
      </c>
      <c r="X11" s="4"/>
      <c r="Y11" s="4"/>
      <c r="Z11" s="4"/>
    </row>
    <row r="12" spans="1:27">
      <c r="B12" s="4" t="s">
        <v>125</v>
      </c>
      <c r="C12" s="4" t="s">
        <v>233</v>
      </c>
      <c r="D12" s="4" t="s">
        <v>126</v>
      </c>
      <c r="E12" s="4" t="s">
        <v>126</v>
      </c>
      <c r="F12" s="4" t="s">
        <v>234</v>
      </c>
      <c r="G12" s="4" t="s">
        <v>126</v>
      </c>
      <c r="H12" s="4" t="s">
        <v>234</v>
      </c>
    </row>
    <row r="13" spans="1:27">
      <c r="B13" s="3"/>
      <c r="C13" s="3"/>
      <c r="D13" s="3"/>
      <c r="E13" s="3"/>
      <c r="F13" s="3"/>
      <c r="G13" s="3"/>
      <c r="H13" s="3"/>
    </row>
    <row r="14" spans="1:27">
      <c r="B14" s="36" t="s">
        <v>41</v>
      </c>
      <c r="C14" s="35">
        <v>0</v>
      </c>
      <c r="D14" s="27">
        <f t="shared" ref="D14:D27" si="0">+Q14+U14</f>
        <v>5.17</v>
      </c>
      <c r="E14" s="27">
        <f t="shared" ref="E14:E27" si="1">+R14+V14</f>
        <v>6.08</v>
      </c>
      <c r="F14" s="26">
        <f t="shared" ref="F14:F26" si="2">(+E14/D14-1)*100</f>
        <v>17.601547388781434</v>
      </c>
      <c r="G14" s="27">
        <f>+S14+W14</f>
        <v>6.31</v>
      </c>
      <c r="H14" s="26">
        <f>(+G14/E14-1)*100</f>
        <v>3.7828947368421018</v>
      </c>
      <c r="J14" s="199"/>
      <c r="L14" s="26">
        <f t="shared" ref="L14:L27" si="3">IF($C14&gt;L$11,L$11,$C14)</f>
        <v>0</v>
      </c>
      <c r="M14" s="26">
        <f>IF($C14&gt;M$11,M$11,$C14)-SUM($L14:L14)</f>
        <v>0</v>
      </c>
      <c r="N14" s="26">
        <f>IF($C14&gt;N$11,N$11,$C14)-SUM($L14:M14)</f>
        <v>0</v>
      </c>
      <c r="O14" s="26">
        <f>$C14-SUM($L14:N14)</f>
        <v>0</v>
      </c>
      <c r="Q14">
        <f>SUMIF('Water Charges'!$B$13:$B$24,'Typical Bills WATER'!$B14,'Water Charges'!D$13:D$24)</f>
        <v>5.17</v>
      </c>
      <c r="R14">
        <f>SUMIF('Water Charges'!$B$13:$B$24,'Typical Bills WATER'!$B14,'Water Charges'!E$13:E$24)</f>
        <v>6.08</v>
      </c>
      <c r="S14">
        <f>SUMIF('Water Charges'!$B$13:$B$24,'Typical Bills WATER'!$B14,'Water Charges'!F$13:F$24)</f>
        <v>6.31</v>
      </c>
      <c r="U14">
        <f>ROUND((SUMPRODUCT($L14:$O14,'Water Charges'!$D$48:$G$48)),2)</f>
        <v>0</v>
      </c>
      <c r="V14">
        <f>ROUND((SUMPRODUCT($L14:$O14,'Water Charges'!$D$49:$G$49)),2)</f>
        <v>0</v>
      </c>
      <c r="W14">
        <f>ROUND((SUMPRODUCT($L14:$O14,'Water Charges'!$D$50:$G$50)),2)</f>
        <v>0</v>
      </c>
      <c r="X14" s="199"/>
      <c r="Y14" s="119"/>
      <c r="Z14" s="119"/>
    </row>
    <row r="15" spans="1:27">
      <c r="B15" s="36" t="s">
        <v>41</v>
      </c>
      <c r="C15" s="35">
        <v>0.2</v>
      </c>
      <c r="D15" s="29">
        <f t="shared" si="0"/>
        <v>18.649999999999999</v>
      </c>
      <c r="E15" s="29">
        <f t="shared" si="1"/>
        <v>21.34</v>
      </c>
      <c r="F15" s="26">
        <f>(+E15/D15-1)*100</f>
        <v>14.423592493297587</v>
      </c>
      <c r="G15" s="29">
        <f t="shared" ref="G15:G27" si="4">+S15+W15</f>
        <v>22.04</v>
      </c>
      <c r="H15" s="26">
        <f t="shared" ref="H15:H57" si="5">(+G15/E15-1)*100</f>
        <v>3.2802249297094521</v>
      </c>
      <c r="L15" s="26">
        <f t="shared" si="3"/>
        <v>0.2</v>
      </c>
      <c r="M15" s="26">
        <f>IF($C15&gt;M$11,M$11,$C15)-SUM($L15:L15)</f>
        <v>0</v>
      </c>
      <c r="N15" s="26">
        <f>IF($C15&gt;N$11,N$11,$C15)-SUM($L15:M15)</f>
        <v>0</v>
      </c>
      <c r="O15" s="26">
        <f>$C15-SUM($L15:N15)</f>
        <v>0</v>
      </c>
      <c r="Q15">
        <f>SUMIF('Water Charges'!$B$13:$B$24,'Typical Bills WATER'!$B15,'Water Charges'!D$13:D$24)</f>
        <v>5.17</v>
      </c>
      <c r="R15">
        <f>SUMIF('Water Charges'!$B$13:$B$24,'Typical Bills WATER'!$B15,'Water Charges'!E$13:E$24)</f>
        <v>6.08</v>
      </c>
      <c r="S15">
        <f>SUMIF('Water Charges'!$B$13:$B$24,'Typical Bills WATER'!$B15,'Water Charges'!F$13:F$24)</f>
        <v>6.31</v>
      </c>
      <c r="U15" s="199">
        <f>ROUND((SUMPRODUCT($L15:$O15,'Water Charges'!$D$48:$G$48)),2)</f>
        <v>13.48</v>
      </c>
      <c r="V15" s="199">
        <f>ROUND((SUMPRODUCT($L15:$O15,'Water Charges'!$D$49:$G$49)),2)</f>
        <v>15.26</v>
      </c>
      <c r="W15" s="199">
        <f>ROUND((SUMPRODUCT($L15:$O15,'Water Charges'!$D$50:$G$50)),2)</f>
        <v>15.73</v>
      </c>
      <c r="Y15" s="119"/>
      <c r="Z15" s="119"/>
    </row>
    <row r="16" spans="1:27">
      <c r="B16" s="36" t="s">
        <v>41</v>
      </c>
      <c r="C16" s="35">
        <v>0.3</v>
      </c>
      <c r="D16" s="27">
        <f t="shared" si="0"/>
        <v>25.39</v>
      </c>
      <c r="E16" s="27">
        <f t="shared" si="1"/>
        <v>28.979999999999997</v>
      </c>
      <c r="F16" s="26">
        <f t="shared" si="2"/>
        <v>14.139424970460791</v>
      </c>
      <c r="G16" s="27">
        <f t="shared" si="4"/>
        <v>29.91</v>
      </c>
      <c r="H16" s="26">
        <f t="shared" si="5"/>
        <v>3.2091097308488692</v>
      </c>
      <c r="L16" s="26">
        <f t="shared" si="3"/>
        <v>0.3</v>
      </c>
      <c r="M16" s="26">
        <f>IF($C16&gt;M$11,M$11,$C16)-SUM($L16:L16)</f>
        <v>0</v>
      </c>
      <c r="N16" s="26">
        <f>IF($C16&gt;N$11,N$11,$C16)-SUM($L16:M16)</f>
        <v>0</v>
      </c>
      <c r="O16" s="26">
        <f>$C16-SUM($L16:N16)</f>
        <v>0</v>
      </c>
      <c r="Q16">
        <f>SUMIF('Water Charges'!$B$13:$B$24,'Typical Bills WATER'!$B16,'Water Charges'!D$13:D$24)</f>
        <v>5.17</v>
      </c>
      <c r="R16">
        <f>SUMIF('Water Charges'!$B$13:$B$24,'Typical Bills WATER'!$B16,'Water Charges'!E$13:E$24)</f>
        <v>6.08</v>
      </c>
      <c r="S16">
        <f>SUMIF('Water Charges'!$B$13:$B$24,'Typical Bills WATER'!$B16,'Water Charges'!F$13:F$24)</f>
        <v>6.31</v>
      </c>
      <c r="U16" s="199">
        <f>ROUND((SUMPRODUCT($L16:$O16,'Water Charges'!$D$48:$G$48)),2)</f>
        <v>20.22</v>
      </c>
      <c r="V16" s="199">
        <f>ROUND((SUMPRODUCT($L16:$O16,'Water Charges'!$D$49:$G$49)),2)</f>
        <v>22.9</v>
      </c>
      <c r="W16" s="199">
        <f>ROUND((SUMPRODUCT($L16:$O16,'Water Charges'!$D$50:$G$50)),2)</f>
        <v>23.6</v>
      </c>
      <c r="Y16" s="119"/>
      <c r="Z16" s="119"/>
      <c r="AA16" t="s">
        <v>256</v>
      </c>
    </row>
    <row r="17" spans="1:27">
      <c r="B17" s="36" t="s">
        <v>41</v>
      </c>
      <c r="C17" s="35">
        <v>0.4</v>
      </c>
      <c r="D17" s="27">
        <f t="shared" si="0"/>
        <v>32.130000000000003</v>
      </c>
      <c r="E17" s="27">
        <f t="shared" si="1"/>
        <v>36.61</v>
      </c>
      <c r="F17" s="26">
        <f>(+E17/D17-1)*100</f>
        <v>13.943355119825696</v>
      </c>
      <c r="G17" s="27">
        <f t="shared" si="4"/>
        <v>37.770000000000003</v>
      </c>
      <c r="H17" s="26">
        <f t="shared" si="5"/>
        <v>3.168533187653666</v>
      </c>
      <c r="L17" s="26">
        <f t="shared" si="3"/>
        <v>0.4</v>
      </c>
      <c r="M17" s="26">
        <f>IF($C17&gt;M$11,M$11,$C17)-SUM($L17:L17)</f>
        <v>0</v>
      </c>
      <c r="N17" s="26">
        <f>IF($C17&gt;N$11,N$11,$C17)-SUM($L17:M17)</f>
        <v>0</v>
      </c>
      <c r="O17" s="26">
        <f>$C17-SUM($L17:N17)</f>
        <v>0</v>
      </c>
      <c r="Q17">
        <f>SUMIF('Water Charges'!$B$13:$B$24,'Typical Bills WATER'!$B17,'Water Charges'!D$13:D$24)</f>
        <v>5.17</v>
      </c>
      <c r="R17">
        <f>SUMIF('Water Charges'!$B$13:$B$24,'Typical Bills WATER'!$B17,'Water Charges'!E$13:E$24)</f>
        <v>6.08</v>
      </c>
      <c r="S17">
        <f>SUMIF('Water Charges'!$B$13:$B$24,'Typical Bills WATER'!$B17,'Water Charges'!F$13:F$24)</f>
        <v>6.31</v>
      </c>
      <c r="U17" s="199">
        <f>ROUND((SUMPRODUCT($L17:$O17,'Water Charges'!$D$48:$G$48)),2)</f>
        <v>26.96</v>
      </c>
      <c r="V17" s="199">
        <f>ROUND((SUMPRODUCT($L17:$O17,'Water Charges'!$D$49:$G$49)),2)</f>
        <v>30.53</v>
      </c>
      <c r="W17" s="199">
        <f>ROUND((SUMPRODUCT($L17:$O17,'Water Charges'!$D$50:$G$50)),2)</f>
        <v>31.46</v>
      </c>
      <c r="Y17" s="119"/>
      <c r="Z17" s="119"/>
    </row>
    <row r="18" spans="1:27">
      <c r="A18" s="106"/>
      <c r="B18" s="107" t="s">
        <v>41</v>
      </c>
      <c r="C18" s="265">
        <v>0.43</v>
      </c>
      <c r="D18" s="108">
        <f t="shared" si="0"/>
        <v>34.15</v>
      </c>
      <c r="E18" s="108">
        <f t="shared" si="1"/>
        <v>38.9</v>
      </c>
      <c r="F18" s="109">
        <f t="shared" si="2"/>
        <v>13.909224011713039</v>
      </c>
      <c r="G18" s="108">
        <f t="shared" si="4"/>
        <v>40.130000000000003</v>
      </c>
      <c r="H18" s="109">
        <f t="shared" si="5"/>
        <v>3.161953727506428</v>
      </c>
      <c r="I18" s="106"/>
      <c r="J18" s="106"/>
      <c r="K18" s="106"/>
      <c r="L18" s="110">
        <f t="shared" si="3"/>
        <v>0.43</v>
      </c>
      <c r="M18" s="110">
        <f>IF($C18&gt;M$11,M$11,$C18)-SUM($L18:L18)</f>
        <v>0</v>
      </c>
      <c r="N18" s="110">
        <f>IF($C18&gt;N$11,N$11,$C18)-SUM($L18:M18)</f>
        <v>0</v>
      </c>
      <c r="O18" s="110">
        <f>$C18-SUM($L18:N18)</f>
        <v>0</v>
      </c>
      <c r="P18" s="106"/>
      <c r="Q18" s="106">
        <f>SUMIF('Water Charges'!$B$13:$B$24,'Typical Bills WATER'!$B18,'Water Charges'!D$13:D$24)</f>
        <v>5.17</v>
      </c>
      <c r="R18" s="106">
        <f>SUMIF('Water Charges'!$B$13:$B$24,'Typical Bills WATER'!$B18,'Water Charges'!E$13:E$24)</f>
        <v>6.08</v>
      </c>
      <c r="S18" s="106">
        <f>SUMIF('Water Charges'!$B$13:$B$24,'Typical Bills WATER'!$B18,'Water Charges'!F$13:F$24)</f>
        <v>6.31</v>
      </c>
      <c r="T18" s="106"/>
      <c r="U18" s="200">
        <f>ROUND((SUMPRODUCT($L18:$O18,'Water Charges'!$D$48:$G$48)),2)</f>
        <v>28.98</v>
      </c>
      <c r="V18" s="200">
        <f>ROUND((SUMPRODUCT($L18:$O18,'Water Charges'!$D$49:$G$49)),2)</f>
        <v>32.82</v>
      </c>
      <c r="W18" s="200">
        <f>ROUND((SUMPRODUCT($L18:$O18,'Water Charges'!$D$50:$G$50)),2)</f>
        <v>33.82</v>
      </c>
      <c r="X18" s="106"/>
      <c r="Y18" s="120"/>
      <c r="Z18" s="120"/>
      <c r="AA18" t="s">
        <v>257</v>
      </c>
    </row>
    <row r="19" spans="1:27">
      <c r="B19" s="36" t="s">
        <v>41</v>
      </c>
      <c r="C19" s="35">
        <v>0.5</v>
      </c>
      <c r="D19" s="27">
        <f t="shared" ref="D19:E21" si="6">+Q19+U19</f>
        <v>38.870000000000005</v>
      </c>
      <c r="E19" s="27">
        <f t="shared" si="6"/>
        <v>44.239999999999995</v>
      </c>
      <c r="F19" s="26">
        <f>(+E19/D19-1)*100</f>
        <v>13.815281708258276</v>
      </c>
      <c r="G19" s="27">
        <f t="shared" si="4"/>
        <v>45.64</v>
      </c>
      <c r="H19" s="26">
        <f t="shared" si="5"/>
        <v>3.1645569620253333</v>
      </c>
      <c r="L19" s="26">
        <f>IF($C19&gt;L$11,L$11,$C19)</f>
        <v>0.5</v>
      </c>
      <c r="M19" s="26">
        <f>IF($C19&gt;M$11,M$11,$C19)-SUM($L19:L19)</f>
        <v>0</v>
      </c>
      <c r="N19" s="26">
        <f>IF($C19&gt;N$11,N$11,$C19)-SUM($L19:M19)</f>
        <v>0</v>
      </c>
      <c r="O19" s="26">
        <f>$C19-SUM($L19:N19)</f>
        <v>0</v>
      </c>
      <c r="Q19">
        <f>SUMIF('Water Charges'!$B$13:$B$24,'Typical Bills WATER'!$B19,'Water Charges'!D$13:D$24)</f>
        <v>5.17</v>
      </c>
      <c r="R19">
        <f>SUMIF('Water Charges'!$B$13:$B$24,'Typical Bills WATER'!$B19,'Water Charges'!E$13:E$24)</f>
        <v>6.08</v>
      </c>
      <c r="S19">
        <f>SUMIF('Water Charges'!$B$13:$B$24,'Typical Bills WATER'!$B19,'Water Charges'!F$13:F$24)</f>
        <v>6.31</v>
      </c>
      <c r="U19" s="199">
        <f>ROUND((SUMPRODUCT($L19:$O19,'Water Charges'!$D$48:$G$48)),2)</f>
        <v>33.700000000000003</v>
      </c>
      <c r="V19" s="199">
        <f>ROUND((SUMPRODUCT($L19:$O19,'Water Charges'!$D$49:$G$49)),2)</f>
        <v>38.159999999999997</v>
      </c>
      <c r="W19" s="199">
        <f>ROUND((SUMPRODUCT($L19:$O19,'Water Charges'!$D$50:$G$50)),2)</f>
        <v>39.33</v>
      </c>
      <c r="Y19" s="119"/>
      <c r="Z19" s="119"/>
    </row>
    <row r="20" spans="1:27">
      <c r="B20" s="36" t="s">
        <v>41</v>
      </c>
      <c r="C20" s="269">
        <v>0.55000000000000004</v>
      </c>
      <c r="D20" s="27">
        <f t="shared" si="6"/>
        <v>42.24</v>
      </c>
      <c r="E20" s="27">
        <f t="shared" si="6"/>
        <v>48.059999999999995</v>
      </c>
      <c r="F20" s="26">
        <f>(+E20/D20-1)*100</f>
        <v>13.778409090909083</v>
      </c>
      <c r="G20" s="27">
        <f t="shared" ref="G20" si="7">+S20+W20</f>
        <v>49.57</v>
      </c>
      <c r="H20" s="26">
        <f t="shared" ref="H20" si="8">(+G20/E20-1)*100</f>
        <v>3.1419059508947189</v>
      </c>
      <c r="L20" s="26">
        <f>IF($C20&gt;L$11,L$11,$C20)</f>
        <v>0.55000000000000004</v>
      </c>
      <c r="M20" s="26">
        <f>IF($C20&gt;M$11,M$11,$C20)-SUM($L20:L20)</f>
        <v>0</v>
      </c>
      <c r="N20" s="26">
        <f>IF($C20&gt;N$11,N$11,$C20)-SUM($L20:M20)</f>
        <v>0</v>
      </c>
      <c r="O20" s="26">
        <f>$C20-SUM($L20:N20)</f>
        <v>0</v>
      </c>
      <c r="Q20">
        <f>SUMIF('Water Charges'!$B$13:$B$24,'Typical Bills WATER'!$B20,'Water Charges'!D$13:D$24)</f>
        <v>5.17</v>
      </c>
      <c r="R20">
        <f>SUMIF('Water Charges'!$B$13:$B$24,'Typical Bills WATER'!$B20,'Water Charges'!E$13:E$24)</f>
        <v>6.08</v>
      </c>
      <c r="S20">
        <f>SUMIF('Water Charges'!$B$13:$B$24,'Typical Bills WATER'!$B20,'Water Charges'!F$13:F$24)</f>
        <v>6.31</v>
      </c>
      <c r="U20" s="199">
        <f>ROUND((SUMPRODUCT($L20:$O20,'Water Charges'!$D$48:$G$48)),2)</f>
        <v>37.07</v>
      </c>
      <c r="V20" s="199">
        <f>ROUND((SUMPRODUCT($L20:$O20,'Water Charges'!$D$49:$G$49)),2)</f>
        <v>41.98</v>
      </c>
      <c r="W20" s="199">
        <f>ROUND((SUMPRODUCT($L20:$O20,'Water Charges'!$D$50:$G$50)),2)</f>
        <v>43.26</v>
      </c>
      <c r="Y20" s="119"/>
      <c r="Z20" s="119"/>
    </row>
    <row r="21" spans="1:27">
      <c r="B21" s="36" t="s">
        <v>41</v>
      </c>
      <c r="C21" s="35">
        <v>0.6</v>
      </c>
      <c r="D21" s="27">
        <f t="shared" si="6"/>
        <v>45.61</v>
      </c>
      <c r="E21" s="27">
        <f t="shared" si="6"/>
        <v>51.87</v>
      </c>
      <c r="F21" s="26">
        <f>(+E21/D21-1)*100</f>
        <v>13.72506029379521</v>
      </c>
      <c r="G21" s="27">
        <f t="shared" si="4"/>
        <v>53.510000000000005</v>
      </c>
      <c r="H21" s="26">
        <f t="shared" si="5"/>
        <v>3.1617505301716031</v>
      </c>
      <c r="L21" s="26">
        <f>IF($C21&gt;L$11,L$11,$C21)</f>
        <v>0.6</v>
      </c>
      <c r="M21" s="26">
        <f>IF($C21&gt;M$11,M$11,$C21)-SUM($L21:L21)</f>
        <v>0</v>
      </c>
      <c r="N21" s="26">
        <f>IF($C21&gt;N$11,N$11,$C21)-SUM($L21:M21)</f>
        <v>0</v>
      </c>
      <c r="O21" s="26">
        <f>$C21-SUM($L21:N21)</f>
        <v>0</v>
      </c>
      <c r="Q21">
        <f>SUMIF('Water Charges'!$B$13:$B$24,'Typical Bills WATER'!$B21,'Water Charges'!D$13:D$24)</f>
        <v>5.17</v>
      </c>
      <c r="R21">
        <f>SUMIF('Water Charges'!$B$13:$B$24,'Typical Bills WATER'!$B21,'Water Charges'!E$13:E$24)</f>
        <v>6.08</v>
      </c>
      <c r="S21">
        <f>SUMIF('Water Charges'!$B$13:$B$24,'Typical Bills WATER'!$B21,'Water Charges'!F$13:F$24)</f>
        <v>6.31</v>
      </c>
      <c r="U21" s="199">
        <f>ROUND((SUMPRODUCT($L21:$O21,'Water Charges'!$D$48:$G$48)),2)</f>
        <v>40.44</v>
      </c>
      <c r="V21" s="199">
        <f>ROUND((SUMPRODUCT($L21:$O21,'Water Charges'!$D$49:$G$49)),2)</f>
        <v>45.79</v>
      </c>
      <c r="W21" s="199">
        <f>ROUND((SUMPRODUCT($L21:$O21,'Water Charges'!$D$50:$G$50)),2)</f>
        <v>47.2</v>
      </c>
      <c r="Y21" s="119"/>
      <c r="Z21" s="119"/>
    </row>
    <row r="22" spans="1:27">
      <c r="B22" s="36" t="s">
        <v>41</v>
      </c>
      <c r="C22" s="35">
        <v>0.7</v>
      </c>
      <c r="D22" s="27">
        <f t="shared" si="0"/>
        <v>52.35</v>
      </c>
      <c r="E22" s="27">
        <f t="shared" si="1"/>
        <v>59.5</v>
      </c>
      <c r="F22" s="26">
        <f t="shared" si="2"/>
        <v>13.658070678127988</v>
      </c>
      <c r="G22" s="27">
        <f t="shared" si="4"/>
        <v>61.370000000000005</v>
      </c>
      <c r="H22" s="26">
        <f t="shared" si="5"/>
        <v>3.1428571428571583</v>
      </c>
      <c r="L22" s="26">
        <f t="shared" si="3"/>
        <v>0.7</v>
      </c>
      <c r="M22" s="26">
        <f>IF($C22&gt;M$11,M$11,$C22)-SUM($L22:L22)</f>
        <v>0</v>
      </c>
      <c r="N22" s="26">
        <f>IF($C22&gt;N$11,N$11,$C22)-SUM($L22:M22)</f>
        <v>0</v>
      </c>
      <c r="O22" s="26">
        <f>$C22-SUM($L22:N22)</f>
        <v>0</v>
      </c>
      <c r="Q22">
        <f>SUMIF('Water Charges'!$B$13:$B$24,'Typical Bills WATER'!$B22,'Water Charges'!D$13:D$24)</f>
        <v>5.17</v>
      </c>
      <c r="R22">
        <f>SUMIF('Water Charges'!$B$13:$B$24,'Typical Bills WATER'!$B22,'Water Charges'!E$13:E$24)</f>
        <v>6.08</v>
      </c>
      <c r="S22">
        <f>SUMIF('Water Charges'!$B$13:$B$24,'Typical Bills WATER'!$B22,'Water Charges'!F$13:F$24)</f>
        <v>6.31</v>
      </c>
      <c r="U22" s="199">
        <f>ROUND((SUMPRODUCT($L22:$O22,'Water Charges'!$D$48:$G$48)),2)</f>
        <v>47.18</v>
      </c>
      <c r="V22" s="199">
        <f>ROUND((SUMPRODUCT($L22:$O22,'Water Charges'!$D$49:$G$49)),2)</f>
        <v>53.42</v>
      </c>
      <c r="W22" s="199">
        <f>ROUND((SUMPRODUCT($L22:$O22,'Water Charges'!$D$50:$G$50)),2)</f>
        <v>55.06</v>
      </c>
      <c r="Y22" s="119"/>
      <c r="Z22" s="119"/>
    </row>
    <row r="23" spans="1:27">
      <c r="B23" s="36" t="s">
        <v>41</v>
      </c>
      <c r="C23" s="35">
        <v>0.8</v>
      </c>
      <c r="D23" s="27">
        <f t="shared" si="0"/>
        <v>59.09</v>
      </c>
      <c r="E23" s="27">
        <f t="shared" si="1"/>
        <v>67.14</v>
      </c>
      <c r="F23" s="26">
        <f t="shared" si="2"/>
        <v>13.623286512100186</v>
      </c>
      <c r="G23" s="27">
        <f t="shared" si="4"/>
        <v>69.239999999999995</v>
      </c>
      <c r="H23" s="26">
        <f t="shared" si="5"/>
        <v>3.1277926720285842</v>
      </c>
      <c r="L23" s="26">
        <f t="shared" si="3"/>
        <v>0.8</v>
      </c>
      <c r="M23" s="26">
        <f>IF($C23&gt;M$11,M$11,$C23)-SUM($L23:L23)</f>
        <v>0</v>
      </c>
      <c r="N23" s="26">
        <f>IF($C23&gt;N$11,N$11,$C23)-SUM($L23:M23)</f>
        <v>0</v>
      </c>
      <c r="O23" s="26">
        <f>$C23-SUM($L23:N23)</f>
        <v>0</v>
      </c>
      <c r="Q23">
        <f>SUMIF('Water Charges'!$B$13:$B$24,'Typical Bills WATER'!$B23,'Water Charges'!D$13:D$24)</f>
        <v>5.17</v>
      </c>
      <c r="R23">
        <f>SUMIF('Water Charges'!$B$13:$B$24,'Typical Bills WATER'!$B23,'Water Charges'!E$13:E$24)</f>
        <v>6.08</v>
      </c>
      <c r="S23">
        <f>SUMIF('Water Charges'!$B$13:$B$24,'Typical Bills WATER'!$B23,'Water Charges'!F$13:F$24)</f>
        <v>6.31</v>
      </c>
      <c r="U23" s="199">
        <f>ROUND((SUMPRODUCT($L23:$O23,'Water Charges'!$D$48:$G$48)),2)</f>
        <v>53.92</v>
      </c>
      <c r="V23" s="199">
        <f>ROUND((SUMPRODUCT($L23:$O23,'Water Charges'!$D$49:$G$49)),2)</f>
        <v>61.06</v>
      </c>
      <c r="W23" s="199">
        <f>ROUND((SUMPRODUCT($L23:$O23,'Water Charges'!$D$50:$G$50)),2)</f>
        <v>62.93</v>
      </c>
      <c r="Y23" s="119"/>
      <c r="Z23" s="119"/>
    </row>
    <row r="24" spans="1:27">
      <c r="B24" s="36" t="s">
        <v>41</v>
      </c>
      <c r="C24" s="35">
        <v>1.7</v>
      </c>
      <c r="D24" s="27">
        <f t="shared" si="0"/>
        <v>119.75</v>
      </c>
      <c r="E24" s="27">
        <f t="shared" si="1"/>
        <v>135.82000000000002</v>
      </c>
      <c r="F24" s="26">
        <f t="shared" si="2"/>
        <v>13.419624217119019</v>
      </c>
      <c r="G24" s="27">
        <f t="shared" si="4"/>
        <v>140.03</v>
      </c>
      <c r="H24" s="26">
        <f t="shared" si="5"/>
        <v>3.0996907671918539</v>
      </c>
      <c r="L24" s="26">
        <f t="shared" si="3"/>
        <v>1.7</v>
      </c>
      <c r="M24" s="26">
        <f>IF($C24&gt;M$11,M$11,$C24)-SUM($L24:L24)</f>
        <v>0</v>
      </c>
      <c r="N24" s="26">
        <f>IF($C24&gt;N$11,N$11,$C24)-SUM($L24:M24)</f>
        <v>0</v>
      </c>
      <c r="O24" s="26">
        <f>$C24-SUM($L24:N24)</f>
        <v>0</v>
      </c>
      <c r="Q24">
        <f>SUMIF('Water Charges'!$B$13:$B$24,'Typical Bills WATER'!$B24,'Water Charges'!D$13:D$24)</f>
        <v>5.17</v>
      </c>
      <c r="R24">
        <f>SUMIF('Water Charges'!$B$13:$B$24,'Typical Bills WATER'!$B24,'Water Charges'!E$13:E$24)</f>
        <v>6.08</v>
      </c>
      <c r="S24">
        <f>SUMIF('Water Charges'!$B$13:$B$24,'Typical Bills WATER'!$B24,'Water Charges'!F$13:F$24)</f>
        <v>6.31</v>
      </c>
      <c r="U24" s="199">
        <f>ROUND((SUMPRODUCT($L24:$O24,'Water Charges'!$D$48:$G$48)),2)</f>
        <v>114.58</v>
      </c>
      <c r="V24" s="199">
        <f>ROUND((SUMPRODUCT($L24:$O24,'Water Charges'!$D$49:$G$49)),2)</f>
        <v>129.74</v>
      </c>
      <c r="W24" s="199">
        <f>ROUND((SUMPRODUCT($L24:$O24,'Water Charges'!$D$50:$G$50)),2)</f>
        <v>133.72</v>
      </c>
      <c r="Y24" s="119"/>
      <c r="Z24" s="119"/>
    </row>
    <row r="25" spans="1:27">
      <c r="B25" s="36" t="s">
        <v>41</v>
      </c>
      <c r="C25" s="35">
        <v>2.7</v>
      </c>
      <c r="D25" s="27">
        <f t="shared" si="0"/>
        <v>182.64</v>
      </c>
      <c r="E25" s="27">
        <f t="shared" si="1"/>
        <v>206.76000000000002</v>
      </c>
      <c r="F25" s="26">
        <f t="shared" si="2"/>
        <v>13.206307490144575</v>
      </c>
      <c r="G25" s="27">
        <f t="shared" si="4"/>
        <v>215.54</v>
      </c>
      <c r="H25" s="26">
        <f t="shared" si="5"/>
        <v>4.2464693364286932</v>
      </c>
      <c r="L25" s="26">
        <f t="shared" si="3"/>
        <v>2</v>
      </c>
      <c r="M25" s="26">
        <f>IF($C25&gt;M$11,M$11,$C25)-SUM($L25:L25)</f>
        <v>0.70000000000000018</v>
      </c>
      <c r="N25" s="26">
        <f>IF($C25&gt;N$11,N$11,$C25)-SUM($L25:M25)</f>
        <v>0</v>
      </c>
      <c r="O25" s="26">
        <f>$C25-SUM($L25:N25)</f>
        <v>0</v>
      </c>
      <c r="Q25">
        <f>SUMIF('Water Charges'!$B$13:$B$24,'Typical Bills WATER'!$B25,'Water Charges'!D$13:D$24)</f>
        <v>5.17</v>
      </c>
      <c r="R25">
        <f>SUMIF('Water Charges'!$B$13:$B$24,'Typical Bills WATER'!$B25,'Water Charges'!E$13:E$24)</f>
        <v>6.08</v>
      </c>
      <c r="S25">
        <f>SUMIF('Water Charges'!$B$13:$B$24,'Typical Bills WATER'!$B25,'Water Charges'!F$13:F$24)</f>
        <v>6.31</v>
      </c>
      <c r="U25" s="199">
        <f>ROUND((SUMPRODUCT($L25:$O25,'Water Charges'!$D$48:$G$48)),2)</f>
        <v>177.47</v>
      </c>
      <c r="V25" s="199">
        <f>ROUND((SUMPRODUCT($L25:$O25,'Water Charges'!$D$49:$G$49)),2)</f>
        <v>200.68</v>
      </c>
      <c r="W25" s="199">
        <f>ROUND((SUMPRODUCT($L25:$O25,'Water Charges'!$D$50:$G$50)),2)</f>
        <v>209.23</v>
      </c>
      <c r="Y25" s="119"/>
      <c r="Z25" s="119"/>
    </row>
    <row r="26" spans="1:27">
      <c r="B26" s="36" t="s">
        <v>41</v>
      </c>
      <c r="C26" s="35">
        <v>3.3</v>
      </c>
      <c r="D26" s="27">
        <f t="shared" si="0"/>
        <v>219.22</v>
      </c>
      <c r="E26" s="27">
        <f t="shared" si="1"/>
        <v>247.94000000000003</v>
      </c>
      <c r="F26" s="26">
        <f t="shared" si="2"/>
        <v>13.100994434814361</v>
      </c>
      <c r="G26" s="27">
        <f t="shared" si="4"/>
        <v>260.02999999999997</v>
      </c>
      <c r="H26" s="26">
        <f t="shared" si="5"/>
        <v>4.8761797209001978</v>
      </c>
      <c r="L26" s="26">
        <f t="shared" si="3"/>
        <v>2</v>
      </c>
      <c r="M26" s="26">
        <f>IF($C26&gt;M$11,M$11,$C26)-SUM($L26:L26)</f>
        <v>1.2999999999999998</v>
      </c>
      <c r="N26" s="26">
        <f>IF($C26&gt;N$11,N$11,$C26)-SUM($L26:M26)</f>
        <v>0</v>
      </c>
      <c r="O26" s="26">
        <f>$C26-SUM($L26:N26)</f>
        <v>0</v>
      </c>
      <c r="Q26">
        <f>SUMIF('Water Charges'!$B$13:$B$24,'Typical Bills WATER'!$B26,'Water Charges'!D$13:D$24)</f>
        <v>5.17</v>
      </c>
      <c r="R26">
        <f>SUMIF('Water Charges'!$B$13:$B$24,'Typical Bills WATER'!$B26,'Water Charges'!E$13:E$24)</f>
        <v>6.08</v>
      </c>
      <c r="S26">
        <f>SUMIF('Water Charges'!$B$13:$B$24,'Typical Bills WATER'!$B26,'Water Charges'!F$13:F$24)</f>
        <v>6.31</v>
      </c>
      <c r="U26" s="199">
        <f>ROUND((SUMPRODUCT($L26:$O26,'Water Charges'!$D$48:$G$48)),2)</f>
        <v>214.05</v>
      </c>
      <c r="V26" s="199">
        <f>ROUND((SUMPRODUCT($L26:$O26,'Water Charges'!$D$49:$G$49)),2)</f>
        <v>241.86</v>
      </c>
      <c r="W26" s="199">
        <f>ROUND((SUMPRODUCT($L26:$O26,'Water Charges'!$D$50:$G$50)),2)</f>
        <v>253.72</v>
      </c>
      <c r="Y26" s="119"/>
      <c r="Z26" s="119"/>
    </row>
    <row r="27" spans="1:27">
      <c r="B27" s="36" t="s">
        <v>41</v>
      </c>
      <c r="C27" s="35">
        <v>11</v>
      </c>
      <c r="D27" s="27">
        <f t="shared" si="0"/>
        <v>688.61</v>
      </c>
      <c r="E27" s="27">
        <f t="shared" si="1"/>
        <v>776.39</v>
      </c>
      <c r="F27" s="26">
        <f>(+E27/D27-1)*100</f>
        <v>12.747418713059645</v>
      </c>
      <c r="G27" s="27">
        <f t="shared" si="4"/>
        <v>830.9799999999999</v>
      </c>
      <c r="H27" s="26">
        <f t="shared" si="5"/>
        <v>7.0312600625973998</v>
      </c>
      <c r="L27" s="26">
        <f t="shared" si="3"/>
        <v>2</v>
      </c>
      <c r="M27" s="26">
        <f>IF($C27&gt;M$11,M$11,$C27)-SUM($L27:L27)</f>
        <v>9</v>
      </c>
      <c r="N27" s="26">
        <f>IF($C27&gt;N$11,N$11,$C27)-SUM($L27:M27)</f>
        <v>0</v>
      </c>
      <c r="O27" s="26">
        <f>$C27-SUM($L27:N27)</f>
        <v>0</v>
      </c>
      <c r="Q27">
        <f>SUMIF('Water Charges'!$B$13:$B$24,'Typical Bills WATER'!$B27,'Water Charges'!D$13:D$24)</f>
        <v>5.17</v>
      </c>
      <c r="R27">
        <f>SUMIF('Water Charges'!$B$13:$B$24,'Typical Bills WATER'!$B27,'Water Charges'!E$13:E$24)</f>
        <v>6.08</v>
      </c>
      <c r="S27">
        <f>SUMIF('Water Charges'!$B$13:$B$24,'Typical Bills WATER'!$B27,'Water Charges'!F$13:F$24)</f>
        <v>6.31</v>
      </c>
      <c r="U27" s="199">
        <f>ROUND((SUMPRODUCT($L27:$O27,'Water Charges'!$D$48:$G$48)),2)</f>
        <v>683.44</v>
      </c>
      <c r="V27" s="199">
        <f>ROUND((SUMPRODUCT($L27:$O27,'Water Charges'!$D$49:$G$49)),2)</f>
        <v>770.31</v>
      </c>
      <c r="W27" s="199">
        <f>ROUND((SUMPRODUCT($L27:$O27,'Water Charges'!$D$50:$G$50)),2)</f>
        <v>824.67</v>
      </c>
      <c r="Y27" s="119"/>
      <c r="Z27" s="119"/>
    </row>
    <row r="28" spans="1:27">
      <c r="B28" s="9"/>
      <c r="C28" s="3"/>
      <c r="D28" s="27"/>
      <c r="E28" s="27"/>
      <c r="F28" s="31"/>
      <c r="G28" s="27"/>
      <c r="H28" s="31"/>
    </row>
    <row r="29" spans="1:27">
      <c r="B29" s="36">
        <v>1</v>
      </c>
      <c r="C29" s="35">
        <v>1.7</v>
      </c>
      <c r="D29" s="27">
        <f t="shared" ref="D29:E32" si="9">+Q29+U29</f>
        <v>121.77</v>
      </c>
      <c r="E29" s="27">
        <f t="shared" si="9"/>
        <v>139.16</v>
      </c>
      <c r="F29" s="26">
        <f>(+E29/D29-1)*100</f>
        <v>14.281021598094767</v>
      </c>
      <c r="G29" s="27">
        <f t="shared" ref="G29:G57" si="10">+S29+W29</f>
        <v>143.54</v>
      </c>
      <c r="H29" s="26">
        <f t="shared" si="5"/>
        <v>3.1474561655648214</v>
      </c>
      <c r="L29" s="26">
        <f>IF($C29&gt;L$11,L$11,$C29)</f>
        <v>1.7</v>
      </c>
      <c r="M29" s="26">
        <f>IF($C29&gt;M$11,M$11,$C29)-SUM($L29:L29)</f>
        <v>0</v>
      </c>
      <c r="N29" s="26">
        <f>IF($C29&gt;N$11,N$11,$C29)-SUM($L29:M29)</f>
        <v>0</v>
      </c>
      <c r="O29" s="26">
        <f>$C29-SUM($L29:N29)</f>
        <v>0</v>
      </c>
      <c r="Q29">
        <f>SUMIF('Water Charges'!$B$13:$B$24,'Typical Bills WATER'!$B29,'Water Charges'!D$13:D$24)</f>
        <v>7.19</v>
      </c>
      <c r="R29">
        <f>SUMIF('Water Charges'!$B$13:$B$24,'Typical Bills WATER'!$B29,'Water Charges'!E$13:E$24)</f>
        <v>9.42</v>
      </c>
      <c r="S29">
        <f>SUMIF('Water Charges'!$B$13:$B$24,'Typical Bills WATER'!$B29,'Water Charges'!F$13:F$24)</f>
        <v>9.82</v>
      </c>
      <c r="U29">
        <f>ROUND((SUMPRODUCT($L29:$O29,'Water Charges'!$D$48:$G$48)),2)</f>
        <v>114.58</v>
      </c>
      <c r="V29">
        <f>ROUND((SUMPRODUCT($L29:$O29,'Water Charges'!$D$49:$G$49)),2)</f>
        <v>129.74</v>
      </c>
      <c r="W29" s="199">
        <f>ROUND((SUMPRODUCT($L29:$O29,'Water Charges'!$D$50:$G$50)),2)</f>
        <v>133.72</v>
      </c>
      <c r="Y29" s="119"/>
      <c r="Z29" s="119"/>
    </row>
    <row r="30" spans="1:27">
      <c r="B30" s="36">
        <v>1</v>
      </c>
      <c r="C30" s="35">
        <v>5</v>
      </c>
      <c r="D30" s="27">
        <f t="shared" si="9"/>
        <v>324.87</v>
      </c>
      <c r="E30" s="27">
        <f t="shared" si="9"/>
        <v>367.95</v>
      </c>
      <c r="F30" s="26">
        <f>(+E30/D30-1)*100</f>
        <v>13.260688890940987</v>
      </c>
      <c r="G30" s="27">
        <f t="shared" si="10"/>
        <v>389.59</v>
      </c>
      <c r="H30" s="26">
        <f t="shared" si="5"/>
        <v>5.8812338632966421</v>
      </c>
      <c r="L30" s="26">
        <f>IF($C30&gt;L$11,L$11,$C30)</f>
        <v>2</v>
      </c>
      <c r="M30" s="26">
        <f>IF($C30&gt;M$11,M$11,$C30)-SUM($L30:L30)</f>
        <v>3</v>
      </c>
      <c r="N30" s="26">
        <f>IF($C30&gt;N$11,N$11,$C30)-SUM($L30:M30)</f>
        <v>0</v>
      </c>
      <c r="O30" s="26">
        <f>$C30-SUM($L30:N30)</f>
        <v>0</v>
      </c>
      <c r="Q30">
        <f>SUMIF('Water Charges'!$B$13:$B$24,'Typical Bills WATER'!$B30,'Water Charges'!D$13:D$24)</f>
        <v>7.19</v>
      </c>
      <c r="R30">
        <f>SUMIF('Water Charges'!$B$13:$B$24,'Typical Bills WATER'!$B30,'Water Charges'!E$13:E$24)</f>
        <v>9.42</v>
      </c>
      <c r="S30">
        <f>SUMIF('Water Charges'!$B$13:$B$24,'Typical Bills WATER'!$B30,'Water Charges'!F$13:F$24)</f>
        <v>9.82</v>
      </c>
      <c r="U30">
        <f>ROUND((SUMPRODUCT($L30:$O30,'Water Charges'!$D$48:$G$48)),2)</f>
        <v>317.68</v>
      </c>
      <c r="V30">
        <f>ROUND((SUMPRODUCT($L30:$O30,'Water Charges'!$D$49:$G$49)),2)</f>
        <v>358.53</v>
      </c>
      <c r="W30" s="199">
        <f>ROUND((SUMPRODUCT($L30:$O30,'Water Charges'!$D$50:$G$50)),2)</f>
        <v>379.77</v>
      </c>
      <c r="Y30" s="119"/>
      <c r="Z30" s="119"/>
    </row>
    <row r="31" spans="1:27">
      <c r="B31" s="36">
        <v>1</v>
      </c>
      <c r="C31" s="35">
        <v>8</v>
      </c>
      <c r="D31" s="27">
        <f t="shared" si="9"/>
        <v>507.75</v>
      </c>
      <c r="E31" s="27">
        <f t="shared" si="9"/>
        <v>573.83999999999992</v>
      </c>
      <c r="F31" s="26">
        <f>(+E31/D31-1)*100</f>
        <v>13.016248153618882</v>
      </c>
      <c r="G31" s="27">
        <f t="shared" si="10"/>
        <v>612.04000000000008</v>
      </c>
      <c r="H31" s="26">
        <f t="shared" si="5"/>
        <v>6.6569078488777578</v>
      </c>
      <c r="L31" s="26">
        <f>IF($C31&gt;L$11,L$11,$C31)</f>
        <v>2</v>
      </c>
      <c r="M31" s="26">
        <f>IF($C31&gt;M$11,M$11,$C31)-SUM($L31:L31)</f>
        <v>6</v>
      </c>
      <c r="N31" s="26">
        <f>IF($C31&gt;N$11,N$11,$C31)-SUM($L31:M31)</f>
        <v>0</v>
      </c>
      <c r="O31" s="26">
        <f>$C31-SUM($L31:N31)</f>
        <v>0</v>
      </c>
      <c r="Q31">
        <f>SUMIF('Water Charges'!$B$13:$B$24,'Typical Bills WATER'!$B31,'Water Charges'!D$13:D$24)</f>
        <v>7.19</v>
      </c>
      <c r="R31">
        <f>SUMIF('Water Charges'!$B$13:$B$24,'Typical Bills WATER'!$B31,'Water Charges'!E$13:E$24)</f>
        <v>9.42</v>
      </c>
      <c r="S31">
        <f>SUMIF('Water Charges'!$B$13:$B$24,'Typical Bills WATER'!$B31,'Water Charges'!F$13:F$24)</f>
        <v>9.82</v>
      </c>
      <c r="U31">
        <f>ROUND((SUMPRODUCT($L31:$O31,'Water Charges'!$D$48:$G$48)),2)</f>
        <v>500.56</v>
      </c>
      <c r="V31">
        <f>ROUND((SUMPRODUCT($L31:$O31,'Water Charges'!$D$49:$G$49)),2)</f>
        <v>564.41999999999996</v>
      </c>
      <c r="W31" s="199">
        <f>ROUND((SUMPRODUCT($L31:$O31,'Water Charges'!$D$50:$G$50)),2)</f>
        <v>602.22</v>
      </c>
      <c r="Y31" s="119"/>
      <c r="Z31" s="119"/>
    </row>
    <row r="32" spans="1:27">
      <c r="B32" s="36">
        <v>1</v>
      </c>
      <c r="C32" s="35">
        <v>17</v>
      </c>
      <c r="D32" s="27">
        <f t="shared" si="9"/>
        <v>1056.3900000000001</v>
      </c>
      <c r="E32" s="27">
        <f t="shared" si="9"/>
        <v>1191.51</v>
      </c>
      <c r="F32" s="26">
        <f>(+E32/D32-1)*100</f>
        <v>12.790730696049746</v>
      </c>
      <c r="G32" s="27">
        <f t="shared" si="10"/>
        <v>1279.3899999999999</v>
      </c>
      <c r="H32" s="26">
        <f t="shared" si="5"/>
        <v>7.3755151026848154</v>
      </c>
      <c r="L32" s="26">
        <f>IF($C32&gt;L$11,L$11,$C32)</f>
        <v>2</v>
      </c>
      <c r="M32" s="26">
        <f>IF($C32&gt;M$11,M$11,$C32)-SUM($L32:L32)</f>
        <v>15</v>
      </c>
      <c r="N32" s="26">
        <f>IF($C32&gt;N$11,N$11,$C32)-SUM($L32:M32)</f>
        <v>0</v>
      </c>
      <c r="O32" s="26">
        <f>$C32-SUM($L32:N32)</f>
        <v>0</v>
      </c>
      <c r="Q32">
        <f>SUMIF('Water Charges'!$B$13:$B$24,'Typical Bills WATER'!$B32,'Water Charges'!D$13:D$24)</f>
        <v>7.19</v>
      </c>
      <c r="R32">
        <f>SUMIF('Water Charges'!$B$13:$B$24,'Typical Bills WATER'!$B32,'Water Charges'!E$13:E$24)</f>
        <v>9.42</v>
      </c>
      <c r="S32">
        <f>SUMIF('Water Charges'!$B$13:$B$24,'Typical Bills WATER'!$B32,'Water Charges'!F$13:F$24)</f>
        <v>9.82</v>
      </c>
      <c r="U32">
        <f>ROUND((SUMPRODUCT($L32:$O32,'Water Charges'!$D$48:$G$48)),2)</f>
        <v>1049.2</v>
      </c>
      <c r="V32">
        <f>ROUND((SUMPRODUCT($L32:$O32,'Water Charges'!$D$49:$G$49)),2)</f>
        <v>1182.0899999999999</v>
      </c>
      <c r="W32" s="199">
        <f>ROUND((SUMPRODUCT($L32:$O32,'Water Charges'!$D$50:$G$50)),2)</f>
        <v>1269.57</v>
      </c>
      <c r="Y32" s="119"/>
      <c r="Z32" s="119"/>
    </row>
    <row r="33" spans="2:26">
      <c r="B33" s="9"/>
      <c r="C33" s="3"/>
      <c r="D33" s="27"/>
      <c r="E33" s="27"/>
      <c r="F33" s="31"/>
      <c r="G33" s="27"/>
      <c r="H33" s="31"/>
    </row>
    <row r="34" spans="2:26">
      <c r="B34" s="36">
        <v>2</v>
      </c>
      <c r="C34" s="35">
        <v>7.6</v>
      </c>
      <c r="D34" s="27">
        <f t="shared" ref="D34:E37" si="11">+Q34+U34</f>
        <v>490.93</v>
      </c>
      <c r="E34" s="27">
        <f t="shared" si="11"/>
        <v>558.82000000000005</v>
      </c>
      <c r="F34" s="26">
        <f>(+E34/D34-1)*100</f>
        <v>13.828855437638765</v>
      </c>
      <c r="G34" s="27">
        <f t="shared" si="10"/>
        <v>595.34999999999991</v>
      </c>
      <c r="H34" s="26">
        <f t="shared" si="5"/>
        <v>6.5369886546651657</v>
      </c>
      <c r="I34" s="21"/>
      <c r="L34" s="26">
        <f>IF($C34&gt;L$11,L$11,$C34)</f>
        <v>2</v>
      </c>
      <c r="M34" s="26">
        <f>IF($C34&gt;M$11,M$11,$C34)-SUM($L34:L34)</f>
        <v>5.6</v>
      </c>
      <c r="N34" s="26">
        <f>IF($C34&gt;N$11,N$11,$C34)-SUM($L34:M34)</f>
        <v>0</v>
      </c>
      <c r="O34" s="26">
        <f>$C34-SUM($L34:N34)</f>
        <v>0</v>
      </c>
      <c r="Q34">
        <f>SUMIF('Water Charges'!$B$13:$B$24,'Typical Bills WATER'!$B34,'Water Charges'!D$13:D$24)</f>
        <v>14.75</v>
      </c>
      <c r="R34">
        <f>SUMIF('Water Charges'!$B$13:$B$24,'Typical Bills WATER'!$B34,'Water Charges'!E$13:E$24)</f>
        <v>21.85</v>
      </c>
      <c r="S34">
        <f>SUMIF('Water Charges'!$B$13:$B$24,'Typical Bills WATER'!$B34,'Water Charges'!F$13:F$24)</f>
        <v>22.79</v>
      </c>
      <c r="U34" s="112">
        <f>ROUND((SUMPRODUCT($L34:$O34,'Water Charges'!$D$48:$G$48)),2)</f>
        <v>476.18</v>
      </c>
      <c r="V34" s="112">
        <f>ROUND((SUMPRODUCT($L34:$O34,'Water Charges'!$D$49:$G$49)),2)</f>
        <v>536.97</v>
      </c>
      <c r="W34" s="112">
        <f>ROUND((SUMPRODUCT($L34:$O34,'Water Charges'!$D$50:$G$50)),2)</f>
        <v>572.55999999999995</v>
      </c>
      <c r="Y34" s="119"/>
      <c r="Z34" s="119"/>
    </row>
    <row r="35" spans="2:26">
      <c r="B35" s="36">
        <v>2</v>
      </c>
      <c r="C35" s="35">
        <v>16</v>
      </c>
      <c r="D35" s="27">
        <f t="shared" si="11"/>
        <v>1002.99</v>
      </c>
      <c r="E35" s="27">
        <f t="shared" si="11"/>
        <v>1135.31</v>
      </c>
      <c r="F35" s="26">
        <f>(+E35/D35-1)*100</f>
        <v>13.192554262754363</v>
      </c>
      <c r="G35" s="27">
        <f t="shared" si="10"/>
        <v>1218.21</v>
      </c>
      <c r="H35" s="26">
        <f t="shared" si="5"/>
        <v>7.3019703869427799</v>
      </c>
      <c r="L35" s="26">
        <f>IF($C35&gt;L$11,L$11,$C35)</f>
        <v>2</v>
      </c>
      <c r="M35" s="26">
        <f>IF($C35&gt;M$11,M$11,$C35)-SUM($L35:L35)</f>
        <v>14</v>
      </c>
      <c r="N35" s="26">
        <f>IF($C35&gt;N$11,N$11,$C35)-SUM($L35:M35)</f>
        <v>0</v>
      </c>
      <c r="O35" s="26">
        <f>$C35-SUM($L35:N35)</f>
        <v>0</v>
      </c>
      <c r="Q35">
        <f>SUMIF('Water Charges'!$B$13:$B$24,'Typical Bills WATER'!$B35,'Water Charges'!D$13:D$24)</f>
        <v>14.75</v>
      </c>
      <c r="R35">
        <f>SUMIF('Water Charges'!$B$13:$B$24,'Typical Bills WATER'!$B35,'Water Charges'!E$13:E$24)</f>
        <v>21.85</v>
      </c>
      <c r="S35">
        <f>SUMIF('Water Charges'!$B$13:$B$24,'Typical Bills WATER'!$B35,'Water Charges'!F$13:F$24)</f>
        <v>22.79</v>
      </c>
      <c r="U35" s="112">
        <f>ROUND((SUMPRODUCT($L35:$O35,'Water Charges'!$D$48:$G$48)),2)</f>
        <v>988.24</v>
      </c>
      <c r="V35" s="112">
        <f>ROUND((SUMPRODUCT($L35:$O35,'Water Charges'!$D$49:$G$49)),2)</f>
        <v>1113.46</v>
      </c>
      <c r="W35" s="112">
        <f>ROUND((SUMPRODUCT($L35:$O35,'Water Charges'!$D$50:$G$50)),2)</f>
        <v>1195.42</v>
      </c>
      <c r="Y35" s="119"/>
      <c r="Z35" s="119"/>
    </row>
    <row r="36" spans="2:26">
      <c r="B36" s="36">
        <v>2</v>
      </c>
      <c r="C36" s="35">
        <v>33</v>
      </c>
      <c r="D36" s="27">
        <f t="shared" si="11"/>
        <v>2039.31</v>
      </c>
      <c r="E36" s="27">
        <f t="shared" si="11"/>
        <v>2302.02</v>
      </c>
      <c r="F36" s="26">
        <f>(+E36/D36-1)*100</f>
        <v>12.882298424467109</v>
      </c>
      <c r="G36" s="27">
        <f t="shared" si="10"/>
        <v>2478.7599999999998</v>
      </c>
      <c r="H36" s="26">
        <f t="shared" si="5"/>
        <v>7.6776048861434631</v>
      </c>
      <c r="L36" s="26">
        <f>IF($C36&gt;L$11,L$11,$C36)</f>
        <v>2</v>
      </c>
      <c r="M36" s="26">
        <f>IF($C36&gt;M$11,M$11,$C36)-SUM($L36:L36)</f>
        <v>31</v>
      </c>
      <c r="N36" s="26">
        <f>IF($C36&gt;N$11,N$11,$C36)-SUM($L36:M36)</f>
        <v>0</v>
      </c>
      <c r="O36" s="26">
        <f>$C36-SUM($L36:N36)</f>
        <v>0</v>
      </c>
      <c r="Q36">
        <f>SUMIF('Water Charges'!$B$13:$B$24,'Typical Bills WATER'!$B36,'Water Charges'!D$13:D$24)</f>
        <v>14.75</v>
      </c>
      <c r="R36">
        <f>SUMIF('Water Charges'!$B$13:$B$24,'Typical Bills WATER'!$B36,'Water Charges'!E$13:E$24)</f>
        <v>21.85</v>
      </c>
      <c r="S36">
        <f>SUMIF('Water Charges'!$B$13:$B$24,'Typical Bills WATER'!$B36,'Water Charges'!F$13:F$24)</f>
        <v>22.79</v>
      </c>
      <c r="U36" s="112">
        <f>ROUND((SUMPRODUCT($L36:$O36,'Water Charges'!$D$48:$G$48)),2)</f>
        <v>2024.56</v>
      </c>
      <c r="V36" s="112">
        <f>ROUND((SUMPRODUCT($L36:$O36,'Water Charges'!$D$49:$G$49)),2)</f>
        <v>2280.17</v>
      </c>
      <c r="W36" s="112">
        <f>ROUND((SUMPRODUCT($L36:$O36,'Water Charges'!$D$50:$G$50)),2)</f>
        <v>2455.9699999999998</v>
      </c>
      <c r="Y36" s="119"/>
      <c r="Z36" s="119"/>
    </row>
    <row r="37" spans="2:26">
      <c r="B37" s="36">
        <v>2</v>
      </c>
      <c r="C37" s="35">
        <v>100</v>
      </c>
      <c r="D37" s="27">
        <f t="shared" si="11"/>
        <v>6123.63</v>
      </c>
      <c r="E37" s="27">
        <f t="shared" si="11"/>
        <v>6900.2300000000005</v>
      </c>
      <c r="F37" s="26">
        <f>(+E37/D37-1)*100</f>
        <v>12.682020304949848</v>
      </c>
      <c r="G37" s="27">
        <f t="shared" si="10"/>
        <v>7446.81</v>
      </c>
      <c r="H37" s="26">
        <f t="shared" si="5"/>
        <v>7.9211852358544554</v>
      </c>
      <c r="L37" s="26">
        <f>IF($C37&gt;L$11,L$11,$C37)</f>
        <v>2</v>
      </c>
      <c r="M37" s="26">
        <f>IF($C37&gt;M$11,M$11,$C37)-SUM($L37:L37)</f>
        <v>98</v>
      </c>
      <c r="N37" s="26">
        <f>IF($C37&gt;N$11,N$11,$C37)-SUM($L37:M37)</f>
        <v>0</v>
      </c>
      <c r="O37" s="26">
        <f>$C37-SUM($L37:N37)</f>
        <v>0</v>
      </c>
      <c r="Q37">
        <f>SUMIF('Water Charges'!$B$13:$B$24,'Typical Bills WATER'!$B37,'Water Charges'!D$13:D$24)</f>
        <v>14.75</v>
      </c>
      <c r="R37">
        <f>SUMIF('Water Charges'!$B$13:$B$24,'Typical Bills WATER'!$B37,'Water Charges'!E$13:E$24)</f>
        <v>21.85</v>
      </c>
      <c r="S37">
        <f>SUMIF('Water Charges'!$B$13:$B$24,'Typical Bills WATER'!$B37,'Water Charges'!F$13:F$24)</f>
        <v>22.79</v>
      </c>
      <c r="U37" s="112">
        <f>ROUND((SUMPRODUCT($L37:$O37,'Water Charges'!$D$48:$G$48)),2)</f>
        <v>6108.88</v>
      </c>
      <c r="V37" s="112">
        <f>ROUND((SUMPRODUCT($L37:$O37,'Water Charges'!$D$49:$G$49)),2)</f>
        <v>6878.38</v>
      </c>
      <c r="W37" s="112">
        <f>ROUND((SUMPRODUCT($L37:$O37,'Water Charges'!$D$50:$G$50)),2)</f>
        <v>7424.02</v>
      </c>
      <c r="Y37" s="119"/>
      <c r="Z37" s="119"/>
    </row>
    <row r="38" spans="2:26">
      <c r="B38" s="9"/>
      <c r="C38" s="3"/>
      <c r="D38" s="27"/>
      <c r="E38" s="27"/>
      <c r="F38" s="31"/>
      <c r="G38" s="27"/>
      <c r="H38" s="31"/>
      <c r="U38" s="112"/>
      <c r="V38" s="112"/>
      <c r="W38" s="112"/>
      <c r="X38" s="112"/>
      <c r="Y38" s="112"/>
      <c r="Z38" s="112"/>
    </row>
    <row r="39" spans="2:26">
      <c r="B39" s="36">
        <v>4</v>
      </c>
      <c r="C39" s="35">
        <v>30</v>
      </c>
      <c r="D39" s="27">
        <f t="shared" ref="D39:E42" si="12">+Q39+U39</f>
        <v>1884.96</v>
      </c>
      <c r="E39" s="27">
        <f t="shared" si="12"/>
        <v>2139.7200000000003</v>
      </c>
      <c r="F39" s="26">
        <f>(+E39/D39-1)*100</f>
        <v>13.515406162465005</v>
      </c>
      <c r="G39" s="27">
        <f t="shared" si="10"/>
        <v>2301.81</v>
      </c>
      <c r="H39" s="26">
        <f t="shared" si="5"/>
        <v>7.5752902248892307</v>
      </c>
      <c r="L39" s="26">
        <f>IF($C39&gt;L$11,L$11,$C39)</f>
        <v>2</v>
      </c>
      <c r="M39" s="26">
        <f>IF($C39&gt;M$11,M$11,$C39)-SUM($L39:L39)</f>
        <v>28</v>
      </c>
      <c r="N39" s="26">
        <f>IF($C39&gt;N$11,N$11,$C39)-SUM($L39:M39)</f>
        <v>0</v>
      </c>
      <c r="O39" s="26">
        <f>$C39-SUM($L39:N39)</f>
        <v>0</v>
      </c>
      <c r="Q39">
        <f>SUMIF('Water Charges'!$B$13:$B$24,'Typical Bills WATER'!$B39,'Water Charges'!D$13:D$24)</f>
        <v>43.28</v>
      </c>
      <c r="R39">
        <f>SUMIF('Water Charges'!$B$13:$B$24,'Typical Bills WATER'!$B39,'Water Charges'!E$13:E$24)</f>
        <v>65.44</v>
      </c>
      <c r="S39">
        <f>SUMIF('Water Charges'!$B$13:$B$24,'Typical Bills WATER'!$B39,'Water Charges'!F$13:F$24)</f>
        <v>68.290000000000006</v>
      </c>
      <c r="U39" s="112">
        <f>ROUND((SUMPRODUCT($L39:$O39,'Water Charges'!$D$48:$G$48)),2)</f>
        <v>1841.68</v>
      </c>
      <c r="V39" s="112">
        <f>ROUND((SUMPRODUCT($L39:$O39,'Water Charges'!$D$49:$G$49)),2)</f>
        <v>2074.2800000000002</v>
      </c>
      <c r="W39" s="112">
        <f>ROUND((SUMPRODUCT($L39:$O39,'Water Charges'!$D$50:$G$50)),2)</f>
        <v>2233.52</v>
      </c>
      <c r="Y39" s="119"/>
      <c r="Z39" s="119"/>
    </row>
    <row r="40" spans="2:26">
      <c r="B40" s="36">
        <v>4</v>
      </c>
      <c r="C40" s="35">
        <v>170</v>
      </c>
      <c r="D40" s="27">
        <f t="shared" si="12"/>
        <v>9506.5600000000013</v>
      </c>
      <c r="E40" s="27">
        <f t="shared" si="12"/>
        <v>10725.92</v>
      </c>
      <c r="F40" s="26">
        <f>(+E40/D40-1)*100</f>
        <v>12.826511377406735</v>
      </c>
      <c r="G40" s="27">
        <f t="shared" si="10"/>
        <v>11611.11</v>
      </c>
      <c r="H40" s="26">
        <f t="shared" si="5"/>
        <v>8.252811880006572</v>
      </c>
      <c r="L40" s="26">
        <f>IF($C40&gt;L$11,L$11,$C40)</f>
        <v>2</v>
      </c>
      <c r="M40" s="26">
        <f>IF($C40&gt;M$11,M$11,$C40)-SUM($L40:L40)</f>
        <v>98</v>
      </c>
      <c r="N40" s="26">
        <f>IF($C40&gt;N$11,N$11,$C40)-SUM($L40:M40)</f>
        <v>70</v>
      </c>
      <c r="O40" s="26">
        <f>$C40-SUM($L40:N40)</f>
        <v>0</v>
      </c>
      <c r="Q40">
        <f>SUMIF('Water Charges'!$B$13:$B$24,'Typical Bills WATER'!$B40,'Water Charges'!D$13:D$24)</f>
        <v>43.28</v>
      </c>
      <c r="R40">
        <f>SUMIF('Water Charges'!$B$13:$B$24,'Typical Bills WATER'!$B40,'Water Charges'!E$13:E$24)</f>
        <v>65.44</v>
      </c>
      <c r="S40">
        <f>SUMIF('Water Charges'!$B$13:$B$24,'Typical Bills WATER'!$B40,'Water Charges'!F$13:F$24)</f>
        <v>68.290000000000006</v>
      </c>
      <c r="U40" s="112">
        <f>ROUND((SUMPRODUCT($L40:$O40,'Water Charges'!$D$48:$G$48)),2)</f>
        <v>9463.2800000000007</v>
      </c>
      <c r="V40" s="112">
        <f>ROUND((SUMPRODUCT($L40:$O40,'Water Charges'!$D$49:$G$49)),2)</f>
        <v>10660.48</v>
      </c>
      <c r="W40" s="112">
        <f>ROUND((SUMPRODUCT($L40:$O40,'Water Charges'!$D$50:$G$50)),2)</f>
        <v>11542.82</v>
      </c>
      <c r="Y40" s="119"/>
      <c r="Z40" s="119"/>
    </row>
    <row r="41" spans="2:26">
      <c r="B41" s="36">
        <v>4</v>
      </c>
      <c r="C41" s="35">
        <v>330</v>
      </c>
      <c r="D41" s="27">
        <f t="shared" si="12"/>
        <v>17173.759999999998</v>
      </c>
      <c r="E41" s="27">
        <f t="shared" si="12"/>
        <v>19370.719999999998</v>
      </c>
      <c r="F41" s="26">
        <f>(+E41/D41-1)*100</f>
        <v>12.792539315793384</v>
      </c>
      <c r="G41" s="27">
        <f t="shared" si="10"/>
        <v>21025.510000000002</v>
      </c>
      <c r="H41" s="26">
        <f t="shared" si="5"/>
        <v>8.5427387314462422</v>
      </c>
      <c r="L41" s="26">
        <f>IF($C41&gt;L$11,L$11,$C41)</f>
        <v>2</v>
      </c>
      <c r="M41" s="26">
        <f>IF($C41&gt;M$11,M$11,$C41)-SUM($L41:L41)</f>
        <v>98</v>
      </c>
      <c r="N41" s="26">
        <f>IF($C41&gt;N$11,N$11,$C41)-SUM($L41:M41)</f>
        <v>230</v>
      </c>
      <c r="O41" s="26">
        <f>$C41-SUM($L41:N41)</f>
        <v>0</v>
      </c>
      <c r="Q41">
        <f>SUMIF('Water Charges'!$B$13:$B$24,'Typical Bills WATER'!$B41,'Water Charges'!D$13:D$24)</f>
        <v>43.28</v>
      </c>
      <c r="R41">
        <f>SUMIF('Water Charges'!$B$13:$B$24,'Typical Bills WATER'!$B41,'Water Charges'!E$13:E$24)</f>
        <v>65.44</v>
      </c>
      <c r="S41">
        <f>SUMIF('Water Charges'!$B$13:$B$24,'Typical Bills WATER'!$B41,'Water Charges'!F$13:F$24)</f>
        <v>68.290000000000006</v>
      </c>
      <c r="U41" s="112">
        <f>ROUND((SUMPRODUCT($L41:$O41,'Water Charges'!$D$48:$G$48)),2)</f>
        <v>17130.48</v>
      </c>
      <c r="V41" s="112">
        <f>ROUND((SUMPRODUCT($L41:$O41,'Water Charges'!$D$49:$G$49)),2)</f>
        <v>19305.28</v>
      </c>
      <c r="W41" s="112">
        <f>ROUND((SUMPRODUCT($L41:$O41,'Water Charges'!$D$50:$G$50)),2)</f>
        <v>20957.22</v>
      </c>
      <c r="Y41" s="119"/>
      <c r="Z41" s="119"/>
    </row>
    <row r="42" spans="2:26">
      <c r="B42" s="36">
        <v>4</v>
      </c>
      <c r="C42" s="35">
        <v>500</v>
      </c>
      <c r="D42" s="27">
        <f t="shared" si="12"/>
        <v>25320.16</v>
      </c>
      <c r="E42" s="27">
        <f t="shared" si="12"/>
        <v>28555.82</v>
      </c>
      <c r="F42" s="26">
        <f>(+E42/D42-1)*100</f>
        <v>12.778987178596024</v>
      </c>
      <c r="G42" s="27">
        <f t="shared" si="10"/>
        <v>31028.31</v>
      </c>
      <c r="H42" s="26">
        <f t="shared" si="5"/>
        <v>8.6584451085628178</v>
      </c>
      <c r="L42" s="26">
        <f>IF($C42&gt;L$11,L$11,$C42)</f>
        <v>2</v>
      </c>
      <c r="M42" s="26">
        <f>IF($C42&gt;M$11,M$11,$C42)-SUM($L42:L42)</f>
        <v>98</v>
      </c>
      <c r="N42" s="26">
        <f>IF($C42&gt;N$11,N$11,$C42)-SUM($L42:M42)</f>
        <v>400</v>
      </c>
      <c r="O42" s="26">
        <f>$C42-SUM($L42:N42)</f>
        <v>0</v>
      </c>
      <c r="Q42">
        <f>SUMIF('Water Charges'!$B$13:$B$24,'Typical Bills WATER'!$B42,'Water Charges'!D$13:D$24)</f>
        <v>43.28</v>
      </c>
      <c r="R42">
        <f>SUMIF('Water Charges'!$B$13:$B$24,'Typical Bills WATER'!$B42,'Water Charges'!E$13:E$24)</f>
        <v>65.44</v>
      </c>
      <c r="S42">
        <f>SUMIF('Water Charges'!$B$13:$B$24,'Typical Bills WATER'!$B42,'Water Charges'!F$13:F$24)</f>
        <v>68.290000000000006</v>
      </c>
      <c r="U42" s="112">
        <f>ROUND((SUMPRODUCT($L42:$O42,'Water Charges'!$D$48:$G$48)),2)</f>
        <v>25276.880000000001</v>
      </c>
      <c r="V42" s="112">
        <f>ROUND((SUMPRODUCT($L42:$O42,'Water Charges'!$D$49:$G$49)),2)</f>
        <v>28490.38</v>
      </c>
      <c r="W42" s="112">
        <f>ROUND((SUMPRODUCT($L42:$O42,'Water Charges'!$D$50:$G$50)),2)</f>
        <v>30960.02</v>
      </c>
      <c r="Y42" s="119"/>
      <c r="Z42" s="119"/>
    </row>
    <row r="43" spans="2:26">
      <c r="B43" s="9"/>
      <c r="C43" s="3"/>
      <c r="D43" s="27"/>
      <c r="E43" s="27"/>
      <c r="G43" s="27"/>
      <c r="U43" s="112"/>
      <c r="V43" s="112"/>
      <c r="W43" s="112"/>
      <c r="X43" s="112"/>
      <c r="Y43" s="112"/>
      <c r="Z43" s="112"/>
    </row>
    <row r="44" spans="2:26">
      <c r="B44" s="36">
        <v>6</v>
      </c>
      <c r="C44" s="35">
        <v>150</v>
      </c>
      <c r="D44" s="27">
        <f t="shared" ref="D44:E47" si="13">+Q44+U44</f>
        <v>8587.3399999999983</v>
      </c>
      <c r="E44" s="27">
        <f t="shared" si="13"/>
        <v>9706.65</v>
      </c>
      <c r="F44" s="27">
        <f>(+E44/D44-1)*100</f>
        <v>13.034420437527828</v>
      </c>
      <c r="G44" s="27">
        <f t="shared" si="10"/>
        <v>10498.33</v>
      </c>
      <c r="H44" s="27">
        <f t="shared" si="5"/>
        <v>8.1560579602643521</v>
      </c>
      <c r="L44" s="26">
        <f>IF($C44&gt;L$11,L$11,$C44)</f>
        <v>2</v>
      </c>
      <c r="M44" s="26">
        <f>IF($C44&gt;M$11,M$11,$C44)-SUM($L44:L44)</f>
        <v>98</v>
      </c>
      <c r="N44" s="26">
        <f>IF($C44&gt;N$11,N$11,$C44)-SUM($L44:M44)</f>
        <v>50</v>
      </c>
      <c r="O44" s="26">
        <f>$C44-SUM($L44:N44)</f>
        <v>0</v>
      </c>
      <c r="Q44">
        <f>SUMIF('Water Charges'!$B$13:$B$24,'Typical Bills WATER'!$B44,'Water Charges'!D$13:D$24)</f>
        <v>82.46</v>
      </c>
      <c r="R44">
        <f>SUMIF('Water Charges'!$B$13:$B$24,'Typical Bills WATER'!$B44,'Water Charges'!E$13:E$24)</f>
        <v>126.77</v>
      </c>
      <c r="S44">
        <f>SUMIF('Water Charges'!$B$13:$B$24,'Typical Bills WATER'!$B44,'Water Charges'!F$13:F$24)</f>
        <v>132.31</v>
      </c>
      <c r="U44" s="112">
        <f>ROUND((SUMPRODUCT($L44:$O44,'Water Charges'!$D$48:$G$48)),2)</f>
        <v>8504.8799999999992</v>
      </c>
      <c r="V44" s="112">
        <f>ROUND((SUMPRODUCT($L44:$O44,'Water Charges'!$D$49:$G$49)),2)</f>
        <v>9579.8799999999992</v>
      </c>
      <c r="W44" s="112">
        <f>ROUND((SUMPRODUCT($L44:$O44,'Water Charges'!$D$50:$G$50)),2)</f>
        <v>10366.02</v>
      </c>
      <c r="Y44" s="121"/>
      <c r="Z44" s="121"/>
    </row>
    <row r="45" spans="2:26">
      <c r="B45" s="36">
        <v>6</v>
      </c>
      <c r="C45" s="35">
        <v>500</v>
      </c>
      <c r="D45" s="27">
        <f t="shared" si="13"/>
        <v>25359.34</v>
      </c>
      <c r="E45" s="27">
        <f t="shared" si="13"/>
        <v>28617.15</v>
      </c>
      <c r="F45" s="27">
        <f>(+E45/D45-1)*100</f>
        <v>12.84658827871703</v>
      </c>
      <c r="G45" s="27">
        <f t="shared" si="10"/>
        <v>31092.33</v>
      </c>
      <c r="H45" s="27">
        <f t="shared" si="5"/>
        <v>8.6492889753172477</v>
      </c>
      <c r="L45" s="26">
        <f>IF($C45&gt;L$11,L$11,$C45)</f>
        <v>2</v>
      </c>
      <c r="M45" s="26">
        <f>IF($C45&gt;M$11,M$11,$C45)-SUM($L45:L45)</f>
        <v>98</v>
      </c>
      <c r="N45" s="26">
        <f>IF($C45&gt;N$11,N$11,$C45)-SUM($L45:M45)</f>
        <v>400</v>
      </c>
      <c r="O45" s="26">
        <f>$C45-SUM($L45:N45)</f>
        <v>0</v>
      </c>
      <c r="Q45">
        <f>SUMIF('Water Charges'!$B$13:$B$24,'Typical Bills WATER'!$B45,'Water Charges'!D$13:D$24)</f>
        <v>82.46</v>
      </c>
      <c r="R45">
        <f>SUMIF('Water Charges'!$B$13:$B$24,'Typical Bills WATER'!$B45,'Water Charges'!E$13:E$24)</f>
        <v>126.77</v>
      </c>
      <c r="S45">
        <f>SUMIF('Water Charges'!$B$13:$B$24,'Typical Bills WATER'!$B45,'Water Charges'!F$13:F$24)</f>
        <v>132.31</v>
      </c>
      <c r="U45" s="112">
        <f>ROUND((SUMPRODUCT($L45:$O45,'Water Charges'!$D$48:$G$48)),2)</f>
        <v>25276.880000000001</v>
      </c>
      <c r="V45" s="112">
        <f>ROUND((SUMPRODUCT($L45:$O45,'Water Charges'!$D$49:$G$49)),2)</f>
        <v>28490.38</v>
      </c>
      <c r="W45" s="112">
        <f>ROUND((SUMPRODUCT($L45:$O45,'Water Charges'!$D$50:$G$50)),2)</f>
        <v>30960.02</v>
      </c>
      <c r="Y45" s="121"/>
      <c r="Z45" s="121"/>
    </row>
    <row r="46" spans="2:26">
      <c r="B46" s="36">
        <v>6</v>
      </c>
      <c r="C46" s="35">
        <v>1000</v>
      </c>
      <c r="D46" s="27">
        <f t="shared" si="13"/>
        <v>49319.34</v>
      </c>
      <c r="E46" s="27">
        <f t="shared" si="13"/>
        <v>55632.149999999994</v>
      </c>
      <c r="F46" s="27">
        <f>(+E46/D46-1)*100</f>
        <v>12.799867151506895</v>
      </c>
      <c r="G46" s="27">
        <f t="shared" si="10"/>
        <v>60512.329999999994</v>
      </c>
      <c r="H46" s="27">
        <f t="shared" si="5"/>
        <v>8.7722297268755689</v>
      </c>
      <c r="L46" s="26">
        <f>IF($C46&gt;L$11,L$11,$C46)</f>
        <v>2</v>
      </c>
      <c r="M46" s="26">
        <f>IF($C46&gt;M$11,M$11,$C46)-SUM($L46:L46)</f>
        <v>98</v>
      </c>
      <c r="N46" s="26">
        <f>IF($C46&gt;N$11,N$11,$C46)-SUM($L46:M46)</f>
        <v>900</v>
      </c>
      <c r="O46" s="26">
        <f>$C46-SUM($L46:N46)</f>
        <v>0</v>
      </c>
      <c r="Q46">
        <f>SUMIF('Water Charges'!$B$13:$B$24,'Typical Bills WATER'!$B46,'Water Charges'!D$13:D$24)</f>
        <v>82.46</v>
      </c>
      <c r="R46">
        <f>SUMIF('Water Charges'!$B$13:$B$24,'Typical Bills WATER'!$B46,'Water Charges'!E$13:E$24)</f>
        <v>126.77</v>
      </c>
      <c r="S46">
        <f>SUMIF('Water Charges'!$B$13:$B$24,'Typical Bills WATER'!$B46,'Water Charges'!F$13:F$24)</f>
        <v>132.31</v>
      </c>
      <c r="U46" s="112">
        <f>ROUND((SUMPRODUCT($L46:$O46,'Water Charges'!$D$48:$G$48)),2)</f>
        <v>49236.88</v>
      </c>
      <c r="V46" s="112">
        <f>ROUND((SUMPRODUCT($L46:$O46,'Water Charges'!$D$49:$G$49)),2)</f>
        <v>55505.38</v>
      </c>
      <c r="W46" s="112">
        <f>ROUND((SUMPRODUCT($L46:$O46,'Water Charges'!$D$50:$G$50)),2)</f>
        <v>60380.02</v>
      </c>
      <c r="Y46" s="121"/>
      <c r="Z46" s="121"/>
    </row>
    <row r="47" spans="2:26">
      <c r="B47" s="36">
        <v>6</v>
      </c>
      <c r="C47" s="35">
        <v>1500</v>
      </c>
      <c r="D47" s="27">
        <f t="shared" si="13"/>
        <v>73279.340000000011</v>
      </c>
      <c r="E47" s="27">
        <f t="shared" si="13"/>
        <v>82647.150000000009</v>
      </c>
      <c r="F47" s="27">
        <f>(+E47/D47-1)*100</f>
        <v>12.783698652307729</v>
      </c>
      <c r="G47" s="27">
        <f t="shared" si="10"/>
        <v>89932.33</v>
      </c>
      <c r="H47" s="27">
        <f t="shared" si="5"/>
        <v>8.8147988164141147</v>
      </c>
      <c r="L47" s="26">
        <f>IF($C47&gt;L$11,L$11,$C47)</f>
        <v>2</v>
      </c>
      <c r="M47" s="26">
        <f>IF($C47&gt;M$11,M$11,$C47)-SUM($L47:L47)</f>
        <v>98</v>
      </c>
      <c r="N47" s="26">
        <f>IF($C47&gt;N$11,N$11,$C47)-SUM($L47:M47)</f>
        <v>1400</v>
      </c>
      <c r="O47" s="26">
        <f>$C47-SUM($L47:N47)</f>
        <v>0</v>
      </c>
      <c r="Q47">
        <f>SUMIF('Water Charges'!$B$13:$B$24,'Typical Bills WATER'!$B47,'Water Charges'!D$13:D$24)</f>
        <v>82.46</v>
      </c>
      <c r="R47">
        <f>SUMIF('Water Charges'!$B$13:$B$24,'Typical Bills WATER'!$B47,'Water Charges'!E$13:E$24)</f>
        <v>126.77</v>
      </c>
      <c r="S47">
        <f>SUMIF('Water Charges'!$B$13:$B$24,'Typical Bills WATER'!$B47,'Water Charges'!F$13:F$24)</f>
        <v>132.31</v>
      </c>
      <c r="U47" s="112">
        <f>ROUND((SUMPRODUCT($L47:$O47,'Water Charges'!$D$48:$G$48)),2)</f>
        <v>73196.88</v>
      </c>
      <c r="V47" s="112">
        <f>ROUND((SUMPRODUCT($L47:$O47,'Water Charges'!$D$49:$G$49)),2)</f>
        <v>82520.38</v>
      </c>
      <c r="W47" s="112">
        <f>ROUND((SUMPRODUCT($L47:$O47,'Water Charges'!$D$50:$G$50)),2)</f>
        <v>89800.02</v>
      </c>
      <c r="Y47" s="121"/>
      <c r="Z47" s="121"/>
    </row>
    <row r="48" spans="2:26">
      <c r="B48" s="9"/>
      <c r="C48" s="3"/>
      <c r="D48" s="27"/>
      <c r="E48" s="27"/>
      <c r="G48" s="27"/>
      <c r="U48" s="112"/>
      <c r="V48" s="112"/>
      <c r="W48" s="112"/>
      <c r="X48" s="112"/>
      <c r="Y48" s="112"/>
      <c r="Z48" s="112"/>
    </row>
    <row r="49" spans="2:26">
      <c r="B49" s="36">
        <v>8</v>
      </c>
      <c r="C49" s="35">
        <v>750</v>
      </c>
      <c r="D49" s="27">
        <f t="shared" ref="D49:E52" si="14">+Q49+U49</f>
        <v>37383.909999999996</v>
      </c>
      <c r="E49" s="27">
        <f t="shared" si="14"/>
        <v>42195.77</v>
      </c>
      <c r="F49" s="27">
        <f>(+E49/D49-1)*100</f>
        <v>12.871473315659077</v>
      </c>
      <c r="G49" s="27">
        <f t="shared" si="10"/>
        <v>45876.59</v>
      </c>
      <c r="H49" s="27">
        <f t="shared" si="5"/>
        <v>8.7231966616558854</v>
      </c>
      <c r="L49" s="26">
        <f>IF($C49&gt;L$11,L$11,$C49)</f>
        <v>2</v>
      </c>
      <c r="M49" s="26">
        <f>IF($C49&gt;M$11,M$11,$C49)-SUM($L49:L49)</f>
        <v>98</v>
      </c>
      <c r="N49" s="26">
        <f>IF($C49&gt;N$11,N$11,$C49)-SUM($L49:M49)</f>
        <v>650</v>
      </c>
      <c r="O49" s="26">
        <f>$C49-SUM($L49:N49)</f>
        <v>0</v>
      </c>
      <c r="Q49">
        <f>SUMIF('Water Charges'!$B$13:$B$24,'Typical Bills WATER'!$B49,'Water Charges'!D$13:D$24)</f>
        <v>127.03</v>
      </c>
      <c r="R49">
        <f>SUMIF('Water Charges'!$B$13:$B$24,'Typical Bills WATER'!$B49,'Water Charges'!E$13:E$24)</f>
        <v>197.89</v>
      </c>
      <c r="S49">
        <f>SUMIF('Water Charges'!$B$13:$B$24,'Typical Bills WATER'!$B49,'Water Charges'!F$13:F$24)</f>
        <v>206.57</v>
      </c>
      <c r="U49" s="112">
        <f>ROUND((SUMPRODUCT($L49:$O49,'Water Charges'!$D$48:$G$48)),2)</f>
        <v>37256.879999999997</v>
      </c>
      <c r="V49" s="112">
        <f>ROUND((SUMPRODUCT($L49:$O49,'Water Charges'!$D$49:$G$49)),2)</f>
        <v>41997.88</v>
      </c>
      <c r="W49" s="112">
        <f>ROUND((SUMPRODUCT($L49:$O49,'Water Charges'!$D$50:$G$50)),2)</f>
        <v>45670.02</v>
      </c>
      <c r="Y49" s="121"/>
      <c r="Z49" s="121"/>
    </row>
    <row r="50" spans="2:26">
      <c r="B50" s="36">
        <v>8</v>
      </c>
      <c r="C50" s="35">
        <v>1500</v>
      </c>
      <c r="D50" s="27">
        <f t="shared" si="14"/>
        <v>73323.91</v>
      </c>
      <c r="E50" s="27">
        <f t="shared" si="14"/>
        <v>82718.27</v>
      </c>
      <c r="F50" s="27">
        <f>(+E50/D50-1)*100</f>
        <v>12.81213726872994</v>
      </c>
      <c r="G50" s="27">
        <f t="shared" si="10"/>
        <v>90006.590000000011</v>
      </c>
      <c r="H50" s="27">
        <f t="shared" si="5"/>
        <v>8.8110159944109192</v>
      </c>
      <c r="L50" s="26">
        <f>IF($C50&gt;L$11,L$11,$C50)</f>
        <v>2</v>
      </c>
      <c r="M50" s="26">
        <f>IF($C50&gt;M$11,M$11,$C50)-SUM($L50:L50)</f>
        <v>98</v>
      </c>
      <c r="N50" s="26">
        <f>IF($C50&gt;N$11,N$11,$C50)-SUM($L50:M50)</f>
        <v>1400</v>
      </c>
      <c r="O50" s="26">
        <f>$C50-SUM($L50:N50)</f>
        <v>0</v>
      </c>
      <c r="Q50">
        <f>SUMIF('Water Charges'!$B$13:$B$24,'Typical Bills WATER'!$B50,'Water Charges'!D$13:D$24)</f>
        <v>127.03</v>
      </c>
      <c r="R50">
        <f>SUMIF('Water Charges'!$B$13:$B$24,'Typical Bills WATER'!$B50,'Water Charges'!E$13:E$24)</f>
        <v>197.89</v>
      </c>
      <c r="S50">
        <f>SUMIF('Water Charges'!$B$13:$B$24,'Typical Bills WATER'!$B50,'Water Charges'!F$13:F$24)</f>
        <v>206.57</v>
      </c>
      <c r="U50" s="112">
        <f>ROUND((SUMPRODUCT($L50:$O50,'Water Charges'!$D$48:$G$48)),2)</f>
        <v>73196.88</v>
      </c>
      <c r="V50" s="112">
        <f>ROUND((SUMPRODUCT($L50:$O50,'Water Charges'!$D$49:$G$49)),2)</f>
        <v>82520.38</v>
      </c>
      <c r="W50" s="112">
        <f>ROUND((SUMPRODUCT($L50:$O50,'Water Charges'!$D$50:$G$50)),2)</f>
        <v>89800.02</v>
      </c>
      <c r="Y50" s="121"/>
      <c r="Z50" s="121"/>
    </row>
    <row r="51" spans="2:26">
      <c r="B51" s="36">
        <v>8</v>
      </c>
      <c r="C51" s="35">
        <v>2000</v>
      </c>
      <c r="D51" s="27">
        <f t="shared" si="14"/>
        <v>97283.91</v>
      </c>
      <c r="E51" s="27">
        <f t="shared" si="14"/>
        <v>109733.27</v>
      </c>
      <c r="F51" s="27">
        <f>(+E51/D51-1)*100</f>
        <v>12.796936307350304</v>
      </c>
      <c r="G51" s="27">
        <f t="shared" si="10"/>
        <v>119426.59000000001</v>
      </c>
      <c r="H51" s="27">
        <f t="shared" si="5"/>
        <v>8.8335287921338832</v>
      </c>
      <c r="L51" s="26">
        <f>IF($C51&gt;L$11,L$11,$C51)</f>
        <v>2</v>
      </c>
      <c r="M51" s="26">
        <f>IF($C51&gt;M$11,M$11,$C51)-SUM($L51:L51)</f>
        <v>98</v>
      </c>
      <c r="N51" s="26">
        <f>IF($C51&gt;N$11,N$11,$C51)-SUM($L51:M51)</f>
        <v>1900</v>
      </c>
      <c r="O51" s="26">
        <f>$C51-SUM($L51:N51)</f>
        <v>0</v>
      </c>
      <c r="Q51">
        <f>SUMIF('Water Charges'!$B$13:$B$24,'Typical Bills WATER'!$B51,'Water Charges'!D$13:D$24)</f>
        <v>127.03</v>
      </c>
      <c r="R51">
        <f>SUMIF('Water Charges'!$B$13:$B$24,'Typical Bills WATER'!$B51,'Water Charges'!E$13:E$24)</f>
        <v>197.89</v>
      </c>
      <c r="S51">
        <f>SUMIF('Water Charges'!$B$13:$B$24,'Typical Bills WATER'!$B51,'Water Charges'!F$13:F$24)</f>
        <v>206.57</v>
      </c>
      <c r="U51" s="112">
        <f>ROUND((SUMPRODUCT($L51:$O51,'Water Charges'!$D$48:$G$48)),2)</f>
        <v>97156.88</v>
      </c>
      <c r="V51" s="112">
        <f>ROUND((SUMPRODUCT($L51:$O51,'Water Charges'!$D$49:$G$49)),2)</f>
        <v>109535.38</v>
      </c>
      <c r="W51" s="112">
        <f>ROUND((SUMPRODUCT($L51:$O51,'Water Charges'!$D$50:$G$50)),2)</f>
        <v>119220.02</v>
      </c>
      <c r="Y51" s="121"/>
      <c r="Z51" s="121"/>
    </row>
    <row r="52" spans="2:26">
      <c r="B52" s="36">
        <v>8</v>
      </c>
      <c r="C52" s="35">
        <v>3000</v>
      </c>
      <c r="D52" s="27">
        <f t="shared" si="14"/>
        <v>143983.91</v>
      </c>
      <c r="E52" s="27">
        <f t="shared" si="14"/>
        <v>163763.27000000002</v>
      </c>
      <c r="F52" s="27">
        <f>(+E52/D52-1)*100</f>
        <v>13.737201608151928</v>
      </c>
      <c r="G52" s="27">
        <f t="shared" si="10"/>
        <v>178266.59</v>
      </c>
      <c r="H52" s="27">
        <f t="shared" si="5"/>
        <v>8.8562716169504831</v>
      </c>
      <c r="L52" s="26">
        <f>IF($C52&gt;L$11,L$11,$C52)</f>
        <v>2</v>
      </c>
      <c r="M52" s="26">
        <f>IF($C52&gt;M$11,M$11,$C52)-SUM($L52:L52)</f>
        <v>98</v>
      </c>
      <c r="N52" s="26">
        <f>IF($C52&gt;N$11,N$11,$C52)-SUM($L52:M52)</f>
        <v>1900</v>
      </c>
      <c r="O52" s="26">
        <f>$C52-SUM($L52:N52)</f>
        <v>1000</v>
      </c>
      <c r="Q52">
        <f>SUMIF('Water Charges'!$B$13:$B$24,'Typical Bills WATER'!$B52,'Water Charges'!D$13:D$24)</f>
        <v>127.03</v>
      </c>
      <c r="R52">
        <f>SUMIF('Water Charges'!$B$13:$B$24,'Typical Bills WATER'!$B52,'Water Charges'!E$13:E$24)</f>
        <v>197.89</v>
      </c>
      <c r="S52">
        <f>SUMIF('Water Charges'!$B$13:$B$24,'Typical Bills WATER'!$B52,'Water Charges'!F$13:F$24)</f>
        <v>206.57</v>
      </c>
      <c r="U52" s="112">
        <f>ROUND((SUMPRODUCT($L52:$O52,'Water Charges'!$D$48:$G$48)),2)</f>
        <v>143856.88</v>
      </c>
      <c r="V52" s="112">
        <f>ROUND((SUMPRODUCT($L52:$O52,'Water Charges'!$D$49:$G$49)),2)</f>
        <v>163565.38</v>
      </c>
      <c r="W52" s="112">
        <f>ROUND((SUMPRODUCT($L52:$O52,'Water Charges'!$D$50:$G$50)),2)</f>
        <v>178060.02</v>
      </c>
      <c r="Y52" s="121"/>
      <c r="Z52" s="121"/>
    </row>
    <row r="53" spans="2:26">
      <c r="B53" s="9"/>
      <c r="C53" s="3"/>
      <c r="D53" s="27"/>
      <c r="E53" s="27"/>
      <c r="G53" s="27"/>
      <c r="U53" s="112"/>
      <c r="V53" s="112"/>
      <c r="W53" s="112"/>
      <c r="X53" s="112"/>
      <c r="Y53" s="112"/>
      <c r="Z53" s="112"/>
    </row>
    <row r="54" spans="2:26">
      <c r="B54" s="36">
        <v>10</v>
      </c>
      <c r="C54" s="35">
        <v>600</v>
      </c>
      <c r="D54" s="27">
        <f t="shared" ref="D54:E57" si="15">+Q54+U54</f>
        <v>30254.04</v>
      </c>
      <c r="E54" s="27">
        <f t="shared" si="15"/>
        <v>34180.42</v>
      </c>
      <c r="F54" s="27">
        <f>(+E54/D54-1)*100</f>
        <v>12.978035330157557</v>
      </c>
      <c r="G54" s="27">
        <f t="shared" si="10"/>
        <v>37143.64</v>
      </c>
      <c r="H54" s="27">
        <f t="shared" si="5"/>
        <v>8.6693492941280361</v>
      </c>
      <c r="L54" s="26">
        <f>IF($C54&gt;L$11,L$11,$C54)</f>
        <v>2</v>
      </c>
      <c r="M54" s="26">
        <f>IF($C54&gt;M$11,M$11,$C54)-SUM($L54:L54)</f>
        <v>98</v>
      </c>
      <c r="N54" s="26">
        <f>IF($C54&gt;N$11,N$11,$C54)-SUM($L54:M54)</f>
        <v>500</v>
      </c>
      <c r="O54" s="26">
        <f>$C54-SUM($L54:N54)</f>
        <v>0</v>
      </c>
      <c r="Q54">
        <f>SUMIF('Water Charges'!$B$13:$B$24,'Typical Bills WATER'!$B54,'Water Charges'!D$13:D$24)</f>
        <v>185.16</v>
      </c>
      <c r="R54">
        <f>SUMIF('Water Charges'!$B$13:$B$24,'Typical Bills WATER'!$B54,'Water Charges'!E$13:E$24)</f>
        <v>287.04000000000002</v>
      </c>
      <c r="S54">
        <f>SUMIF('Water Charges'!$B$13:$B$24,'Typical Bills WATER'!$B54,'Water Charges'!F$13:F$24)</f>
        <v>299.62</v>
      </c>
      <c r="U54" s="112">
        <f>ROUND((SUMPRODUCT($L54:$O54,'Water Charges'!$D$48:$G$48)),2)</f>
        <v>30068.880000000001</v>
      </c>
      <c r="V54" s="112">
        <f>ROUND((SUMPRODUCT($L54:$O54,'Water Charges'!$D$49:$G$49)),2)</f>
        <v>33893.379999999997</v>
      </c>
      <c r="W54" s="112">
        <f>ROUND((SUMPRODUCT($L54:$O54,'Water Charges'!$D$50:$G$50)),2)</f>
        <v>36844.019999999997</v>
      </c>
      <c r="Y54" s="121"/>
      <c r="Z54" s="121"/>
    </row>
    <row r="55" spans="2:26">
      <c r="B55" s="36">
        <v>10</v>
      </c>
      <c r="C55" s="35">
        <v>1700</v>
      </c>
      <c r="D55" s="27">
        <f t="shared" si="15"/>
        <v>82966.040000000008</v>
      </c>
      <c r="E55" s="27">
        <f t="shared" si="15"/>
        <v>93613.42</v>
      </c>
      <c r="F55" s="27">
        <f>(+E55/D55-1)*100</f>
        <v>12.833419553349756</v>
      </c>
      <c r="G55" s="27">
        <f t="shared" si="10"/>
        <v>101867.64</v>
      </c>
      <c r="H55" s="27">
        <f t="shared" si="5"/>
        <v>8.8173469145769836</v>
      </c>
      <c r="L55" s="26">
        <f>IF($C55&gt;L$11,L$11,$C55)</f>
        <v>2</v>
      </c>
      <c r="M55" s="26">
        <f>IF($C55&gt;M$11,M$11,$C55)-SUM($L55:L55)</f>
        <v>98</v>
      </c>
      <c r="N55" s="26">
        <f>IF($C55&gt;N$11,N$11,$C55)-SUM($L55:M55)</f>
        <v>1600</v>
      </c>
      <c r="O55" s="26">
        <f>$C55-SUM($L55:N55)</f>
        <v>0</v>
      </c>
      <c r="Q55">
        <f>SUMIF('Water Charges'!$B$13:$B$24,'Typical Bills WATER'!$B55,'Water Charges'!D$13:D$24)</f>
        <v>185.16</v>
      </c>
      <c r="R55">
        <f>SUMIF('Water Charges'!$B$13:$B$24,'Typical Bills WATER'!$B55,'Water Charges'!E$13:E$24)</f>
        <v>287.04000000000002</v>
      </c>
      <c r="S55">
        <f>SUMIF('Water Charges'!$B$13:$B$24,'Typical Bills WATER'!$B55,'Water Charges'!F$13:F$24)</f>
        <v>299.62</v>
      </c>
      <c r="U55" s="112">
        <f>ROUND((SUMPRODUCT($L55:$O55,'Water Charges'!$D$48:$G$48)),2)</f>
        <v>82780.88</v>
      </c>
      <c r="V55" s="112">
        <f>ROUND((SUMPRODUCT($L55:$O55,'Water Charges'!$D$49:$G$49)),2)</f>
        <v>93326.38</v>
      </c>
      <c r="W55" s="112">
        <f>ROUND((SUMPRODUCT($L55:$O55,'Water Charges'!$D$50:$G$50)),2)</f>
        <v>101568.02</v>
      </c>
      <c r="Y55" s="121"/>
      <c r="Z55" s="121"/>
    </row>
    <row r="56" spans="2:26">
      <c r="B56" s="36">
        <v>10</v>
      </c>
      <c r="C56" s="35">
        <v>3300</v>
      </c>
      <c r="D56" s="27">
        <f t="shared" si="15"/>
        <v>158052.04</v>
      </c>
      <c r="E56" s="27">
        <f t="shared" si="15"/>
        <v>180061.42</v>
      </c>
      <c r="F56" s="27">
        <f>(+E56/D56-1)*100</f>
        <v>13.925400773061835</v>
      </c>
      <c r="G56" s="27">
        <f t="shared" si="10"/>
        <v>196011.63999999998</v>
      </c>
      <c r="H56" s="27">
        <f t="shared" si="5"/>
        <v>8.8582107149882461</v>
      </c>
      <c r="L56" s="26">
        <f>IF($C56&gt;L$11,L$11,$C56)</f>
        <v>2</v>
      </c>
      <c r="M56" s="26">
        <f>IF($C56&gt;M$11,M$11,$C56)-SUM($L56:L56)</f>
        <v>98</v>
      </c>
      <c r="N56" s="26">
        <f>IF($C56&gt;N$11,N$11,$C56)-SUM($L56:M56)</f>
        <v>1900</v>
      </c>
      <c r="O56" s="26">
        <f>$C56-SUM($L56:N56)</f>
        <v>1300</v>
      </c>
      <c r="Q56">
        <f>SUMIF('Water Charges'!$B$13:$B$24,'Typical Bills WATER'!$B56,'Water Charges'!D$13:D$24)</f>
        <v>185.16</v>
      </c>
      <c r="R56">
        <f>SUMIF('Water Charges'!$B$13:$B$24,'Typical Bills WATER'!$B56,'Water Charges'!E$13:E$24)</f>
        <v>287.04000000000002</v>
      </c>
      <c r="S56">
        <f>SUMIF('Water Charges'!$B$13:$B$24,'Typical Bills WATER'!$B56,'Water Charges'!F$13:F$24)</f>
        <v>299.62</v>
      </c>
      <c r="U56" s="112">
        <f>ROUND((SUMPRODUCT($L56:$O56,'Water Charges'!$D$48:$G$48)),2)</f>
        <v>157866.88</v>
      </c>
      <c r="V56" s="112">
        <f>ROUND((SUMPRODUCT($L56:$O56,'Water Charges'!$D$49:$G$49)),2)</f>
        <v>179774.38</v>
      </c>
      <c r="W56" s="112">
        <f>ROUND((SUMPRODUCT($L56:$O56,'Water Charges'!$D$50:$G$50)),2)</f>
        <v>195712.02</v>
      </c>
      <c r="Y56" s="121"/>
      <c r="Z56" s="121"/>
    </row>
    <row r="57" spans="2:26">
      <c r="B57" s="36">
        <v>10</v>
      </c>
      <c r="C57" s="35">
        <v>6000</v>
      </c>
      <c r="D57" s="27">
        <f t="shared" si="15"/>
        <v>284142.03999999998</v>
      </c>
      <c r="E57" s="27">
        <f t="shared" si="15"/>
        <v>325942.42</v>
      </c>
      <c r="F57" s="27">
        <f>(+E57/D57-1)*100</f>
        <v>14.711086046964406</v>
      </c>
      <c r="G57" s="27">
        <f t="shared" si="10"/>
        <v>354879.64</v>
      </c>
      <c r="H57" s="27">
        <f t="shared" si="5"/>
        <v>8.8780159391342863</v>
      </c>
      <c r="L57" s="26">
        <f>IF($C57&gt;L$11,L$11,$C57)</f>
        <v>2</v>
      </c>
      <c r="M57" s="26">
        <f>IF($C57&gt;M$11,M$11,$C57)-SUM($L57:L57)</f>
        <v>98</v>
      </c>
      <c r="N57" s="26">
        <f>IF($C57&gt;N$11,N$11,$C57)-SUM($L57:M57)</f>
        <v>1900</v>
      </c>
      <c r="O57" s="26">
        <f>$C57-SUM($L57:N57)</f>
        <v>4000</v>
      </c>
      <c r="Q57">
        <f>SUMIF('Water Charges'!$B$13:$B$24,'Typical Bills WATER'!$B57,'Water Charges'!D$13:D$24)</f>
        <v>185.16</v>
      </c>
      <c r="R57">
        <f>SUMIF('Water Charges'!$B$13:$B$24,'Typical Bills WATER'!$B57,'Water Charges'!E$13:E$24)</f>
        <v>287.04000000000002</v>
      </c>
      <c r="S57">
        <f>SUMIF('Water Charges'!$B$13:$B$24,'Typical Bills WATER'!$B57,'Water Charges'!F$13:F$24)</f>
        <v>299.62</v>
      </c>
      <c r="U57" s="112">
        <f>ROUND((SUMPRODUCT($L57:$O57,'Water Charges'!$D$48:$G$48)),2)</f>
        <v>283956.88</v>
      </c>
      <c r="V57" s="112">
        <f>ROUND((SUMPRODUCT($L57:$O57,'Water Charges'!$D$49:$G$49)),2)</f>
        <v>325655.38</v>
      </c>
      <c r="W57" s="112">
        <f>ROUND((SUMPRODUCT($L57:$O57,'Water Charges'!$D$50:$G$50)),2)</f>
        <v>354580.02</v>
      </c>
      <c r="Y57" s="121"/>
      <c r="Z57" s="121"/>
    </row>
    <row r="58" spans="2:26">
      <c r="B58" s="3"/>
      <c r="C58" s="3"/>
      <c r="D58" s="3"/>
      <c r="E58" s="3"/>
      <c r="F58" s="3"/>
      <c r="G58" s="3"/>
      <c r="H58" s="3"/>
    </row>
    <row r="59" spans="2:26">
      <c r="B59" s="3" t="s">
        <v>146</v>
      </c>
      <c r="C59" s="3"/>
      <c r="D59" s="3"/>
      <c r="E59" s="3"/>
      <c r="F59" s="3"/>
      <c r="G59" s="3"/>
      <c r="H59" s="3"/>
    </row>
  </sheetData>
  <mergeCells count="3">
    <mergeCell ref="E9:F9"/>
    <mergeCell ref="B6:F6"/>
    <mergeCell ref="G9:H9"/>
  </mergeCells>
  <hyperlinks>
    <hyperlink ref="A1" location="TOC!A1" display="TOC!A1" xr:uid="{00000000-0004-0000-0B00-000000000000}"/>
  </hyperlink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X59"/>
  <sheetViews>
    <sheetView workbookViewId="0">
      <selection activeCell="X23" sqref="X23"/>
    </sheetView>
  </sheetViews>
  <sheetFormatPr defaultRowHeight="14"/>
  <cols>
    <col min="2" max="2" width="11.54296875" customWidth="1"/>
    <col min="3" max="3" width="12.1796875" customWidth="1"/>
    <col min="4" max="4" width="12.453125" customWidth="1"/>
    <col min="5" max="5" width="14" customWidth="1"/>
    <col min="6" max="6" width="13.1796875" customWidth="1"/>
    <col min="7" max="7" width="14" customWidth="1"/>
    <col min="8" max="8" width="13.1796875" customWidth="1"/>
  </cols>
  <sheetData>
    <row r="1" spans="1:24" ht="14.5" thickBot="1">
      <c r="A1" s="239" t="s">
        <v>1</v>
      </c>
    </row>
    <row r="2" spans="1:24" ht="18">
      <c r="B2" s="1"/>
      <c r="C2" s="1"/>
      <c r="D2" s="1"/>
      <c r="E2" s="1"/>
      <c r="F2" s="1"/>
      <c r="G2" s="1"/>
      <c r="H2" s="1"/>
    </row>
    <row r="3" spans="1:24" ht="18">
      <c r="B3" s="1"/>
      <c r="C3" s="1"/>
      <c r="D3" s="1"/>
      <c r="E3" s="1"/>
      <c r="F3" s="1"/>
      <c r="G3" s="1"/>
      <c r="H3" s="1"/>
    </row>
    <row r="4" spans="1:24" ht="18">
      <c r="B4" s="111" t="s">
        <v>258</v>
      </c>
      <c r="C4" s="111"/>
      <c r="D4" s="111"/>
      <c r="E4" s="111"/>
      <c r="F4" s="111"/>
      <c r="G4" s="243"/>
      <c r="H4" s="243"/>
    </row>
    <row r="5" spans="1:24" ht="18">
      <c r="B5" s="111" t="s">
        <v>221</v>
      </c>
      <c r="C5" s="111"/>
      <c r="D5" s="111"/>
      <c r="E5" s="111"/>
      <c r="F5" s="111"/>
      <c r="G5" s="243"/>
      <c r="H5" s="243"/>
    </row>
    <row r="6" spans="1:24" ht="18">
      <c r="B6" s="111" t="s">
        <v>119</v>
      </c>
      <c r="C6" s="111"/>
      <c r="D6" s="111"/>
      <c r="E6" s="111"/>
      <c r="F6" s="111"/>
      <c r="G6" s="243"/>
      <c r="H6" s="243"/>
    </row>
    <row r="7" spans="1:24">
      <c r="B7" s="23"/>
      <c r="C7" s="23"/>
      <c r="D7" s="23"/>
      <c r="E7" s="24"/>
      <c r="F7" s="23"/>
      <c r="G7" s="24"/>
      <c r="H7" s="23"/>
      <c r="T7" s="21"/>
    </row>
    <row r="8" spans="1:24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>
        <v>-4</v>
      </c>
      <c r="H8" s="32">
        <v>-5</v>
      </c>
    </row>
    <row r="9" spans="1:24" ht="15.5">
      <c r="B9" s="25"/>
      <c r="C9" s="25"/>
      <c r="D9" s="8" t="str">
        <f>Inputs!$C$4</f>
        <v>FY 2025</v>
      </c>
      <c r="E9" s="474" t="str">
        <f>Inputs!$D$4</f>
        <v>FY 2026</v>
      </c>
      <c r="F9" s="474"/>
      <c r="G9" s="474" t="str">
        <f>Inputs!$E$4</f>
        <v>FY 2027</v>
      </c>
      <c r="H9" s="474"/>
      <c r="O9" t="s">
        <v>253</v>
      </c>
      <c r="S9" t="s">
        <v>254</v>
      </c>
    </row>
    <row r="10" spans="1:24">
      <c r="B10" s="4" t="s">
        <v>222</v>
      </c>
      <c r="C10" s="4" t="s">
        <v>122</v>
      </c>
      <c r="D10" s="4" t="s">
        <v>175</v>
      </c>
      <c r="E10" s="4" t="s">
        <v>176</v>
      </c>
      <c r="F10" s="4" t="s">
        <v>223</v>
      </c>
      <c r="G10" s="4" t="s">
        <v>176</v>
      </c>
      <c r="H10" s="4" t="s">
        <v>223</v>
      </c>
    </row>
    <row r="11" spans="1:24" ht="15.5">
      <c r="B11" s="6" t="s">
        <v>225</v>
      </c>
      <c r="C11" s="6" t="s">
        <v>226</v>
      </c>
      <c r="D11" s="6" t="s">
        <v>227</v>
      </c>
      <c r="E11" s="6" t="s">
        <v>227</v>
      </c>
      <c r="F11" s="6" t="s">
        <v>228</v>
      </c>
      <c r="G11" s="6" t="s">
        <v>227</v>
      </c>
      <c r="H11" s="6" t="str">
        <f>"of "&amp;TEXT($E$9,"0")&amp;""</f>
        <v>of FY 2026</v>
      </c>
      <c r="O11" s="4" t="str">
        <f>Inputs!$C$4</f>
        <v>FY 2025</v>
      </c>
      <c r="P11" s="4" t="str">
        <f>Inputs!$D$4</f>
        <v>FY 2026</v>
      </c>
      <c r="Q11" s="4" t="str">
        <f>Inputs!$E$4</f>
        <v>FY 2027</v>
      </c>
      <c r="S11" s="4" t="str">
        <f>Inputs!$C$4</f>
        <v>FY 2025</v>
      </c>
      <c r="T11" s="4" t="str">
        <f>Inputs!$D$4</f>
        <v>FY 2026</v>
      </c>
      <c r="U11" s="4" t="str">
        <f>Inputs!$E$4</f>
        <v>FY 2027</v>
      </c>
      <c r="V11" s="4"/>
      <c r="W11" s="4"/>
      <c r="X11" s="4"/>
    </row>
    <row r="12" spans="1:24">
      <c r="B12" s="4" t="s">
        <v>125</v>
      </c>
      <c r="C12" s="4" t="s">
        <v>233</v>
      </c>
      <c r="D12" s="4" t="s">
        <v>126</v>
      </c>
      <c r="E12" s="4" t="s">
        <v>126</v>
      </c>
      <c r="F12" s="4" t="s">
        <v>234</v>
      </c>
      <c r="G12" s="4" t="s">
        <v>126</v>
      </c>
      <c r="H12" s="4" t="s">
        <v>234</v>
      </c>
    </row>
    <row r="13" spans="1:24">
      <c r="B13" s="3"/>
      <c r="C13" s="3"/>
      <c r="D13" s="3"/>
      <c r="E13" s="3"/>
      <c r="F13" s="3"/>
      <c r="G13" s="3"/>
      <c r="H13" s="3"/>
    </row>
    <row r="14" spans="1:24">
      <c r="B14" s="9" t="str">
        <f>+'Typical Bills WATER'!B14</f>
        <v>5/8</v>
      </c>
      <c r="C14" s="26">
        <f>+'Typical Bills WATER'!C14</f>
        <v>0</v>
      </c>
      <c r="D14" s="27">
        <f t="shared" ref="D14:D27" si="0">+O14+S14</f>
        <v>7.64</v>
      </c>
      <c r="E14" s="27">
        <f t="shared" ref="E14:E27" si="1">+P14+T14</f>
        <v>8.2200000000000006</v>
      </c>
      <c r="F14" s="26">
        <f t="shared" ref="F14:F26" si="2">(+E14/D14-1)*100</f>
        <v>7.5916230366492199</v>
      </c>
      <c r="G14" s="27">
        <f>+Q14+U14</f>
        <v>8.84</v>
      </c>
      <c r="H14" s="26">
        <f t="shared" ref="H14:H19" si="3">(+G14/F14-1)*100</f>
        <v>16.444137931034408</v>
      </c>
      <c r="O14" s="27">
        <f>SUMIF('Wastewater Charges'!$C$15:$C$26,'Typical Bills SANITARY'!$B14,'Wastewater Charges'!E$15:E$26)</f>
        <v>7.64</v>
      </c>
      <c r="P14" s="27">
        <f>SUMIF('Wastewater Charges'!$C$15:$C$26,'Typical Bills SANITARY'!$B14,'Wastewater Charges'!F$15:F$26)</f>
        <v>8.2200000000000006</v>
      </c>
      <c r="Q14" s="27">
        <f>SUMIF('Wastewater Charges'!$C$15:$C$26,'Typical Bills SANITARY'!$B14,'Wastewater Charges'!G$15:G$26)</f>
        <v>8.84</v>
      </c>
      <c r="S14" s="27">
        <f>ROUND(($C14*('Wastewater Charges'!E$35+'Wastewater Charges'!E$45)),2)</f>
        <v>0</v>
      </c>
      <c r="T14" s="27">
        <f>ROUND(($C14*('Wastewater Charges'!F$35+'Wastewater Charges'!F$45)),2)</f>
        <v>0</v>
      </c>
      <c r="U14" s="27">
        <f>ROUND(($C14*('Wastewater Charges'!G$35+'Wastewater Charges'!G$45)),2)</f>
        <v>0</v>
      </c>
      <c r="V14" s="27"/>
      <c r="W14" s="27"/>
      <c r="X14" s="27"/>
    </row>
    <row r="15" spans="1:24">
      <c r="B15" s="9" t="str">
        <f>+'Typical Bills WATER'!B15</f>
        <v>5/8</v>
      </c>
      <c r="C15" s="26">
        <f>+'Typical Bills WATER'!C15</f>
        <v>0.2</v>
      </c>
      <c r="D15" s="27">
        <f t="shared" si="0"/>
        <v>16.739999999999998</v>
      </c>
      <c r="E15" s="27">
        <f t="shared" si="1"/>
        <v>18.829999999999998</v>
      </c>
      <c r="F15" s="26">
        <f>(+E15/D15-1)*100</f>
        <v>12.485065710872156</v>
      </c>
      <c r="G15" s="27">
        <f t="shared" ref="G15:G27" si="4">+Q15+U15</f>
        <v>20.11</v>
      </c>
      <c r="H15" s="26">
        <f t="shared" si="3"/>
        <v>61.072440191387642</v>
      </c>
      <c r="O15" s="27">
        <f>SUMIF('Wastewater Charges'!$C$15:$C$26,'Typical Bills SANITARY'!$B15,'Wastewater Charges'!E$15:E$26)</f>
        <v>7.64</v>
      </c>
      <c r="P15" s="27">
        <f>SUMIF('Wastewater Charges'!$C$15:$C$26,'Typical Bills SANITARY'!$B15,'Wastewater Charges'!F$15:F$26)</f>
        <v>8.2200000000000006</v>
      </c>
      <c r="Q15" s="27">
        <f>SUMIF('Wastewater Charges'!$C$15:$C$26,'Typical Bills SANITARY'!$B15,'Wastewater Charges'!G$15:G$26)</f>
        <v>8.84</v>
      </c>
      <c r="S15" s="27">
        <f>ROUND(($C15*('Wastewater Charges'!E$35+'Wastewater Charges'!E$45)),2)</f>
        <v>9.1</v>
      </c>
      <c r="T15" s="27">
        <f>ROUND(($C15*('Wastewater Charges'!F$35+'Wastewater Charges'!F$45)),2)</f>
        <v>10.61</v>
      </c>
      <c r="U15" s="27">
        <f>ROUND(($C15*('Wastewater Charges'!G$35+'Wastewater Charges'!G$45)),2)</f>
        <v>11.27</v>
      </c>
      <c r="V15" s="27"/>
      <c r="W15" s="27"/>
      <c r="X15" s="27"/>
    </row>
    <row r="16" spans="1:24">
      <c r="B16" s="9" t="str">
        <f>+'Typical Bills WATER'!B16</f>
        <v>5/8</v>
      </c>
      <c r="C16" s="26">
        <f>+'Typical Bills WATER'!C16</f>
        <v>0.3</v>
      </c>
      <c r="D16" s="27">
        <f t="shared" si="0"/>
        <v>21.29</v>
      </c>
      <c r="E16" s="27">
        <f t="shared" si="1"/>
        <v>24.14</v>
      </c>
      <c r="F16" s="26">
        <f t="shared" si="2"/>
        <v>13.386566463128236</v>
      </c>
      <c r="G16" s="27">
        <f t="shared" si="4"/>
        <v>25.74</v>
      </c>
      <c r="H16" s="26">
        <f t="shared" si="3"/>
        <v>92.282315789473571</v>
      </c>
      <c r="O16" s="27">
        <f>SUMIF('Wastewater Charges'!$C$15:$C$26,'Typical Bills SANITARY'!$B16,'Wastewater Charges'!E$15:E$26)</f>
        <v>7.64</v>
      </c>
      <c r="P16" s="27">
        <f>SUMIF('Wastewater Charges'!$C$15:$C$26,'Typical Bills SANITARY'!$B16,'Wastewater Charges'!F$15:F$26)</f>
        <v>8.2200000000000006</v>
      </c>
      <c r="Q16" s="27">
        <f>SUMIF('Wastewater Charges'!$C$15:$C$26,'Typical Bills SANITARY'!$B16,'Wastewater Charges'!G$15:G$26)</f>
        <v>8.84</v>
      </c>
      <c r="S16" s="27">
        <f>ROUND(($C16*('Wastewater Charges'!E$35+'Wastewater Charges'!E$45)),2)</f>
        <v>13.65</v>
      </c>
      <c r="T16" s="27">
        <f>ROUND(($C16*('Wastewater Charges'!F$35+'Wastewater Charges'!F$45)),2)</f>
        <v>15.92</v>
      </c>
      <c r="U16" s="27">
        <f>ROUND(($C16*('Wastewater Charges'!G$35+'Wastewater Charges'!G$45)),2)</f>
        <v>16.899999999999999</v>
      </c>
      <c r="V16" s="27"/>
      <c r="W16" s="27"/>
      <c r="X16" s="27"/>
    </row>
    <row r="17" spans="2:24">
      <c r="B17" s="9" t="str">
        <f>+'Typical Bills WATER'!B17</f>
        <v>5/8</v>
      </c>
      <c r="C17" s="26">
        <f>+'Typical Bills WATER'!C17</f>
        <v>0.4</v>
      </c>
      <c r="D17" s="27">
        <f t="shared" si="0"/>
        <v>25.84</v>
      </c>
      <c r="E17" s="27">
        <f t="shared" si="1"/>
        <v>29.439999999999998</v>
      </c>
      <c r="F17" s="26">
        <f>(+E17/D17-1)*100</f>
        <v>13.931888544891624</v>
      </c>
      <c r="G17" s="27">
        <f t="shared" si="4"/>
        <v>31.37</v>
      </c>
      <c r="H17" s="26">
        <f t="shared" si="3"/>
        <v>125.16688888888919</v>
      </c>
      <c r="O17" s="27">
        <f>SUMIF('Wastewater Charges'!$C$15:$C$26,'Typical Bills SANITARY'!$B17,'Wastewater Charges'!E$15:E$26)</f>
        <v>7.64</v>
      </c>
      <c r="P17" s="27">
        <f>SUMIF('Wastewater Charges'!$C$15:$C$26,'Typical Bills SANITARY'!$B17,'Wastewater Charges'!F$15:F$26)</f>
        <v>8.2200000000000006</v>
      </c>
      <c r="Q17" s="27">
        <f>SUMIF('Wastewater Charges'!$C$15:$C$26,'Typical Bills SANITARY'!$B17,'Wastewater Charges'!G$15:G$26)</f>
        <v>8.84</v>
      </c>
      <c r="S17" s="27">
        <f>ROUND(($C17*('Wastewater Charges'!E$35+'Wastewater Charges'!E$45)),2)</f>
        <v>18.2</v>
      </c>
      <c r="T17" s="27">
        <f>ROUND(($C17*('Wastewater Charges'!F$35+'Wastewater Charges'!F$45)),2)</f>
        <v>21.22</v>
      </c>
      <c r="U17" s="27">
        <f>ROUND(($C17*('Wastewater Charges'!G$35+'Wastewater Charges'!G$45)),2)</f>
        <v>22.53</v>
      </c>
      <c r="V17" s="27"/>
      <c r="W17" s="27"/>
      <c r="X17" s="27"/>
    </row>
    <row r="18" spans="2:24" ht="15.75" customHeight="1">
      <c r="B18" s="9" t="str">
        <f>+'Typical Bills WATER'!B18</f>
        <v>5/8</v>
      </c>
      <c r="C18" s="27">
        <f>+'Typical Bills WATER'!C18</f>
        <v>0.43</v>
      </c>
      <c r="D18" s="27">
        <f t="shared" si="0"/>
        <v>27.21</v>
      </c>
      <c r="E18" s="27">
        <f t="shared" si="1"/>
        <v>31.04</v>
      </c>
      <c r="F18" s="26">
        <f t="shared" si="2"/>
        <v>14.07570746049247</v>
      </c>
      <c r="G18" s="27">
        <f t="shared" si="4"/>
        <v>33.06</v>
      </c>
      <c r="H18" s="26">
        <f t="shared" si="3"/>
        <v>134.87274151436023</v>
      </c>
      <c r="O18" s="27">
        <f>SUMIF('Wastewater Charges'!$C$15:$C$26,'Typical Bills SANITARY'!$B18,'Wastewater Charges'!E$15:E$26)</f>
        <v>7.64</v>
      </c>
      <c r="P18" s="27">
        <f>SUMIF('Wastewater Charges'!$C$15:$C$26,'Typical Bills SANITARY'!$B18,'Wastewater Charges'!F$15:F$26)</f>
        <v>8.2200000000000006</v>
      </c>
      <c r="Q18" s="27">
        <f>SUMIF('Wastewater Charges'!$C$15:$C$26,'Typical Bills SANITARY'!$B18,'Wastewater Charges'!G$15:G$26)</f>
        <v>8.84</v>
      </c>
      <c r="S18" s="27">
        <f>ROUND(($C18*('Wastewater Charges'!E$35+'Wastewater Charges'!E$45)),2)</f>
        <v>19.57</v>
      </c>
      <c r="T18" s="27">
        <f>ROUND(($C18*('Wastewater Charges'!F$35+'Wastewater Charges'!F$45)),2)</f>
        <v>22.82</v>
      </c>
      <c r="U18" s="27">
        <f>ROUND(($C18*('Wastewater Charges'!G$35+'Wastewater Charges'!G$45)),2)</f>
        <v>24.22</v>
      </c>
      <c r="V18" s="27"/>
      <c r="W18" s="27"/>
      <c r="X18" s="27"/>
    </row>
    <row r="19" spans="2:24" ht="15.75" customHeight="1">
      <c r="B19" s="9" t="str">
        <f>+'Typical Bills WATER'!B19</f>
        <v>5/8</v>
      </c>
      <c r="C19" s="26">
        <f>+'Typical Bills WATER'!C19</f>
        <v>0.5</v>
      </c>
      <c r="D19" s="27">
        <f>+O19+S19</f>
        <v>30.400000000000002</v>
      </c>
      <c r="E19" s="27">
        <f>+P19+T19</f>
        <v>34.75</v>
      </c>
      <c r="F19" s="26">
        <f>(+E19/D19-1)*100</f>
        <v>14.309210526315773</v>
      </c>
      <c r="G19" s="27">
        <f t="shared" si="4"/>
        <v>37.010000000000005</v>
      </c>
      <c r="H19" s="26">
        <f t="shared" si="3"/>
        <v>158.64459770114973</v>
      </c>
      <c r="O19" s="27">
        <f>SUMIF('Wastewater Charges'!$C$15:$C$26,'Typical Bills SANITARY'!$B19,'Wastewater Charges'!E$15:E$26)</f>
        <v>7.64</v>
      </c>
      <c r="P19" s="27">
        <f>SUMIF('Wastewater Charges'!$C$15:$C$26,'Typical Bills SANITARY'!$B19,'Wastewater Charges'!F$15:F$26)</f>
        <v>8.2200000000000006</v>
      </c>
      <c r="Q19" s="27">
        <f>SUMIF('Wastewater Charges'!$C$15:$C$26,'Typical Bills SANITARY'!$B19,'Wastewater Charges'!G$15:G$26)</f>
        <v>8.84</v>
      </c>
      <c r="S19" s="27">
        <f>ROUND(($C19*('Wastewater Charges'!E$35+'Wastewater Charges'!E$45)),2)</f>
        <v>22.76</v>
      </c>
      <c r="T19" s="27">
        <f>ROUND(($C19*('Wastewater Charges'!F$35+'Wastewater Charges'!F$45)),2)</f>
        <v>26.53</v>
      </c>
      <c r="U19" s="27">
        <f>ROUND(($C19*('Wastewater Charges'!G$35+'Wastewater Charges'!G$45)),2)</f>
        <v>28.17</v>
      </c>
      <c r="V19" s="27"/>
      <c r="W19" s="27"/>
      <c r="X19" s="27"/>
    </row>
    <row r="20" spans="2:24" ht="15.75" customHeight="1">
      <c r="B20" s="9" t="str">
        <f>+'Typical Bills WATER'!B20</f>
        <v>5/8</v>
      </c>
      <c r="C20" s="27">
        <f>+'Typical Bills WATER'!C20</f>
        <v>0.55000000000000004</v>
      </c>
      <c r="D20" s="27">
        <f>+O20+S20</f>
        <v>32.67</v>
      </c>
      <c r="E20" s="27">
        <f>+P20+T20</f>
        <v>37.4</v>
      </c>
      <c r="F20" s="26">
        <f>(+E20/D20-1)*100</f>
        <v>14.478114478114467</v>
      </c>
      <c r="G20" s="27">
        <f t="shared" ref="G20" si="5">+Q20+U20</f>
        <v>39.82</v>
      </c>
      <c r="H20" s="26">
        <f t="shared" ref="H20" si="6">(+G20/F20-1)*100</f>
        <v>175.03581395348857</v>
      </c>
      <c r="O20" s="27">
        <f>SUMIF('Wastewater Charges'!$C$15:$C$26,'Typical Bills SANITARY'!$B20,'Wastewater Charges'!E$15:E$26)</f>
        <v>7.64</v>
      </c>
      <c r="P20" s="27">
        <f>SUMIF('Wastewater Charges'!$C$15:$C$26,'Typical Bills SANITARY'!$B20,'Wastewater Charges'!F$15:F$26)</f>
        <v>8.2200000000000006</v>
      </c>
      <c r="Q20" s="27">
        <f>SUMIF('Wastewater Charges'!$C$15:$C$26,'Typical Bills SANITARY'!$B20,'Wastewater Charges'!G$15:G$26)</f>
        <v>8.84</v>
      </c>
      <c r="S20" s="27">
        <f>ROUND(($C20*('Wastewater Charges'!E$35+'Wastewater Charges'!E$45)),2)</f>
        <v>25.03</v>
      </c>
      <c r="T20" s="27">
        <f>ROUND(($C20*('Wastewater Charges'!F$35+'Wastewater Charges'!F$45)),2)</f>
        <v>29.18</v>
      </c>
      <c r="U20" s="27">
        <f>ROUND(($C20*('Wastewater Charges'!G$35+'Wastewater Charges'!G$45)),2)</f>
        <v>30.98</v>
      </c>
      <c r="V20" s="27"/>
      <c r="W20" s="27"/>
      <c r="X20" s="27"/>
    </row>
    <row r="21" spans="2:24">
      <c r="B21" s="9" t="str">
        <f>+'Typical Bills WATER'!B21</f>
        <v>5/8</v>
      </c>
      <c r="C21" s="26">
        <f>+'Typical Bills WATER'!C21</f>
        <v>0.6</v>
      </c>
      <c r="D21" s="27">
        <f t="shared" si="0"/>
        <v>34.949999999999996</v>
      </c>
      <c r="E21" s="27">
        <f t="shared" si="1"/>
        <v>40.06</v>
      </c>
      <c r="F21" s="26">
        <f t="shared" si="2"/>
        <v>14.620886981402027</v>
      </c>
      <c r="G21" s="27">
        <f t="shared" si="4"/>
        <v>42.64</v>
      </c>
      <c r="H21" s="26">
        <f t="shared" ref="H21:H26" si="7">(+G21/F21-1)*100</f>
        <v>191.6375733855181</v>
      </c>
      <c r="O21" s="27">
        <f>SUMIF('Wastewater Charges'!$C$15:$C$26,'Typical Bills SANITARY'!$B21,'Wastewater Charges'!E$15:E$26)</f>
        <v>7.64</v>
      </c>
      <c r="P21" s="27">
        <f>SUMIF('Wastewater Charges'!$C$15:$C$26,'Typical Bills SANITARY'!$B21,'Wastewater Charges'!F$15:F$26)</f>
        <v>8.2200000000000006</v>
      </c>
      <c r="Q21" s="27">
        <f>SUMIF('Wastewater Charges'!$C$15:$C$26,'Typical Bills SANITARY'!$B21,'Wastewater Charges'!G$15:G$26)</f>
        <v>8.84</v>
      </c>
      <c r="S21" s="27">
        <f>ROUND(($C21*('Wastewater Charges'!E$35+'Wastewater Charges'!E$45)),2)</f>
        <v>27.31</v>
      </c>
      <c r="T21" s="27">
        <f>ROUND(($C21*('Wastewater Charges'!F$35+'Wastewater Charges'!F$45)),2)</f>
        <v>31.84</v>
      </c>
      <c r="U21" s="27">
        <f>ROUND(($C21*('Wastewater Charges'!G$35+'Wastewater Charges'!G$45)),2)</f>
        <v>33.799999999999997</v>
      </c>
      <c r="V21" s="27"/>
      <c r="W21" s="27"/>
      <c r="X21" s="27"/>
    </row>
    <row r="22" spans="2:24">
      <c r="B22" s="9" t="str">
        <f>+'Typical Bills WATER'!B22</f>
        <v>5/8</v>
      </c>
      <c r="C22" s="26">
        <f>+'Typical Bills WATER'!C22</f>
        <v>0.7</v>
      </c>
      <c r="D22" s="27">
        <f t="shared" si="0"/>
        <v>39.5</v>
      </c>
      <c r="E22" s="27">
        <f t="shared" si="1"/>
        <v>45.36</v>
      </c>
      <c r="F22" s="26">
        <f t="shared" si="2"/>
        <v>14.835443037974683</v>
      </c>
      <c r="G22" s="27">
        <f t="shared" si="4"/>
        <v>48.269999999999996</v>
      </c>
      <c r="H22" s="26">
        <f t="shared" si="7"/>
        <v>225.36945392491467</v>
      </c>
      <c r="O22" s="27">
        <f>SUMIF('Wastewater Charges'!$C$15:$C$26,'Typical Bills SANITARY'!$B22,'Wastewater Charges'!E$15:E$26)</f>
        <v>7.64</v>
      </c>
      <c r="P22" s="27">
        <f>SUMIF('Wastewater Charges'!$C$15:$C$26,'Typical Bills SANITARY'!$B22,'Wastewater Charges'!F$15:F$26)</f>
        <v>8.2200000000000006</v>
      </c>
      <c r="Q22" s="27">
        <f>SUMIF('Wastewater Charges'!$C$15:$C$26,'Typical Bills SANITARY'!$B22,'Wastewater Charges'!G$15:G$26)</f>
        <v>8.84</v>
      </c>
      <c r="S22" s="27">
        <f>ROUND(($C22*('Wastewater Charges'!E$35+'Wastewater Charges'!E$45)),2)</f>
        <v>31.86</v>
      </c>
      <c r="T22" s="27">
        <f>ROUND(($C22*('Wastewater Charges'!F$35+'Wastewater Charges'!F$45)),2)</f>
        <v>37.14</v>
      </c>
      <c r="U22" s="27">
        <f>ROUND(($C22*('Wastewater Charges'!G$35+'Wastewater Charges'!G$45)),2)</f>
        <v>39.43</v>
      </c>
      <c r="V22" s="27"/>
      <c r="W22" s="27"/>
      <c r="X22" s="27"/>
    </row>
    <row r="23" spans="2:24">
      <c r="B23" s="9" t="str">
        <f>+'Typical Bills WATER'!B23</f>
        <v>5/8</v>
      </c>
      <c r="C23" s="26">
        <f>+'Typical Bills WATER'!C23</f>
        <v>0.8</v>
      </c>
      <c r="D23" s="27">
        <f t="shared" si="0"/>
        <v>44.05</v>
      </c>
      <c r="E23" s="27">
        <f t="shared" si="1"/>
        <v>50.67</v>
      </c>
      <c r="F23" s="26">
        <f t="shared" si="2"/>
        <v>15.028376844494895</v>
      </c>
      <c r="G23" s="27">
        <f t="shared" si="4"/>
        <v>53.900000000000006</v>
      </c>
      <c r="H23" s="26">
        <f t="shared" si="7"/>
        <v>258.65483383685796</v>
      </c>
      <c r="O23" s="27">
        <f>SUMIF('Wastewater Charges'!$C$15:$C$26,'Typical Bills SANITARY'!$B23,'Wastewater Charges'!E$15:E$26)</f>
        <v>7.64</v>
      </c>
      <c r="P23" s="27">
        <f>SUMIF('Wastewater Charges'!$C$15:$C$26,'Typical Bills SANITARY'!$B23,'Wastewater Charges'!F$15:F$26)</f>
        <v>8.2200000000000006</v>
      </c>
      <c r="Q23" s="27">
        <f>SUMIF('Wastewater Charges'!$C$15:$C$26,'Typical Bills SANITARY'!$B23,'Wastewater Charges'!G$15:G$26)</f>
        <v>8.84</v>
      </c>
      <c r="S23" s="27">
        <f>ROUND(($C23*('Wastewater Charges'!E$35+'Wastewater Charges'!E$45)),2)</f>
        <v>36.409999999999997</v>
      </c>
      <c r="T23" s="27">
        <f>ROUND(($C23*('Wastewater Charges'!F$35+'Wastewater Charges'!F$45)),2)</f>
        <v>42.45</v>
      </c>
      <c r="U23" s="27">
        <f>ROUND(($C23*('Wastewater Charges'!G$35+'Wastewater Charges'!G$45)),2)</f>
        <v>45.06</v>
      </c>
      <c r="V23" s="27"/>
      <c r="W23" s="27"/>
      <c r="X23" s="27"/>
    </row>
    <row r="24" spans="2:24">
      <c r="B24" s="9" t="str">
        <f>+'Typical Bills WATER'!B24</f>
        <v>5/8</v>
      </c>
      <c r="C24" s="26">
        <f>+'Typical Bills WATER'!C24</f>
        <v>1.7</v>
      </c>
      <c r="D24" s="27">
        <f t="shared" si="0"/>
        <v>85.01</v>
      </c>
      <c r="E24" s="27">
        <f t="shared" si="1"/>
        <v>98.42</v>
      </c>
      <c r="F24" s="26">
        <f t="shared" si="2"/>
        <v>15.774614751205739</v>
      </c>
      <c r="G24" s="27">
        <f t="shared" si="4"/>
        <v>104.60000000000001</v>
      </c>
      <c r="H24" s="26">
        <f t="shared" si="7"/>
        <v>563.09067859806123</v>
      </c>
      <c r="O24" s="27">
        <f>SUMIF('Wastewater Charges'!$C$15:$C$26,'Typical Bills SANITARY'!$B24,'Wastewater Charges'!E$15:E$26)</f>
        <v>7.64</v>
      </c>
      <c r="P24" s="27">
        <f>SUMIF('Wastewater Charges'!$C$15:$C$26,'Typical Bills SANITARY'!$B24,'Wastewater Charges'!F$15:F$26)</f>
        <v>8.2200000000000006</v>
      </c>
      <c r="Q24" s="27">
        <f>SUMIF('Wastewater Charges'!$C$15:$C$26,'Typical Bills SANITARY'!$B24,'Wastewater Charges'!G$15:G$26)</f>
        <v>8.84</v>
      </c>
      <c r="S24" s="27">
        <f>ROUND(($C24*('Wastewater Charges'!E$35+'Wastewater Charges'!E$45)),2)</f>
        <v>77.37</v>
      </c>
      <c r="T24" s="27">
        <f>ROUND(($C24*('Wastewater Charges'!F$35+'Wastewater Charges'!F$45)),2)</f>
        <v>90.2</v>
      </c>
      <c r="U24" s="27">
        <f>ROUND(($C24*('Wastewater Charges'!G$35+'Wastewater Charges'!G$45)),2)</f>
        <v>95.76</v>
      </c>
      <c r="V24" s="27"/>
      <c r="W24" s="27"/>
      <c r="X24" s="27"/>
    </row>
    <row r="25" spans="2:24">
      <c r="B25" s="9" t="str">
        <f>+'Typical Bills WATER'!B25</f>
        <v>5/8</v>
      </c>
      <c r="C25" s="26">
        <f>+'Typical Bills WATER'!C25</f>
        <v>2.7</v>
      </c>
      <c r="D25" s="27">
        <f t="shared" si="0"/>
        <v>130.51999999999998</v>
      </c>
      <c r="E25" s="27">
        <f t="shared" si="1"/>
        <v>151.47999999999999</v>
      </c>
      <c r="F25" s="26">
        <f t="shared" si="2"/>
        <v>16.058841556849536</v>
      </c>
      <c r="G25" s="27">
        <f t="shared" si="4"/>
        <v>160.93</v>
      </c>
      <c r="H25" s="26">
        <f t="shared" si="7"/>
        <v>902.12708015267117</v>
      </c>
      <c r="O25" s="27">
        <f>SUMIF('Wastewater Charges'!$C$15:$C$26,'Typical Bills SANITARY'!$B25,'Wastewater Charges'!E$15:E$26)</f>
        <v>7.64</v>
      </c>
      <c r="P25" s="27">
        <f>SUMIF('Wastewater Charges'!$C$15:$C$26,'Typical Bills SANITARY'!$B25,'Wastewater Charges'!F$15:F$26)</f>
        <v>8.2200000000000006</v>
      </c>
      <c r="Q25" s="27">
        <f>SUMIF('Wastewater Charges'!$C$15:$C$26,'Typical Bills SANITARY'!$B25,'Wastewater Charges'!G$15:G$26)</f>
        <v>8.84</v>
      </c>
      <c r="S25" s="27">
        <f>ROUND(($C25*('Wastewater Charges'!E$35+'Wastewater Charges'!E$45)),2)</f>
        <v>122.88</v>
      </c>
      <c r="T25" s="27">
        <f>ROUND(($C25*('Wastewater Charges'!F$35+'Wastewater Charges'!F$45)),2)</f>
        <v>143.26</v>
      </c>
      <c r="U25" s="27">
        <f>ROUND(($C25*('Wastewater Charges'!G$35+'Wastewater Charges'!G$45)),2)</f>
        <v>152.09</v>
      </c>
      <c r="V25" s="27"/>
      <c r="W25" s="27"/>
      <c r="X25" s="27"/>
    </row>
    <row r="26" spans="2:24">
      <c r="B26" s="9" t="str">
        <f>+'Typical Bills WATER'!B26</f>
        <v>5/8</v>
      </c>
      <c r="C26" s="26">
        <f>+'Typical Bills WATER'!C26</f>
        <v>3.3</v>
      </c>
      <c r="D26" s="27">
        <f t="shared" si="0"/>
        <v>157.82</v>
      </c>
      <c r="E26" s="27">
        <f t="shared" si="1"/>
        <v>183.32</v>
      </c>
      <c r="F26" s="26">
        <f t="shared" si="2"/>
        <v>16.157647953364584</v>
      </c>
      <c r="G26" s="27">
        <f t="shared" si="4"/>
        <v>194.73</v>
      </c>
      <c r="H26" s="26">
        <f t="shared" si="7"/>
        <v>1105.1877882352946</v>
      </c>
      <c r="O26" s="27">
        <f>SUMIF('Wastewater Charges'!$C$15:$C$26,'Typical Bills SANITARY'!$B26,'Wastewater Charges'!E$15:E$26)</f>
        <v>7.64</v>
      </c>
      <c r="P26" s="27">
        <f>SUMIF('Wastewater Charges'!$C$15:$C$26,'Typical Bills SANITARY'!$B26,'Wastewater Charges'!F$15:F$26)</f>
        <v>8.2200000000000006</v>
      </c>
      <c r="Q26" s="27">
        <f>SUMIF('Wastewater Charges'!$C$15:$C$26,'Typical Bills SANITARY'!$B26,'Wastewater Charges'!G$15:G$26)</f>
        <v>8.84</v>
      </c>
      <c r="S26" s="27">
        <f>ROUND(($C26*('Wastewater Charges'!E$35+'Wastewater Charges'!E$45)),2)</f>
        <v>150.18</v>
      </c>
      <c r="T26" s="27">
        <f>ROUND(($C26*('Wastewater Charges'!F$35+'Wastewater Charges'!F$45)),2)</f>
        <v>175.1</v>
      </c>
      <c r="U26" s="27">
        <f>ROUND(($C26*('Wastewater Charges'!G$35+'Wastewater Charges'!G$45)),2)</f>
        <v>185.89</v>
      </c>
      <c r="V26" s="27"/>
      <c r="W26" s="27"/>
      <c r="X26" s="27"/>
    </row>
    <row r="27" spans="2:24">
      <c r="B27" s="9" t="str">
        <f>+'Typical Bills WATER'!B27</f>
        <v>5/8</v>
      </c>
      <c r="C27" s="26">
        <f>+'Typical Bills WATER'!C27</f>
        <v>11</v>
      </c>
      <c r="D27" s="27">
        <f t="shared" si="0"/>
        <v>508.25</v>
      </c>
      <c r="E27" s="27">
        <f t="shared" si="1"/>
        <v>591.88</v>
      </c>
      <c r="F27" s="26">
        <f>(+E27/D27-1)*100</f>
        <v>16.45450073782586</v>
      </c>
      <c r="G27" s="27">
        <f t="shared" si="4"/>
        <v>628.47</v>
      </c>
      <c r="H27" s="26">
        <f>(+G27/F27-1)*100</f>
        <v>3719.4413189047027</v>
      </c>
      <c r="O27" s="27">
        <f>SUMIF('Wastewater Charges'!$C$15:$C$26,'Typical Bills SANITARY'!$B27,'Wastewater Charges'!E$15:E$26)</f>
        <v>7.64</v>
      </c>
      <c r="P27" s="27">
        <f>SUMIF('Wastewater Charges'!$C$15:$C$26,'Typical Bills SANITARY'!$B27,'Wastewater Charges'!F$15:F$26)</f>
        <v>8.2200000000000006</v>
      </c>
      <c r="Q27" s="27">
        <f>SUMIF('Wastewater Charges'!$C$15:$C$26,'Typical Bills SANITARY'!$B27,'Wastewater Charges'!G$15:G$26)</f>
        <v>8.84</v>
      </c>
      <c r="S27" s="27">
        <f>ROUND(($C27*('Wastewater Charges'!E$35+'Wastewater Charges'!E$45)),2)</f>
        <v>500.61</v>
      </c>
      <c r="T27" s="27">
        <f>ROUND(($C27*('Wastewater Charges'!F$35+'Wastewater Charges'!F$45)),2)</f>
        <v>583.66</v>
      </c>
      <c r="U27" s="27">
        <f>ROUND(($C27*('Wastewater Charges'!G$35+'Wastewater Charges'!G$45)),2)</f>
        <v>619.63</v>
      </c>
      <c r="V27" s="27"/>
      <c r="W27" s="27"/>
      <c r="X27" s="27"/>
    </row>
    <row r="28" spans="2:24">
      <c r="B28" s="9"/>
      <c r="C28" s="3"/>
      <c r="D28" s="27"/>
      <c r="E28" s="27"/>
      <c r="F28" s="31"/>
      <c r="G28" s="27"/>
      <c r="H28" s="31"/>
      <c r="O28" s="27"/>
      <c r="P28" s="27"/>
      <c r="Q28" s="27"/>
      <c r="S28" s="27"/>
      <c r="T28" s="27"/>
      <c r="U28" s="27"/>
    </row>
    <row r="29" spans="2:24">
      <c r="B29" s="9">
        <f>+'Typical Bills WATER'!B29</f>
        <v>1</v>
      </c>
      <c r="C29" s="26">
        <f>+'Typical Bills WATER'!C29</f>
        <v>1.7</v>
      </c>
      <c r="D29" s="27">
        <f t="shared" ref="D29:E32" si="8">+O29+S29</f>
        <v>91.800000000000011</v>
      </c>
      <c r="E29" s="27">
        <f t="shared" si="8"/>
        <v>105.67</v>
      </c>
      <c r="F29" s="26">
        <f>(+E29/D29-1)*100</f>
        <v>15.108932461873636</v>
      </c>
      <c r="G29" s="27">
        <f>+Q29+U29</f>
        <v>112.53</v>
      </c>
      <c r="H29" s="26">
        <f>(+G29/F29-1)*100</f>
        <v>644.79120403749107</v>
      </c>
      <c r="O29" s="27">
        <f>SUMIF('Wastewater Charges'!$C$15:$C$26,'Typical Bills SANITARY'!$B29,'Wastewater Charges'!E$15:E$26)</f>
        <v>14.43</v>
      </c>
      <c r="P29" s="27">
        <f>SUMIF('Wastewater Charges'!$C$15:$C$26,'Typical Bills SANITARY'!$B29,'Wastewater Charges'!F$15:F$26)</f>
        <v>15.47</v>
      </c>
      <c r="Q29" s="27">
        <f>SUMIF('Wastewater Charges'!$C$15:$C$26,'Typical Bills SANITARY'!$B29,'Wastewater Charges'!G$15:G$26)</f>
        <v>16.77</v>
      </c>
      <c r="S29" s="27">
        <f>ROUND(($C29*('Wastewater Charges'!E$35+'Wastewater Charges'!E$45)),2)</f>
        <v>77.37</v>
      </c>
      <c r="T29" s="27">
        <f>ROUND(($C29*('Wastewater Charges'!F$35+'Wastewater Charges'!F$45)),2)</f>
        <v>90.2</v>
      </c>
      <c r="U29" s="27">
        <f>ROUND(($C29*('Wastewater Charges'!G$35+'Wastewater Charges'!G$45)),2)</f>
        <v>95.76</v>
      </c>
      <c r="V29" s="27"/>
      <c r="W29" s="27"/>
      <c r="X29" s="27"/>
    </row>
    <row r="30" spans="2:24">
      <c r="B30" s="9">
        <f>+'Typical Bills WATER'!B30</f>
        <v>1</v>
      </c>
      <c r="C30" s="26">
        <f>+'Typical Bills WATER'!C30</f>
        <v>5</v>
      </c>
      <c r="D30" s="27">
        <f t="shared" si="8"/>
        <v>241.98000000000002</v>
      </c>
      <c r="E30" s="27">
        <f t="shared" si="8"/>
        <v>280.77000000000004</v>
      </c>
      <c r="F30" s="26">
        <f>(+E30/D30-1)*100</f>
        <v>16.030250433920166</v>
      </c>
      <c r="G30" s="27">
        <f>+Q30+U30</f>
        <v>298.41999999999996</v>
      </c>
      <c r="H30" s="26">
        <f>(+G30/F30-1)*100</f>
        <v>1761.605351894817</v>
      </c>
      <c r="O30" s="27">
        <f>SUMIF('Wastewater Charges'!$C$15:$C$26,'Typical Bills SANITARY'!$B30,'Wastewater Charges'!E$15:E$26)</f>
        <v>14.43</v>
      </c>
      <c r="P30" s="27">
        <f>SUMIF('Wastewater Charges'!$C$15:$C$26,'Typical Bills SANITARY'!$B30,'Wastewater Charges'!F$15:F$26)</f>
        <v>15.47</v>
      </c>
      <c r="Q30" s="27">
        <f>SUMIF('Wastewater Charges'!$C$15:$C$26,'Typical Bills SANITARY'!$B30,'Wastewater Charges'!G$15:G$26)</f>
        <v>16.77</v>
      </c>
      <c r="S30" s="27">
        <f>ROUND(($C30*('Wastewater Charges'!E$35+'Wastewater Charges'!E$45)),2)</f>
        <v>227.55</v>
      </c>
      <c r="T30" s="27">
        <f>ROUND(($C30*('Wastewater Charges'!F$35+'Wastewater Charges'!F$45)),2)</f>
        <v>265.3</v>
      </c>
      <c r="U30" s="27">
        <f>ROUND(($C30*('Wastewater Charges'!G$35+'Wastewater Charges'!G$45)),2)</f>
        <v>281.64999999999998</v>
      </c>
      <c r="V30" s="27"/>
      <c r="W30" s="27"/>
      <c r="X30" s="27"/>
    </row>
    <row r="31" spans="2:24">
      <c r="B31" s="9">
        <f>+'Typical Bills WATER'!B31</f>
        <v>1</v>
      </c>
      <c r="C31" s="26">
        <f>+'Typical Bills WATER'!C31</f>
        <v>8</v>
      </c>
      <c r="D31" s="27">
        <f t="shared" si="8"/>
        <v>378.51</v>
      </c>
      <c r="E31" s="27">
        <f t="shared" si="8"/>
        <v>439.95000000000005</v>
      </c>
      <c r="F31" s="26">
        <f>(+E31/D31-1)*100</f>
        <v>16.232067844971088</v>
      </c>
      <c r="G31" s="27">
        <f>+Q31+U31</f>
        <v>467.40999999999997</v>
      </c>
      <c r="H31" s="26">
        <f>(+G31/F31-1)*100</f>
        <v>2779.5468603515596</v>
      </c>
      <c r="O31" s="27">
        <f>SUMIF('Wastewater Charges'!$C$15:$C$26,'Typical Bills SANITARY'!$B31,'Wastewater Charges'!E$15:E$26)</f>
        <v>14.43</v>
      </c>
      <c r="P31" s="27">
        <f>SUMIF('Wastewater Charges'!$C$15:$C$26,'Typical Bills SANITARY'!$B31,'Wastewater Charges'!F$15:F$26)</f>
        <v>15.47</v>
      </c>
      <c r="Q31" s="27">
        <f>SUMIF('Wastewater Charges'!$C$15:$C$26,'Typical Bills SANITARY'!$B31,'Wastewater Charges'!G$15:G$26)</f>
        <v>16.77</v>
      </c>
      <c r="S31" s="27">
        <f>ROUND(($C31*('Wastewater Charges'!E$35+'Wastewater Charges'!E$45)),2)</f>
        <v>364.08</v>
      </c>
      <c r="T31" s="27">
        <f>ROUND(($C31*('Wastewater Charges'!F$35+'Wastewater Charges'!F$45)),2)</f>
        <v>424.48</v>
      </c>
      <c r="U31" s="27">
        <f>ROUND(($C31*('Wastewater Charges'!G$35+'Wastewater Charges'!G$45)),2)</f>
        <v>450.64</v>
      </c>
      <c r="V31" s="27"/>
      <c r="W31" s="27"/>
      <c r="X31" s="27"/>
    </row>
    <row r="32" spans="2:24">
      <c r="B32" s="9">
        <f>+'Typical Bills WATER'!B32</f>
        <v>1</v>
      </c>
      <c r="C32" s="26">
        <f>+'Typical Bills WATER'!C32</f>
        <v>17</v>
      </c>
      <c r="D32" s="27">
        <f t="shared" si="8"/>
        <v>788.09999999999991</v>
      </c>
      <c r="E32" s="27">
        <f t="shared" si="8"/>
        <v>917.49</v>
      </c>
      <c r="F32" s="26">
        <f>(+E32/D32-1)*100</f>
        <v>16.417967263037703</v>
      </c>
      <c r="G32" s="27">
        <f>+Q32+U32</f>
        <v>974.38</v>
      </c>
      <c r="H32" s="26">
        <f>(+G32/F32-1)*100</f>
        <v>5834.839462091345</v>
      </c>
      <c r="O32" s="27">
        <f>SUMIF('Wastewater Charges'!$C$15:$C$26,'Typical Bills SANITARY'!$B32,'Wastewater Charges'!E$15:E$26)</f>
        <v>14.43</v>
      </c>
      <c r="P32" s="27">
        <f>SUMIF('Wastewater Charges'!$C$15:$C$26,'Typical Bills SANITARY'!$B32,'Wastewater Charges'!F$15:F$26)</f>
        <v>15.47</v>
      </c>
      <c r="Q32" s="27">
        <f>SUMIF('Wastewater Charges'!$C$15:$C$26,'Typical Bills SANITARY'!$B32,'Wastewater Charges'!G$15:G$26)</f>
        <v>16.77</v>
      </c>
      <c r="S32" s="27">
        <f>ROUND(($C32*('Wastewater Charges'!E$35+'Wastewater Charges'!E$45)),2)</f>
        <v>773.67</v>
      </c>
      <c r="T32" s="27">
        <f>ROUND(($C32*('Wastewater Charges'!F$35+'Wastewater Charges'!F$45)),2)</f>
        <v>902.02</v>
      </c>
      <c r="U32" s="27">
        <f>ROUND(($C32*('Wastewater Charges'!G$35+'Wastewater Charges'!G$45)),2)</f>
        <v>957.61</v>
      </c>
      <c r="V32" s="27"/>
      <c r="W32" s="27"/>
      <c r="X32" s="27"/>
    </row>
    <row r="33" spans="2:24">
      <c r="B33" s="9"/>
      <c r="C33" s="3"/>
      <c r="D33" s="27"/>
      <c r="E33" s="27"/>
      <c r="F33" s="31"/>
      <c r="G33" s="27"/>
      <c r="H33" s="31"/>
      <c r="O33" s="27"/>
      <c r="P33" s="27"/>
      <c r="Q33" s="27"/>
      <c r="S33" s="27"/>
      <c r="T33" s="27"/>
      <c r="U33" s="27"/>
    </row>
    <row r="34" spans="2:24">
      <c r="B34" s="9">
        <f>+'Typical Bills WATER'!B34</f>
        <v>2</v>
      </c>
      <c r="C34" s="26">
        <f>+'Typical Bills WATER'!C34</f>
        <v>7.6</v>
      </c>
      <c r="D34" s="27">
        <f t="shared" ref="D34:E37" si="9">+O34+S34</f>
        <v>385.32</v>
      </c>
      <c r="E34" s="27">
        <f t="shared" si="9"/>
        <v>445.41999999999996</v>
      </c>
      <c r="F34" s="26">
        <f>(+E34/D34-1)*100</f>
        <v>15.597425516453844</v>
      </c>
      <c r="G34" s="27">
        <f>+Q34+U34</f>
        <v>474.09000000000003</v>
      </c>
      <c r="H34" s="26">
        <f>(+G34/F34-1)*100</f>
        <v>2939.5400798668911</v>
      </c>
      <c r="O34" s="27">
        <f>SUMIF('Wastewater Charges'!$C$15:$C$26,'Typical Bills SANITARY'!$B34,'Wastewater Charges'!E$15:E$26)</f>
        <v>39.44</v>
      </c>
      <c r="P34" s="27">
        <f>SUMIF('Wastewater Charges'!$C$15:$C$26,'Typical Bills SANITARY'!$B34,'Wastewater Charges'!F$15:F$26)</f>
        <v>42.16</v>
      </c>
      <c r="Q34" s="27">
        <f>SUMIF('Wastewater Charges'!$C$15:$C$26,'Typical Bills SANITARY'!$B34,'Wastewater Charges'!G$15:G$26)</f>
        <v>45.98</v>
      </c>
      <c r="S34" s="27">
        <f>ROUND(($C34*('Wastewater Charges'!E$35+'Wastewater Charges'!E$45)),2)</f>
        <v>345.88</v>
      </c>
      <c r="T34" s="27">
        <f>ROUND(($C34*('Wastewater Charges'!F$35+'Wastewater Charges'!F$45)),2)</f>
        <v>403.26</v>
      </c>
      <c r="U34" s="27">
        <f>ROUND(($C34*('Wastewater Charges'!G$35+'Wastewater Charges'!G$45)),2)</f>
        <v>428.11</v>
      </c>
      <c r="V34" s="27"/>
      <c r="W34" s="27"/>
      <c r="X34" s="27"/>
    </row>
    <row r="35" spans="2:24">
      <c r="B35" s="9">
        <f>+'Typical Bills WATER'!B35</f>
        <v>2</v>
      </c>
      <c r="C35" s="26">
        <f>+'Typical Bills WATER'!C35</f>
        <v>16</v>
      </c>
      <c r="D35" s="27">
        <f t="shared" si="9"/>
        <v>767.59999999999991</v>
      </c>
      <c r="E35" s="27">
        <f t="shared" si="9"/>
        <v>891.12</v>
      </c>
      <c r="F35" s="26">
        <f>(+E35/D35-1)*100</f>
        <v>16.091714434601379</v>
      </c>
      <c r="G35" s="27">
        <f>+Q35+U35</f>
        <v>947.26</v>
      </c>
      <c r="H35" s="26">
        <f>(+G35/F35-1)*100</f>
        <v>5786.6319300518053</v>
      </c>
      <c r="O35" s="27">
        <f>SUMIF('Wastewater Charges'!$C$15:$C$26,'Typical Bills SANITARY'!$B35,'Wastewater Charges'!E$15:E$26)</f>
        <v>39.44</v>
      </c>
      <c r="P35" s="27">
        <f>SUMIF('Wastewater Charges'!$C$15:$C$26,'Typical Bills SANITARY'!$B35,'Wastewater Charges'!F$15:F$26)</f>
        <v>42.16</v>
      </c>
      <c r="Q35" s="27">
        <f>SUMIF('Wastewater Charges'!$C$15:$C$26,'Typical Bills SANITARY'!$B35,'Wastewater Charges'!G$15:G$26)</f>
        <v>45.98</v>
      </c>
      <c r="S35" s="27">
        <f>ROUND(($C35*('Wastewater Charges'!E$35+'Wastewater Charges'!E$45)),2)</f>
        <v>728.16</v>
      </c>
      <c r="T35" s="27">
        <f>ROUND(($C35*('Wastewater Charges'!F$35+'Wastewater Charges'!F$45)),2)</f>
        <v>848.96</v>
      </c>
      <c r="U35" s="27">
        <f>ROUND(($C35*('Wastewater Charges'!G$35+'Wastewater Charges'!G$45)),2)</f>
        <v>901.28</v>
      </c>
      <c r="V35" s="27"/>
      <c r="W35" s="27"/>
      <c r="X35" s="27"/>
    </row>
    <row r="36" spans="2:24">
      <c r="B36" s="9">
        <f>+'Typical Bills WATER'!B36</f>
        <v>2</v>
      </c>
      <c r="C36" s="26">
        <f>+'Typical Bills WATER'!C36</f>
        <v>33</v>
      </c>
      <c r="D36" s="27">
        <f t="shared" si="9"/>
        <v>1541.27</v>
      </c>
      <c r="E36" s="27">
        <f t="shared" si="9"/>
        <v>1793.14</v>
      </c>
      <c r="F36" s="26">
        <f>(+E36/D36-1)*100</f>
        <v>16.341718193437881</v>
      </c>
      <c r="G36" s="27">
        <f>+Q36+U36</f>
        <v>1904.8700000000001</v>
      </c>
      <c r="H36" s="26">
        <f>(+G36/F36-1)*100</f>
        <v>11556.485428594115</v>
      </c>
      <c r="O36" s="27">
        <f>SUMIF('Wastewater Charges'!$C$15:$C$26,'Typical Bills SANITARY'!$B36,'Wastewater Charges'!E$15:E$26)</f>
        <v>39.44</v>
      </c>
      <c r="P36" s="27">
        <f>SUMIF('Wastewater Charges'!$C$15:$C$26,'Typical Bills SANITARY'!$B36,'Wastewater Charges'!F$15:F$26)</f>
        <v>42.16</v>
      </c>
      <c r="Q36" s="27">
        <f>SUMIF('Wastewater Charges'!$C$15:$C$26,'Typical Bills SANITARY'!$B36,'Wastewater Charges'!G$15:G$26)</f>
        <v>45.98</v>
      </c>
      <c r="S36" s="27">
        <f>ROUND(($C36*('Wastewater Charges'!E$35+'Wastewater Charges'!E$45)),2)</f>
        <v>1501.83</v>
      </c>
      <c r="T36" s="27">
        <f>ROUND(($C36*('Wastewater Charges'!F$35+'Wastewater Charges'!F$45)),2)</f>
        <v>1750.98</v>
      </c>
      <c r="U36" s="27">
        <f>ROUND(($C36*('Wastewater Charges'!G$35+'Wastewater Charges'!G$45)),2)</f>
        <v>1858.89</v>
      </c>
      <c r="V36" s="27"/>
      <c r="W36" s="27"/>
      <c r="X36" s="27"/>
    </row>
    <row r="37" spans="2:24">
      <c r="B37" s="9">
        <f>+'Typical Bills WATER'!B37</f>
        <v>2</v>
      </c>
      <c r="C37" s="26">
        <f>+'Typical Bills WATER'!C37</f>
        <v>100</v>
      </c>
      <c r="D37" s="27">
        <f t="shared" si="9"/>
        <v>4590.4399999999996</v>
      </c>
      <c r="E37" s="27">
        <f t="shared" si="9"/>
        <v>5348.16</v>
      </c>
      <c r="F37" s="26">
        <f>(+E37/D37-1)*100</f>
        <v>16.506478681782145</v>
      </c>
      <c r="G37" s="27">
        <f>+Q37+U37</f>
        <v>5678.98</v>
      </c>
      <c r="H37" s="26">
        <f>(+G37/F37-1)*100</f>
        <v>34304.551748930986</v>
      </c>
      <c r="O37" s="27">
        <f>SUMIF('Wastewater Charges'!$C$15:$C$26,'Typical Bills SANITARY'!$B37,'Wastewater Charges'!E$15:E$26)</f>
        <v>39.44</v>
      </c>
      <c r="P37" s="27">
        <f>SUMIF('Wastewater Charges'!$C$15:$C$26,'Typical Bills SANITARY'!$B37,'Wastewater Charges'!F$15:F$26)</f>
        <v>42.16</v>
      </c>
      <c r="Q37" s="27">
        <f>SUMIF('Wastewater Charges'!$C$15:$C$26,'Typical Bills SANITARY'!$B37,'Wastewater Charges'!G$15:G$26)</f>
        <v>45.98</v>
      </c>
      <c r="S37" s="27">
        <f>ROUND(($C37*('Wastewater Charges'!E$35+'Wastewater Charges'!E$45)),2)</f>
        <v>4551</v>
      </c>
      <c r="T37" s="27">
        <f>ROUND(($C37*('Wastewater Charges'!F$35+'Wastewater Charges'!F$45)),2)</f>
        <v>5306</v>
      </c>
      <c r="U37" s="27">
        <f>ROUND(($C37*('Wastewater Charges'!G$35+'Wastewater Charges'!G$45)),2)</f>
        <v>5633</v>
      </c>
      <c r="V37" s="27"/>
      <c r="W37" s="27"/>
      <c r="X37" s="27"/>
    </row>
    <row r="38" spans="2:24">
      <c r="B38" s="9"/>
      <c r="C38" s="3"/>
      <c r="D38" s="27"/>
      <c r="E38" s="27"/>
      <c r="F38" s="31"/>
      <c r="G38" s="27"/>
      <c r="H38" s="31"/>
      <c r="O38" s="27"/>
      <c r="P38" s="27"/>
      <c r="Q38" s="27"/>
      <c r="S38" s="27"/>
      <c r="T38" s="27"/>
      <c r="U38" s="27"/>
    </row>
    <row r="39" spans="2:24">
      <c r="B39" s="9">
        <f>+'Typical Bills WATER'!B39</f>
        <v>4</v>
      </c>
      <c r="C39" s="26">
        <f>+'Typical Bills WATER'!C39</f>
        <v>30</v>
      </c>
      <c r="D39" s="27">
        <f t="shared" ref="D39:E42" si="10">+O39+S39</f>
        <v>1486.28</v>
      </c>
      <c r="E39" s="27">
        <f t="shared" si="10"/>
        <v>1721.04</v>
      </c>
      <c r="F39" s="26">
        <f>(+E39/D39-1)*100</f>
        <v>15.795139543020165</v>
      </c>
      <c r="G39" s="27">
        <f>+Q39+U39</f>
        <v>1830.97</v>
      </c>
      <c r="H39" s="26">
        <f>(+G39/F39-1)*100</f>
        <v>11491.983692281474</v>
      </c>
      <c r="O39" s="27">
        <f>SUMIF('Wastewater Charges'!$C$15:$C$26,'Typical Bills SANITARY'!$B39,'Wastewater Charges'!E$15:E$26)</f>
        <v>120.98</v>
      </c>
      <c r="P39" s="27">
        <f>SUMIF('Wastewater Charges'!$C$15:$C$26,'Typical Bills SANITARY'!$B39,'Wastewater Charges'!F$15:F$26)</f>
        <v>129.24</v>
      </c>
      <c r="Q39" s="27">
        <f>SUMIF('Wastewater Charges'!$C$15:$C$26,'Typical Bills SANITARY'!$B39,'Wastewater Charges'!G$15:G$26)</f>
        <v>141.07</v>
      </c>
      <c r="S39" s="27">
        <f>ROUND(($C39*('Wastewater Charges'!E$35+'Wastewater Charges'!E$45)),2)</f>
        <v>1365.3</v>
      </c>
      <c r="T39" s="27">
        <f>ROUND(($C39*('Wastewater Charges'!F$35+'Wastewater Charges'!F$45)),2)</f>
        <v>1591.8</v>
      </c>
      <c r="U39" s="27">
        <f>ROUND(($C39*('Wastewater Charges'!G$35+'Wastewater Charges'!G$45)),2)</f>
        <v>1689.9</v>
      </c>
      <c r="V39" s="27"/>
      <c r="W39" s="27"/>
      <c r="X39" s="27"/>
    </row>
    <row r="40" spans="2:24">
      <c r="B40" s="9">
        <f>+'Typical Bills WATER'!B40</f>
        <v>4</v>
      </c>
      <c r="C40" s="26">
        <f>+'Typical Bills WATER'!C40</f>
        <v>170</v>
      </c>
      <c r="D40" s="27">
        <f t="shared" si="10"/>
        <v>7857.6799999999994</v>
      </c>
      <c r="E40" s="27">
        <f t="shared" si="10"/>
        <v>9149.44</v>
      </c>
      <c r="F40" s="26">
        <f>(+E40/D40-1)*100</f>
        <v>16.439457957056035</v>
      </c>
      <c r="G40" s="27">
        <f>+Q40+U40</f>
        <v>9717.17</v>
      </c>
      <c r="H40" s="26">
        <f>(+G40/F40-1)*100</f>
        <v>59008.82235523624</v>
      </c>
      <c r="O40" s="27">
        <f>SUMIF('Wastewater Charges'!$C$15:$C$26,'Typical Bills SANITARY'!$B40,'Wastewater Charges'!E$15:E$26)</f>
        <v>120.98</v>
      </c>
      <c r="P40" s="27">
        <f>SUMIF('Wastewater Charges'!$C$15:$C$26,'Typical Bills SANITARY'!$B40,'Wastewater Charges'!F$15:F$26)</f>
        <v>129.24</v>
      </c>
      <c r="Q40" s="27">
        <f>SUMIF('Wastewater Charges'!$C$15:$C$26,'Typical Bills SANITARY'!$B40,'Wastewater Charges'!G$15:G$26)</f>
        <v>141.07</v>
      </c>
      <c r="S40" s="27">
        <f>ROUND(($C40*('Wastewater Charges'!E$35+'Wastewater Charges'!E$45)),2)</f>
        <v>7736.7</v>
      </c>
      <c r="T40" s="27">
        <f>ROUND(($C40*('Wastewater Charges'!F$35+'Wastewater Charges'!F$45)),2)</f>
        <v>9020.2000000000007</v>
      </c>
      <c r="U40" s="27">
        <f>ROUND(($C40*('Wastewater Charges'!G$35+'Wastewater Charges'!G$45)),2)</f>
        <v>9576.1</v>
      </c>
      <c r="V40" s="27"/>
      <c r="W40" s="27"/>
      <c r="X40" s="27"/>
    </row>
    <row r="41" spans="2:24">
      <c r="B41" s="9">
        <f>+'Typical Bills WATER'!B41</f>
        <v>4</v>
      </c>
      <c r="C41" s="26">
        <f>+'Typical Bills WATER'!C41</f>
        <v>330</v>
      </c>
      <c r="D41" s="27">
        <f t="shared" si="10"/>
        <v>15139.279999999999</v>
      </c>
      <c r="E41" s="27">
        <f t="shared" si="10"/>
        <v>17639.04</v>
      </c>
      <c r="F41" s="26">
        <f>(+E41/D41-1)*100</f>
        <v>16.511749568011179</v>
      </c>
      <c r="G41" s="27">
        <f>+Q41+U41</f>
        <v>18729.97</v>
      </c>
      <c r="H41" s="26">
        <f>(+G41/F41-1)*100</f>
        <v>113334.19377124192</v>
      </c>
      <c r="O41" s="27">
        <f>SUMIF('Wastewater Charges'!$C$15:$C$26,'Typical Bills SANITARY'!$B41,'Wastewater Charges'!E$15:E$26)</f>
        <v>120.98</v>
      </c>
      <c r="P41" s="27">
        <f>SUMIF('Wastewater Charges'!$C$15:$C$26,'Typical Bills SANITARY'!$B41,'Wastewater Charges'!F$15:F$26)</f>
        <v>129.24</v>
      </c>
      <c r="Q41" s="27">
        <f>SUMIF('Wastewater Charges'!$C$15:$C$26,'Typical Bills SANITARY'!$B41,'Wastewater Charges'!G$15:G$26)</f>
        <v>141.07</v>
      </c>
      <c r="S41" s="27">
        <f>ROUND(($C41*('Wastewater Charges'!E$35+'Wastewater Charges'!E$45)),2)</f>
        <v>15018.3</v>
      </c>
      <c r="T41" s="27">
        <f>ROUND(($C41*('Wastewater Charges'!F$35+'Wastewater Charges'!F$45)),2)</f>
        <v>17509.8</v>
      </c>
      <c r="U41" s="27">
        <f>ROUND(($C41*('Wastewater Charges'!G$35+'Wastewater Charges'!G$45)),2)</f>
        <v>18588.900000000001</v>
      </c>
      <c r="V41" s="27"/>
      <c r="W41" s="27"/>
      <c r="X41" s="27"/>
    </row>
    <row r="42" spans="2:24">
      <c r="B42" s="9">
        <f>+'Typical Bills WATER'!B42</f>
        <v>4</v>
      </c>
      <c r="C42" s="26">
        <f>+'Typical Bills WATER'!C42</f>
        <v>500</v>
      </c>
      <c r="D42" s="27">
        <f t="shared" si="10"/>
        <v>22875.98</v>
      </c>
      <c r="E42" s="27">
        <f t="shared" si="10"/>
        <v>26659.24</v>
      </c>
      <c r="F42" s="26">
        <f>(+E42/D42-1)*100</f>
        <v>16.538133011132206</v>
      </c>
      <c r="G42" s="27">
        <f>+Q42+U42</f>
        <v>28306.07</v>
      </c>
      <c r="H42" s="26">
        <f>(+G42/F42-1)*100</f>
        <v>171056.38132155858</v>
      </c>
      <c r="O42" s="27">
        <f>SUMIF('Wastewater Charges'!$C$15:$C$26,'Typical Bills SANITARY'!$B42,'Wastewater Charges'!E$15:E$26)</f>
        <v>120.98</v>
      </c>
      <c r="P42" s="27">
        <f>SUMIF('Wastewater Charges'!$C$15:$C$26,'Typical Bills SANITARY'!$B42,'Wastewater Charges'!F$15:F$26)</f>
        <v>129.24</v>
      </c>
      <c r="Q42" s="27">
        <f>SUMIF('Wastewater Charges'!$C$15:$C$26,'Typical Bills SANITARY'!$B42,'Wastewater Charges'!G$15:G$26)</f>
        <v>141.07</v>
      </c>
      <c r="S42" s="27">
        <f>ROUND(($C42*('Wastewater Charges'!E$35+'Wastewater Charges'!E$45)),2)</f>
        <v>22755</v>
      </c>
      <c r="T42" s="27">
        <f>ROUND(($C42*('Wastewater Charges'!F$35+'Wastewater Charges'!F$45)),2)</f>
        <v>26530</v>
      </c>
      <c r="U42" s="27">
        <f>ROUND(($C42*('Wastewater Charges'!G$35+'Wastewater Charges'!G$45)),2)</f>
        <v>28165</v>
      </c>
      <c r="V42" s="27"/>
      <c r="W42" s="27"/>
      <c r="X42" s="27"/>
    </row>
    <row r="43" spans="2:24">
      <c r="B43" s="9"/>
      <c r="C43" s="3"/>
      <c r="D43" s="27"/>
      <c r="E43" s="27"/>
      <c r="G43" s="27"/>
      <c r="O43" s="27"/>
      <c r="P43" s="27"/>
      <c r="Q43" s="27"/>
      <c r="S43" s="27"/>
      <c r="T43" s="27"/>
      <c r="U43" s="27"/>
    </row>
    <row r="44" spans="2:24">
      <c r="B44" s="9">
        <f>+'Typical Bills WATER'!B44</f>
        <v>6</v>
      </c>
      <c r="C44" s="26">
        <f>+'Typical Bills WATER'!C44</f>
        <v>150</v>
      </c>
      <c r="D44" s="27">
        <f t="shared" ref="D44:E47" si="11">+O44+S44</f>
        <v>7065.14</v>
      </c>
      <c r="E44" s="27">
        <f t="shared" si="11"/>
        <v>8213.85</v>
      </c>
      <c r="F44" s="27">
        <f>(+E44/D44-1)*100</f>
        <v>16.258842712246334</v>
      </c>
      <c r="G44" s="27">
        <f>+Q44+U44</f>
        <v>8727.84</v>
      </c>
      <c r="H44" s="27">
        <f>(+G44/F44-1)*100</f>
        <v>53580.573423753573</v>
      </c>
      <c r="O44" s="27">
        <f>SUMIF('Wastewater Charges'!$C$15:$C$26,'Typical Bills SANITARY'!$B44,'Wastewater Charges'!E$15:E$26)</f>
        <v>238.64</v>
      </c>
      <c r="P44" s="27">
        <f>SUMIF('Wastewater Charges'!$C$15:$C$26,'Typical Bills SANITARY'!$B44,'Wastewater Charges'!F$15:F$26)</f>
        <v>254.85</v>
      </c>
      <c r="Q44" s="27">
        <f>SUMIF('Wastewater Charges'!$C$15:$C$26,'Typical Bills SANITARY'!$B44,'Wastewater Charges'!G$15:G$26)</f>
        <v>278.33999999999997</v>
      </c>
      <c r="S44" s="27">
        <f>ROUND(($C44*('Wastewater Charges'!E$35+'Wastewater Charges'!E$45)),2)</f>
        <v>6826.5</v>
      </c>
      <c r="T44" s="27">
        <f>ROUND(($C44*('Wastewater Charges'!F$35+'Wastewater Charges'!F$45)),2)</f>
        <v>7959</v>
      </c>
      <c r="U44" s="27">
        <f>ROUND(($C44*('Wastewater Charges'!G$35+'Wastewater Charges'!G$45)),2)</f>
        <v>8449.5</v>
      </c>
      <c r="V44" s="27"/>
      <c r="W44" s="27"/>
      <c r="X44" s="27"/>
    </row>
    <row r="45" spans="2:24">
      <c r="B45" s="9">
        <f>+'Typical Bills WATER'!B45</f>
        <v>6</v>
      </c>
      <c r="C45" s="26">
        <f>+'Typical Bills WATER'!C45</f>
        <v>500</v>
      </c>
      <c r="D45" s="27">
        <f t="shared" si="11"/>
        <v>22993.64</v>
      </c>
      <c r="E45" s="27">
        <f t="shared" si="11"/>
        <v>26784.85</v>
      </c>
      <c r="F45" s="27">
        <f>(+E45/D45-1)*100</f>
        <v>16.488081051977854</v>
      </c>
      <c r="G45" s="27">
        <f>+Q45+U45</f>
        <v>28443.34</v>
      </c>
      <c r="H45" s="27">
        <f>(+G45/F45-1)*100</f>
        <v>172408.49210610858</v>
      </c>
      <c r="O45" s="27">
        <f>SUMIF('Wastewater Charges'!$C$15:$C$26,'Typical Bills SANITARY'!$B45,'Wastewater Charges'!E$15:E$26)</f>
        <v>238.64</v>
      </c>
      <c r="P45" s="27">
        <f>SUMIF('Wastewater Charges'!$C$15:$C$26,'Typical Bills SANITARY'!$B45,'Wastewater Charges'!F$15:F$26)</f>
        <v>254.85</v>
      </c>
      <c r="Q45" s="27">
        <f>SUMIF('Wastewater Charges'!$C$15:$C$26,'Typical Bills SANITARY'!$B45,'Wastewater Charges'!G$15:G$26)</f>
        <v>278.33999999999997</v>
      </c>
      <c r="S45" s="27">
        <f>ROUND(($C45*('Wastewater Charges'!E$35+'Wastewater Charges'!E$45)),2)</f>
        <v>22755</v>
      </c>
      <c r="T45" s="27">
        <f>ROUND(($C45*('Wastewater Charges'!F$35+'Wastewater Charges'!F$45)),2)</f>
        <v>26530</v>
      </c>
      <c r="U45" s="27">
        <f>ROUND(($C45*('Wastewater Charges'!G$35+'Wastewater Charges'!G$45)),2)</f>
        <v>28165</v>
      </c>
      <c r="V45" s="27"/>
      <c r="W45" s="27"/>
      <c r="X45" s="27"/>
    </row>
    <row r="46" spans="2:24">
      <c r="B46" s="9">
        <f>+'Typical Bills WATER'!B46</f>
        <v>6</v>
      </c>
      <c r="C46" s="26">
        <f>+'Typical Bills WATER'!C46</f>
        <v>1000</v>
      </c>
      <c r="D46" s="27">
        <f t="shared" si="11"/>
        <v>45748.639999999999</v>
      </c>
      <c r="E46" s="27">
        <f t="shared" si="11"/>
        <v>53314.85</v>
      </c>
      <c r="F46" s="27">
        <f>(+E46/D46-1)*100</f>
        <v>16.538655575335138</v>
      </c>
      <c r="G46" s="27">
        <f>+Q46+U46</f>
        <v>56608.34</v>
      </c>
      <c r="H46" s="27">
        <f>(+G46/F46-1)*100</f>
        <v>342178.97027145681</v>
      </c>
      <c r="O46" s="27">
        <f>SUMIF('Wastewater Charges'!$C$15:$C$26,'Typical Bills SANITARY'!$B46,'Wastewater Charges'!E$15:E$26)</f>
        <v>238.64</v>
      </c>
      <c r="P46" s="27">
        <f>SUMIF('Wastewater Charges'!$C$15:$C$26,'Typical Bills SANITARY'!$B46,'Wastewater Charges'!F$15:F$26)</f>
        <v>254.85</v>
      </c>
      <c r="Q46" s="27">
        <f>SUMIF('Wastewater Charges'!$C$15:$C$26,'Typical Bills SANITARY'!$B46,'Wastewater Charges'!G$15:G$26)</f>
        <v>278.33999999999997</v>
      </c>
      <c r="S46" s="27">
        <f>ROUND(($C46*('Wastewater Charges'!E$35+'Wastewater Charges'!E$45)),2)</f>
        <v>45510</v>
      </c>
      <c r="T46" s="27">
        <f>ROUND(($C46*('Wastewater Charges'!F$35+'Wastewater Charges'!F$45)),2)</f>
        <v>53060</v>
      </c>
      <c r="U46" s="27">
        <f>ROUND(($C46*('Wastewater Charges'!G$35+'Wastewater Charges'!G$45)),2)</f>
        <v>56330</v>
      </c>
      <c r="V46" s="27"/>
      <c r="W46" s="27"/>
      <c r="X46" s="27"/>
    </row>
    <row r="47" spans="2:24">
      <c r="B47" s="9">
        <f>+'Typical Bills WATER'!B47</f>
        <v>6</v>
      </c>
      <c r="C47" s="26">
        <f>+'Typical Bills WATER'!C47</f>
        <v>1500</v>
      </c>
      <c r="D47" s="27">
        <f t="shared" si="11"/>
        <v>68503.64</v>
      </c>
      <c r="E47" s="27">
        <f t="shared" si="11"/>
        <v>79844.850000000006</v>
      </c>
      <c r="F47" s="27">
        <f>(+E47/D47-1)*100</f>
        <v>16.555631204414833</v>
      </c>
      <c r="G47" s="27">
        <f>+Q47+U47</f>
        <v>84773.34</v>
      </c>
      <c r="H47" s="27">
        <f>(+G47/F47-1)*100</f>
        <v>511951.39177897235</v>
      </c>
      <c r="O47" s="27">
        <f>SUMIF('Wastewater Charges'!$C$15:$C$26,'Typical Bills SANITARY'!$B47,'Wastewater Charges'!E$15:E$26)</f>
        <v>238.64</v>
      </c>
      <c r="P47" s="27">
        <f>SUMIF('Wastewater Charges'!$C$15:$C$26,'Typical Bills SANITARY'!$B47,'Wastewater Charges'!F$15:F$26)</f>
        <v>254.85</v>
      </c>
      <c r="Q47" s="27">
        <f>SUMIF('Wastewater Charges'!$C$15:$C$26,'Typical Bills SANITARY'!$B47,'Wastewater Charges'!G$15:G$26)</f>
        <v>278.33999999999997</v>
      </c>
      <c r="S47" s="27">
        <f>ROUND(($C47*('Wastewater Charges'!E$35+'Wastewater Charges'!E$45)),2)</f>
        <v>68265</v>
      </c>
      <c r="T47" s="27">
        <f>ROUND(($C47*('Wastewater Charges'!F$35+'Wastewater Charges'!F$45)),2)</f>
        <v>79590</v>
      </c>
      <c r="U47" s="27">
        <f>ROUND(($C47*('Wastewater Charges'!G$35+'Wastewater Charges'!G$45)),2)</f>
        <v>84495</v>
      </c>
      <c r="V47" s="27"/>
      <c r="W47" s="27"/>
      <c r="X47" s="27"/>
    </row>
    <row r="48" spans="2:24">
      <c r="B48" s="9"/>
      <c r="C48" s="3"/>
      <c r="D48" s="27"/>
      <c r="E48" s="27"/>
      <c r="G48" s="27"/>
      <c r="O48" s="27"/>
      <c r="P48" s="27"/>
      <c r="Q48" s="27"/>
      <c r="S48" s="27"/>
      <c r="T48" s="27"/>
      <c r="U48" s="27"/>
    </row>
    <row r="49" spans="2:24">
      <c r="B49" s="9">
        <f>+'Typical Bills WATER'!B49</f>
        <v>8</v>
      </c>
      <c r="C49" s="26">
        <f>+'Typical Bills WATER'!C49</f>
        <v>750</v>
      </c>
      <c r="D49" s="27">
        <f t="shared" ref="D49:E52" si="12">+O49+S49</f>
        <v>34510.32</v>
      </c>
      <c r="E49" s="27">
        <f t="shared" si="12"/>
        <v>40198.410000000003</v>
      </c>
      <c r="F49" s="27">
        <f>(+E49/D49-1)*100</f>
        <v>16.482287037616583</v>
      </c>
      <c r="G49" s="27">
        <f>+Q49+U49</f>
        <v>42688.28</v>
      </c>
      <c r="H49" s="27">
        <f>(+G49/F49-1)*100</f>
        <v>258894.88282527158</v>
      </c>
      <c r="O49" s="27">
        <f>SUMIF('Wastewater Charges'!$C$15:$C$26,'Typical Bills SANITARY'!$B49,'Wastewater Charges'!E$15:E$26)</f>
        <v>377.82</v>
      </c>
      <c r="P49" s="27">
        <f>SUMIF('Wastewater Charges'!$C$15:$C$26,'Typical Bills SANITARY'!$B49,'Wastewater Charges'!F$15:F$26)</f>
        <v>403.41</v>
      </c>
      <c r="Q49" s="27">
        <f>SUMIF('Wastewater Charges'!$C$15:$C$26,'Typical Bills SANITARY'!$B49,'Wastewater Charges'!G$15:G$26)</f>
        <v>440.78</v>
      </c>
      <c r="S49" s="27">
        <f>ROUND(($C49*('Wastewater Charges'!E$35+'Wastewater Charges'!E$45)),2)</f>
        <v>34132.5</v>
      </c>
      <c r="T49" s="27">
        <f>ROUND(($C49*('Wastewater Charges'!F$35+'Wastewater Charges'!F$45)),2)</f>
        <v>39795</v>
      </c>
      <c r="U49" s="27">
        <f>ROUND(($C49*('Wastewater Charges'!G$35+'Wastewater Charges'!G$45)),2)</f>
        <v>42247.5</v>
      </c>
      <c r="V49" s="27"/>
      <c r="W49" s="27"/>
      <c r="X49" s="27"/>
    </row>
    <row r="50" spans="2:24">
      <c r="B50" s="9">
        <f>+'Typical Bills WATER'!B50</f>
        <v>8</v>
      </c>
      <c r="C50" s="26">
        <f>+'Typical Bills WATER'!C50</f>
        <v>1500</v>
      </c>
      <c r="D50" s="27">
        <f t="shared" si="12"/>
        <v>68642.820000000007</v>
      </c>
      <c r="E50" s="27">
        <f t="shared" si="12"/>
        <v>79993.41</v>
      </c>
      <c r="F50" s="27">
        <f>(+E50/D50-1)*100</f>
        <v>16.535727990196204</v>
      </c>
      <c r="G50" s="27">
        <f>+Q50+U50</f>
        <v>84935.78</v>
      </c>
      <c r="H50" s="27">
        <f>(+G50/F50-1)*100</f>
        <v>513550.0796962626</v>
      </c>
      <c r="O50" s="27">
        <f>SUMIF('Wastewater Charges'!$C$15:$C$26,'Typical Bills SANITARY'!$B50,'Wastewater Charges'!E$15:E$26)</f>
        <v>377.82</v>
      </c>
      <c r="P50" s="27">
        <f>SUMIF('Wastewater Charges'!$C$15:$C$26,'Typical Bills SANITARY'!$B50,'Wastewater Charges'!F$15:F$26)</f>
        <v>403.41</v>
      </c>
      <c r="Q50" s="27">
        <f>SUMIF('Wastewater Charges'!$C$15:$C$26,'Typical Bills SANITARY'!$B50,'Wastewater Charges'!G$15:G$26)</f>
        <v>440.78</v>
      </c>
      <c r="S50" s="27">
        <f>ROUND(($C50*('Wastewater Charges'!E$35+'Wastewater Charges'!E$45)),2)</f>
        <v>68265</v>
      </c>
      <c r="T50" s="27">
        <f>ROUND(($C50*('Wastewater Charges'!F$35+'Wastewater Charges'!F$45)),2)</f>
        <v>79590</v>
      </c>
      <c r="U50" s="27">
        <f>ROUND(($C50*('Wastewater Charges'!G$35+'Wastewater Charges'!G$45)),2)</f>
        <v>84495</v>
      </c>
      <c r="V50" s="27"/>
      <c r="W50" s="27"/>
      <c r="X50" s="27"/>
    </row>
    <row r="51" spans="2:24">
      <c r="B51" s="9">
        <f>+'Typical Bills WATER'!B51</f>
        <v>8</v>
      </c>
      <c r="C51" s="26">
        <f>+'Typical Bills WATER'!C51</f>
        <v>2000</v>
      </c>
      <c r="D51" s="27">
        <f t="shared" si="12"/>
        <v>91397.82</v>
      </c>
      <c r="E51" s="27">
        <f t="shared" si="12"/>
        <v>106523.41</v>
      </c>
      <c r="F51" s="27">
        <f>(+E51/D51-1)*100</f>
        <v>16.549180275853391</v>
      </c>
      <c r="G51" s="27">
        <f>+Q51+U51</f>
        <v>113100.78</v>
      </c>
      <c r="H51" s="27">
        <f>(+G51/F51-1)*100</f>
        <v>683322.24880481418</v>
      </c>
      <c r="O51" s="27">
        <f>SUMIF('Wastewater Charges'!$C$15:$C$26,'Typical Bills SANITARY'!$B51,'Wastewater Charges'!E$15:E$26)</f>
        <v>377.82</v>
      </c>
      <c r="P51" s="27">
        <f>SUMIF('Wastewater Charges'!$C$15:$C$26,'Typical Bills SANITARY'!$B51,'Wastewater Charges'!F$15:F$26)</f>
        <v>403.41</v>
      </c>
      <c r="Q51" s="27">
        <f>SUMIF('Wastewater Charges'!$C$15:$C$26,'Typical Bills SANITARY'!$B51,'Wastewater Charges'!G$15:G$26)</f>
        <v>440.78</v>
      </c>
      <c r="S51" s="27">
        <f>ROUND(($C51*('Wastewater Charges'!E$35+'Wastewater Charges'!E$45)),2)</f>
        <v>91020</v>
      </c>
      <c r="T51" s="27">
        <f>ROUND(($C51*('Wastewater Charges'!F$35+'Wastewater Charges'!F$45)),2)</f>
        <v>106120</v>
      </c>
      <c r="U51" s="27">
        <f>ROUND(($C51*('Wastewater Charges'!G$35+'Wastewater Charges'!G$45)),2)</f>
        <v>112660</v>
      </c>
      <c r="V51" s="27"/>
      <c r="W51" s="27"/>
      <c r="X51" s="27"/>
    </row>
    <row r="52" spans="2:24">
      <c r="B52" s="9">
        <f>+'Typical Bills WATER'!B52</f>
        <v>8</v>
      </c>
      <c r="C52" s="26">
        <f>+'Typical Bills WATER'!C52</f>
        <v>3000</v>
      </c>
      <c r="D52" s="27">
        <f t="shared" si="12"/>
        <v>136907.82</v>
      </c>
      <c r="E52" s="27">
        <f t="shared" si="12"/>
        <v>159583.41</v>
      </c>
      <c r="F52" s="27">
        <f>(+E52/D52-1)*100</f>
        <v>16.562669685340104</v>
      </c>
      <c r="G52" s="27">
        <f>+Q52+U52</f>
        <v>169430.78</v>
      </c>
      <c r="H52" s="27">
        <f>(+G52/F52-1)*100</f>
        <v>1022867.8138782543</v>
      </c>
      <c r="O52" s="27">
        <f>SUMIF('Wastewater Charges'!$C$15:$C$26,'Typical Bills SANITARY'!$B52,'Wastewater Charges'!E$15:E$26)</f>
        <v>377.82</v>
      </c>
      <c r="P52" s="27">
        <f>SUMIF('Wastewater Charges'!$C$15:$C$26,'Typical Bills SANITARY'!$B52,'Wastewater Charges'!F$15:F$26)</f>
        <v>403.41</v>
      </c>
      <c r="Q52" s="27">
        <f>SUMIF('Wastewater Charges'!$C$15:$C$26,'Typical Bills SANITARY'!$B52,'Wastewater Charges'!G$15:G$26)</f>
        <v>440.78</v>
      </c>
      <c r="S52" s="27">
        <f>ROUND(($C52*('Wastewater Charges'!E$35+'Wastewater Charges'!E$45)),2)</f>
        <v>136530</v>
      </c>
      <c r="T52" s="27">
        <f>ROUND(($C52*('Wastewater Charges'!F$35+'Wastewater Charges'!F$45)),2)</f>
        <v>159180</v>
      </c>
      <c r="U52" s="27">
        <f>ROUND(($C52*('Wastewater Charges'!G$35+'Wastewater Charges'!G$45)),2)</f>
        <v>168990</v>
      </c>
      <c r="V52" s="27"/>
      <c r="W52" s="27"/>
      <c r="X52" s="27"/>
    </row>
    <row r="53" spans="2:24">
      <c r="B53" s="9"/>
      <c r="C53" s="3"/>
      <c r="D53" s="27"/>
      <c r="E53" s="27"/>
      <c r="G53" s="27"/>
      <c r="O53" s="27"/>
      <c r="P53" s="27"/>
      <c r="Q53" s="27"/>
      <c r="S53" s="27"/>
      <c r="T53" s="27"/>
      <c r="U53" s="27"/>
    </row>
    <row r="54" spans="2:24">
      <c r="B54" s="9">
        <f>+'Typical Bills WATER'!B54</f>
        <v>10</v>
      </c>
      <c r="C54" s="26">
        <f>+'Typical Bills WATER'!C54</f>
        <v>600</v>
      </c>
      <c r="D54" s="27">
        <f t="shared" ref="D54:E57" si="13">+O54+S54</f>
        <v>27851.200000000001</v>
      </c>
      <c r="E54" s="27">
        <f t="shared" si="13"/>
        <v>32418.16</v>
      </c>
      <c r="F54" s="27">
        <f>(+E54/D54-1)*100</f>
        <v>16.397713563508919</v>
      </c>
      <c r="G54" s="27">
        <f>+Q54+U54</f>
        <v>34434</v>
      </c>
      <c r="H54" s="27">
        <f>(+G54/F54-1)*100</f>
        <v>209892.69115560479</v>
      </c>
      <c r="O54" s="27">
        <f>SUMIF('Wastewater Charges'!$C$15:$C$26,'Typical Bills SANITARY'!$B54,'Wastewater Charges'!E$15:E$26)</f>
        <v>545.20000000000005</v>
      </c>
      <c r="P54" s="27">
        <f>SUMIF('Wastewater Charges'!$C$15:$C$26,'Typical Bills SANITARY'!$B54,'Wastewater Charges'!F$15:F$26)</f>
        <v>582.16</v>
      </c>
      <c r="Q54" s="27">
        <f>SUMIF('Wastewater Charges'!$C$15:$C$26,'Typical Bills SANITARY'!$B54,'Wastewater Charges'!G$15:G$26)</f>
        <v>636</v>
      </c>
      <c r="S54" s="27">
        <f>ROUND(($C54*('Wastewater Charges'!E$35+'Wastewater Charges'!E$45)),2)</f>
        <v>27306</v>
      </c>
      <c r="T54" s="27">
        <f>ROUND(($C54*('Wastewater Charges'!F$35+'Wastewater Charges'!F$45)),2)</f>
        <v>31836</v>
      </c>
      <c r="U54" s="27">
        <f>ROUND(($C54*('Wastewater Charges'!G$35+'Wastewater Charges'!G$45)),2)</f>
        <v>33798</v>
      </c>
      <c r="V54" s="27"/>
      <c r="W54" s="27"/>
      <c r="X54" s="27"/>
    </row>
    <row r="55" spans="2:24">
      <c r="B55" s="9">
        <f>+'Typical Bills WATER'!B55</f>
        <v>10</v>
      </c>
      <c r="C55" s="26">
        <f>+'Typical Bills WATER'!C55</f>
        <v>1700</v>
      </c>
      <c r="D55" s="27">
        <f t="shared" si="13"/>
        <v>77912.2</v>
      </c>
      <c r="E55" s="27">
        <f t="shared" si="13"/>
        <v>90784.16</v>
      </c>
      <c r="F55" s="27">
        <f>(+E55/D55-1)*100</f>
        <v>16.521109659334488</v>
      </c>
      <c r="G55" s="27">
        <f>+Q55+U55</f>
        <v>96397</v>
      </c>
      <c r="H55" s="27">
        <f>(+G55/F55-1)*100</f>
        <v>583377.75656543346</v>
      </c>
      <c r="O55" s="27">
        <f>SUMIF('Wastewater Charges'!$C$15:$C$26,'Typical Bills SANITARY'!$B55,'Wastewater Charges'!E$15:E$26)</f>
        <v>545.20000000000005</v>
      </c>
      <c r="P55" s="27">
        <f>SUMIF('Wastewater Charges'!$C$15:$C$26,'Typical Bills SANITARY'!$B55,'Wastewater Charges'!F$15:F$26)</f>
        <v>582.16</v>
      </c>
      <c r="Q55" s="27">
        <f>SUMIF('Wastewater Charges'!$C$15:$C$26,'Typical Bills SANITARY'!$B55,'Wastewater Charges'!G$15:G$26)</f>
        <v>636</v>
      </c>
      <c r="S55" s="27">
        <f>ROUND(($C55*('Wastewater Charges'!E$35+'Wastewater Charges'!E$45)),2)</f>
        <v>77367</v>
      </c>
      <c r="T55" s="27">
        <f>ROUND(($C55*('Wastewater Charges'!F$35+'Wastewater Charges'!F$45)),2)</f>
        <v>90202</v>
      </c>
      <c r="U55" s="27">
        <f>ROUND(($C55*('Wastewater Charges'!G$35+'Wastewater Charges'!G$45)),2)</f>
        <v>95761</v>
      </c>
      <c r="V55" s="27"/>
      <c r="W55" s="27"/>
      <c r="X55" s="27"/>
    </row>
    <row r="56" spans="2:24">
      <c r="B56" s="9">
        <f>+'Typical Bills WATER'!B56</f>
        <v>10</v>
      </c>
      <c r="C56" s="26">
        <f>+'Typical Bills WATER'!C56</f>
        <v>3300</v>
      </c>
      <c r="D56" s="27">
        <f t="shared" si="13"/>
        <v>150728.20000000001</v>
      </c>
      <c r="E56" s="27">
        <f t="shared" si="13"/>
        <v>175680.16</v>
      </c>
      <c r="F56" s="27">
        <f>(+E56/D56-1)*100</f>
        <v>16.554274515319612</v>
      </c>
      <c r="G56" s="27">
        <f>+Q56+U56</f>
        <v>186525</v>
      </c>
      <c r="H56" s="27">
        <f>(+G56/F56-1)*100</f>
        <v>1126648.2596557557</v>
      </c>
      <c r="O56" s="27">
        <f>SUMIF('Wastewater Charges'!$C$15:$C$26,'Typical Bills SANITARY'!$B56,'Wastewater Charges'!E$15:E$26)</f>
        <v>545.20000000000005</v>
      </c>
      <c r="P56" s="27">
        <f>SUMIF('Wastewater Charges'!$C$15:$C$26,'Typical Bills SANITARY'!$B56,'Wastewater Charges'!F$15:F$26)</f>
        <v>582.16</v>
      </c>
      <c r="Q56" s="27">
        <f>SUMIF('Wastewater Charges'!$C$15:$C$26,'Typical Bills SANITARY'!$B56,'Wastewater Charges'!G$15:G$26)</f>
        <v>636</v>
      </c>
      <c r="S56" s="27">
        <f>ROUND(($C56*('Wastewater Charges'!E$35+'Wastewater Charges'!E$45)),2)</f>
        <v>150183</v>
      </c>
      <c r="T56" s="27">
        <f>ROUND(($C56*('Wastewater Charges'!F$35+'Wastewater Charges'!F$45)),2)</f>
        <v>175098</v>
      </c>
      <c r="U56" s="27">
        <f>ROUND(($C56*('Wastewater Charges'!G$35+'Wastewater Charges'!G$45)),2)</f>
        <v>185889</v>
      </c>
      <c r="V56" s="27"/>
      <c r="W56" s="27"/>
      <c r="X56" s="27"/>
    </row>
    <row r="57" spans="2:24">
      <c r="B57" s="9">
        <f>+'Typical Bills WATER'!B57</f>
        <v>10</v>
      </c>
      <c r="C57" s="26">
        <f>+'Typical Bills WATER'!C57</f>
        <v>6000</v>
      </c>
      <c r="D57" s="27">
        <f t="shared" si="13"/>
        <v>273605.2</v>
      </c>
      <c r="E57" s="27">
        <f t="shared" si="13"/>
        <v>318942.15999999997</v>
      </c>
      <c r="F57" s="27">
        <f>(+E57/D57-1)*100</f>
        <v>16.570211384871335</v>
      </c>
      <c r="G57" s="27">
        <f>+Q57+U57</f>
        <v>338616</v>
      </c>
      <c r="H57" s="27">
        <f>(+G57/F57-1)*100</f>
        <v>2043422.512387245</v>
      </c>
      <c r="O57" s="27">
        <f>SUMIF('Wastewater Charges'!$C$15:$C$26,'Typical Bills SANITARY'!$B57,'Wastewater Charges'!E$15:E$26)</f>
        <v>545.20000000000005</v>
      </c>
      <c r="P57" s="27">
        <f>SUMIF('Wastewater Charges'!$C$15:$C$26,'Typical Bills SANITARY'!$B57,'Wastewater Charges'!F$15:F$26)</f>
        <v>582.16</v>
      </c>
      <c r="Q57" s="27">
        <f>SUMIF('Wastewater Charges'!$C$15:$C$26,'Typical Bills SANITARY'!$B57,'Wastewater Charges'!G$15:G$26)</f>
        <v>636</v>
      </c>
      <c r="S57" s="27">
        <f>ROUND(($C57*('Wastewater Charges'!E$35+'Wastewater Charges'!E$45)),2)</f>
        <v>273060</v>
      </c>
      <c r="T57" s="27">
        <f>ROUND(($C57*('Wastewater Charges'!F$35+'Wastewater Charges'!F$45)),2)</f>
        <v>318360</v>
      </c>
      <c r="U57" s="27">
        <f>ROUND(($C57*('Wastewater Charges'!G$35+'Wastewater Charges'!G$45)),2)</f>
        <v>337980</v>
      </c>
      <c r="V57" s="27"/>
      <c r="W57" s="27"/>
      <c r="X57" s="27"/>
    </row>
    <row r="58" spans="2:24">
      <c r="B58" s="3"/>
      <c r="C58" s="3"/>
      <c r="D58" s="3"/>
      <c r="E58" s="3"/>
      <c r="F58" s="3"/>
      <c r="G58" s="3"/>
      <c r="H58" s="3"/>
    </row>
    <row r="59" spans="2:24">
      <c r="B59" s="3" t="s">
        <v>146</v>
      </c>
      <c r="C59" s="3"/>
      <c r="D59" s="3"/>
      <c r="E59" s="3"/>
      <c r="F59" s="3"/>
      <c r="G59" s="3"/>
      <c r="H59" s="3"/>
    </row>
  </sheetData>
  <mergeCells count="2">
    <mergeCell ref="E9:F9"/>
    <mergeCell ref="G9:H9"/>
  </mergeCells>
  <hyperlinks>
    <hyperlink ref="A1" location="TOC!A1" display="TOC!A1" xr:uid="{00000000-0004-0000-0C00-000000000000}"/>
  </hyperlink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H27"/>
  <sheetViews>
    <sheetView workbookViewId="0">
      <selection activeCell="H27" sqref="H27"/>
    </sheetView>
  </sheetViews>
  <sheetFormatPr defaultRowHeight="14"/>
  <cols>
    <col min="2" max="2" width="14.54296875" customWidth="1"/>
    <col min="3" max="3" width="13.1796875" customWidth="1"/>
    <col min="4" max="4" width="14.54296875" customWidth="1"/>
    <col min="5" max="5" width="14" customWidth="1"/>
    <col min="6" max="6" width="15.453125" customWidth="1"/>
    <col min="7" max="8" width="14.1796875" customWidth="1"/>
  </cols>
  <sheetData>
    <row r="1" spans="1:8" ht="14.5" thickBot="1">
      <c r="A1" s="239" t="s">
        <v>1</v>
      </c>
    </row>
    <row r="2" spans="1:8" ht="18">
      <c r="B2" s="1"/>
      <c r="C2" s="1"/>
      <c r="D2" s="1"/>
      <c r="E2" s="1"/>
      <c r="F2" s="1"/>
    </row>
    <row r="3" spans="1:8" ht="18">
      <c r="B3" s="1"/>
      <c r="C3" s="1"/>
      <c r="D3" s="1"/>
      <c r="E3" s="1"/>
      <c r="F3" s="1"/>
    </row>
    <row r="4" spans="1:8" ht="18">
      <c r="B4" s="111" t="s">
        <v>259</v>
      </c>
      <c r="C4" s="111"/>
      <c r="D4" s="111"/>
      <c r="E4" s="111"/>
      <c r="F4" s="111"/>
    </row>
    <row r="5" spans="1:8" ht="18">
      <c r="B5" s="111" t="s">
        <v>260</v>
      </c>
      <c r="C5" s="111"/>
      <c r="D5" s="111"/>
      <c r="E5" s="111"/>
      <c r="F5" s="111"/>
    </row>
    <row r="6" spans="1:8" ht="18">
      <c r="B6" s="472"/>
      <c r="C6" s="472"/>
      <c r="D6" s="472"/>
      <c r="E6" s="472"/>
      <c r="F6" s="472"/>
    </row>
    <row r="7" spans="1:8">
      <c r="B7" s="23"/>
      <c r="C7" s="23"/>
      <c r="D7" s="23"/>
      <c r="E7" s="24"/>
      <c r="F7" s="23"/>
    </row>
    <row r="8" spans="1:8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>
        <v>-6</v>
      </c>
      <c r="H8" s="32">
        <v>-7</v>
      </c>
    </row>
    <row r="9" spans="1:8" ht="15.5">
      <c r="B9" s="25"/>
      <c r="C9" s="25"/>
      <c r="D9" s="8" t="str">
        <f>Inputs!$C$4</f>
        <v>FY 2025</v>
      </c>
      <c r="E9" s="474" t="str">
        <f>Inputs!$D$4</f>
        <v>FY 2026</v>
      </c>
      <c r="F9" s="474"/>
      <c r="G9" s="474" t="str">
        <f>Inputs!$E$4</f>
        <v>FY 2027</v>
      </c>
      <c r="H9" s="474"/>
    </row>
    <row r="10" spans="1:8">
      <c r="B10" s="4" t="s">
        <v>222</v>
      </c>
      <c r="C10" s="4" t="s">
        <v>122</v>
      </c>
      <c r="D10" s="4" t="s">
        <v>175</v>
      </c>
      <c r="E10" s="4" t="s">
        <v>261</v>
      </c>
      <c r="F10" s="4" t="s">
        <v>223</v>
      </c>
      <c r="G10" s="4" t="s">
        <v>261</v>
      </c>
      <c r="H10" s="4" t="s">
        <v>223</v>
      </c>
    </row>
    <row r="11" spans="1:8" ht="15.5">
      <c r="B11" s="6" t="s">
        <v>225</v>
      </c>
      <c r="C11" s="6" t="s">
        <v>226</v>
      </c>
      <c r="D11" s="6" t="s">
        <v>227</v>
      </c>
      <c r="E11" s="6" t="s">
        <v>227</v>
      </c>
      <c r="F11" s="6" t="s">
        <v>228</v>
      </c>
      <c r="G11" s="6" t="s">
        <v>227</v>
      </c>
      <c r="H11" s="6" t="str">
        <f>"of "&amp;TEXT($E$9,"0")&amp;""</f>
        <v>of FY 2026</v>
      </c>
    </row>
    <row r="12" spans="1:8">
      <c r="B12" s="4" t="s">
        <v>125</v>
      </c>
      <c r="C12" s="4" t="s">
        <v>233</v>
      </c>
      <c r="D12" s="4" t="s">
        <v>126</v>
      </c>
      <c r="E12" s="4" t="s">
        <v>126</v>
      </c>
      <c r="F12" s="4" t="s">
        <v>234</v>
      </c>
      <c r="G12" s="4" t="s">
        <v>126</v>
      </c>
      <c r="H12" s="4" t="s">
        <v>234</v>
      </c>
    </row>
    <row r="13" spans="1:8">
      <c r="B13" s="3"/>
      <c r="C13" s="3"/>
      <c r="D13" s="3"/>
      <c r="E13" s="3"/>
      <c r="F13" s="3"/>
      <c r="G13" s="3"/>
      <c r="H13" s="3"/>
    </row>
    <row r="14" spans="1:8">
      <c r="B14" s="9" t="str">
        <f>+'Typical Bills WATER'!B14</f>
        <v>5/8</v>
      </c>
      <c r="C14" s="26">
        <f>+'Typical Bills WATER'!C14</f>
        <v>0</v>
      </c>
      <c r="D14" s="27">
        <f>+'Wastewater Charges'!O$15+'Wastewater Charges'!O$24</f>
        <v>20.41</v>
      </c>
      <c r="E14" s="27">
        <f>+'Wastewater Charges'!P$15+'Wastewater Charges'!P$24</f>
        <v>21.374241100541834</v>
      </c>
      <c r="F14" s="26">
        <f t="shared" ref="F14:F25" si="0">(+E14/D14-1)*100</f>
        <v>4.7243562005969242</v>
      </c>
      <c r="G14" s="27">
        <f>+'Wastewater Charges'!Q$15+'Wastewater Charges'!Q$24</f>
        <v>23.49</v>
      </c>
      <c r="H14" s="26">
        <f>(+G14/E14-1)*100</f>
        <v>9.8986386908704418</v>
      </c>
    </row>
    <row r="15" spans="1:8">
      <c r="B15" s="9" t="str">
        <f>+'Typical Bills WATER'!B15</f>
        <v>5/8</v>
      </c>
      <c r="C15" s="26">
        <f>+'Typical Bills WATER'!C15</f>
        <v>0.2</v>
      </c>
      <c r="D15" s="27">
        <f>+'Wastewater Charges'!O$15+'Wastewater Charges'!O$24</f>
        <v>20.41</v>
      </c>
      <c r="E15" s="27">
        <f>+'Wastewater Charges'!P$15+'Wastewater Charges'!P$24</f>
        <v>21.374241100541834</v>
      </c>
      <c r="F15" s="26">
        <f>(+E15/D15-1)*100</f>
        <v>4.7243562005969242</v>
      </c>
      <c r="G15" s="27">
        <f>+'Wastewater Charges'!Q$15+'Wastewater Charges'!Q$24</f>
        <v>23.49</v>
      </c>
      <c r="H15" s="26">
        <f t="shared" ref="H15:H25" si="1">(+G15/E15-1)*100</f>
        <v>9.8986386908704418</v>
      </c>
    </row>
    <row r="16" spans="1:8">
      <c r="B16" s="33" t="str">
        <f>+'Typical Bills WATER'!B16</f>
        <v>5/8</v>
      </c>
      <c r="C16" s="28">
        <f>+'Typical Bills WATER'!C16</f>
        <v>0.3</v>
      </c>
      <c r="D16" s="29">
        <f>+'Wastewater Charges'!O$15+'Wastewater Charges'!O$24</f>
        <v>20.41</v>
      </c>
      <c r="E16" s="29">
        <f>+'Wastewater Charges'!P$15+'Wastewater Charges'!P$24</f>
        <v>21.374241100541834</v>
      </c>
      <c r="F16" s="28">
        <f t="shared" si="0"/>
        <v>4.7243562005969242</v>
      </c>
      <c r="G16" s="29">
        <f>+'Wastewater Charges'!Q$15+'Wastewater Charges'!Q$24</f>
        <v>23.49</v>
      </c>
      <c r="H16" s="28">
        <f t="shared" si="1"/>
        <v>9.8986386908704418</v>
      </c>
    </row>
    <row r="17" spans="2:8">
      <c r="B17" s="9" t="str">
        <f>+'Typical Bills WATER'!B17</f>
        <v>5/8</v>
      </c>
      <c r="C17" s="26">
        <f>+'Typical Bills WATER'!C17</f>
        <v>0.4</v>
      </c>
      <c r="D17" s="27">
        <f>+'Wastewater Charges'!O$15+'Wastewater Charges'!O$24</f>
        <v>20.41</v>
      </c>
      <c r="E17" s="27">
        <f>+'Wastewater Charges'!P$15+'Wastewater Charges'!P$24</f>
        <v>21.374241100541834</v>
      </c>
      <c r="F17" s="26">
        <f>(+E17/D17-1)*100</f>
        <v>4.7243562005969242</v>
      </c>
      <c r="G17" s="27">
        <f>+'Wastewater Charges'!Q$15+'Wastewater Charges'!Q$24</f>
        <v>23.49</v>
      </c>
      <c r="H17" s="26">
        <f t="shared" si="1"/>
        <v>9.8986386908704418</v>
      </c>
    </row>
    <row r="18" spans="2:8">
      <c r="B18" s="33" t="str">
        <f>+'Typical Bills WATER'!B18</f>
        <v>5/8</v>
      </c>
      <c r="C18" s="29">
        <f>+'Typical Bills WATER'!C18</f>
        <v>0.43</v>
      </c>
      <c r="D18" s="29">
        <f>+'Wastewater Charges'!O$15+'Wastewater Charges'!O$24</f>
        <v>20.41</v>
      </c>
      <c r="E18" s="29">
        <f>+'Wastewater Charges'!P$15+'Wastewater Charges'!P$24</f>
        <v>21.374241100541834</v>
      </c>
      <c r="F18" s="28">
        <f t="shared" si="0"/>
        <v>4.7243562005969242</v>
      </c>
      <c r="G18" s="29">
        <f>+'Wastewater Charges'!Q$15+'Wastewater Charges'!Q$24</f>
        <v>23.49</v>
      </c>
      <c r="H18" s="28">
        <f t="shared" si="1"/>
        <v>9.8986386908704418</v>
      </c>
    </row>
    <row r="19" spans="2:8">
      <c r="B19" s="9" t="str">
        <f>+'Typical Bills WATER'!B19</f>
        <v>5/8</v>
      </c>
      <c r="C19" s="26">
        <f>+'Typical Bills WATER'!C19</f>
        <v>0.5</v>
      </c>
      <c r="D19" s="27">
        <f>+'Wastewater Charges'!O$15+'Wastewater Charges'!O$24</f>
        <v>20.41</v>
      </c>
      <c r="E19" s="27">
        <f>+'Wastewater Charges'!P$15+'Wastewater Charges'!P$24</f>
        <v>21.374241100541834</v>
      </c>
      <c r="F19" s="26">
        <f>(+E19/D19-1)*100</f>
        <v>4.7243562005969242</v>
      </c>
      <c r="G19" s="27">
        <f>+'Wastewater Charges'!Q$15+'Wastewater Charges'!Q$24</f>
        <v>23.49</v>
      </c>
      <c r="H19" s="26">
        <f t="shared" si="1"/>
        <v>9.8986386908704418</v>
      </c>
    </row>
    <row r="20" spans="2:8">
      <c r="B20" s="9" t="str">
        <f>+'Typical Bills WATER'!B21</f>
        <v>5/8</v>
      </c>
      <c r="C20" s="26">
        <f>+'Typical Bills WATER'!C21</f>
        <v>0.6</v>
      </c>
      <c r="D20" s="27">
        <f>+'Wastewater Charges'!O$15+'Wastewater Charges'!O$24</f>
        <v>20.41</v>
      </c>
      <c r="E20" s="27">
        <f>+'Wastewater Charges'!P$15+'Wastewater Charges'!P$24</f>
        <v>21.374241100541834</v>
      </c>
      <c r="F20" s="26">
        <f t="shared" si="0"/>
        <v>4.7243562005969242</v>
      </c>
      <c r="G20" s="27">
        <f>+'Wastewater Charges'!Q$15+'Wastewater Charges'!Q$24</f>
        <v>23.49</v>
      </c>
      <c r="H20" s="26">
        <f t="shared" si="1"/>
        <v>9.8986386908704418</v>
      </c>
    </row>
    <row r="21" spans="2:8">
      <c r="B21" s="9" t="str">
        <f>+'Typical Bills WATER'!B22</f>
        <v>5/8</v>
      </c>
      <c r="C21" s="26">
        <f>+'Typical Bills WATER'!C22</f>
        <v>0.7</v>
      </c>
      <c r="D21" s="27">
        <f>+'Wastewater Charges'!O$15+'Wastewater Charges'!O$24</f>
        <v>20.41</v>
      </c>
      <c r="E21" s="27">
        <f>+'Wastewater Charges'!P$15+'Wastewater Charges'!P$24</f>
        <v>21.374241100541834</v>
      </c>
      <c r="F21" s="26">
        <f t="shared" si="0"/>
        <v>4.7243562005969242</v>
      </c>
      <c r="G21" s="27">
        <f>+'Wastewater Charges'!Q$15+'Wastewater Charges'!Q$24</f>
        <v>23.49</v>
      </c>
      <c r="H21" s="26">
        <f t="shared" si="1"/>
        <v>9.8986386908704418</v>
      </c>
    </row>
    <row r="22" spans="2:8">
      <c r="B22" s="9" t="str">
        <f>+'Typical Bills WATER'!B23</f>
        <v>5/8</v>
      </c>
      <c r="C22" s="26">
        <f>+'Typical Bills WATER'!C23</f>
        <v>0.8</v>
      </c>
      <c r="D22" s="27">
        <f>+'Wastewater Charges'!O$15+'Wastewater Charges'!O$24</f>
        <v>20.41</v>
      </c>
      <c r="E22" s="27">
        <f>+'Wastewater Charges'!P$15+'Wastewater Charges'!P$24</f>
        <v>21.374241100541834</v>
      </c>
      <c r="F22" s="26">
        <f t="shared" si="0"/>
        <v>4.7243562005969242</v>
      </c>
      <c r="G22" s="27">
        <f>+'Wastewater Charges'!Q$15+'Wastewater Charges'!Q$24</f>
        <v>23.49</v>
      </c>
      <c r="H22" s="26">
        <f t="shared" si="1"/>
        <v>9.8986386908704418</v>
      </c>
    </row>
    <row r="23" spans="2:8">
      <c r="B23" s="9" t="str">
        <f>+'Typical Bills WATER'!B24</f>
        <v>5/8</v>
      </c>
      <c r="C23" s="26">
        <f>+'Typical Bills WATER'!C24</f>
        <v>1.7</v>
      </c>
      <c r="D23" s="27">
        <f>+'Wastewater Charges'!O$15+'Wastewater Charges'!O$24</f>
        <v>20.41</v>
      </c>
      <c r="E23" s="27">
        <f>+'Wastewater Charges'!P$15+'Wastewater Charges'!P$24</f>
        <v>21.374241100541834</v>
      </c>
      <c r="F23" s="26">
        <f t="shared" si="0"/>
        <v>4.7243562005969242</v>
      </c>
      <c r="G23" s="27">
        <f>+'Wastewater Charges'!Q$15+'Wastewater Charges'!Q$24</f>
        <v>23.49</v>
      </c>
      <c r="H23" s="26">
        <f t="shared" si="1"/>
        <v>9.8986386908704418</v>
      </c>
    </row>
    <row r="24" spans="2:8">
      <c r="B24" s="9" t="str">
        <f>+'Typical Bills WATER'!B25</f>
        <v>5/8</v>
      </c>
      <c r="C24" s="26">
        <f>+'Typical Bills WATER'!C25</f>
        <v>2.7</v>
      </c>
      <c r="D24" s="27">
        <f>+'Wastewater Charges'!O$15+'Wastewater Charges'!O$24</f>
        <v>20.41</v>
      </c>
      <c r="E24" s="27">
        <f>+'Wastewater Charges'!P$15+'Wastewater Charges'!P$24</f>
        <v>21.374241100541834</v>
      </c>
      <c r="F24" s="26">
        <f t="shared" si="0"/>
        <v>4.7243562005969242</v>
      </c>
      <c r="G24" s="27">
        <f>+'Wastewater Charges'!Q$15+'Wastewater Charges'!Q$24</f>
        <v>23.49</v>
      </c>
      <c r="H24" s="26">
        <f t="shared" si="1"/>
        <v>9.8986386908704418</v>
      </c>
    </row>
    <row r="25" spans="2:8">
      <c r="B25" s="9" t="str">
        <f>+'Typical Bills WATER'!B26</f>
        <v>5/8</v>
      </c>
      <c r="C25" s="26">
        <f>+'Typical Bills WATER'!C26</f>
        <v>3.3</v>
      </c>
      <c r="D25" s="27">
        <f>+'Wastewater Charges'!O$15+'Wastewater Charges'!O$24</f>
        <v>20.41</v>
      </c>
      <c r="E25" s="27">
        <f>+'Wastewater Charges'!P$15+'Wastewater Charges'!P$24</f>
        <v>21.374241100541834</v>
      </c>
      <c r="F25" s="26">
        <f t="shared" si="0"/>
        <v>4.7243562005969242</v>
      </c>
      <c r="G25" s="27">
        <f>+'Wastewater Charges'!Q$15+'Wastewater Charges'!Q$24</f>
        <v>23.49</v>
      </c>
      <c r="H25" s="26">
        <f t="shared" si="1"/>
        <v>9.8986386908704418</v>
      </c>
    </row>
    <row r="26" spans="2:8">
      <c r="B26" s="9"/>
      <c r="C26" s="3"/>
      <c r="D26" s="27"/>
      <c r="E26" s="27"/>
      <c r="F26" s="3"/>
    </row>
    <row r="27" spans="2:8">
      <c r="B27" s="3" t="s">
        <v>146</v>
      </c>
      <c r="C27" s="3"/>
      <c r="D27" s="3"/>
      <c r="E27" s="3"/>
      <c r="F27" s="3"/>
    </row>
  </sheetData>
  <mergeCells count="3">
    <mergeCell ref="E9:F9"/>
    <mergeCell ref="B6:F6"/>
    <mergeCell ref="G9:H9"/>
  </mergeCells>
  <hyperlinks>
    <hyperlink ref="A1" location="TOC!A1" display="TOC!A1" xr:uid="{00000000-0004-0000-0D00-000000000000}"/>
  </hyperlink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J76"/>
  <sheetViews>
    <sheetView zoomScaleNormal="100" workbookViewId="0">
      <selection activeCell="J37" sqref="J37"/>
    </sheetView>
  </sheetViews>
  <sheetFormatPr defaultRowHeight="14"/>
  <cols>
    <col min="2" max="2" width="10.54296875" customWidth="1"/>
    <col min="3" max="3" width="11.26953125" customWidth="1"/>
    <col min="4" max="4" width="10.7265625" customWidth="1"/>
    <col min="5" max="5" width="10.54296875" customWidth="1"/>
    <col min="6" max="7" width="11.1796875" customWidth="1"/>
    <col min="8" max="8" width="12" customWidth="1"/>
    <col min="9" max="9" width="11.54296875" customWidth="1"/>
    <col min="10" max="10" width="13" customWidth="1"/>
  </cols>
  <sheetData>
    <row r="1" spans="1:10" ht="14.5" thickBot="1">
      <c r="A1" s="239" t="s">
        <v>1</v>
      </c>
    </row>
    <row r="2" spans="1:10" ht="18">
      <c r="B2" s="1"/>
      <c r="C2" s="1"/>
      <c r="D2" s="1"/>
      <c r="E2" s="1"/>
      <c r="F2" s="1"/>
      <c r="G2" s="1"/>
      <c r="H2" s="1"/>
    </row>
    <row r="3" spans="1:10" ht="18">
      <c r="B3" s="1"/>
      <c r="C3" s="1"/>
      <c r="D3" s="1"/>
      <c r="E3" s="1"/>
      <c r="F3" s="1"/>
      <c r="G3" s="1"/>
      <c r="H3" s="1"/>
    </row>
    <row r="4" spans="1:10" ht="18">
      <c r="B4" s="1" t="s">
        <v>262</v>
      </c>
      <c r="C4" s="1"/>
      <c r="D4" s="1"/>
      <c r="E4" s="1"/>
      <c r="F4" s="1"/>
      <c r="G4" s="1"/>
      <c r="H4" s="1"/>
    </row>
    <row r="5" spans="1:10" ht="18">
      <c r="B5" s="472" t="s">
        <v>260</v>
      </c>
      <c r="C5" s="472"/>
      <c r="D5" s="472"/>
      <c r="E5" s="472"/>
      <c r="F5" s="472"/>
      <c r="G5" s="472"/>
      <c r="H5" s="472"/>
    </row>
    <row r="6" spans="1:10" ht="18">
      <c r="B6" s="472"/>
      <c r="C6" s="472"/>
      <c r="D6" s="472"/>
      <c r="E6" s="472"/>
      <c r="F6" s="472"/>
      <c r="G6" s="472"/>
      <c r="H6" s="472"/>
    </row>
    <row r="7" spans="1:10">
      <c r="B7" s="23"/>
      <c r="C7" s="23"/>
      <c r="D7" s="23"/>
      <c r="E7" s="23"/>
      <c r="F7" s="23"/>
      <c r="G7" s="24"/>
      <c r="H7" s="23"/>
    </row>
    <row r="8" spans="1:10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>
        <v>-6</v>
      </c>
      <c r="H8" s="32">
        <v>-7</v>
      </c>
      <c r="I8" s="32">
        <v>-8</v>
      </c>
      <c r="J8" s="32">
        <v>-9</v>
      </c>
    </row>
    <row r="9" spans="1:10" ht="15.5">
      <c r="B9" s="25"/>
      <c r="C9" s="25"/>
      <c r="D9" s="25"/>
      <c r="E9" s="25"/>
      <c r="F9" s="7"/>
      <c r="G9" s="474" t="str">
        <f>Inputs!$D$4</f>
        <v>FY 2026</v>
      </c>
      <c r="H9" s="474"/>
      <c r="I9" s="474" t="str">
        <f>Inputs!$E$4</f>
        <v>FY 2027</v>
      </c>
      <c r="J9" s="474"/>
    </row>
    <row r="10" spans="1:10">
      <c r="B10" s="4" t="s">
        <v>222</v>
      </c>
      <c r="C10" s="4" t="s">
        <v>122</v>
      </c>
      <c r="D10" s="4" t="s">
        <v>243</v>
      </c>
      <c r="E10" s="4" t="s">
        <v>244</v>
      </c>
      <c r="F10" s="4" t="s">
        <v>175</v>
      </c>
      <c r="G10" s="4" t="s">
        <v>176</v>
      </c>
      <c r="H10" s="4" t="s">
        <v>223</v>
      </c>
      <c r="I10" s="4" t="s">
        <v>176</v>
      </c>
      <c r="J10" s="4" t="s">
        <v>223</v>
      </c>
    </row>
    <row r="11" spans="1:10" ht="15.5">
      <c r="B11" s="6" t="s">
        <v>225</v>
      </c>
      <c r="C11" s="6" t="s">
        <v>226</v>
      </c>
      <c r="D11" s="6" t="s">
        <v>245</v>
      </c>
      <c r="E11" s="6" t="s">
        <v>245</v>
      </c>
      <c r="F11" s="6" t="s">
        <v>227</v>
      </c>
      <c r="G11" s="6" t="s">
        <v>227</v>
      </c>
      <c r="H11" s="6" t="s">
        <v>228</v>
      </c>
      <c r="I11" s="6" t="s">
        <v>227</v>
      </c>
      <c r="J11" s="6" t="str">
        <f>"of "&amp;TEXT($G$9,"0")&amp;""</f>
        <v>of FY 2026</v>
      </c>
    </row>
    <row r="12" spans="1:10">
      <c r="B12" s="4" t="s">
        <v>125</v>
      </c>
      <c r="C12" s="4" t="s">
        <v>233</v>
      </c>
      <c r="D12" s="4" t="s">
        <v>246</v>
      </c>
      <c r="E12" s="4" t="s">
        <v>246</v>
      </c>
      <c r="F12" s="4" t="s">
        <v>126</v>
      </c>
      <c r="G12" s="4" t="s">
        <v>126</v>
      </c>
      <c r="H12" s="4" t="s">
        <v>234</v>
      </c>
      <c r="I12" s="4" t="s">
        <v>126</v>
      </c>
      <c r="J12" s="4" t="s">
        <v>234</v>
      </c>
    </row>
    <row r="13" spans="1:10"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t="s">
        <v>42</v>
      </c>
      <c r="B14" s="9" t="str">
        <f>+'Typical Bills WATER'!B14</f>
        <v>5/8</v>
      </c>
      <c r="C14" s="26">
        <f>+'Typical Bills WATER'!C14</f>
        <v>0</v>
      </c>
      <c r="D14" s="34">
        <f>ROUND(+E14*0.85,0)</f>
        <v>1794</v>
      </c>
      <c r="E14" s="34">
        <v>2110</v>
      </c>
      <c r="F14" s="27">
        <f>MAX(ROUNDUP($D14/500,0)*'Wastewater Charges'!W$18+ROUNDUP($E14/500,0)*'Wastewater Charges'!W$17,'Wastewater Charges'!W$15)+'Wastewater Charges'!W$27</f>
        <v>32.066000000000003</v>
      </c>
      <c r="G14" s="27">
        <f>MAX(ROUNDUP($D14/500,0)*'Wastewater Charges'!X$18+ROUNDUP($E14/500,0)*'Wastewater Charges'!X$17,'Wastewater Charges'!X$15)+'Wastewater Charges'!X$27</f>
        <v>33.38707860885237</v>
      </c>
      <c r="H14" s="26">
        <f t="shared" ref="H14:H26" si="0">(+G14/F14-1)*100</f>
        <v>4.1198734137477988</v>
      </c>
      <c r="I14" s="27">
        <f>MAX(ROUNDUP($D14/500,0)*'Wastewater Charges'!Y$18+ROUNDUP($E14/500,0)*'Wastewater Charges'!Y$17,'Wastewater Charges'!Y$15)+'Wastewater Charges'!Y$27</f>
        <v>36.698999999999998</v>
      </c>
      <c r="J14" s="26">
        <f>(+I14/G14-1)*100</f>
        <v>9.9197699503708492</v>
      </c>
    </row>
    <row r="15" spans="1:10">
      <c r="B15" s="9" t="str">
        <f>+'Typical Bills WATER'!B15</f>
        <v>5/8</v>
      </c>
      <c r="C15" s="26">
        <f>+'Typical Bills WATER'!C15</f>
        <v>0.2</v>
      </c>
      <c r="D15" s="34">
        <f>ROUND(+E15*0.85,0)</f>
        <v>1794</v>
      </c>
      <c r="E15" s="34">
        <v>2110</v>
      </c>
      <c r="F15" s="27">
        <f>MAX(ROUNDUP($D15/500,0)*'Wastewater Charges'!W$18+ROUNDUP($E15/500,0)*'Wastewater Charges'!W$17,'Wastewater Charges'!W$15)+'Wastewater Charges'!W$27</f>
        <v>32.066000000000003</v>
      </c>
      <c r="G15" s="27">
        <f>MAX(ROUNDUP($D15/500,0)*'Wastewater Charges'!X$18+ROUNDUP($E15/500,0)*'Wastewater Charges'!X$17,'Wastewater Charges'!X$15)+'Wastewater Charges'!X$27</f>
        <v>33.38707860885237</v>
      </c>
      <c r="H15" s="26">
        <f>(+G15/F15-1)*100</f>
        <v>4.1198734137477988</v>
      </c>
      <c r="I15" s="27">
        <f>MAX(ROUNDUP($D15/500,0)*'Wastewater Charges'!Y$18+ROUNDUP($E15/500,0)*'Wastewater Charges'!Y$17,'Wastewater Charges'!Y$15)+'Wastewater Charges'!Y$27</f>
        <v>36.698999999999998</v>
      </c>
      <c r="J15" s="26">
        <f t="shared" ref="J15:J57" si="1">(+I15/G15-1)*100</f>
        <v>9.9197699503708492</v>
      </c>
    </row>
    <row r="16" spans="1:10">
      <c r="B16" s="9" t="str">
        <f>+'Typical Bills WATER'!B16</f>
        <v>5/8</v>
      </c>
      <c r="C16" s="26">
        <f>+'Typical Bills WATER'!C16</f>
        <v>0.3</v>
      </c>
      <c r="D16" s="34">
        <f>ROUND(+E16*0.85,0)</f>
        <v>1794</v>
      </c>
      <c r="E16" s="34">
        <v>2110</v>
      </c>
      <c r="F16" s="27">
        <f>MAX(ROUNDUP($D16/500,0)*'Wastewater Charges'!W$18+ROUNDUP($E16/500,0)*'Wastewater Charges'!W$17,'Wastewater Charges'!W$15)+'Wastewater Charges'!W$27</f>
        <v>32.066000000000003</v>
      </c>
      <c r="G16" s="27">
        <f>MAX(ROUNDUP($D16/500,0)*'Wastewater Charges'!X$18+ROUNDUP($E16/500,0)*'Wastewater Charges'!X$17,'Wastewater Charges'!X$15)+'Wastewater Charges'!X$27</f>
        <v>33.38707860885237</v>
      </c>
      <c r="H16" s="26">
        <f t="shared" si="0"/>
        <v>4.1198734137477988</v>
      </c>
      <c r="I16" s="27">
        <f>MAX(ROUNDUP($D16/500,0)*'Wastewater Charges'!Y$18+ROUNDUP($E16/500,0)*'Wastewater Charges'!Y$17,'Wastewater Charges'!Y$15)+'Wastewater Charges'!Y$27</f>
        <v>36.698999999999998</v>
      </c>
      <c r="J16" s="26">
        <f t="shared" si="1"/>
        <v>9.9197699503708492</v>
      </c>
    </row>
    <row r="17" spans="1:10">
      <c r="B17" s="9" t="str">
        <f>+'Typical Bills WATER'!B17</f>
        <v>5/8</v>
      </c>
      <c r="C17" s="26">
        <f>+'Typical Bills WATER'!C17</f>
        <v>0.4</v>
      </c>
      <c r="D17" s="34">
        <f>ROUND(+E17*0.85,0)</f>
        <v>1794</v>
      </c>
      <c r="E17" s="34">
        <v>2110</v>
      </c>
      <c r="F17" s="27">
        <f>MAX(ROUNDUP($D17/500,0)*'Wastewater Charges'!W$18+ROUNDUP($E17/500,0)*'Wastewater Charges'!W$17,'Wastewater Charges'!W$15)+'Wastewater Charges'!W$27</f>
        <v>32.066000000000003</v>
      </c>
      <c r="G17" s="27">
        <f>MAX(ROUNDUP($D17/500,0)*'Wastewater Charges'!X$18+ROUNDUP($E17/500,0)*'Wastewater Charges'!X$17,'Wastewater Charges'!X$15)+'Wastewater Charges'!X$27</f>
        <v>33.38707860885237</v>
      </c>
      <c r="H17" s="26">
        <f>(+G17/F17-1)*100</f>
        <v>4.1198734137477988</v>
      </c>
      <c r="I17" s="27">
        <f>MAX(ROUNDUP($D17/500,0)*'Wastewater Charges'!Y$18+ROUNDUP($E17/500,0)*'Wastewater Charges'!Y$17,'Wastewater Charges'!Y$15)+'Wastewater Charges'!Y$27</f>
        <v>36.698999999999998</v>
      </c>
      <c r="J17" s="26">
        <f t="shared" si="1"/>
        <v>9.9197699503708492</v>
      </c>
    </row>
    <row r="18" spans="1:10">
      <c r="B18" s="9" t="str">
        <f>+'Typical Bills WATER'!B18</f>
        <v>5/8</v>
      </c>
      <c r="C18" s="27">
        <f>+'Typical Bills WATER'!C18</f>
        <v>0.43</v>
      </c>
      <c r="D18" s="34">
        <f>ROUND(+E18*0.85,0)</f>
        <v>1794</v>
      </c>
      <c r="E18" s="34">
        <v>2110</v>
      </c>
      <c r="F18" s="27">
        <f>MAX(ROUNDUP($D18/500,0)*'Wastewater Charges'!W$18+ROUNDUP($E18/500,0)*'Wastewater Charges'!W$17,'Wastewater Charges'!W$15)+'Wastewater Charges'!W$27</f>
        <v>32.066000000000003</v>
      </c>
      <c r="G18" s="27">
        <f>MAX(ROUNDUP($D18/500,0)*'Wastewater Charges'!X$18+ROUNDUP($E18/500,0)*'Wastewater Charges'!X$17,'Wastewater Charges'!X$15)+'Wastewater Charges'!X$27</f>
        <v>33.38707860885237</v>
      </c>
      <c r="H18" s="26">
        <f t="shared" si="0"/>
        <v>4.1198734137477988</v>
      </c>
      <c r="I18" s="27">
        <f>MAX(ROUNDUP($D18/500,0)*'Wastewater Charges'!Y$18+ROUNDUP($E18/500,0)*'Wastewater Charges'!Y$17,'Wastewater Charges'!Y$15)+'Wastewater Charges'!Y$27</f>
        <v>36.698999999999998</v>
      </c>
      <c r="J18" s="26">
        <f t="shared" si="1"/>
        <v>9.9197699503708492</v>
      </c>
    </row>
    <row r="19" spans="1:10">
      <c r="B19" s="9" t="str">
        <f>+'Typical Bills WATER'!B19</f>
        <v>5/8</v>
      </c>
      <c r="C19" s="26">
        <f>+'Typical Bills WATER'!C19</f>
        <v>0.5</v>
      </c>
      <c r="D19" s="34">
        <v>4000</v>
      </c>
      <c r="E19" s="34">
        <v>5500</v>
      </c>
      <c r="F19" s="27">
        <f>MAX(ROUNDUP($D19/500,0)*'Wastewater Charges'!W$18+ROUNDUP($E19/500,0)*'Wastewater Charges'!W$17,'Wastewater Charges'!W$15)+'Wastewater Charges'!W$27</f>
        <v>62.474000000000004</v>
      </c>
      <c r="G19" s="27">
        <f>MAX(ROUNDUP($D19/500,0)*'Wastewater Charges'!X$18+ROUNDUP($E19/500,0)*'Wastewater Charges'!X$17,'Wastewater Charges'!X$15)+'Wastewater Charges'!X$27</f>
        <v>65.028665584744658</v>
      </c>
      <c r="H19" s="26">
        <f>(+G19/F19-1)*100</f>
        <v>4.0891660286593634</v>
      </c>
      <c r="I19" s="27">
        <f>MAX(ROUNDUP($D19/500,0)*'Wastewater Charges'!Y$18+ROUNDUP($E19/500,0)*'Wastewater Charges'!Y$17,'Wastewater Charges'!Y$15)+'Wastewater Charges'!Y$27</f>
        <v>71.528999999999996</v>
      </c>
      <c r="J19" s="26">
        <f t="shared" si="1"/>
        <v>9.9961061122870056</v>
      </c>
    </row>
    <row r="20" spans="1:10">
      <c r="B20" s="9" t="str">
        <f>+'Typical Bills WATER'!B20</f>
        <v>5/8</v>
      </c>
      <c r="C20" s="27">
        <f>+'Typical Bills WATER'!C20</f>
        <v>0.55000000000000004</v>
      </c>
      <c r="D20" s="34">
        <v>4000</v>
      </c>
      <c r="E20" s="34">
        <v>5500</v>
      </c>
      <c r="F20" s="27">
        <f>MAX(ROUNDUP($D20/500,0)*'Wastewater Charges'!W$18+ROUNDUP($E20/500,0)*'Wastewater Charges'!W$17,'Wastewater Charges'!W$15)+'Wastewater Charges'!W$27</f>
        <v>62.474000000000004</v>
      </c>
      <c r="G20" s="27">
        <f>MAX(ROUNDUP($D20/500,0)*'Wastewater Charges'!X$18+ROUNDUP($E20/500,0)*'Wastewater Charges'!X$17,'Wastewater Charges'!X$15)+'Wastewater Charges'!X$27</f>
        <v>65.028665584744658</v>
      </c>
      <c r="H20" s="26">
        <f>(+G20/F20-1)*100</f>
        <v>4.0891660286593634</v>
      </c>
      <c r="I20" s="27">
        <f>MAX(ROUNDUP($D20/500,0)*'Wastewater Charges'!Y$18+ROUNDUP($E20/500,0)*'Wastewater Charges'!Y$17,'Wastewater Charges'!Y$15)+'Wastewater Charges'!Y$27</f>
        <v>71.528999999999996</v>
      </c>
      <c r="J20" s="26">
        <f t="shared" ref="J20" si="2">(+I20/G20-1)*100</f>
        <v>9.9961061122870056</v>
      </c>
    </row>
    <row r="21" spans="1:10">
      <c r="B21" s="9" t="str">
        <f>+'Typical Bills WATER'!B21</f>
        <v>5/8</v>
      </c>
      <c r="C21" s="26">
        <f>+'Typical Bills WATER'!C21</f>
        <v>0.6</v>
      </c>
      <c r="D21" s="34">
        <v>4000</v>
      </c>
      <c r="E21" s="34">
        <v>5500</v>
      </c>
      <c r="F21" s="27">
        <f>MAX(ROUNDUP($D21/500,0)*'Wastewater Charges'!W$18+ROUNDUP($E21/500,0)*'Wastewater Charges'!W$17,'Wastewater Charges'!W$15)+'Wastewater Charges'!W$27</f>
        <v>62.474000000000004</v>
      </c>
      <c r="G21" s="27">
        <f>MAX(ROUNDUP($D21/500,0)*'Wastewater Charges'!X$18+ROUNDUP($E21/500,0)*'Wastewater Charges'!X$17,'Wastewater Charges'!X$15)+'Wastewater Charges'!X$27</f>
        <v>65.028665584744658</v>
      </c>
      <c r="H21" s="26">
        <f t="shared" si="0"/>
        <v>4.0891660286593634</v>
      </c>
      <c r="I21" s="27">
        <f>MAX(ROUNDUP($D21/500,0)*'Wastewater Charges'!Y$18+ROUNDUP($E21/500,0)*'Wastewater Charges'!Y$17,'Wastewater Charges'!Y$15)+'Wastewater Charges'!Y$27</f>
        <v>71.528999999999996</v>
      </c>
      <c r="J21" s="26">
        <f t="shared" si="1"/>
        <v>9.9961061122870056</v>
      </c>
    </row>
    <row r="22" spans="1:10">
      <c r="B22" s="9" t="str">
        <f>+'Typical Bills WATER'!B22</f>
        <v>5/8</v>
      </c>
      <c r="C22" s="26">
        <f>+'Typical Bills WATER'!C22</f>
        <v>0.7</v>
      </c>
      <c r="D22" s="34">
        <v>4000</v>
      </c>
      <c r="E22" s="34">
        <v>5500</v>
      </c>
      <c r="F22" s="27">
        <f>MAX(ROUNDUP($D22/500,0)*'Wastewater Charges'!W$18+ROUNDUP($E22/500,0)*'Wastewater Charges'!W$17,'Wastewater Charges'!W$15)+'Wastewater Charges'!W$27</f>
        <v>62.474000000000004</v>
      </c>
      <c r="G22" s="27">
        <f>MAX(ROUNDUP($D22/500,0)*'Wastewater Charges'!X$18+ROUNDUP($E22/500,0)*'Wastewater Charges'!X$17,'Wastewater Charges'!X$15)+'Wastewater Charges'!X$27</f>
        <v>65.028665584744658</v>
      </c>
      <c r="H22" s="26">
        <f t="shared" si="0"/>
        <v>4.0891660286593634</v>
      </c>
      <c r="I22" s="27">
        <f>MAX(ROUNDUP($D22/500,0)*'Wastewater Charges'!Y$18+ROUNDUP($E22/500,0)*'Wastewater Charges'!Y$17,'Wastewater Charges'!Y$15)+'Wastewater Charges'!Y$27</f>
        <v>71.528999999999996</v>
      </c>
      <c r="J22" s="26">
        <f t="shared" si="1"/>
        <v>9.9961061122870056</v>
      </c>
    </row>
    <row r="23" spans="1:10">
      <c r="B23" s="9" t="str">
        <f>+'Typical Bills WATER'!B23</f>
        <v>5/8</v>
      </c>
      <c r="C23" s="26">
        <f>+'Typical Bills WATER'!C23</f>
        <v>0.8</v>
      </c>
      <c r="D23" s="34">
        <v>26000</v>
      </c>
      <c r="E23" s="34">
        <v>38000</v>
      </c>
      <c r="F23" s="27">
        <f>MAX(ROUNDUP($D23/500,0)*'Wastewater Charges'!W$18+ROUNDUP($E23/500,0)*'Wastewater Charges'!W$17,'Wastewater Charges'!W$15)+'Wastewater Charges'!W$27</f>
        <v>396.09999999999997</v>
      </c>
      <c r="G23" s="27">
        <f>MAX(ROUNDUP($D23/500,0)*'Wastewater Charges'!X$18+ROUNDUP($E23/500,0)*'Wastewater Charges'!X$17,'Wastewater Charges'!X$15)+'Wastewater Charges'!X$27</f>
        <v>412.15876296118967</v>
      </c>
      <c r="H23" s="26">
        <f t="shared" si="0"/>
        <v>4.0542193792450609</v>
      </c>
      <c r="I23" s="27">
        <f>MAX(ROUNDUP($D23/500,0)*'Wastewater Charges'!Y$18+ROUNDUP($E23/500,0)*'Wastewater Charges'!Y$17,'Wastewater Charges'!Y$15)+'Wastewater Charges'!Y$27</f>
        <v>453.63799999999998</v>
      </c>
      <c r="J23" s="26">
        <f t="shared" si="1"/>
        <v>10.063897887503149</v>
      </c>
    </row>
    <row r="24" spans="1:10">
      <c r="B24" s="9" t="str">
        <f>+'Typical Bills WATER'!B24</f>
        <v>5/8</v>
      </c>
      <c r="C24" s="26">
        <f>+'Typical Bills WATER'!C24</f>
        <v>1.7</v>
      </c>
      <c r="D24" s="34">
        <v>26000</v>
      </c>
      <c r="E24" s="34">
        <v>38000</v>
      </c>
      <c r="F24" s="27">
        <f>MAX(ROUNDUP($D24/500,0)*'Wastewater Charges'!W$18+ROUNDUP($E24/500,0)*'Wastewater Charges'!W$17,'Wastewater Charges'!W$15)+'Wastewater Charges'!W$27</f>
        <v>396.09999999999997</v>
      </c>
      <c r="G24" s="27">
        <f>MAX(ROUNDUP($D24/500,0)*'Wastewater Charges'!X$18+ROUNDUP($E24/500,0)*'Wastewater Charges'!X$17,'Wastewater Charges'!X$15)+'Wastewater Charges'!X$27</f>
        <v>412.15876296118967</v>
      </c>
      <c r="H24" s="26">
        <f t="shared" si="0"/>
        <v>4.0542193792450609</v>
      </c>
      <c r="I24" s="27">
        <f>MAX(ROUNDUP($D24/500,0)*'Wastewater Charges'!Y$18+ROUNDUP($E24/500,0)*'Wastewater Charges'!Y$17,'Wastewater Charges'!Y$15)+'Wastewater Charges'!Y$27</f>
        <v>453.63799999999998</v>
      </c>
      <c r="J24" s="26">
        <f t="shared" si="1"/>
        <v>10.063897887503149</v>
      </c>
    </row>
    <row r="25" spans="1:10">
      <c r="B25" s="9" t="str">
        <f>+'Typical Bills WATER'!B25</f>
        <v>5/8</v>
      </c>
      <c r="C25" s="26">
        <f>+'Typical Bills WATER'!C25</f>
        <v>2.7</v>
      </c>
      <c r="D25" s="34">
        <v>4000</v>
      </c>
      <c r="E25" s="34">
        <v>5500</v>
      </c>
      <c r="F25" s="27">
        <f>MAX(ROUNDUP($D25/500,0)*'Wastewater Charges'!W$18+ROUNDUP($E25/500,0)*'Wastewater Charges'!W$17,'Wastewater Charges'!W$15)+'Wastewater Charges'!W$27</f>
        <v>62.474000000000004</v>
      </c>
      <c r="G25" s="27">
        <f>MAX(ROUNDUP($D25/500,0)*'Wastewater Charges'!X$18+ROUNDUP($E25/500,0)*'Wastewater Charges'!X$17,'Wastewater Charges'!X$15)+'Wastewater Charges'!X$27</f>
        <v>65.028665584744658</v>
      </c>
      <c r="H25" s="26">
        <f t="shared" si="0"/>
        <v>4.0891660286593634</v>
      </c>
      <c r="I25" s="27">
        <f>MAX(ROUNDUP($D25/500,0)*'Wastewater Charges'!Y$18+ROUNDUP($E25/500,0)*'Wastewater Charges'!Y$17,'Wastewater Charges'!Y$15)+'Wastewater Charges'!Y$27</f>
        <v>71.528999999999996</v>
      </c>
      <c r="J25" s="26">
        <f t="shared" si="1"/>
        <v>9.9961061122870056</v>
      </c>
    </row>
    <row r="26" spans="1:10">
      <c r="B26" s="9" t="str">
        <f>+'Typical Bills WATER'!B26</f>
        <v>5/8</v>
      </c>
      <c r="C26" s="26">
        <f>+'Typical Bills WATER'!C26</f>
        <v>3.3</v>
      </c>
      <c r="D26" s="34">
        <v>4000</v>
      </c>
      <c r="E26" s="34">
        <v>5500</v>
      </c>
      <c r="F26" s="27">
        <f>MAX(ROUNDUP($D26/500,0)*'Wastewater Charges'!W$18+ROUNDUP($E26/500,0)*'Wastewater Charges'!W$17,'Wastewater Charges'!W$15)+'Wastewater Charges'!W$27</f>
        <v>62.474000000000004</v>
      </c>
      <c r="G26" s="27">
        <f>MAX(ROUNDUP($D26/500,0)*'Wastewater Charges'!X$18+ROUNDUP($E26/500,0)*'Wastewater Charges'!X$17,'Wastewater Charges'!X$15)+'Wastewater Charges'!X$27</f>
        <v>65.028665584744658</v>
      </c>
      <c r="H26" s="26">
        <f t="shared" si="0"/>
        <v>4.0891660286593634</v>
      </c>
      <c r="I26" s="27">
        <f>MAX(ROUNDUP($D26/500,0)*'Wastewater Charges'!Y$18+ROUNDUP($E26/500,0)*'Wastewater Charges'!Y$17,'Wastewater Charges'!Y$15)+'Wastewater Charges'!Y$27</f>
        <v>71.528999999999996</v>
      </c>
      <c r="J26" s="26">
        <f t="shared" si="1"/>
        <v>9.9961061122870056</v>
      </c>
    </row>
    <row r="27" spans="1:10">
      <c r="B27" s="46" t="str">
        <f>+'Typical Bills WATER'!B27</f>
        <v>5/8</v>
      </c>
      <c r="C27" s="45">
        <f>+'Typical Bills WATER'!C27</f>
        <v>11</v>
      </c>
      <c r="D27" s="61">
        <v>7000</v>
      </c>
      <c r="E27" s="61">
        <v>11000</v>
      </c>
      <c r="F27" s="44">
        <f>MAX(ROUNDUP($D27/500,0)*'Wastewater Charges'!W$18+ROUNDUP($E27/500,0)*'Wastewater Charges'!W$17,'Wastewater Charges'!W$15)+'Wastewater Charges'!W$27</f>
        <v>109.81</v>
      </c>
      <c r="G27" s="44">
        <f>MAX(ROUNDUP($D27/500,0)*'Wastewater Charges'!X$18+ROUNDUP($E27/500,0)*'Wastewater Charges'!X$17,'Wastewater Charges'!X$15)+'Wastewater Charges'!X$27</f>
        <v>114.34576476532349</v>
      </c>
      <c r="H27" s="45">
        <f>(+G27/F27-1)*100</f>
        <v>4.1305571125794582</v>
      </c>
      <c r="I27" s="44">
        <f>MAX(ROUNDUP($D27/500,0)*'Wastewater Charges'!Y$18+ROUNDUP($E27/500,0)*'Wastewater Charges'!Y$17,'Wastewater Charges'!Y$15)+'Wastewater Charges'!Y$27</f>
        <v>125.81599999999999</v>
      </c>
      <c r="J27" s="45">
        <f t="shared" si="1"/>
        <v>10.031185027462385</v>
      </c>
    </row>
    <row r="28" spans="1:10">
      <c r="B28" s="9"/>
      <c r="C28" s="3"/>
      <c r="D28" s="3"/>
      <c r="E28" s="3"/>
      <c r="F28" s="27"/>
      <c r="G28" s="27"/>
      <c r="I28" s="27"/>
    </row>
    <row r="29" spans="1:10">
      <c r="A29" t="s">
        <v>49</v>
      </c>
      <c r="B29" s="9">
        <f>+'Typical Bills WATER'!B29</f>
        <v>1</v>
      </c>
      <c r="C29" s="26">
        <f>+'Typical Bills WATER'!C29</f>
        <v>1.7</v>
      </c>
      <c r="D29" s="34">
        <v>7700</v>
      </c>
      <c r="E29" s="34">
        <v>7900</v>
      </c>
      <c r="F29" s="27">
        <f>MAX(ROUNDUP($D29/500,0)*'Wastewater Charges'!W$18+ROUNDUP($E29/500,0)*'Wastewater Charges'!W$17,'Wastewater Charges'!W$15)+'Wastewater Charges'!W$27</f>
        <v>117.256</v>
      </c>
      <c r="G29" s="27">
        <f>MAX(ROUNDUP($D29/500,0)*'Wastewater Charges'!X$18+ROUNDUP($E29/500,0)*'Wastewater Charges'!X$17,'Wastewater Charges'!X$15)+'Wastewater Charges'!X$27</f>
        <v>121.82032402793783</v>
      </c>
      <c r="H29" s="26">
        <f>(+G29/F29-1)*100</f>
        <v>3.8926144742595925</v>
      </c>
      <c r="I29" s="27">
        <f>MAX(ROUNDUP($D29/500,0)*'Wastewater Charges'!Y$18+ROUNDUP($E29/500,0)*'Wastewater Charges'!Y$17,'Wastewater Charges'!Y$15)+'Wastewater Charges'!Y$27</f>
        <v>134.04199999999997</v>
      </c>
      <c r="J29" s="26">
        <f t="shared" si="1"/>
        <v>10.032542656231369</v>
      </c>
    </row>
    <row r="30" spans="1:10">
      <c r="B30" s="9">
        <f>+'Typical Bills WATER'!B30</f>
        <v>1</v>
      </c>
      <c r="C30" s="26">
        <f>+'Typical Bills WATER'!C30</f>
        <v>5</v>
      </c>
      <c r="D30" s="34">
        <v>22500</v>
      </c>
      <c r="E30" s="34">
        <v>24000</v>
      </c>
      <c r="F30" s="27">
        <f>MAX(ROUNDUP($D30/500,0)*'Wastewater Charges'!W$18+ROUNDUP($E30/500,0)*'Wastewater Charges'!W$17,'Wastewater Charges'!W$15)+'Wastewater Charges'!W$27</f>
        <v>327.80099999999999</v>
      </c>
      <c r="G30" s="27">
        <f>MAX(ROUNDUP($D30/500,0)*'Wastewater Charges'!X$18+ROUNDUP($E30/500,0)*'Wastewater Charges'!X$17,'Wastewater Charges'!X$15)+'Wastewater Charges'!X$27</f>
        <v>340.55719698189961</v>
      </c>
      <c r="H30" s="26">
        <f>(+G30/F30-1)*100</f>
        <v>3.8914454141078414</v>
      </c>
      <c r="I30" s="27">
        <f>MAX(ROUNDUP($D30/500,0)*'Wastewater Charges'!Y$18+ROUNDUP($E30/500,0)*'Wastewater Charges'!Y$17,'Wastewater Charges'!Y$15)+'Wastewater Charges'!Y$27</f>
        <v>374.81799999999998</v>
      </c>
      <c r="J30" s="26">
        <f t="shared" si="1"/>
        <v>10.060219934192528</v>
      </c>
    </row>
    <row r="31" spans="1:10">
      <c r="B31" s="9">
        <f>+'Typical Bills WATER'!B31</f>
        <v>1</v>
      </c>
      <c r="C31" s="26">
        <f>+'Typical Bills WATER'!C31</f>
        <v>8</v>
      </c>
      <c r="D31" s="34">
        <v>7700</v>
      </c>
      <c r="E31" s="34">
        <v>7900</v>
      </c>
      <c r="F31" s="27">
        <f>MAX(ROUNDUP($D31/500,0)*'Wastewater Charges'!W$18+ROUNDUP($E31/500,0)*'Wastewater Charges'!W$17,'Wastewater Charges'!W$15)+'Wastewater Charges'!W$27</f>
        <v>117.256</v>
      </c>
      <c r="G31" s="27">
        <f>MAX(ROUNDUP($D31/500,0)*'Wastewater Charges'!X$18+ROUNDUP($E31/500,0)*'Wastewater Charges'!X$17,'Wastewater Charges'!X$15)+'Wastewater Charges'!X$27</f>
        <v>121.82032402793783</v>
      </c>
      <c r="H31" s="26">
        <f>(+G31/F31-1)*100</f>
        <v>3.8926144742595925</v>
      </c>
      <c r="I31" s="27">
        <f>MAX(ROUNDUP($D31/500,0)*'Wastewater Charges'!Y$18+ROUNDUP($E31/500,0)*'Wastewater Charges'!Y$17,'Wastewater Charges'!Y$15)+'Wastewater Charges'!Y$27</f>
        <v>134.04199999999997</v>
      </c>
      <c r="J31" s="26">
        <f t="shared" si="1"/>
        <v>10.032542656231369</v>
      </c>
    </row>
    <row r="32" spans="1:10">
      <c r="B32" s="9">
        <f>+'Typical Bills WATER'!B32</f>
        <v>1</v>
      </c>
      <c r="C32" s="26">
        <f>+'Typical Bills WATER'!C32</f>
        <v>17</v>
      </c>
      <c r="D32" s="34">
        <v>22500</v>
      </c>
      <c r="E32" s="34">
        <v>24000</v>
      </c>
      <c r="F32" s="27">
        <f>MAX(ROUNDUP($D32/500,0)*'Wastewater Charges'!W$18+ROUNDUP($E32/500,0)*'Wastewater Charges'!W$17,'Wastewater Charges'!W$15)+'Wastewater Charges'!W$27</f>
        <v>327.80099999999999</v>
      </c>
      <c r="G32" s="27">
        <f>MAX(ROUNDUP($D32/500,0)*'Wastewater Charges'!X$18+ROUNDUP($E32/500,0)*'Wastewater Charges'!X$17,'Wastewater Charges'!X$15)+'Wastewater Charges'!X$27</f>
        <v>340.55719698189961</v>
      </c>
      <c r="H32" s="26">
        <f>(+G32/F32-1)*100</f>
        <v>3.8914454141078414</v>
      </c>
      <c r="I32" s="27">
        <f>MAX(ROUNDUP($D32/500,0)*'Wastewater Charges'!Y$18+ROUNDUP($E32/500,0)*'Wastewater Charges'!Y$17,'Wastewater Charges'!Y$15)+'Wastewater Charges'!Y$27</f>
        <v>374.81799999999998</v>
      </c>
      <c r="J32" s="26">
        <f t="shared" si="1"/>
        <v>10.060219934192528</v>
      </c>
    </row>
    <row r="33" spans="1:10">
      <c r="B33" s="9"/>
      <c r="C33" s="3"/>
      <c r="D33" s="3"/>
      <c r="E33" s="3"/>
      <c r="F33" s="27"/>
      <c r="G33" s="27"/>
      <c r="I33" s="27"/>
    </row>
    <row r="34" spans="1:10">
      <c r="A34" t="s">
        <v>58</v>
      </c>
      <c r="B34" s="9">
        <f>+'Typical Bills WATER'!B34</f>
        <v>2</v>
      </c>
      <c r="C34" s="26">
        <f>+'Typical Bills WATER'!C34</f>
        <v>7.6</v>
      </c>
      <c r="D34" s="34">
        <f>ROUND(+E34*0.85,0)</f>
        <v>1063</v>
      </c>
      <c r="E34" s="34">
        <v>1250</v>
      </c>
      <c r="F34" s="27">
        <f>MAX(ROUNDUP($D34/500,0)*'Wastewater Charges'!W$18+ROUNDUP($E34/500,0)*'Wastewater Charges'!W$17,'Wastewater Charges'!W$15)+'Wastewater Charges'!W$27</f>
        <v>24.032999999999998</v>
      </c>
      <c r="G34" s="27">
        <f>MAX(ROUNDUP($D34/500,0)*'Wastewater Charges'!X$18+ROUNDUP($E34/500,0)*'Wastewater Charges'!X$17,'Wastewater Charges'!X$15)+'Wastewater Charges'!X$27</f>
        <v>25.013002185694194</v>
      </c>
      <c r="H34" s="26">
        <f>(+G34/F34-1)*100</f>
        <v>4.0777355540057236</v>
      </c>
      <c r="I34" s="27">
        <f>MAX(ROUNDUP($D34/500,0)*'Wastewater Charges'!Y$18+ROUNDUP($E34/500,0)*'Wastewater Charges'!Y$17,'Wastewater Charges'!Y$15)+'Wastewater Charges'!Y$27</f>
        <v>27.480999999999998</v>
      </c>
      <c r="J34" s="26">
        <f t="shared" si="1"/>
        <v>9.8668596275793607</v>
      </c>
    </row>
    <row r="35" spans="1:10">
      <c r="B35" s="9">
        <f>+'Typical Bills WATER'!B35</f>
        <v>2</v>
      </c>
      <c r="C35" s="26">
        <f>+'Typical Bills WATER'!C35</f>
        <v>16</v>
      </c>
      <c r="D35" s="34">
        <v>22500</v>
      </c>
      <c r="E35" s="34">
        <v>24000</v>
      </c>
      <c r="F35" s="27">
        <f>MAX(ROUNDUP($D35/500,0)*'Wastewater Charges'!W$18+ROUNDUP($E35/500,0)*'Wastewater Charges'!W$17,'Wastewater Charges'!W$15)+'Wastewater Charges'!W$27</f>
        <v>327.80099999999999</v>
      </c>
      <c r="G35" s="27">
        <f>MAX(ROUNDUP($D35/500,0)*'Wastewater Charges'!X$18+ROUNDUP($E35/500,0)*'Wastewater Charges'!X$17,'Wastewater Charges'!X$15)+'Wastewater Charges'!X$27</f>
        <v>340.55719698189961</v>
      </c>
      <c r="H35" s="26">
        <f>(+G35/F35-1)*100</f>
        <v>3.8914454141078414</v>
      </c>
      <c r="I35" s="27">
        <f>MAX(ROUNDUP($D35/500,0)*'Wastewater Charges'!Y$18+ROUNDUP($E35/500,0)*'Wastewater Charges'!Y$17,'Wastewater Charges'!Y$15)+'Wastewater Charges'!Y$27</f>
        <v>374.81799999999998</v>
      </c>
      <c r="J35" s="26">
        <f t="shared" si="1"/>
        <v>10.060219934192528</v>
      </c>
    </row>
    <row r="36" spans="1:10">
      <c r="B36" s="9">
        <f>+'Typical Bills WATER'!B36</f>
        <v>2</v>
      </c>
      <c r="C36" s="26">
        <f>+'Typical Bills WATER'!C36</f>
        <v>33</v>
      </c>
      <c r="D36" s="34">
        <v>66500</v>
      </c>
      <c r="E36" s="34">
        <v>80000</v>
      </c>
      <c r="F36" s="27">
        <f>MAX(ROUNDUP($D36/500,0)*'Wastewater Charges'!W$18+ROUNDUP($E36/500,0)*'Wastewater Charges'!W$17,'Wastewater Charges'!W$15)+'Wastewater Charges'!W$27</f>
        <v>979.53699999999992</v>
      </c>
      <c r="G36" s="27">
        <f>MAX(ROUNDUP($D36/500,0)*'Wastewater Charges'!X$18+ROUNDUP($E36/500,0)*'Wastewater Charges'!X$17,'Wastewater Charges'!X$15)+'Wastewater Charges'!X$27</f>
        <v>1018.1249232841259</v>
      </c>
      <c r="H36" s="26">
        <f>(+G36/F36-1)*100</f>
        <v>3.9394043598277584</v>
      </c>
      <c r="I36" s="27">
        <f>MAX(ROUNDUP($D36/500,0)*'Wastewater Charges'!Y$18+ROUNDUP($E36/500,0)*'Wastewater Charges'!Y$17,'Wastewater Charges'!Y$15)+'Wastewater Charges'!Y$27</f>
        <v>1120.6580000000001</v>
      </c>
      <c r="J36" s="26">
        <f t="shared" si="1"/>
        <v>10.070775635777318</v>
      </c>
    </row>
    <row r="37" spans="1:10">
      <c r="B37" s="9">
        <f>+'Typical Bills WATER'!B37</f>
        <v>2</v>
      </c>
      <c r="C37" s="26">
        <f>+'Typical Bills WATER'!C37</f>
        <v>100</v>
      </c>
      <c r="D37" s="34">
        <v>7700</v>
      </c>
      <c r="E37" s="34">
        <v>7900</v>
      </c>
      <c r="F37" s="27">
        <f>MAX(ROUNDUP($D37/500,0)*'Wastewater Charges'!W$18+ROUNDUP($E37/500,0)*'Wastewater Charges'!W$17,'Wastewater Charges'!W$15)+'Wastewater Charges'!W$27</f>
        <v>117.256</v>
      </c>
      <c r="G37" s="27">
        <f>MAX(ROUNDUP($D37/500,0)*'Wastewater Charges'!X$18+ROUNDUP($E37/500,0)*'Wastewater Charges'!X$17,'Wastewater Charges'!X$15)+'Wastewater Charges'!X$27</f>
        <v>121.82032402793783</v>
      </c>
      <c r="H37" s="26">
        <f>(+G37/F37-1)*100</f>
        <v>3.8926144742595925</v>
      </c>
      <c r="I37" s="27">
        <f>MAX(ROUNDUP($D37/500,0)*'Wastewater Charges'!Y$18+ROUNDUP($E37/500,0)*'Wastewater Charges'!Y$17,'Wastewater Charges'!Y$15)+'Wastewater Charges'!Y$27</f>
        <v>134.04199999999997</v>
      </c>
      <c r="J37" s="26">
        <f t="shared" si="1"/>
        <v>10.032542656231369</v>
      </c>
    </row>
    <row r="38" spans="1:10">
      <c r="B38" s="9"/>
      <c r="C38" s="3"/>
      <c r="D38" s="3"/>
      <c r="E38" s="3"/>
      <c r="F38" s="27"/>
      <c r="G38" s="27"/>
      <c r="I38" s="27"/>
    </row>
    <row r="39" spans="1:10">
      <c r="A39" t="s">
        <v>68</v>
      </c>
      <c r="B39" s="9">
        <f>+'Typical Bills WATER'!B39</f>
        <v>4</v>
      </c>
      <c r="C39" s="26">
        <f>+'Typical Bills WATER'!C39</f>
        <v>30</v>
      </c>
      <c r="D39" s="34">
        <v>7700</v>
      </c>
      <c r="E39" s="34">
        <v>7900</v>
      </c>
      <c r="F39" s="27">
        <f>MAX(ROUNDUP($D39/500,0)*'Wastewater Charges'!W$18+ROUNDUP($E39/500,0)*'Wastewater Charges'!W$17,'Wastewater Charges'!W$15)+'Wastewater Charges'!W$27</f>
        <v>117.256</v>
      </c>
      <c r="G39" s="27">
        <f>MAX(ROUNDUP($D39/500,0)*'Wastewater Charges'!X$18+ROUNDUP($E39/500,0)*'Wastewater Charges'!X$17,'Wastewater Charges'!X$15)+'Wastewater Charges'!X$27</f>
        <v>121.82032402793783</v>
      </c>
      <c r="H39" s="26">
        <f>(+G39/F39-1)*100</f>
        <v>3.8926144742595925</v>
      </c>
      <c r="I39" s="27">
        <f>MAX(ROUNDUP($D39/500,0)*'Wastewater Charges'!Y$18+ROUNDUP($E39/500,0)*'Wastewater Charges'!Y$17,'Wastewater Charges'!Y$15)+'Wastewater Charges'!Y$27</f>
        <v>134.04199999999997</v>
      </c>
      <c r="J39" s="26">
        <f t="shared" si="1"/>
        <v>10.032542656231369</v>
      </c>
    </row>
    <row r="40" spans="1:10">
      <c r="B40" s="9">
        <f>+'Typical Bills WATER'!B40</f>
        <v>4</v>
      </c>
      <c r="C40" s="26">
        <f>+'Typical Bills WATER'!C40</f>
        <v>170</v>
      </c>
      <c r="D40" s="34">
        <v>10500</v>
      </c>
      <c r="E40" s="34">
        <v>12000</v>
      </c>
      <c r="F40" s="27">
        <f>MAX(ROUNDUP($D40/500,0)*'Wastewater Charges'!W$18+ROUNDUP($E40/500,0)*'Wastewater Charges'!W$17,'Wastewater Charges'!W$15)+'Wastewater Charges'!W$27</f>
        <v>155.697</v>
      </c>
      <c r="G40" s="27">
        <f>MAX(ROUNDUP($D40/500,0)*'Wastewater Charges'!X$18+ROUNDUP($E40/500,0)*'Wastewater Charges'!X$17,'Wastewater Charges'!X$15)+'Wastewater Charges'!X$27</f>
        <v>161.83598742698828</v>
      </c>
      <c r="H40" s="26">
        <f>(+G40/F40-1)*100</f>
        <v>3.9429066886248698</v>
      </c>
      <c r="I40" s="27">
        <f>MAX(ROUNDUP($D40/500,0)*'Wastewater Charges'!Y$18+ROUNDUP($E40/500,0)*'Wastewater Charges'!Y$17,'Wastewater Charges'!Y$15)+'Wastewater Charges'!Y$27</f>
        <v>178.08999999999997</v>
      </c>
      <c r="J40" s="26">
        <f t="shared" si="1"/>
        <v>10.043509377260506</v>
      </c>
    </row>
    <row r="41" spans="1:10">
      <c r="B41" s="9">
        <f>+'Typical Bills WATER'!B41</f>
        <v>4</v>
      </c>
      <c r="C41" s="26">
        <f>+'Typical Bills WATER'!C41</f>
        <v>330</v>
      </c>
      <c r="D41" s="34">
        <v>26000</v>
      </c>
      <c r="E41" s="34">
        <v>38000</v>
      </c>
      <c r="F41" s="27">
        <f>MAX(ROUNDUP($D41/500,0)*'Wastewater Charges'!W$18+ROUNDUP($E41/500,0)*'Wastewater Charges'!W$17,'Wastewater Charges'!W$15)+'Wastewater Charges'!W$27</f>
        <v>396.09999999999997</v>
      </c>
      <c r="G41" s="27">
        <f>MAX(ROUNDUP($D41/500,0)*'Wastewater Charges'!X$18+ROUNDUP($E41/500,0)*'Wastewater Charges'!X$17,'Wastewater Charges'!X$15)+'Wastewater Charges'!X$27</f>
        <v>412.15876296118967</v>
      </c>
      <c r="H41" s="26">
        <f>(+G41/F41-1)*100</f>
        <v>4.0542193792450609</v>
      </c>
      <c r="I41" s="27">
        <f>MAX(ROUNDUP($D41/500,0)*'Wastewater Charges'!Y$18+ROUNDUP($E41/500,0)*'Wastewater Charges'!Y$17,'Wastewater Charges'!Y$15)+'Wastewater Charges'!Y$27</f>
        <v>453.63799999999998</v>
      </c>
      <c r="J41" s="26">
        <f t="shared" si="1"/>
        <v>10.063897887503149</v>
      </c>
    </row>
    <row r="42" spans="1:10">
      <c r="B42" s="9">
        <f>+'Typical Bills WATER'!B42</f>
        <v>4</v>
      </c>
      <c r="C42" s="26">
        <f>+'Typical Bills WATER'!C42</f>
        <v>500</v>
      </c>
      <c r="D42" s="34">
        <v>140000</v>
      </c>
      <c r="E42" s="34">
        <v>160000</v>
      </c>
      <c r="F42" s="27">
        <f>MAX(ROUNDUP($D42/500,0)*'Wastewater Charges'!W$18+ROUNDUP($E42/500,0)*'Wastewater Charges'!W$17,'Wastewater Charges'!W$15)+'Wastewater Charges'!W$27</f>
        <v>2044.8799999999999</v>
      </c>
      <c r="G42" s="27">
        <f>MAX(ROUNDUP($D42/500,0)*'Wastewater Charges'!X$18+ROUNDUP($E42/500,0)*'Wastewater Charges'!X$17,'Wastewater Charges'!X$15)+'Wastewater Charges'!X$27</f>
        <v>2124.8480034667709</v>
      </c>
      <c r="H42" s="26">
        <f>(+G42/F42-1)*100</f>
        <v>3.910645292964432</v>
      </c>
      <c r="I42" s="27">
        <f>MAX(ROUNDUP($D42/500,0)*'Wastewater Charges'!Y$18+ROUNDUP($E42/500,0)*'Wastewater Charges'!Y$17,'Wastewater Charges'!Y$15)+'Wastewater Charges'!Y$27</f>
        <v>2338.89</v>
      </c>
      <c r="J42" s="26">
        <f t="shared" si="1"/>
        <v>10.073285062461457</v>
      </c>
    </row>
    <row r="43" spans="1:10">
      <c r="B43" s="9"/>
      <c r="C43" s="3"/>
      <c r="D43" s="3"/>
      <c r="E43" s="3"/>
      <c r="F43" s="27"/>
      <c r="G43" s="27"/>
      <c r="I43" s="27"/>
    </row>
    <row r="44" spans="1:10">
      <c r="A44" t="s">
        <v>70</v>
      </c>
      <c r="B44" s="9">
        <f>+'Typical Bills WATER'!B44</f>
        <v>6</v>
      </c>
      <c r="C44" s="26">
        <f>+'Typical Bills WATER'!C44</f>
        <v>150</v>
      </c>
      <c r="D44" s="34">
        <v>10500</v>
      </c>
      <c r="E44" s="34">
        <v>12000</v>
      </c>
      <c r="F44" s="27">
        <f>MAX(ROUNDUP($D44/500,0)*'Wastewater Charges'!W$18+ROUNDUP($E44/500,0)*'Wastewater Charges'!W$17,'Wastewater Charges'!W$15)+'Wastewater Charges'!W$27</f>
        <v>155.697</v>
      </c>
      <c r="G44" s="27">
        <f>MAX(ROUNDUP($D44/500,0)*'Wastewater Charges'!X$18+ROUNDUP($E44/500,0)*'Wastewater Charges'!X$17,'Wastewater Charges'!X$15)+'Wastewater Charges'!X$27</f>
        <v>161.83598742698828</v>
      </c>
      <c r="H44" s="26">
        <f>(+G44/F44-1)*100</f>
        <v>3.9429066886248698</v>
      </c>
      <c r="I44" s="27">
        <f>MAX(ROUNDUP($D44/500,0)*'Wastewater Charges'!Y$18+ROUNDUP($E44/500,0)*'Wastewater Charges'!Y$17,'Wastewater Charges'!Y$15)+'Wastewater Charges'!Y$27</f>
        <v>178.08999999999997</v>
      </c>
      <c r="J44" s="26">
        <f t="shared" si="1"/>
        <v>10.043509377260506</v>
      </c>
    </row>
    <row r="45" spans="1:10">
      <c r="B45" s="9">
        <f>+'Typical Bills WATER'!B45</f>
        <v>6</v>
      </c>
      <c r="C45" s="26">
        <f>+'Typical Bills WATER'!C45</f>
        <v>500</v>
      </c>
      <c r="D45" s="34">
        <v>41750</v>
      </c>
      <c r="E45" s="34">
        <v>45500</v>
      </c>
      <c r="F45" s="27">
        <f>MAX(ROUNDUP($D45/500,0)*'Wastewater Charges'!W$18+ROUNDUP($E45/500,0)*'Wastewater Charges'!W$17,'Wastewater Charges'!W$15)+'Wastewater Charges'!W$27</f>
        <v>610.91800000000001</v>
      </c>
      <c r="G45" s="27">
        <f>MAX(ROUNDUP($D45/500,0)*'Wastewater Charges'!X$18+ROUNDUP($E45/500,0)*'Wastewater Charges'!X$17,'Wastewater Charges'!X$15)+'Wastewater Charges'!X$27</f>
        <v>634.6885999421113</v>
      </c>
      <c r="H45" s="26">
        <f>(+G45/F45-1)*100</f>
        <v>3.8909640806313206</v>
      </c>
      <c r="I45" s="27">
        <f>MAX(ROUNDUP($D45/500,0)*'Wastewater Charges'!Y$18+ROUNDUP($E45/500,0)*'Wastewater Charges'!Y$17,'Wastewater Charges'!Y$15)+'Wastewater Charges'!Y$27</f>
        <v>698.58499999999992</v>
      </c>
      <c r="J45" s="26">
        <f t="shared" si="1"/>
        <v>10.067362177880067</v>
      </c>
    </row>
    <row r="46" spans="1:10">
      <c r="B46" s="9">
        <f>+'Typical Bills WATER'!B46</f>
        <v>6</v>
      </c>
      <c r="C46" s="26">
        <f>+'Typical Bills WATER'!C46</f>
        <v>1000</v>
      </c>
      <c r="D46" s="34">
        <v>26000</v>
      </c>
      <c r="E46" s="34">
        <v>38000</v>
      </c>
      <c r="F46" s="27">
        <f>MAX(ROUNDUP($D46/500,0)*'Wastewater Charges'!W$18+ROUNDUP($E46/500,0)*'Wastewater Charges'!W$17,'Wastewater Charges'!W$15)+'Wastewater Charges'!W$27</f>
        <v>396.09999999999997</v>
      </c>
      <c r="G46" s="27">
        <f>MAX(ROUNDUP($D46/500,0)*'Wastewater Charges'!X$18+ROUNDUP($E46/500,0)*'Wastewater Charges'!X$17,'Wastewater Charges'!X$15)+'Wastewater Charges'!X$27</f>
        <v>412.15876296118967</v>
      </c>
      <c r="H46" s="26">
        <f>(+G46/F46-1)*100</f>
        <v>4.0542193792450609</v>
      </c>
      <c r="I46" s="27">
        <f>MAX(ROUNDUP($D46/500,0)*'Wastewater Charges'!Y$18+ROUNDUP($E46/500,0)*'Wastewater Charges'!Y$17,'Wastewater Charges'!Y$15)+'Wastewater Charges'!Y$27</f>
        <v>453.63799999999998</v>
      </c>
      <c r="J46" s="26">
        <f t="shared" si="1"/>
        <v>10.063897887503149</v>
      </c>
    </row>
    <row r="47" spans="1:10">
      <c r="B47" s="9">
        <f>+'Typical Bills WATER'!B47</f>
        <v>6</v>
      </c>
      <c r="C47" s="26">
        <f>+'Typical Bills WATER'!C47</f>
        <v>1500</v>
      </c>
      <c r="D47" s="34">
        <v>140000</v>
      </c>
      <c r="E47" s="34">
        <v>160000</v>
      </c>
      <c r="F47" s="27">
        <f>MAX(ROUNDUP($D47/500,0)*'Wastewater Charges'!W$18+ROUNDUP($E47/500,0)*'Wastewater Charges'!W$17,'Wastewater Charges'!W$15)+'Wastewater Charges'!W$27</f>
        <v>2044.8799999999999</v>
      </c>
      <c r="G47" s="27">
        <f>MAX(ROUNDUP($D47/500,0)*'Wastewater Charges'!X$18+ROUNDUP($E47/500,0)*'Wastewater Charges'!X$17,'Wastewater Charges'!X$15)+'Wastewater Charges'!X$27</f>
        <v>2124.8480034667709</v>
      </c>
      <c r="H47" s="26">
        <f>(+G47/F47-1)*100</f>
        <v>3.910645292964432</v>
      </c>
      <c r="I47" s="27">
        <f>MAX(ROUNDUP($D47/500,0)*'Wastewater Charges'!Y$18+ROUNDUP($E47/500,0)*'Wastewater Charges'!Y$17,'Wastewater Charges'!Y$15)+'Wastewater Charges'!Y$27</f>
        <v>2338.89</v>
      </c>
      <c r="J47" s="26">
        <f t="shared" si="1"/>
        <v>10.073285062461457</v>
      </c>
    </row>
    <row r="48" spans="1:10">
      <c r="B48" s="9"/>
      <c r="C48" s="3"/>
      <c r="D48" s="3"/>
      <c r="E48" s="3"/>
      <c r="F48" s="27"/>
      <c r="G48" s="27"/>
      <c r="I48" s="27"/>
    </row>
    <row r="49" spans="1:10">
      <c r="A49" t="s">
        <v>75</v>
      </c>
      <c r="B49" s="9">
        <f>+'Typical Bills WATER'!B49</f>
        <v>8</v>
      </c>
      <c r="C49" s="26">
        <f>+'Typical Bills WATER'!C49</f>
        <v>750</v>
      </c>
      <c r="D49" s="34">
        <v>10500</v>
      </c>
      <c r="E49" s="34">
        <v>12000</v>
      </c>
      <c r="F49" s="27">
        <f>MAX(ROUNDUP($D49/500,0)*'Wastewater Charges'!W$18+ROUNDUP($E49/500,0)*'Wastewater Charges'!W$17,'Wastewater Charges'!W$15)+'Wastewater Charges'!W$27</f>
        <v>155.697</v>
      </c>
      <c r="G49" s="27">
        <f>MAX(ROUNDUP($D49/500,0)*'Wastewater Charges'!X$18+ROUNDUP($E49/500,0)*'Wastewater Charges'!X$17,'Wastewater Charges'!X$15)+'Wastewater Charges'!X$27</f>
        <v>161.83598742698828</v>
      </c>
      <c r="H49" s="26">
        <f>(+G49/F49-1)*100</f>
        <v>3.9429066886248698</v>
      </c>
      <c r="I49" s="27">
        <f>MAX(ROUNDUP($D49/500,0)*'Wastewater Charges'!Y$18+ROUNDUP($E49/500,0)*'Wastewater Charges'!Y$17,'Wastewater Charges'!Y$15)+'Wastewater Charges'!Y$27</f>
        <v>178.08999999999997</v>
      </c>
      <c r="J49" s="26">
        <f t="shared" si="1"/>
        <v>10.043509377260506</v>
      </c>
    </row>
    <row r="50" spans="1:10">
      <c r="B50" s="9">
        <f>+'Typical Bills WATER'!B50</f>
        <v>8</v>
      </c>
      <c r="C50" s="26">
        <f>+'Typical Bills WATER'!C50</f>
        <v>1500</v>
      </c>
      <c r="D50" s="34">
        <v>66500</v>
      </c>
      <c r="E50" s="34">
        <v>80000</v>
      </c>
      <c r="F50" s="27">
        <f>MAX(ROUNDUP($D50/500,0)*'Wastewater Charges'!W$18+ROUNDUP($E50/500,0)*'Wastewater Charges'!W$17,'Wastewater Charges'!W$15)+'Wastewater Charges'!W$27</f>
        <v>979.53699999999992</v>
      </c>
      <c r="G50" s="27">
        <f>MAX(ROUNDUP($D50/500,0)*'Wastewater Charges'!X$18+ROUNDUP($E50/500,0)*'Wastewater Charges'!X$17,'Wastewater Charges'!X$15)+'Wastewater Charges'!X$27</f>
        <v>1018.1249232841259</v>
      </c>
      <c r="H50" s="26">
        <f>(+G50/F50-1)*100</f>
        <v>3.9394043598277584</v>
      </c>
      <c r="I50" s="27">
        <f>MAX(ROUNDUP($D50/500,0)*'Wastewater Charges'!Y$18+ROUNDUP($E50/500,0)*'Wastewater Charges'!Y$17,'Wastewater Charges'!Y$15)+'Wastewater Charges'!Y$27</f>
        <v>1120.6580000000001</v>
      </c>
      <c r="J50" s="26">
        <f t="shared" si="1"/>
        <v>10.070775635777318</v>
      </c>
    </row>
    <row r="51" spans="1:10">
      <c r="B51" s="9">
        <f>+'Typical Bills WATER'!B51</f>
        <v>8</v>
      </c>
      <c r="C51" s="26">
        <f>+'Typical Bills WATER'!C51</f>
        <v>2000</v>
      </c>
      <c r="D51" s="34">
        <v>26000</v>
      </c>
      <c r="E51" s="34">
        <v>38000</v>
      </c>
      <c r="F51" s="27">
        <f>MAX(ROUNDUP($D51/500,0)*'Wastewater Charges'!W$18+ROUNDUP($E51/500,0)*'Wastewater Charges'!W$17,'Wastewater Charges'!W$15)+'Wastewater Charges'!W$27</f>
        <v>396.09999999999997</v>
      </c>
      <c r="G51" s="27">
        <f>MAX(ROUNDUP($D51/500,0)*'Wastewater Charges'!X$18+ROUNDUP($E51/500,0)*'Wastewater Charges'!X$17,'Wastewater Charges'!X$15)+'Wastewater Charges'!X$27</f>
        <v>412.15876296118967</v>
      </c>
      <c r="H51" s="26">
        <f>(+G51/F51-1)*100</f>
        <v>4.0542193792450609</v>
      </c>
      <c r="I51" s="27">
        <f>MAX(ROUNDUP($D51/500,0)*'Wastewater Charges'!Y$18+ROUNDUP($E51/500,0)*'Wastewater Charges'!Y$17,'Wastewater Charges'!Y$15)+'Wastewater Charges'!Y$27</f>
        <v>453.63799999999998</v>
      </c>
      <c r="J51" s="26">
        <f t="shared" si="1"/>
        <v>10.063897887503149</v>
      </c>
    </row>
    <row r="52" spans="1:10">
      <c r="B52" s="9">
        <f>+'Typical Bills WATER'!B52</f>
        <v>8</v>
      </c>
      <c r="C52" s="26">
        <f>+'Typical Bills WATER'!C52</f>
        <v>3000</v>
      </c>
      <c r="D52" s="34">
        <v>140000</v>
      </c>
      <c r="E52" s="34">
        <v>160000</v>
      </c>
      <c r="F52" s="27">
        <f>MAX(ROUNDUP($D52/500,0)*'Wastewater Charges'!W$18+ROUNDUP($E52/500,0)*'Wastewater Charges'!W$17,'Wastewater Charges'!W$15)+'Wastewater Charges'!W$27</f>
        <v>2044.8799999999999</v>
      </c>
      <c r="G52" s="27">
        <f>MAX(ROUNDUP($D52/500,0)*'Wastewater Charges'!X$18+ROUNDUP($E52/500,0)*'Wastewater Charges'!X$17,'Wastewater Charges'!X$15)+'Wastewater Charges'!X$27</f>
        <v>2124.8480034667709</v>
      </c>
      <c r="H52" s="26">
        <f>(+G52/F52-1)*100</f>
        <v>3.910645292964432</v>
      </c>
      <c r="I52" s="27">
        <f>MAX(ROUNDUP($D52/500,0)*'Wastewater Charges'!Y$18+ROUNDUP($E52/500,0)*'Wastewater Charges'!Y$17,'Wastewater Charges'!Y$15)+'Wastewater Charges'!Y$27</f>
        <v>2338.89</v>
      </c>
      <c r="J52" s="26">
        <f t="shared" si="1"/>
        <v>10.073285062461457</v>
      </c>
    </row>
    <row r="53" spans="1:10">
      <c r="B53" s="9"/>
      <c r="C53" s="3"/>
      <c r="D53" s="3"/>
      <c r="E53" s="3"/>
      <c r="F53" s="27"/>
      <c r="G53" s="27"/>
      <c r="I53" s="27"/>
    </row>
    <row r="54" spans="1:10">
      <c r="A54" t="s">
        <v>79</v>
      </c>
      <c r="B54" s="9">
        <f>+'Typical Bills WATER'!B54</f>
        <v>10</v>
      </c>
      <c r="C54" s="26">
        <f>+'Typical Bills WATER'!C54</f>
        <v>600</v>
      </c>
      <c r="D54" s="34">
        <v>22500</v>
      </c>
      <c r="E54" s="34">
        <v>24000</v>
      </c>
      <c r="F54" s="27">
        <f>MAX(ROUNDUP($D54/500,0)*'Wastewater Charges'!W$18+ROUNDUP($E54/500,0)*'Wastewater Charges'!W$17,'Wastewater Charges'!W$15)+'Wastewater Charges'!W$27</f>
        <v>327.80099999999999</v>
      </c>
      <c r="G54" s="27">
        <f>MAX(ROUNDUP($D54/500,0)*'Wastewater Charges'!X$18+ROUNDUP($E54/500,0)*'Wastewater Charges'!X$17,'Wastewater Charges'!X$15)+'Wastewater Charges'!X$27</f>
        <v>340.55719698189961</v>
      </c>
      <c r="H54" s="26">
        <f>(+G54/F54-1)*100</f>
        <v>3.8914454141078414</v>
      </c>
      <c r="I54" s="27">
        <f>MAX(ROUNDUP($D54/500,0)*'Wastewater Charges'!Y$18+ROUNDUP($E54/500,0)*'Wastewater Charges'!Y$17,'Wastewater Charges'!Y$15)+'Wastewater Charges'!Y$27</f>
        <v>374.81799999999998</v>
      </c>
      <c r="J54" s="26">
        <f t="shared" si="1"/>
        <v>10.060219934192528</v>
      </c>
    </row>
    <row r="55" spans="1:10">
      <c r="B55" s="9">
        <f>+'Typical Bills WATER'!B55</f>
        <v>10</v>
      </c>
      <c r="C55" s="26">
        <f>+'Typical Bills WATER'!C55</f>
        <v>1700</v>
      </c>
      <c r="D55" s="34">
        <v>41750</v>
      </c>
      <c r="E55" s="34">
        <v>45500</v>
      </c>
      <c r="F55" s="27">
        <f>MAX(ROUNDUP($D55/500,0)*'Wastewater Charges'!W$18+ROUNDUP($E55/500,0)*'Wastewater Charges'!W$17,'Wastewater Charges'!W$15)+'Wastewater Charges'!W$27</f>
        <v>610.91800000000001</v>
      </c>
      <c r="G55" s="27">
        <f>MAX(ROUNDUP($D55/500,0)*'Wastewater Charges'!X$18+ROUNDUP($E55/500,0)*'Wastewater Charges'!X$17,'Wastewater Charges'!X$15)+'Wastewater Charges'!X$27</f>
        <v>634.6885999421113</v>
      </c>
      <c r="H55" s="26">
        <f>(+G55/F55-1)*100</f>
        <v>3.8909640806313206</v>
      </c>
      <c r="I55" s="27">
        <f>MAX(ROUNDUP($D55/500,0)*'Wastewater Charges'!Y$18+ROUNDUP($E55/500,0)*'Wastewater Charges'!Y$17,'Wastewater Charges'!Y$15)+'Wastewater Charges'!Y$27</f>
        <v>698.58499999999992</v>
      </c>
      <c r="J55" s="26">
        <f t="shared" si="1"/>
        <v>10.067362177880067</v>
      </c>
    </row>
    <row r="56" spans="1:10">
      <c r="B56" s="9">
        <f>+'Typical Bills WATER'!B56</f>
        <v>10</v>
      </c>
      <c r="C56" s="26">
        <f>+'Typical Bills WATER'!C56</f>
        <v>3300</v>
      </c>
      <c r="D56" s="34">
        <v>26000</v>
      </c>
      <c r="E56" s="34">
        <v>38000</v>
      </c>
      <c r="F56" s="27">
        <f>MAX(ROUNDUP($D56/500,0)*'Wastewater Charges'!W$18+ROUNDUP($E56/500,0)*'Wastewater Charges'!W$17,'Wastewater Charges'!W$15)+'Wastewater Charges'!W$27</f>
        <v>396.09999999999997</v>
      </c>
      <c r="G56" s="27">
        <f>MAX(ROUNDUP($D56/500,0)*'Wastewater Charges'!X$18+ROUNDUP($E56/500,0)*'Wastewater Charges'!X$17,'Wastewater Charges'!X$15)+'Wastewater Charges'!X$27</f>
        <v>412.15876296118967</v>
      </c>
      <c r="H56" s="26">
        <f>(+G56/F56-1)*100</f>
        <v>4.0542193792450609</v>
      </c>
      <c r="I56" s="27">
        <f>MAX(ROUNDUP($D56/500,0)*'Wastewater Charges'!Y$18+ROUNDUP($E56/500,0)*'Wastewater Charges'!Y$17,'Wastewater Charges'!Y$15)+'Wastewater Charges'!Y$27</f>
        <v>453.63799999999998</v>
      </c>
      <c r="J56" s="26">
        <f t="shared" si="1"/>
        <v>10.063897887503149</v>
      </c>
    </row>
    <row r="57" spans="1:10">
      <c r="B57" s="9">
        <f>+'Typical Bills WATER'!B57</f>
        <v>10</v>
      </c>
      <c r="C57" s="26">
        <f>+'Typical Bills WATER'!C57</f>
        <v>6000</v>
      </c>
      <c r="D57" s="34">
        <v>140000</v>
      </c>
      <c r="E57" s="34">
        <v>160000</v>
      </c>
      <c r="F57" s="27">
        <f>MAX(ROUNDUP($D57/500,0)*'Wastewater Charges'!W$18+ROUNDUP($E57/500,0)*'Wastewater Charges'!W$17,'Wastewater Charges'!W$15)+'Wastewater Charges'!W$27</f>
        <v>2044.8799999999999</v>
      </c>
      <c r="G57" s="27">
        <f>MAX(ROUNDUP($D57/500,0)*'Wastewater Charges'!X$18+ROUNDUP($E57/500,0)*'Wastewater Charges'!X$17,'Wastewater Charges'!X$15)+'Wastewater Charges'!X$27</f>
        <v>2124.8480034667709</v>
      </c>
      <c r="H57" s="26">
        <f>(+G57/F57-1)*100</f>
        <v>3.910645292964432</v>
      </c>
      <c r="I57" s="27">
        <f>MAX(ROUNDUP($D57/500,0)*'Wastewater Charges'!Y$18+ROUNDUP($E57/500,0)*'Wastewater Charges'!Y$17,'Wastewater Charges'!Y$15)+'Wastewater Charges'!Y$27</f>
        <v>2338.89</v>
      </c>
      <c r="J57" s="26">
        <f t="shared" si="1"/>
        <v>10.073285062461457</v>
      </c>
    </row>
    <row r="58" spans="1:10">
      <c r="B58" s="9"/>
      <c r="C58" s="26"/>
      <c r="D58" s="34"/>
      <c r="E58" s="34"/>
      <c r="F58" s="27"/>
      <c r="G58" s="27"/>
      <c r="H58" s="26"/>
    </row>
    <row r="59" spans="1:10">
      <c r="B59" s="9"/>
      <c r="C59" s="26"/>
      <c r="D59" s="34"/>
      <c r="E59" s="34"/>
      <c r="F59" s="27"/>
      <c r="G59" s="27"/>
      <c r="H59" s="26"/>
    </row>
    <row r="60" spans="1:10">
      <c r="B60" s="3" t="s">
        <v>146</v>
      </c>
      <c r="C60" s="3"/>
      <c r="D60" s="3"/>
      <c r="E60" s="3"/>
      <c r="F60" s="3"/>
      <c r="G60" s="3"/>
      <c r="H60" s="3"/>
    </row>
    <row r="61" spans="1:10">
      <c r="B61" s="3" t="s">
        <v>212</v>
      </c>
      <c r="C61" s="3"/>
      <c r="D61" s="3"/>
      <c r="E61" s="3"/>
      <c r="F61" s="3"/>
      <c r="G61" s="3"/>
      <c r="H61" s="3"/>
    </row>
    <row r="64" spans="1:10">
      <c r="B64" s="52" t="s">
        <v>263</v>
      </c>
      <c r="C64" s="53"/>
      <c r="D64" s="54"/>
    </row>
    <row r="65" spans="2:4">
      <c r="B65" s="55"/>
      <c r="D65" s="56"/>
    </row>
    <row r="66" spans="2:4">
      <c r="B66" s="55" t="s">
        <v>264</v>
      </c>
      <c r="D66" s="62">
        <v>69238</v>
      </c>
    </row>
    <row r="67" spans="2:4">
      <c r="B67" s="55"/>
      <c r="D67" s="57"/>
    </row>
    <row r="68" spans="2:4">
      <c r="B68" s="55" t="s">
        <v>265</v>
      </c>
      <c r="D68" s="62">
        <v>772229</v>
      </c>
    </row>
    <row r="69" spans="2:4">
      <c r="B69" s="55"/>
      <c r="D69" s="57"/>
    </row>
    <row r="70" spans="2:4">
      <c r="B70" s="55" t="s">
        <v>266</v>
      </c>
      <c r="D70" s="57">
        <f>ROUND(D68/D$66*1000,-3)</f>
        <v>11000</v>
      </c>
    </row>
    <row r="71" spans="2:4">
      <c r="B71" s="55"/>
      <c r="D71" s="56"/>
    </row>
    <row r="72" spans="2:4">
      <c r="B72" s="55" t="s">
        <v>267</v>
      </c>
      <c r="D72" s="62">
        <v>457166</v>
      </c>
    </row>
    <row r="73" spans="2:4">
      <c r="B73" s="55"/>
      <c r="D73" s="56"/>
    </row>
    <row r="74" spans="2:4">
      <c r="B74" s="58" t="s">
        <v>268</v>
      </c>
      <c r="C74" s="59"/>
      <c r="D74" s="60">
        <f>ROUND(D72/D$66*1000,-3)</f>
        <v>7000</v>
      </c>
    </row>
    <row r="76" spans="2:4">
      <c r="B76" t="s">
        <v>269</v>
      </c>
    </row>
  </sheetData>
  <mergeCells count="4">
    <mergeCell ref="G9:H9"/>
    <mergeCell ref="B5:H5"/>
    <mergeCell ref="B6:H6"/>
    <mergeCell ref="I9:J9"/>
  </mergeCells>
  <hyperlinks>
    <hyperlink ref="A1" location="TOC!A1" display="TOC!A1" xr:uid="{00000000-0004-0000-0E00-000000000000}"/>
  </hyperlinks>
  <pageMargins left="0.7" right="0.7" top="0.75" bottom="0.75" header="0.3" footer="0.3"/>
  <pageSetup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E9"/>
  <sheetViews>
    <sheetView workbookViewId="0">
      <selection activeCell="D4" sqref="D4"/>
    </sheetView>
  </sheetViews>
  <sheetFormatPr defaultRowHeight="14"/>
  <cols>
    <col min="2" max="2" width="16" customWidth="1"/>
    <col min="3" max="3" width="16.26953125" customWidth="1"/>
    <col min="4" max="5" width="16.453125" bestFit="1" customWidth="1"/>
    <col min="6" max="6" width="13.54296875" customWidth="1"/>
  </cols>
  <sheetData>
    <row r="1" spans="1:5" ht="14.5" thickBot="1">
      <c r="A1" s="239" t="s">
        <v>1</v>
      </c>
    </row>
    <row r="3" spans="1:5">
      <c r="C3" t="s">
        <v>270</v>
      </c>
      <c r="D3" t="s">
        <v>271</v>
      </c>
      <c r="E3" t="s">
        <v>272</v>
      </c>
    </row>
    <row r="4" spans="1:5">
      <c r="C4" t="s">
        <v>273</v>
      </c>
      <c r="D4" t="s">
        <v>274</v>
      </c>
      <c r="E4" t="s">
        <v>275</v>
      </c>
    </row>
    <row r="6" spans="1:5">
      <c r="B6" t="s">
        <v>276</v>
      </c>
      <c r="C6" s="218" t="s">
        <v>277</v>
      </c>
      <c r="D6" s="218" t="s">
        <v>278</v>
      </c>
      <c r="E6" s="218" t="s">
        <v>279</v>
      </c>
    </row>
    <row r="9" spans="1:5" ht="42">
      <c r="B9" s="264" t="s">
        <v>280</v>
      </c>
      <c r="C9" t="s">
        <v>281</v>
      </c>
    </row>
  </sheetData>
  <phoneticPr fontId="61" type="noConversion"/>
  <hyperlinks>
    <hyperlink ref="A1" location="TOC!A1" display="TOC!A1" xr:uid="{00000000-0004-0000-11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FFFF00"/>
    <pageSetUpPr fitToPage="1"/>
  </sheetPr>
  <dimension ref="A1:Q48"/>
  <sheetViews>
    <sheetView showGridLines="0" zoomScale="80" zoomScaleNormal="80" workbookViewId="0">
      <selection activeCell="H43" sqref="H43"/>
    </sheetView>
  </sheetViews>
  <sheetFormatPr defaultRowHeight="14"/>
  <cols>
    <col min="2" max="8" width="16.7265625" customWidth="1"/>
    <col min="9" max="9" width="23.81640625" customWidth="1"/>
    <col min="10" max="10" width="9.26953125" hidden="1" customWidth="1"/>
    <col min="11" max="13" width="9.1796875" hidden="1" customWidth="1"/>
    <col min="14" max="14" width="6.453125" hidden="1" customWidth="1"/>
    <col min="15" max="15" width="0" hidden="1" customWidth="1"/>
  </cols>
  <sheetData>
    <row r="1" spans="1:14" ht="14.5" thickBot="1">
      <c r="A1" s="239" t="s">
        <v>1</v>
      </c>
    </row>
    <row r="2" spans="1:14" ht="15.5">
      <c r="B2" s="270" t="s">
        <v>218</v>
      </c>
      <c r="C2" s="270"/>
      <c r="D2" s="270"/>
      <c r="E2" s="270"/>
      <c r="F2" s="270"/>
      <c r="G2" s="270"/>
      <c r="H2" s="270"/>
      <c r="I2" s="275"/>
    </row>
    <row r="3" spans="1:14" ht="15.5" hidden="1">
      <c r="B3" s="270"/>
      <c r="C3" s="270"/>
      <c r="D3" s="270"/>
      <c r="E3" s="270"/>
      <c r="F3" s="270"/>
      <c r="G3" s="270"/>
      <c r="H3" s="270"/>
      <c r="I3" s="275"/>
    </row>
    <row r="4" spans="1:14" ht="15.5">
      <c r="B4" s="270" t="s">
        <v>219</v>
      </c>
      <c r="C4" s="270"/>
      <c r="D4" s="270"/>
      <c r="E4" s="270"/>
      <c r="F4" s="270"/>
      <c r="G4" s="270"/>
      <c r="H4" s="270"/>
      <c r="I4" s="275"/>
    </row>
    <row r="5" spans="1:14" ht="15.5">
      <c r="B5" s="270" t="s">
        <v>220</v>
      </c>
      <c r="C5" s="270"/>
      <c r="D5" s="270"/>
      <c r="E5" s="270"/>
      <c r="F5" s="270"/>
      <c r="G5" s="270"/>
      <c r="H5" s="270"/>
      <c r="I5" s="275"/>
    </row>
    <row r="6" spans="1:14" ht="15.5">
      <c r="B6" s="270" t="s">
        <v>221</v>
      </c>
      <c r="C6" s="270"/>
      <c r="D6" s="270"/>
      <c r="E6" s="270"/>
      <c r="F6" s="270"/>
      <c r="G6" s="270"/>
      <c r="H6" s="270"/>
      <c r="I6" s="275"/>
    </row>
    <row r="7" spans="1:14" ht="14.5">
      <c r="B7" s="271"/>
      <c r="C7" s="271"/>
      <c r="D7" s="271"/>
      <c r="E7" s="272"/>
      <c r="F7" s="271"/>
      <c r="G7" s="271"/>
      <c r="H7" s="271"/>
      <c r="I7" s="275"/>
    </row>
    <row r="8" spans="1:14" ht="14.5">
      <c r="B8" s="273">
        <v>-1</v>
      </c>
      <c r="C8" s="273">
        <v>-2</v>
      </c>
      <c r="D8" s="273">
        <v>-3</v>
      </c>
      <c r="E8" s="273">
        <v>-4</v>
      </c>
      <c r="F8" s="273">
        <v>-5</v>
      </c>
      <c r="G8" s="273">
        <v>-6</v>
      </c>
      <c r="H8" s="273">
        <v>-7</v>
      </c>
      <c r="I8" s="275"/>
    </row>
    <row r="9" spans="1:14" ht="15.5">
      <c r="B9" s="415"/>
      <c r="C9" s="415"/>
      <c r="D9" s="415" t="str">
        <f>Inputs!$C$4</f>
        <v>FY 2025</v>
      </c>
      <c r="E9" s="416" t="str">
        <f>Inputs!$D$4</f>
        <v>FY 2026</v>
      </c>
      <c r="F9" s="416"/>
      <c r="G9" s="416" t="str">
        <f>Inputs!$E$4</f>
        <v>FY 2027</v>
      </c>
      <c r="H9" s="416"/>
      <c r="I9" s="275"/>
    </row>
    <row r="10" spans="1:14" ht="5.15" hidden="1" customHeight="1">
      <c r="B10" s="417"/>
      <c r="C10" s="417"/>
      <c r="D10" s="417"/>
      <c r="E10" s="417"/>
      <c r="F10" s="417"/>
      <c r="G10" s="417"/>
      <c r="H10" s="417"/>
      <c r="I10" s="275"/>
    </row>
    <row r="11" spans="1:14" ht="14.5">
      <c r="B11" s="418" t="str">
        <f>UPPER('Typical Res Bills TOTAL'!B12)</f>
        <v>METER</v>
      </c>
      <c r="C11" s="418" t="str">
        <f>UPPER('Typical Res Bills TOTAL'!C12)</f>
        <v>MONTHLY</v>
      </c>
      <c r="D11" s="418" t="str">
        <f>UPPER('Typical Res Bills TOTAL'!D12)</f>
        <v>EXISTING</v>
      </c>
      <c r="E11" s="418" t="str">
        <f>UPPER('Typical Res Bills TOTAL'!E12)</f>
        <v>PROPOSED</v>
      </c>
      <c r="F11" s="418" t="str">
        <f>UPPER('Typical Res Bills TOTAL'!F12)</f>
        <v>% PROPOSED</v>
      </c>
      <c r="G11" s="418" t="str">
        <f>UPPER('Typical Res Bills TOTAL'!G12)</f>
        <v>PROPOSED</v>
      </c>
      <c r="H11" s="418" t="str">
        <f>UPPER('Typical Res Bills TOTAL'!H12)</f>
        <v>% PROPOSED</v>
      </c>
      <c r="I11" s="275"/>
      <c r="K11" s="134" t="s">
        <v>224</v>
      </c>
      <c r="L11" s="134"/>
      <c r="M11" s="134"/>
      <c r="N11" s="134"/>
    </row>
    <row r="12" spans="1:14" ht="16">
      <c r="B12" s="418" t="str">
        <f>UPPER('Typical Res Bills TOTAL'!B13)</f>
        <v>SIZE</v>
      </c>
      <c r="C12" s="418" t="str">
        <f>UPPER('Typical Res Bills TOTAL'!C13)</f>
        <v>USE</v>
      </c>
      <c r="D12" s="418" t="str">
        <f>UPPER('Typical Res Bills TOTAL'!D13)</f>
        <v>RATES</v>
      </c>
      <c r="E12" s="418" t="str">
        <f>UPPER('Typical Res Bills TOTAL'!E13)</f>
        <v>RATES</v>
      </c>
      <c r="F12" s="418" t="str">
        <f>UPPER('Typical Res Bills TOTAL'!F13)</f>
        <v>OF EXISTING</v>
      </c>
      <c r="G12" s="418" t="str">
        <f>UPPER('Typical Res Bills TOTAL'!G13)</f>
        <v>RATES</v>
      </c>
      <c r="H12" s="418" t="str">
        <f>UPPER('Typical Res Bills TOTAL'!H13)</f>
        <v>OF FY 2026</v>
      </c>
      <c r="I12" s="277"/>
      <c r="K12" s="123" t="s">
        <v>173</v>
      </c>
      <c r="L12" s="123" t="s">
        <v>229</v>
      </c>
      <c r="M12" s="123" t="s">
        <v>230</v>
      </c>
      <c r="N12" s="123" t="s">
        <v>231</v>
      </c>
    </row>
    <row r="13" spans="1:14" ht="15.5">
      <c r="B13" s="419" t="s">
        <v>125</v>
      </c>
      <c r="C13" s="419" t="s">
        <v>233</v>
      </c>
      <c r="D13" s="419" t="s">
        <v>126</v>
      </c>
      <c r="E13" s="419" t="s">
        <v>126</v>
      </c>
      <c r="F13" s="419" t="s">
        <v>234</v>
      </c>
      <c r="G13" s="419" t="s">
        <v>126</v>
      </c>
      <c r="H13" s="419" t="s">
        <v>234</v>
      </c>
      <c r="I13" s="275"/>
    </row>
    <row r="14" spans="1:14" ht="3.65" customHeight="1">
      <c r="B14" s="274"/>
      <c r="C14" s="274"/>
      <c r="D14" s="274"/>
      <c r="E14" s="274"/>
      <c r="F14" s="274"/>
      <c r="G14" s="274"/>
      <c r="H14" s="274"/>
      <c r="I14" s="275"/>
    </row>
    <row r="15" spans="1:14" ht="17.5" customHeight="1">
      <c r="B15" s="420" t="str">
        <f>+'Typical Bills WATER'!B14</f>
        <v>5/8</v>
      </c>
      <c r="C15" s="421">
        <f>+'Typical Bills WATER'!C14</f>
        <v>0</v>
      </c>
      <c r="D15" s="421">
        <f>+'Typical Bills WATER'!D14+'Typical Bills SANITARY'!D14+'Typical Res Bills SW'!D14</f>
        <v>33.22</v>
      </c>
      <c r="E15" s="421">
        <f>+'Typical Bills WATER'!E14+'Typical Bills SANITARY'!E14+'Typical Res Bills SW'!E14</f>
        <v>35.674241100541835</v>
      </c>
      <c r="F15" s="422">
        <f>(+E15/D15-1)*100</f>
        <v>7.3878419643041315</v>
      </c>
      <c r="G15" s="421">
        <f>+'Typical Bills WATER'!G14+'Typical Bills SANITARY'!G14+'Typical Res Bills SW'!G14</f>
        <v>38.64</v>
      </c>
      <c r="H15" s="422">
        <f>(+G15/E15-1)*100</f>
        <v>8.3134463634409794</v>
      </c>
      <c r="I15" s="275"/>
      <c r="K15" s="128"/>
      <c r="L15" s="21"/>
      <c r="M15" s="21"/>
      <c r="N15" s="21"/>
    </row>
    <row r="16" spans="1:14" ht="17.5" customHeight="1">
      <c r="B16" s="420" t="str">
        <f>+'Typical Bills WATER'!B15</f>
        <v>5/8</v>
      </c>
      <c r="C16" s="421">
        <f>+'Typical Bills WATER'!C15</f>
        <v>0.2</v>
      </c>
      <c r="D16" s="421">
        <f>+'Typical Bills WATER'!D15+'Typical Bills SANITARY'!D15+'Typical Res Bills SW'!D15</f>
        <v>55.8</v>
      </c>
      <c r="E16" s="421">
        <f>+'Typical Bills WATER'!E15+'Typical Bills SANITARY'!E15+'Typical Res Bills SW'!E15</f>
        <v>61.544241100541839</v>
      </c>
      <c r="F16" s="422">
        <f t="shared" ref="F16:F26" si="0">(+E16/D16-1)*100</f>
        <v>10.294338889859933</v>
      </c>
      <c r="G16" s="421">
        <f>+'Typical Bills WATER'!G15+'Typical Bills SANITARY'!G15+'Typical Res Bills SW'!G15</f>
        <v>65.64</v>
      </c>
      <c r="H16" s="422">
        <f t="shared" ref="H16:H26" si="1">(+G16/E16-1)*100</f>
        <v>6.6549831896815848</v>
      </c>
      <c r="I16" s="275"/>
      <c r="K16" s="128">
        <f>ROUND(+'Typical Bills WATER'!D15,2)</f>
        <v>18.649999999999999</v>
      </c>
      <c r="L16" s="21">
        <f>ROUND(+'Typical Bills SANITARY'!D15,2)</f>
        <v>16.739999999999998</v>
      </c>
      <c r="M16" s="21">
        <f>+'Typical Res Bills SW'!D15</f>
        <v>20.41</v>
      </c>
      <c r="N16" s="21">
        <f>+K16+L16+M16</f>
        <v>55.8</v>
      </c>
    </row>
    <row r="17" spans="2:17" ht="17.5" customHeight="1">
      <c r="B17" s="423" t="str">
        <f>+'Typical Bills WATER'!B16</f>
        <v>5/8</v>
      </c>
      <c r="C17" s="424">
        <f>+'Typical Bills WATER'!C16</f>
        <v>0.3</v>
      </c>
      <c r="D17" s="424">
        <f>+'Typical Bills WATER'!D16+'Typical Bills SANITARY'!D16+'Typical Res Bills SW'!D16</f>
        <v>67.09</v>
      </c>
      <c r="E17" s="424">
        <f>+'Typical Bills WATER'!E16+'Typical Bills SANITARY'!E16+'Typical Res Bills SW'!E16</f>
        <v>74.494241100541828</v>
      </c>
      <c r="F17" s="425">
        <f t="shared" si="0"/>
        <v>11.036281264781378</v>
      </c>
      <c r="G17" s="424">
        <f>+'Typical Bills WATER'!G16+'Typical Bills SANITARY'!G16+'Typical Res Bills SW'!G16</f>
        <v>79.14</v>
      </c>
      <c r="H17" s="426">
        <f t="shared" si="1"/>
        <v>6.2364000637149752</v>
      </c>
      <c r="I17" s="412" t="s">
        <v>235</v>
      </c>
      <c r="J17" s="21">
        <f>+E17-D17</f>
        <v>7.4042411005418245</v>
      </c>
      <c r="K17" s="128">
        <f>ROUND(+'Typical Bills WATER'!D16,2)</f>
        <v>25.39</v>
      </c>
      <c r="L17" s="21">
        <f>ROUND(+'Typical Bills SANITARY'!D16,2)</f>
        <v>21.29</v>
      </c>
      <c r="M17" s="21">
        <f>+'Typical Res Bills SW'!D16</f>
        <v>20.41</v>
      </c>
      <c r="N17" s="21">
        <f>+K17+L17+M17</f>
        <v>67.09</v>
      </c>
      <c r="P17" s="21"/>
      <c r="Q17" s="21"/>
    </row>
    <row r="18" spans="2:17" ht="17.5" customHeight="1">
      <c r="B18" s="420" t="str">
        <f>+'Typical Bills WATER'!B17</f>
        <v>5/8</v>
      </c>
      <c r="C18" s="421">
        <f>+'Typical Bills WATER'!C17</f>
        <v>0.4</v>
      </c>
      <c r="D18" s="421">
        <f>+'Typical Bills WATER'!D17+'Typical Bills SANITARY'!D17+'Typical Res Bills SW'!D17</f>
        <v>78.38</v>
      </c>
      <c r="E18" s="421">
        <f>+'Typical Bills WATER'!E17+'Typical Bills SANITARY'!E17+'Typical Res Bills SW'!E17</f>
        <v>87.424241100541835</v>
      </c>
      <c r="F18" s="422">
        <f t="shared" si="0"/>
        <v>11.538965425544578</v>
      </c>
      <c r="G18" s="421">
        <f>+'Typical Bills WATER'!G17+'Typical Bills SANITARY'!G17+'Typical Res Bills SW'!G17</f>
        <v>92.63</v>
      </c>
      <c r="H18" s="422">
        <f t="shared" si="1"/>
        <v>5.9545943252413247</v>
      </c>
      <c r="I18" s="412"/>
    </row>
    <row r="19" spans="2:17" ht="17.5" customHeight="1">
      <c r="B19" s="423" t="str">
        <f>+'Typical Bills WATER'!B18</f>
        <v>5/8</v>
      </c>
      <c r="C19" s="424">
        <f>+'Typical Bills WATER'!C18</f>
        <v>0.43</v>
      </c>
      <c r="D19" s="424">
        <f>+'Typical Bills WATER'!D18+'Typical Bills SANITARY'!D18+'Typical Res Bills SW'!D18</f>
        <v>81.77</v>
      </c>
      <c r="E19" s="424">
        <f>+'Typical Bills WATER'!E18+'Typical Bills SANITARY'!E18+'Typical Res Bills SW'!E18</f>
        <v>91.314241100541835</v>
      </c>
      <c r="F19" s="425">
        <f>(+E19/D19-1)*100</f>
        <v>11.672057112072686</v>
      </c>
      <c r="G19" s="424">
        <f>+'Typical Bills WATER'!G18+'Typical Bills SANITARY'!G18+'Typical Res Bills SW'!G18</f>
        <v>96.679999999999993</v>
      </c>
      <c r="H19" s="426">
        <f t="shared" si="1"/>
        <v>5.8761468471825395</v>
      </c>
      <c r="I19" s="412" t="s">
        <v>236</v>
      </c>
      <c r="K19" s="128">
        <f>ROUND(+'Typical Bills WATER'!D18,2)</f>
        <v>34.15</v>
      </c>
      <c r="L19" s="21">
        <f>ROUND(+'Typical Bills SANITARY'!D18,2)</f>
        <v>27.21</v>
      </c>
      <c r="M19" s="21">
        <f>+'Typical Res Bills SW'!D18</f>
        <v>20.41</v>
      </c>
      <c r="N19" s="21">
        <f>+K19+L19+M19</f>
        <v>81.77</v>
      </c>
      <c r="P19" s="21"/>
      <c r="Q19" s="21"/>
    </row>
    <row r="20" spans="2:17" ht="17.5" customHeight="1">
      <c r="B20" s="420" t="str">
        <f>+'Typical Bills WATER'!B19</f>
        <v>5/8</v>
      </c>
      <c r="C20" s="421">
        <f>+'Typical Bills WATER'!C19</f>
        <v>0.5</v>
      </c>
      <c r="D20" s="421">
        <f>+'Typical Bills WATER'!D19+'Typical Bills SANITARY'!D19+'Typical Res Bills SW'!D19</f>
        <v>89.68</v>
      </c>
      <c r="E20" s="421">
        <f>+'Typical Bills WATER'!E19+'Typical Bills SANITARY'!E19+'Typical Res Bills SW'!E19</f>
        <v>100.36424110054183</v>
      </c>
      <c r="F20" s="422">
        <f>(+E20/D20-1)*100</f>
        <v>11.913738961353504</v>
      </c>
      <c r="G20" s="421">
        <f>+'Typical Bills WATER'!G19+'Typical Bills SANITARY'!G19+'Typical Res Bills SW'!G19</f>
        <v>106.14</v>
      </c>
      <c r="H20" s="422">
        <f>(+G20/E20-1)*100</f>
        <v>5.7547975614862468</v>
      </c>
      <c r="I20" s="282"/>
      <c r="J20" s="21"/>
      <c r="K20" s="128">
        <f>ROUND(+'Typical Bills WATER'!D21,2)</f>
        <v>45.61</v>
      </c>
      <c r="L20" s="21">
        <f>ROUND(+'Typical Bills SANITARY'!D21,2)</f>
        <v>34.950000000000003</v>
      </c>
      <c r="M20" s="21">
        <f>+'Typical Res Bills SW'!D20</f>
        <v>20.41</v>
      </c>
      <c r="N20" s="21">
        <f>+K20+L20+M20</f>
        <v>100.97</v>
      </c>
    </row>
    <row r="21" spans="2:17" ht="17.5" customHeight="1">
      <c r="B21" s="420" t="str">
        <f>+'Typical Bills WATER'!B21</f>
        <v>5/8</v>
      </c>
      <c r="C21" s="421">
        <f>+'Typical Bills WATER'!C21</f>
        <v>0.6</v>
      </c>
      <c r="D21" s="421">
        <f>+'Typical Bills WATER'!D21+'Typical Bills SANITARY'!D21+'Typical Res Bills SW'!D20</f>
        <v>100.97</v>
      </c>
      <c r="E21" s="421">
        <f>+'Typical Bills WATER'!E21+'Typical Bills SANITARY'!E21+'Typical Res Bills SW'!E20</f>
        <v>113.30424110054184</v>
      </c>
      <c r="F21" s="422">
        <f t="shared" si="0"/>
        <v>12.215748341628064</v>
      </c>
      <c r="G21" s="421">
        <f>+'Typical Bills WATER'!G21+'Typical Bills SANITARY'!G21+'Typical Res Bills SW'!G20</f>
        <v>119.64</v>
      </c>
      <c r="H21" s="422">
        <f t="shared" si="1"/>
        <v>5.5918108959717161</v>
      </c>
      <c r="I21" s="275"/>
    </row>
    <row r="22" spans="2:17" ht="17.5" customHeight="1">
      <c r="B22" s="420" t="str">
        <f>+'Typical Bills WATER'!B22</f>
        <v>5/8</v>
      </c>
      <c r="C22" s="421">
        <f>+'Typical Bills WATER'!C22</f>
        <v>0.7</v>
      </c>
      <c r="D22" s="421">
        <f>+'Typical Bills WATER'!D22+'Typical Bills SANITARY'!D22+'Typical Res Bills SW'!D21</f>
        <v>112.25999999999999</v>
      </c>
      <c r="E22" s="421">
        <f>+'Typical Bills WATER'!E22+'Typical Bills SANITARY'!E22+'Typical Res Bills SW'!E21</f>
        <v>126.23424110054184</v>
      </c>
      <c r="F22" s="422">
        <f t="shared" si="0"/>
        <v>12.448103599271199</v>
      </c>
      <c r="G22" s="421">
        <f>+'Typical Bills WATER'!G22+'Typical Bills SANITARY'!G22+'Typical Res Bills SW'!G21</f>
        <v>133.13</v>
      </c>
      <c r="H22" s="422">
        <f t="shared" si="1"/>
        <v>5.4626691136566485</v>
      </c>
      <c r="I22" s="275"/>
    </row>
    <row r="23" spans="2:17" ht="17.5" customHeight="1">
      <c r="B23" s="420" t="str">
        <f>+'Typical Bills WATER'!B23</f>
        <v>5/8</v>
      </c>
      <c r="C23" s="421">
        <f>+'Typical Bills WATER'!C23</f>
        <v>0.8</v>
      </c>
      <c r="D23" s="421">
        <f>+'Typical Bills WATER'!D23+'Typical Bills SANITARY'!D23+'Typical Res Bills SW'!D22</f>
        <v>123.55</v>
      </c>
      <c r="E23" s="421">
        <f>+'Typical Bills WATER'!E23+'Typical Bills SANITARY'!E23+'Typical Res Bills SW'!E22</f>
        <v>139.18424110054184</v>
      </c>
      <c r="F23" s="422">
        <f t="shared" si="0"/>
        <v>12.65418138449359</v>
      </c>
      <c r="G23" s="421">
        <f>+'Typical Bills WATER'!G23+'Typical Bills SANITARY'!G23+'Typical Res Bills SW'!G22</f>
        <v>146.63</v>
      </c>
      <c r="H23" s="422">
        <f t="shared" si="1"/>
        <v>5.3495703540745065</v>
      </c>
      <c r="I23" s="275"/>
    </row>
    <row r="24" spans="2:17" ht="17.5" customHeight="1">
      <c r="B24" s="420" t="str">
        <f>+'Typical Bills WATER'!B24</f>
        <v>5/8</v>
      </c>
      <c r="C24" s="421">
        <f>+'Typical Bills WATER'!C24</f>
        <v>1.7</v>
      </c>
      <c r="D24" s="421">
        <f>+'Typical Bills WATER'!D24+'Typical Bills SANITARY'!D24+'Typical Res Bills SW'!D23</f>
        <v>225.17</v>
      </c>
      <c r="E24" s="421">
        <f>+'Typical Bills WATER'!E24+'Typical Bills SANITARY'!E24+'Typical Res Bills SW'!E23</f>
        <v>255.61424110054185</v>
      </c>
      <c r="F24" s="422">
        <f t="shared" si="0"/>
        <v>13.520558289533181</v>
      </c>
      <c r="G24" s="421">
        <f>+'Typical Bills WATER'!G24+'Typical Bills SANITARY'!G24+'Typical Res Bills SW'!G23</f>
        <v>268.12</v>
      </c>
      <c r="H24" s="422">
        <f t="shared" si="1"/>
        <v>4.8924343360584599</v>
      </c>
      <c r="I24" s="275"/>
    </row>
    <row r="25" spans="2:17" ht="17.5" customHeight="1">
      <c r="B25" s="420" t="str">
        <f>+'Typical Bills WATER'!B25</f>
        <v>5/8</v>
      </c>
      <c r="C25" s="421">
        <f>+'Typical Bills WATER'!C25</f>
        <v>2.7</v>
      </c>
      <c r="D25" s="421">
        <f>+'Typical Bills WATER'!D25+'Typical Bills SANITARY'!D25+'Typical Res Bills SW'!D24</f>
        <v>333.57</v>
      </c>
      <c r="E25" s="421">
        <f>+'Typical Bills WATER'!E25+'Typical Bills SANITARY'!E25+'Typical Res Bills SW'!E24</f>
        <v>379.61424110054185</v>
      </c>
      <c r="F25" s="422">
        <f t="shared" si="0"/>
        <v>13.803471865138306</v>
      </c>
      <c r="G25" s="421">
        <f>+'Typical Bills WATER'!G25+'Typical Bills SANITARY'!G25+'Typical Res Bills SW'!G24</f>
        <v>399.96000000000004</v>
      </c>
      <c r="H25" s="422">
        <f t="shared" si="1"/>
        <v>5.3595878912428896</v>
      </c>
      <c r="I25" s="275"/>
    </row>
    <row r="26" spans="2:17" ht="17.5" customHeight="1" thickBot="1">
      <c r="B26" s="427" t="str">
        <f>+'Typical Bills WATER'!B26</f>
        <v>5/8</v>
      </c>
      <c r="C26" s="428">
        <f>+'Typical Bills WATER'!C26</f>
        <v>3.3</v>
      </c>
      <c r="D26" s="428">
        <f>+'Typical Bills WATER'!D26+'Typical Bills SANITARY'!D26+'Typical Res Bills SW'!D25</f>
        <v>397.45</v>
      </c>
      <c r="E26" s="428">
        <f>+'Typical Bills WATER'!E26+'Typical Bills SANITARY'!E26+'Typical Res Bills SW'!E25</f>
        <v>452.63424110054183</v>
      </c>
      <c r="F26" s="429">
        <f t="shared" si="0"/>
        <v>13.884574437172436</v>
      </c>
      <c r="G26" s="428">
        <f>+'Typical Bills WATER'!G26+'Typical Bills SANITARY'!G26+'Typical Res Bills SW'!G25</f>
        <v>478.25</v>
      </c>
      <c r="H26" s="429">
        <f t="shared" si="1"/>
        <v>5.6592622858526065</v>
      </c>
      <c r="I26" s="275"/>
    </row>
    <row r="27" spans="2:17" ht="14.5">
      <c r="B27" s="283"/>
      <c r="C27" s="284"/>
      <c r="D27" s="285"/>
      <c r="E27" s="285"/>
      <c r="F27" s="274"/>
      <c r="G27" s="274"/>
      <c r="H27" s="274"/>
      <c r="I27" s="275"/>
    </row>
    <row r="28" spans="2:17" ht="14.5">
      <c r="B28" s="286" t="s">
        <v>237</v>
      </c>
      <c r="C28" s="284"/>
      <c r="D28" s="285"/>
      <c r="E28" s="285"/>
      <c r="F28" s="274"/>
      <c r="G28" s="274"/>
      <c r="H28" s="274"/>
      <c r="I28" s="275"/>
    </row>
    <row r="29" spans="2:17" ht="14.5">
      <c r="B29" s="287" t="str">
        <f>'Typical Res Bills TOTAL'!B30</f>
        <v xml:space="preserve">FY 2025 figures reflect the existing base and current TAP-R rates, of $3.08/Mcf for water and $4.40/Mcf for sewer. </v>
      </c>
      <c r="C29" s="274"/>
      <c r="D29" s="274"/>
      <c r="E29" s="274"/>
      <c r="F29" s="274"/>
      <c r="G29" s="274"/>
      <c r="H29" s="274"/>
      <c r="I29" s="275"/>
    </row>
    <row r="30" spans="2:17" ht="14.5">
      <c r="B30" s="287" t="str">
        <f>'Typical Res Bills TOTAL'!B31</f>
        <v>FY 2026 and FY 2027 figures reflect the proposed base and TAP-R rates, of $3.87/Mcf for water and $5.67/Mcf for sewer.</v>
      </c>
      <c r="C30" s="274"/>
      <c r="D30" s="274"/>
      <c r="E30" s="274"/>
      <c r="F30" s="274"/>
      <c r="G30" s="274"/>
      <c r="H30" s="274"/>
      <c r="I30" s="275"/>
    </row>
    <row r="31" spans="2:17" ht="14.5">
      <c r="B31" s="287" t="str">
        <f>'Typical Res Bills TOTAL'!B32</f>
        <v>The FY 2026 TAP-R rates are subject to the Rate Board's Determination in the 2025 TAP-R Reconciliation Proceeding.</v>
      </c>
      <c r="C31" s="274"/>
      <c r="D31" s="274"/>
      <c r="E31" s="274"/>
      <c r="F31" s="274"/>
      <c r="G31" s="274"/>
      <c r="H31" s="274"/>
      <c r="I31" s="275"/>
    </row>
    <row r="32" spans="2:17" ht="14.5">
      <c r="B32" s="287" t="str">
        <f>'Typical Res Bills TOTAL'!B33</f>
        <v xml:space="preserve">The TAP-R Rates are subject to annual reconciliation. </v>
      </c>
      <c r="C32" s="274"/>
      <c r="D32" s="274"/>
      <c r="E32" s="274"/>
      <c r="F32" s="274"/>
      <c r="G32" s="274"/>
      <c r="H32" s="274"/>
      <c r="I32" s="275"/>
    </row>
    <row r="33" spans="2:9" ht="14.5">
      <c r="B33" s="412"/>
      <c r="C33" s="413"/>
      <c r="D33" s="413"/>
      <c r="E33" s="413"/>
      <c r="F33" s="413"/>
      <c r="G33" s="413"/>
      <c r="H33" s="413"/>
      <c r="I33" s="275"/>
    </row>
    <row r="34" spans="2:9" ht="14.5">
      <c r="B34" s="414" t="str">
        <f>'Typical Res Bills TOTAL'!B35</f>
        <v xml:space="preserve">Typical Senior Citizen is presented prior to discount. Eligible Senior Citizen's receive a 25% discount </v>
      </c>
      <c r="C34" s="274"/>
      <c r="D34" s="274"/>
      <c r="E34" s="274"/>
      <c r="F34" s="274"/>
      <c r="G34" s="274"/>
      <c r="H34" s="274"/>
      <c r="I34" s="275"/>
    </row>
    <row r="35" spans="2:9" ht="14.5">
      <c r="B35" s="414" t="str">
        <f>'Typical Res Bills TOTAL'!B36</f>
        <v xml:space="preserve">on their total bill. The associated FY 2025, FY 2026, and FY 2027 bills would be $50.32, $55.87, and $59.35, respectively. </v>
      </c>
      <c r="C35" s="274"/>
      <c r="D35" s="274"/>
      <c r="E35" s="274"/>
      <c r="F35" s="274"/>
      <c r="G35" s="274"/>
      <c r="H35" s="274"/>
      <c r="I35" s="275"/>
    </row>
    <row r="36" spans="2:9" ht="14.5">
      <c r="B36" s="414"/>
      <c r="C36" s="274"/>
      <c r="D36" s="274"/>
      <c r="E36" s="274"/>
      <c r="F36" s="274"/>
      <c r="G36" s="274"/>
      <c r="H36" s="274"/>
      <c r="I36" s="275"/>
    </row>
    <row r="37" spans="2:9" ht="14.5">
      <c r="B37" s="414" t="str">
        <f>'Typical Res Bills TOTAL'!B38</f>
        <v>Mcf - Thousand cubic feet</v>
      </c>
      <c r="C37" s="274"/>
      <c r="D37" s="274"/>
      <c r="E37" s="274"/>
      <c r="F37" s="274"/>
      <c r="G37" s="274"/>
      <c r="H37" s="274"/>
      <c r="I37" s="275"/>
    </row>
    <row r="38" spans="2:9">
      <c r="B38" s="245"/>
      <c r="C38" s="3"/>
      <c r="D38" s="3"/>
      <c r="E38" s="3"/>
      <c r="F38" s="3"/>
      <c r="G38" s="3"/>
      <c r="H38" s="3"/>
    </row>
    <row r="39" spans="2:9">
      <c r="B39" s="245"/>
      <c r="C39" s="3"/>
      <c r="D39" s="3"/>
      <c r="E39" s="3"/>
      <c r="F39" s="3"/>
      <c r="G39" s="3"/>
      <c r="H39" s="3"/>
    </row>
    <row r="40" spans="2:9">
      <c r="B40" s="245"/>
      <c r="C40" s="3"/>
      <c r="D40" s="3"/>
      <c r="E40" s="3"/>
      <c r="F40" s="3"/>
      <c r="G40" s="3"/>
      <c r="H40" s="3"/>
    </row>
    <row r="41" spans="2:9">
      <c r="B41" s="245"/>
      <c r="C41" s="3"/>
      <c r="D41" s="3"/>
      <c r="E41" s="3"/>
      <c r="F41" s="3"/>
      <c r="G41" s="3"/>
      <c r="H41" s="3"/>
    </row>
    <row r="42" spans="2:9">
      <c r="B42" s="149"/>
      <c r="C42" s="3"/>
      <c r="D42" s="3"/>
      <c r="E42" s="3"/>
      <c r="F42" s="3"/>
      <c r="G42" s="3"/>
      <c r="H42" s="3"/>
    </row>
    <row r="43" spans="2:9">
      <c r="B43" s="149"/>
      <c r="C43" s="3"/>
      <c r="D43" s="3"/>
      <c r="E43" s="3"/>
      <c r="F43" s="3"/>
      <c r="G43" s="3"/>
      <c r="H43" s="3"/>
    </row>
    <row r="44" spans="2:9">
      <c r="B44" s="149"/>
      <c r="C44" s="3"/>
      <c r="D44" s="3"/>
      <c r="E44" s="3"/>
      <c r="F44" s="3"/>
      <c r="G44" s="3"/>
      <c r="H44" s="3"/>
    </row>
    <row r="45" spans="2:9">
      <c r="B45" s="3"/>
      <c r="C45" s="3"/>
      <c r="D45" s="229"/>
      <c r="E45" s="3"/>
      <c r="F45" s="3"/>
      <c r="G45" s="3"/>
      <c r="H45" s="3"/>
    </row>
    <row r="46" spans="2:9" ht="15" hidden="1" thickTop="1" thickBot="1">
      <c r="D46" s="229">
        <f>+'2025 Bill Detail'!L15</f>
        <v>81.77</v>
      </c>
      <c r="E46" s="229">
        <f>+'2026 Bill Detail'!L15</f>
        <v>91.314241100541835</v>
      </c>
      <c r="F46" s="220">
        <f>(+E46/D46-1)*100</f>
        <v>11.672057112072686</v>
      </c>
      <c r="G46" s="268"/>
      <c r="H46" s="268"/>
    </row>
    <row r="47" spans="2:9" ht="15" hidden="1" thickTop="1" thickBot="1">
      <c r="D47" s="229">
        <f>+'2025 Bill Detail'!X15</f>
        <v>67.089999999999989</v>
      </c>
      <c r="E47" s="229">
        <f>+'2026 Bill Detail'!X15</f>
        <v>74.494241100541842</v>
      </c>
      <c r="F47" s="220">
        <f>(+E47/D47-1)*100</f>
        <v>11.036281264781422</v>
      </c>
      <c r="G47" s="268"/>
      <c r="H47" s="268"/>
    </row>
    <row r="48" spans="2:9" ht="15" hidden="1" thickTop="1" thickBot="1">
      <c r="D48" s="229">
        <f>+'2025 Bill Detail'!X18</f>
        <v>50.319999999999993</v>
      </c>
      <c r="E48" s="229">
        <f>+'2026 Bill Detail'!X18</f>
        <v>55.874241100541838</v>
      </c>
      <c r="F48" s="220">
        <f>(+E48/D48-1)*100</f>
        <v>11.037840024924183</v>
      </c>
      <c r="G48" s="268"/>
      <c r="H48" s="268"/>
    </row>
  </sheetData>
  <conditionalFormatting sqref="E23:F23 E18:E19">
    <cfRule type="cellIs" dxfId="11" priority="4" operator="lessThan">
      <formula>0</formula>
    </cfRule>
  </conditionalFormatting>
  <conditionalFormatting sqref="G23 G18:G19">
    <cfRule type="cellIs" dxfId="10" priority="3" operator="lessThan">
      <formula>0</formula>
    </cfRule>
  </conditionalFormatting>
  <conditionalFormatting sqref="E20">
    <cfRule type="cellIs" dxfId="9" priority="2" operator="lessThan">
      <formula>0</formula>
    </cfRule>
  </conditionalFormatting>
  <conditionalFormatting sqref="G20">
    <cfRule type="cellIs" dxfId="8" priority="1" operator="lessThan">
      <formula>0</formula>
    </cfRule>
  </conditionalFormatting>
  <hyperlinks>
    <hyperlink ref="A1" location="TOC!A1" display="TOC!A1" xr:uid="{00000000-0004-0000-1200-000000000000}"/>
  </hyperlinks>
  <printOptions horizontalCentered="1"/>
  <pageMargins left="0.7" right="0.7" top="0.5" bottom="0.5" header="0.05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M75"/>
  <sheetViews>
    <sheetView showGridLines="0" zoomScale="80" zoomScaleNormal="80" zoomScaleSheetLayoutView="100" workbookViewId="0">
      <selection activeCell="B9" sqref="B9:J63"/>
    </sheetView>
  </sheetViews>
  <sheetFormatPr defaultRowHeight="14"/>
  <cols>
    <col min="2" max="3" width="12.54296875" customWidth="1"/>
    <col min="4" max="10" width="15.7265625" customWidth="1"/>
  </cols>
  <sheetData>
    <row r="1" spans="1:10" ht="14.5" thickBot="1">
      <c r="A1" s="239" t="s">
        <v>1</v>
      </c>
    </row>
    <row r="2" spans="1:10" ht="15.5">
      <c r="B2" s="270" t="s">
        <v>240</v>
      </c>
      <c r="C2" s="270"/>
      <c r="D2" s="270"/>
      <c r="E2" s="270"/>
      <c r="F2" s="270"/>
      <c r="G2" s="270"/>
      <c r="H2" s="270"/>
      <c r="I2" s="270"/>
      <c r="J2" s="270"/>
    </row>
    <row r="3" spans="1:10" ht="15.5" hidden="1">
      <c r="B3" s="270"/>
      <c r="C3" s="270"/>
      <c r="D3" s="270"/>
      <c r="E3" s="270"/>
      <c r="F3" s="270"/>
      <c r="G3" s="270"/>
      <c r="H3" s="270"/>
      <c r="I3" s="270"/>
      <c r="J3" s="270"/>
    </row>
    <row r="4" spans="1:10" ht="15.5">
      <c r="B4" s="270" t="s">
        <v>241</v>
      </c>
      <c r="C4" s="270"/>
      <c r="D4" s="270"/>
      <c r="E4" s="270"/>
      <c r="F4" s="270"/>
      <c r="G4" s="270"/>
      <c r="H4" s="270"/>
      <c r="I4" s="270"/>
      <c r="J4" s="270"/>
    </row>
    <row r="5" spans="1:10" ht="15.5">
      <c r="B5" s="270" t="s">
        <v>242</v>
      </c>
      <c r="C5" s="270"/>
      <c r="D5" s="270"/>
      <c r="E5" s="270"/>
      <c r="F5" s="270"/>
      <c r="G5" s="270"/>
      <c r="H5" s="270"/>
      <c r="I5" s="270"/>
      <c r="J5" s="270"/>
    </row>
    <row r="6" spans="1:10" ht="15.5">
      <c r="B6" s="270" t="s">
        <v>282</v>
      </c>
      <c r="C6" s="270"/>
      <c r="D6" s="270"/>
      <c r="E6" s="270"/>
      <c r="F6" s="270"/>
      <c r="G6" s="270"/>
      <c r="H6" s="270"/>
      <c r="I6" s="270"/>
      <c r="J6" s="270"/>
    </row>
    <row r="7" spans="1:10">
      <c r="B7" s="23"/>
      <c r="C7" s="23"/>
      <c r="D7" s="23"/>
      <c r="E7" s="23"/>
      <c r="F7" s="23"/>
      <c r="G7" s="24"/>
      <c r="H7" s="23"/>
      <c r="I7" s="23"/>
      <c r="J7" s="23"/>
    </row>
    <row r="8" spans="1:10" ht="14.5">
      <c r="B8" s="279">
        <v>-1</v>
      </c>
      <c r="C8" s="279">
        <v>-2</v>
      </c>
      <c r="D8" s="279">
        <v>-3</v>
      </c>
      <c r="E8" s="279">
        <v>-4</v>
      </c>
      <c r="F8" s="279">
        <v>-5</v>
      </c>
      <c r="G8" s="279">
        <v>-6</v>
      </c>
      <c r="H8" s="279">
        <v>-7</v>
      </c>
      <c r="I8" s="279">
        <v>-8</v>
      </c>
      <c r="J8" s="279">
        <v>-9</v>
      </c>
    </row>
    <row r="9" spans="1:10" ht="16">
      <c r="B9" s="280"/>
      <c r="C9" s="280"/>
      <c r="D9" s="280"/>
      <c r="E9" s="297"/>
      <c r="F9" s="297" t="str">
        <f>Inputs!$C$4</f>
        <v>FY 2025</v>
      </c>
      <c r="G9" s="297" t="str">
        <f>Inputs!$D$4</f>
        <v>FY 2026</v>
      </c>
      <c r="H9" s="297"/>
      <c r="I9" s="280" t="str">
        <f>Inputs!$E$4</f>
        <v>FY 2027</v>
      </c>
      <c r="J9" s="280"/>
    </row>
    <row r="10" spans="1:10" ht="14.5">
      <c r="B10" s="279" t="str">
        <f>UPPER('Typ Non Res Bill TOTAL PARCEL'!B11)</f>
        <v>METER</v>
      </c>
      <c r="C10" s="279" t="str">
        <f>UPPER('Typ Non Res Bill TOTAL PARCEL'!C11)</f>
        <v>MONTHLY</v>
      </c>
      <c r="D10" s="279" t="str">
        <f>UPPER('Typ Non Res Bill TOTAL PARCEL'!D11)</f>
        <v>IMPERVIOUS</v>
      </c>
      <c r="E10" s="279" t="str">
        <f>UPPER('Typ Non Res Bill TOTAL PARCEL'!E11)</f>
        <v>GROSS</v>
      </c>
      <c r="F10" s="279" t="str">
        <f>UPPER('Typ Non Res Bill TOTAL PARCEL'!F11)</f>
        <v>EXISTING</v>
      </c>
      <c r="G10" s="279" t="str">
        <f>UPPER('Typ Non Res Bill TOTAL PARCEL'!G11)</f>
        <v>PROPOSED</v>
      </c>
      <c r="H10" s="279" t="str">
        <f>UPPER('Typ Non Res Bill TOTAL PARCEL'!H11)</f>
        <v>% PROPOSED</v>
      </c>
      <c r="I10" s="279" t="str">
        <f>UPPER('Typ Non Res Bill TOTAL PARCEL'!I11)</f>
        <v>PROPOSED</v>
      </c>
      <c r="J10" s="279" t="str">
        <f>UPPER('Typ Non Res Bill TOTAL PARCEL'!J11)</f>
        <v>% PROPOSED</v>
      </c>
    </row>
    <row r="11" spans="1:10" ht="14.5">
      <c r="B11" s="279" t="str">
        <f>UPPER('Typ Non Res Bill TOTAL PARCEL'!B12)</f>
        <v>SIZE</v>
      </c>
      <c r="C11" s="279" t="str">
        <f>UPPER('Typ Non Res Bill TOTAL PARCEL'!C12)</f>
        <v>USE</v>
      </c>
      <c r="D11" s="279" t="str">
        <f>UPPER('Typ Non Res Bill TOTAL PARCEL'!D12)</f>
        <v>AREA</v>
      </c>
      <c r="E11" s="279" t="str">
        <f>UPPER('Typ Non Res Bill TOTAL PARCEL'!E12)</f>
        <v>AREA</v>
      </c>
      <c r="F11" s="279" t="str">
        <f>UPPER('Typ Non Res Bill TOTAL PARCEL'!F12)</f>
        <v>RATES</v>
      </c>
      <c r="G11" s="279" t="str">
        <f>UPPER('Typ Non Res Bill TOTAL PARCEL'!G12)</f>
        <v>RATES</v>
      </c>
      <c r="H11" s="279" t="str">
        <f>UPPER('Typ Non Res Bill TOTAL PARCEL'!H12)</f>
        <v>OF EXISTING</v>
      </c>
      <c r="I11" s="279" t="str">
        <f>UPPER('Typ Non Res Bill TOTAL PARCEL'!I12)</f>
        <v>RATES</v>
      </c>
      <c r="J11" s="279" t="str">
        <f>UPPER('Typ Non Res Bill TOTAL PARCEL'!J12)</f>
        <v>OF FY 2026</v>
      </c>
    </row>
    <row r="12" spans="1:10" ht="14.5">
      <c r="B12" s="273" t="s">
        <v>125</v>
      </c>
      <c r="C12" s="273" t="s">
        <v>233</v>
      </c>
      <c r="D12" s="273" t="s">
        <v>246</v>
      </c>
      <c r="E12" s="273" t="s">
        <v>246</v>
      </c>
      <c r="F12" s="273" t="s">
        <v>126</v>
      </c>
      <c r="G12" s="273" t="s">
        <v>126</v>
      </c>
      <c r="H12" s="273" t="s">
        <v>234</v>
      </c>
      <c r="I12" s="273" t="s">
        <v>126</v>
      </c>
      <c r="J12" s="273" t="s">
        <v>234</v>
      </c>
    </row>
    <row r="13" spans="1:10" ht="4.4000000000000004" customHeight="1">
      <c r="B13" s="9"/>
      <c r="C13" s="3"/>
      <c r="D13" s="3"/>
      <c r="E13" s="3"/>
      <c r="F13" s="27"/>
      <c r="G13" s="27"/>
      <c r="H13" s="3"/>
      <c r="I13" s="3"/>
      <c r="J13" s="3"/>
    </row>
    <row r="14" spans="1:10" ht="17.5" customHeight="1">
      <c r="B14" s="281" t="str">
        <f>+'Typical Bills WATER'!B14</f>
        <v>5/8</v>
      </c>
      <c r="C14" s="288">
        <f>+'Typical Bills WATER'!C14</f>
        <v>0</v>
      </c>
      <c r="D14" s="289">
        <f>+'Typical Non-Res Bills SW'!D14</f>
        <v>1794</v>
      </c>
      <c r="E14" s="289">
        <f>+'Typical Non-Res Bills SW'!E14</f>
        <v>2110</v>
      </c>
      <c r="F14" s="290">
        <f>+'Typical Bills WATER'!D14+'Typical Bills SANITARY'!D14+'Typical Non-Res Bills SW'!F14</f>
        <v>44.876000000000005</v>
      </c>
      <c r="G14" s="290">
        <f>+'Typical Bills WATER'!E14+'Typical Bills SANITARY'!E14+'Typical Non-Res Bills SW'!G14</f>
        <v>47.687078608852374</v>
      </c>
      <c r="H14" s="288">
        <f t="shared" ref="H14:H26" si="0">(+G14/F14-1)*100</f>
        <v>6.264102435271357</v>
      </c>
      <c r="I14" s="290">
        <f>+'Typical Bills WATER'!G14+'Typical Bills SANITARY'!G14+'Typical Non-Res Bills SW'!I14</f>
        <v>51.848999999999997</v>
      </c>
      <c r="J14" s="288">
        <f>(+I14/G14-1)*100</f>
        <v>8.7275662769893856</v>
      </c>
    </row>
    <row r="15" spans="1:10" ht="17.5" customHeight="1">
      <c r="B15" s="281" t="str">
        <f>+'Typical Bills WATER'!B15</f>
        <v>5/8</v>
      </c>
      <c r="C15" s="288">
        <f>+'Typical Bills WATER'!C15</f>
        <v>0.2</v>
      </c>
      <c r="D15" s="289">
        <f>+'Typical Non-Res Bills SW'!D14</f>
        <v>1794</v>
      </c>
      <c r="E15" s="289">
        <f>+'Typical Non-Res Bills SW'!E14</f>
        <v>2110</v>
      </c>
      <c r="F15" s="290">
        <f>+'Typical Bills WATER'!D15+'Typical Bills SANITARY'!D15+'Typical Non-Res Bills SW'!F15</f>
        <v>67.456000000000003</v>
      </c>
      <c r="G15" s="290">
        <f>+'Typical Bills WATER'!E15+'Typical Bills SANITARY'!E15+'Typical Non-Res Bills SW'!G15</f>
        <v>73.557078608852379</v>
      </c>
      <c r="H15" s="288">
        <f>(+G15/F15-1)*100</f>
        <v>9.0445306701440575</v>
      </c>
      <c r="I15" s="290">
        <f>+'Typical Bills WATER'!G15+'Typical Bills SANITARY'!G15+'Typical Non-Res Bills SW'!I15</f>
        <v>78.84899999999999</v>
      </c>
      <c r="J15" s="288">
        <f t="shared" ref="J15:J56" si="1">(+I15/G15-1)*100</f>
        <v>7.1943060970215633</v>
      </c>
    </row>
    <row r="16" spans="1:10" ht="17.5" customHeight="1">
      <c r="B16" s="281" t="str">
        <f>+'Typical Bills WATER'!B16</f>
        <v>5/8</v>
      </c>
      <c r="C16" s="288">
        <f>+'Typical Bills WATER'!C16</f>
        <v>0.3</v>
      </c>
      <c r="D16" s="289">
        <f>+'Typical Non-Res Bills SW'!D16</f>
        <v>1794</v>
      </c>
      <c r="E16" s="289">
        <f>+'Typical Non-Res Bills SW'!E16</f>
        <v>2110</v>
      </c>
      <c r="F16" s="290">
        <f>+'Typical Bills WATER'!D16+'Typical Bills SANITARY'!D16+'Typical Non-Res Bills SW'!F16</f>
        <v>78.746000000000009</v>
      </c>
      <c r="G16" s="290">
        <f>+'Typical Bills WATER'!E16+'Typical Bills SANITARY'!E16+'Typical Non-Res Bills SW'!G16</f>
        <v>86.507078608852368</v>
      </c>
      <c r="H16" s="288">
        <f t="shared" si="0"/>
        <v>9.8558385300235649</v>
      </c>
      <c r="I16" s="290">
        <f>+'Typical Bills WATER'!G16+'Typical Bills SANITARY'!G16+'Typical Non-Res Bills SW'!I16</f>
        <v>92.34899999999999</v>
      </c>
      <c r="J16" s="288">
        <f t="shared" si="1"/>
        <v>6.753113716349457</v>
      </c>
    </row>
    <row r="17" spans="2:13" ht="17.5" customHeight="1">
      <c r="B17" s="281" t="str">
        <f>+'Typical Bills WATER'!B17</f>
        <v>5/8</v>
      </c>
      <c r="C17" s="288">
        <f>+'Typical Bills WATER'!C17</f>
        <v>0.4</v>
      </c>
      <c r="D17" s="289">
        <f>+'Typical Non-Res Bills SW'!D17</f>
        <v>1794</v>
      </c>
      <c r="E17" s="289">
        <f>+'Typical Non-Res Bills SW'!E17</f>
        <v>2110</v>
      </c>
      <c r="F17" s="290">
        <f>+'Typical Bills WATER'!D17+'Typical Bills SANITARY'!D17+'Typical Non-Res Bills SW'!F17</f>
        <v>90.036000000000001</v>
      </c>
      <c r="G17" s="290">
        <f>+'Typical Bills WATER'!E17+'Typical Bills SANITARY'!E17+'Typical Non-Res Bills SW'!G17</f>
        <v>99.437078608852374</v>
      </c>
      <c r="H17" s="288">
        <f>(+G17/F17-1)*100</f>
        <v>10.441466312199976</v>
      </c>
      <c r="I17" s="290">
        <f>+'Typical Bills WATER'!G17+'Typical Bills SANITARY'!G17+'Typical Non-Res Bills SW'!I17</f>
        <v>105.839</v>
      </c>
      <c r="J17" s="288">
        <f t="shared" si="1"/>
        <v>6.438163188935131</v>
      </c>
    </row>
    <row r="18" spans="2:13" ht="17.5" customHeight="1">
      <c r="B18" s="281" t="str">
        <f>+'Typical Bills WATER'!B19</f>
        <v>5/8</v>
      </c>
      <c r="C18" s="288">
        <f>+'Typical Bills WATER'!C19</f>
        <v>0.5</v>
      </c>
      <c r="D18" s="289">
        <f>+'Typical Non-Res Bills SW'!D19</f>
        <v>4000</v>
      </c>
      <c r="E18" s="289">
        <f>+'Typical Non-Res Bills SW'!E19</f>
        <v>5500</v>
      </c>
      <c r="F18" s="290">
        <f>+'Typical Bills WATER'!D19+'Typical Bills SANITARY'!D19+'Typical Non-Res Bills SW'!F19</f>
        <v>131.74400000000003</v>
      </c>
      <c r="G18" s="290">
        <f>+'Typical Bills WATER'!E19+'Typical Bills SANITARY'!E19+'Typical Non-Res Bills SW'!G19</f>
        <v>144.01866558474467</v>
      </c>
      <c r="H18" s="288">
        <f t="shared" si="0"/>
        <v>9.3170585261906691</v>
      </c>
      <c r="I18" s="290">
        <f>+'Typical Bills WATER'!G19+'Typical Bills SANITARY'!G19+'Typical Non-Res Bills SW'!I19</f>
        <v>154.179</v>
      </c>
      <c r="J18" s="288">
        <f t="shared" si="1"/>
        <v>7.0548733207618231</v>
      </c>
    </row>
    <row r="19" spans="2:13" ht="17.5" customHeight="1">
      <c r="B19" s="281" t="str">
        <f>+'Typical Bills WATER'!B20</f>
        <v>5/8</v>
      </c>
      <c r="C19" s="290">
        <f>+'Typical Bills WATER'!C20</f>
        <v>0.55000000000000004</v>
      </c>
      <c r="D19" s="289">
        <f>+'Typical Non-Res Bills SW'!D20</f>
        <v>4000</v>
      </c>
      <c r="E19" s="289">
        <f>+'Typical Non-Res Bills SW'!E20</f>
        <v>5500</v>
      </c>
      <c r="F19" s="290">
        <f>+'Typical Bills WATER'!D20+'Typical Bills SANITARY'!D20+'Typical Non-Res Bills SW'!F20</f>
        <v>137.38400000000001</v>
      </c>
      <c r="G19" s="290">
        <f>+'Typical Bills WATER'!E20+'Typical Bills SANITARY'!E20+'Typical Non-Res Bills SW'!G20</f>
        <v>150.48866558474464</v>
      </c>
      <c r="H19" s="288">
        <f t="shared" ref="H19" si="2">(+G19/F19-1)*100</f>
        <v>9.538713085035111</v>
      </c>
      <c r="I19" s="290">
        <f>+'Typical Bills WATER'!G20+'Typical Bills SANITARY'!G20+'Typical Non-Res Bills SW'!I20</f>
        <v>160.91899999999998</v>
      </c>
      <c r="J19" s="288">
        <f t="shared" ref="J19" si="3">(+I19/G19-1)*100</f>
        <v>6.9309767448112014</v>
      </c>
      <c r="K19" s="282" t="s">
        <v>247</v>
      </c>
      <c r="L19" s="275"/>
      <c r="M19" s="275"/>
    </row>
    <row r="20" spans="2:13" ht="17.5" customHeight="1">
      <c r="B20" s="281" t="str">
        <f>+'Typical Bills WATER'!B21</f>
        <v>5/8</v>
      </c>
      <c r="C20" s="288">
        <f>+'Typical Bills WATER'!C21</f>
        <v>0.6</v>
      </c>
      <c r="D20" s="289">
        <f>+'Typical Non-Res Bills SW'!D21</f>
        <v>4000</v>
      </c>
      <c r="E20" s="289">
        <f>+'Typical Non-Res Bills SW'!E21</f>
        <v>5500</v>
      </c>
      <c r="F20" s="290">
        <f>+'Typical Bills WATER'!D21+'Typical Bills SANITARY'!D21+'Typical Non-Res Bills SW'!F21</f>
        <v>143.03399999999999</v>
      </c>
      <c r="G20" s="290">
        <f>+'Typical Bills WATER'!E21+'Typical Bills SANITARY'!E21+'Typical Non-Res Bills SW'!G21</f>
        <v>156.95866558474467</v>
      </c>
      <c r="H20" s="288">
        <f t="shared" si="0"/>
        <v>9.735213714742418</v>
      </c>
      <c r="I20" s="290">
        <f>+'Typical Bills WATER'!G21+'Typical Bills SANITARY'!G21+'Typical Non-Res Bills SW'!I21</f>
        <v>167.679</v>
      </c>
      <c r="J20" s="288">
        <f t="shared" si="1"/>
        <v>6.830036669410422</v>
      </c>
      <c r="L20" s="21"/>
      <c r="M20" s="21"/>
    </row>
    <row r="21" spans="2:13" ht="17.5" customHeight="1">
      <c r="B21" s="281" t="str">
        <f>+'Typical Bills WATER'!B22</f>
        <v>5/8</v>
      </c>
      <c r="C21" s="288">
        <f>+'Typical Bills WATER'!C22</f>
        <v>0.7</v>
      </c>
      <c r="D21" s="289">
        <f>+'Typical Non-Res Bills SW'!D22</f>
        <v>4000</v>
      </c>
      <c r="E21" s="289">
        <f>+'Typical Non-Res Bills SW'!E22</f>
        <v>5500</v>
      </c>
      <c r="F21" s="290">
        <f>+'Typical Bills WATER'!D22+'Typical Bills SANITARY'!D22+'Typical Non-Res Bills SW'!F22</f>
        <v>154.32400000000001</v>
      </c>
      <c r="G21" s="290">
        <f>+'Typical Bills WATER'!E22+'Typical Bills SANITARY'!E22+'Typical Non-Res Bills SW'!G22</f>
        <v>169.88866558474467</v>
      </c>
      <c r="H21" s="288">
        <f t="shared" si="0"/>
        <v>10.0857064259251</v>
      </c>
      <c r="I21" s="290">
        <f>+'Typical Bills WATER'!G22+'Typical Bills SANITARY'!G22+'Typical Non-Res Bills SW'!I22</f>
        <v>181.16899999999998</v>
      </c>
      <c r="J21" s="288">
        <f t="shared" si="1"/>
        <v>6.6398393185497229</v>
      </c>
    </row>
    <row r="22" spans="2:13" ht="17.5" customHeight="1">
      <c r="B22" s="281" t="str">
        <f>+'Typical Bills WATER'!B23</f>
        <v>5/8</v>
      </c>
      <c r="C22" s="288">
        <f>+'Typical Bills WATER'!C23</f>
        <v>0.8</v>
      </c>
      <c r="D22" s="289">
        <f>+'Typical Non-Res Bills SW'!D23</f>
        <v>26000</v>
      </c>
      <c r="E22" s="289">
        <f>+'Typical Non-Res Bills SW'!E23</f>
        <v>38000</v>
      </c>
      <c r="F22" s="290">
        <f>+'Typical Bills WATER'!D23+'Typical Bills SANITARY'!D23+'Typical Non-Res Bills SW'!F23</f>
        <v>499.23999999999995</v>
      </c>
      <c r="G22" s="290">
        <f>+'Typical Bills WATER'!E23+'Typical Bills SANITARY'!E23+'Typical Non-Res Bills SW'!G23</f>
        <v>529.96876296118967</v>
      </c>
      <c r="H22" s="288">
        <f t="shared" si="0"/>
        <v>6.1551083569404863</v>
      </c>
      <c r="I22" s="290">
        <f>+'Typical Bills WATER'!G23+'Typical Bills SANITARY'!G23+'Typical Non-Res Bills SW'!I23</f>
        <v>576.77800000000002</v>
      </c>
      <c r="J22" s="288">
        <f t="shared" si="1"/>
        <v>8.8324520821311694</v>
      </c>
    </row>
    <row r="23" spans="2:13" ht="17.5" customHeight="1">
      <c r="B23" s="281" t="str">
        <f>+'Typical Bills WATER'!B24</f>
        <v>5/8</v>
      </c>
      <c r="C23" s="288">
        <f>+'Typical Bills WATER'!C24</f>
        <v>1.7</v>
      </c>
      <c r="D23" s="289">
        <f>+'Typical Non-Res Bills SW'!D24</f>
        <v>26000</v>
      </c>
      <c r="E23" s="289">
        <f>+'Typical Non-Res Bills SW'!E24</f>
        <v>38000</v>
      </c>
      <c r="F23" s="290">
        <f>+'Typical Bills WATER'!D24+'Typical Bills SANITARY'!D24+'Typical Non-Res Bills SW'!F24</f>
        <v>600.8599999999999</v>
      </c>
      <c r="G23" s="290">
        <f>+'Typical Bills WATER'!E24+'Typical Bills SANITARY'!E24+'Typical Non-Res Bills SW'!G24</f>
        <v>646.39876296118973</v>
      </c>
      <c r="H23" s="288">
        <f t="shared" si="0"/>
        <v>7.5789306928718547</v>
      </c>
      <c r="I23" s="290">
        <f>+'Typical Bills WATER'!G24+'Typical Bills SANITARY'!G24+'Typical Non-Res Bills SW'!I24</f>
        <v>698.26800000000003</v>
      </c>
      <c r="J23" s="288">
        <f t="shared" si="1"/>
        <v>8.0243403934120003</v>
      </c>
    </row>
    <row r="24" spans="2:13" ht="17.5" customHeight="1">
      <c r="B24" s="281" t="str">
        <f>+'Typical Bills WATER'!B25</f>
        <v>5/8</v>
      </c>
      <c r="C24" s="288">
        <f>+'Typical Bills WATER'!C25</f>
        <v>2.7</v>
      </c>
      <c r="D24" s="289">
        <f>+'Typical Non-Res Bills SW'!D25</f>
        <v>4000</v>
      </c>
      <c r="E24" s="289">
        <f>+'Typical Non-Res Bills SW'!E25</f>
        <v>5500</v>
      </c>
      <c r="F24" s="290">
        <f>+'Typical Bills WATER'!D25+'Typical Bills SANITARY'!D25+'Typical Non-Res Bills SW'!F25</f>
        <v>375.63399999999996</v>
      </c>
      <c r="G24" s="290">
        <f>+'Typical Bills WATER'!E25+'Typical Bills SANITARY'!E25+'Typical Non-Res Bills SW'!G25</f>
        <v>423.26866558474467</v>
      </c>
      <c r="H24" s="288">
        <f t="shared" si="0"/>
        <v>12.681137912101859</v>
      </c>
      <c r="I24" s="290">
        <f>+'Typical Bills WATER'!G25+'Typical Bills SANITARY'!G25+'Typical Non-Res Bills SW'!I25</f>
        <v>447.99900000000002</v>
      </c>
      <c r="J24" s="288">
        <f t="shared" si="1"/>
        <v>5.8427038016363619</v>
      </c>
    </row>
    <row r="25" spans="2:13" ht="17.5" customHeight="1">
      <c r="B25" s="281" t="str">
        <f>+'Typical Bills WATER'!B26</f>
        <v>5/8</v>
      </c>
      <c r="C25" s="288">
        <f>+'Typical Bills WATER'!C26</f>
        <v>3.3</v>
      </c>
      <c r="D25" s="289">
        <f>+'Typical Non-Res Bills SW'!D26</f>
        <v>4000</v>
      </c>
      <c r="E25" s="289">
        <f>+'Typical Non-Res Bills SW'!E26</f>
        <v>5500</v>
      </c>
      <c r="F25" s="290">
        <f>+'Typical Bills WATER'!D26+'Typical Bills SANITARY'!D26+'Typical Non-Res Bills SW'!F26</f>
        <v>439.51399999999995</v>
      </c>
      <c r="G25" s="290">
        <f>+'Typical Bills WATER'!E26+'Typical Bills SANITARY'!E26+'Typical Non-Res Bills SW'!G26</f>
        <v>496.28866558474465</v>
      </c>
      <c r="H25" s="288">
        <f t="shared" si="0"/>
        <v>12.917601165092506</v>
      </c>
      <c r="I25" s="290">
        <f>+'Typical Bills WATER'!G26+'Typical Bills SANITARY'!G26+'Typical Non-Res Bills SW'!I26</f>
        <v>526.28899999999999</v>
      </c>
      <c r="J25" s="288">
        <f t="shared" si="1"/>
        <v>6.0449364443791787</v>
      </c>
    </row>
    <row r="26" spans="2:13" ht="17.5" customHeight="1">
      <c r="B26" s="281" t="str">
        <f>+'Typical Bills WATER'!B27</f>
        <v>5/8</v>
      </c>
      <c r="C26" s="288">
        <f>+'Typical Bills WATER'!C27</f>
        <v>11</v>
      </c>
      <c r="D26" s="289">
        <f>+'Typical Non-Res Bills SW'!D27</f>
        <v>7000</v>
      </c>
      <c r="E26" s="289">
        <f>+'Typical Non-Res Bills SW'!E27</f>
        <v>11000</v>
      </c>
      <c r="F26" s="290">
        <f>+'Typical Bills WATER'!D27+'Typical Bills SANITARY'!D27+'Typical Non-Res Bills SW'!F27</f>
        <v>1306.67</v>
      </c>
      <c r="G26" s="290">
        <f>+'Typical Bills WATER'!E27+'Typical Bills SANITARY'!E27+'Typical Non-Res Bills SW'!G27</f>
        <v>1482.6157647653235</v>
      </c>
      <c r="H26" s="288">
        <f t="shared" si="0"/>
        <v>13.465202749379991</v>
      </c>
      <c r="I26" s="290">
        <f>+'Typical Bills WATER'!G27+'Typical Bills SANITARY'!G27+'Typical Non-Res Bills SW'!I27</f>
        <v>1585.2659999999998</v>
      </c>
      <c r="J26" s="288">
        <f t="shared" si="1"/>
        <v>6.9235898925521289</v>
      </c>
    </row>
    <row r="27" spans="2:13" ht="4.4000000000000004" customHeight="1">
      <c r="B27" s="291"/>
      <c r="C27" s="292"/>
      <c r="D27" s="293"/>
      <c r="E27" s="293"/>
      <c r="F27" s="294"/>
      <c r="G27" s="294"/>
      <c r="H27" s="292"/>
      <c r="I27" s="294"/>
      <c r="J27" s="292" t="e">
        <f t="shared" si="1"/>
        <v>#DIV/0!</v>
      </c>
    </row>
    <row r="28" spans="2:13" ht="17.5" customHeight="1">
      <c r="B28" s="281">
        <f>+'Typical Bills WATER'!B29</f>
        <v>1</v>
      </c>
      <c r="C28" s="288">
        <f>+'Typical Bills WATER'!C29</f>
        <v>1.7</v>
      </c>
      <c r="D28" s="289">
        <f>+'Typical Non-Res Bills SW'!D29</f>
        <v>7700</v>
      </c>
      <c r="E28" s="289">
        <f>+'Typical Non-Res Bills SW'!E29</f>
        <v>7900</v>
      </c>
      <c r="F28" s="290">
        <f>+'Typical Bills WATER'!D29+'Typical Bills SANITARY'!D29+'Typical Non-Res Bills SW'!F29</f>
        <v>330.82600000000002</v>
      </c>
      <c r="G28" s="290">
        <f>+'Typical Bills WATER'!E29+'Typical Bills SANITARY'!E29+'Typical Non-Res Bills SW'!G29</f>
        <v>366.65032402793781</v>
      </c>
      <c r="H28" s="288">
        <f>(+G28/F28-1)*100</f>
        <v>10.828751073959664</v>
      </c>
      <c r="I28" s="290">
        <f>+'Typical Bills WATER'!G29+'Typical Bills SANITARY'!G29+'Typical Non-Res Bills SW'!I29</f>
        <v>390.11199999999997</v>
      </c>
      <c r="J28" s="288">
        <f t="shared" si="1"/>
        <v>6.3989241068485914</v>
      </c>
    </row>
    <row r="29" spans="2:13" ht="17.5" customHeight="1">
      <c r="B29" s="281">
        <f>+'Typical Bills WATER'!B30</f>
        <v>1</v>
      </c>
      <c r="C29" s="288">
        <f>+'Typical Bills WATER'!C30</f>
        <v>5</v>
      </c>
      <c r="D29" s="289">
        <f>+'Typical Non-Res Bills SW'!D30</f>
        <v>22500</v>
      </c>
      <c r="E29" s="289">
        <f>+'Typical Non-Res Bills SW'!E30</f>
        <v>24000</v>
      </c>
      <c r="F29" s="290">
        <f>+'Typical Bills WATER'!D30+'Typical Bills SANITARY'!D30+'Typical Non-Res Bills SW'!F30</f>
        <v>894.65100000000007</v>
      </c>
      <c r="G29" s="290">
        <f>+'Typical Bills WATER'!E30+'Typical Bills SANITARY'!E30+'Typical Non-Res Bills SW'!G30</f>
        <v>989.27719698189958</v>
      </c>
      <c r="H29" s="288">
        <f>(+G29/F29-1)*100</f>
        <v>10.576883833125938</v>
      </c>
      <c r="I29" s="290">
        <f>+'Typical Bills WATER'!G30+'Typical Bills SANITARY'!G30+'Typical Non-Res Bills SW'!I30</f>
        <v>1062.828</v>
      </c>
      <c r="J29" s="288">
        <f t="shared" si="1"/>
        <v>7.4348022215098286</v>
      </c>
    </row>
    <row r="30" spans="2:13" ht="17.5" customHeight="1">
      <c r="B30" s="281">
        <f>+'Typical Bills WATER'!B31</f>
        <v>1</v>
      </c>
      <c r="C30" s="288">
        <f>+'Typical Bills WATER'!C31</f>
        <v>8</v>
      </c>
      <c r="D30" s="289">
        <f>+'Typical Non-Res Bills SW'!D31</f>
        <v>7700</v>
      </c>
      <c r="E30" s="289">
        <f>+'Typical Non-Res Bills SW'!E31</f>
        <v>7900</v>
      </c>
      <c r="F30" s="290">
        <f>+'Typical Bills WATER'!D31+'Typical Bills SANITARY'!D31+'Typical Non-Res Bills SW'!F31</f>
        <v>1003.516</v>
      </c>
      <c r="G30" s="290">
        <f>+'Typical Bills WATER'!E31+'Typical Bills SANITARY'!E31+'Typical Non-Res Bills SW'!G31</f>
        <v>1135.6103240279378</v>
      </c>
      <c r="H30" s="288">
        <f>(+G30/F30-1)*100</f>
        <v>13.16315076470509</v>
      </c>
      <c r="I30" s="290">
        <f>+'Typical Bills WATER'!G31+'Typical Bills SANITARY'!G31+'Typical Non-Res Bills SW'!I31</f>
        <v>1213.492</v>
      </c>
      <c r="J30" s="288">
        <f t="shared" si="1"/>
        <v>6.8581338443473028</v>
      </c>
    </row>
    <row r="31" spans="2:13" ht="17.5" customHeight="1">
      <c r="B31" s="281">
        <f>+'Typical Bills WATER'!B32</f>
        <v>1</v>
      </c>
      <c r="C31" s="288">
        <f>+'Typical Bills WATER'!C32</f>
        <v>17</v>
      </c>
      <c r="D31" s="289">
        <f>+'Typical Non-Res Bills SW'!D32</f>
        <v>22500</v>
      </c>
      <c r="E31" s="289">
        <f>+'Typical Non-Res Bills SW'!E32</f>
        <v>24000</v>
      </c>
      <c r="F31" s="290">
        <f>+'Typical Bills WATER'!D32+'Typical Bills SANITARY'!D32+'Typical Non-Res Bills SW'!F32</f>
        <v>2172.2910000000002</v>
      </c>
      <c r="G31" s="290">
        <f>+'Typical Bills WATER'!E32+'Typical Bills SANITARY'!E32+'Typical Non-Res Bills SW'!G32</f>
        <v>2449.5571969818998</v>
      </c>
      <c r="H31" s="288">
        <f>(+G31/F31-1)*100</f>
        <v>12.763768619485116</v>
      </c>
      <c r="I31" s="290">
        <f>+'Typical Bills WATER'!G32+'Typical Bills SANITARY'!G32+'Typical Non-Res Bills SW'!I32</f>
        <v>2628.5879999999997</v>
      </c>
      <c r="J31" s="288">
        <f t="shared" si="1"/>
        <v>7.3087006598043125</v>
      </c>
    </row>
    <row r="32" spans="2:13" ht="4.4000000000000004" customHeight="1">
      <c r="B32" s="291"/>
      <c r="C32" s="292"/>
      <c r="D32" s="293"/>
      <c r="E32" s="293"/>
      <c r="F32" s="294"/>
      <c r="G32" s="294"/>
      <c r="H32" s="292"/>
      <c r="I32" s="294"/>
      <c r="J32" s="292" t="e">
        <f t="shared" si="1"/>
        <v>#DIV/0!</v>
      </c>
    </row>
    <row r="33" spans="2:10" ht="17.5" customHeight="1">
      <c r="B33" s="281">
        <f>+'Typical Bills WATER'!B34</f>
        <v>2</v>
      </c>
      <c r="C33" s="288">
        <f>+'Typical Bills WATER'!C34</f>
        <v>7.6</v>
      </c>
      <c r="D33" s="289">
        <f>+'Typical Non-Res Bills SW'!D34</f>
        <v>1063</v>
      </c>
      <c r="E33" s="289">
        <f>+'Typical Non-Res Bills SW'!E34</f>
        <v>1250</v>
      </c>
      <c r="F33" s="290">
        <f>+'Typical Bills WATER'!D34+'Typical Bills SANITARY'!D34+'Typical Non-Res Bills SW'!F34</f>
        <v>900.28300000000002</v>
      </c>
      <c r="G33" s="290">
        <f>+'Typical Bills WATER'!E34+'Typical Bills SANITARY'!E34+'Typical Non-Res Bills SW'!G34</f>
        <v>1029.2530021856942</v>
      </c>
      <c r="H33" s="288">
        <f>(+G33/F33-1)*100</f>
        <v>14.325495670327459</v>
      </c>
      <c r="I33" s="290">
        <f>+'Typical Bills WATER'!G34+'Typical Bills SANITARY'!G34+'Typical Non-Res Bills SW'!I34</f>
        <v>1096.921</v>
      </c>
      <c r="J33" s="288">
        <f t="shared" si="1"/>
        <v>6.5744766029934176</v>
      </c>
    </row>
    <row r="34" spans="2:10" ht="17.5" customHeight="1">
      <c r="B34" s="281">
        <f>+'Typical Bills WATER'!B35</f>
        <v>2</v>
      </c>
      <c r="C34" s="288">
        <f>+'Typical Bills WATER'!C35</f>
        <v>16</v>
      </c>
      <c r="D34" s="289">
        <f>+'Typical Non-Res Bills SW'!D35</f>
        <v>22500</v>
      </c>
      <c r="E34" s="289">
        <f>+'Typical Non-Res Bills SW'!E35</f>
        <v>24000</v>
      </c>
      <c r="F34" s="290">
        <f>+'Typical Bills WATER'!D35+'Typical Bills SANITARY'!D35+'Typical Non-Res Bills SW'!F35</f>
        <v>2098.3910000000001</v>
      </c>
      <c r="G34" s="290">
        <f>+'Typical Bills WATER'!E35+'Typical Bills SANITARY'!E35+'Typical Non-Res Bills SW'!G35</f>
        <v>2366.9871969818996</v>
      </c>
      <c r="H34" s="288">
        <f>(+G34/F34-1)*100</f>
        <v>12.800102410937697</v>
      </c>
      <c r="I34" s="290">
        <f>+'Typical Bills WATER'!G35+'Typical Bills SANITARY'!G35+'Typical Non-Res Bills SW'!I35</f>
        <v>2540.2880000000005</v>
      </c>
      <c r="J34" s="288">
        <f t="shared" si="1"/>
        <v>7.3215775412335704</v>
      </c>
    </row>
    <row r="35" spans="2:10" ht="17.5" customHeight="1">
      <c r="B35" s="281">
        <f>+'Typical Bills WATER'!B36</f>
        <v>2</v>
      </c>
      <c r="C35" s="288">
        <f>+'Typical Bills WATER'!C36</f>
        <v>33</v>
      </c>
      <c r="D35" s="289">
        <f>+'Typical Non-Res Bills SW'!D36</f>
        <v>66500</v>
      </c>
      <c r="E35" s="289">
        <f>+'Typical Non-Res Bills SW'!E36</f>
        <v>80000</v>
      </c>
      <c r="F35" s="290">
        <f>+'Typical Bills WATER'!D36+'Typical Bills SANITARY'!D36+'Typical Non-Res Bills SW'!F36</f>
        <v>4560.1170000000002</v>
      </c>
      <c r="G35" s="290">
        <f>+'Typical Bills WATER'!E36+'Typical Bills SANITARY'!E36+'Typical Non-Res Bills SW'!G36</f>
        <v>5113.2849232841254</v>
      </c>
      <c r="H35" s="288">
        <f>(+G35/F35-1)*100</f>
        <v>12.130564265875755</v>
      </c>
      <c r="I35" s="290">
        <f>+'Typical Bills WATER'!G36+'Typical Bills SANITARY'!G36+'Typical Non-Res Bills SW'!I36</f>
        <v>5504.2880000000005</v>
      </c>
      <c r="J35" s="288">
        <f t="shared" si="1"/>
        <v>7.6468079244984555</v>
      </c>
    </row>
    <row r="36" spans="2:10" ht="17.5" customHeight="1">
      <c r="B36" s="281">
        <f>+'Typical Bills WATER'!B37</f>
        <v>2</v>
      </c>
      <c r="C36" s="288">
        <f>+'Typical Bills WATER'!C37</f>
        <v>100</v>
      </c>
      <c r="D36" s="289">
        <f>+'Typical Non-Res Bills SW'!D37</f>
        <v>7700</v>
      </c>
      <c r="E36" s="289">
        <f>+'Typical Non-Res Bills SW'!E37</f>
        <v>7900</v>
      </c>
      <c r="F36" s="290">
        <f>+'Typical Bills WATER'!D37+'Typical Bills SANITARY'!D37+'Typical Non-Res Bills SW'!F37</f>
        <v>10831.325999999999</v>
      </c>
      <c r="G36" s="290">
        <f>+'Typical Bills WATER'!E37+'Typical Bills SANITARY'!E37+'Typical Non-Res Bills SW'!G37</f>
        <v>12370.210324027938</v>
      </c>
      <c r="H36" s="288">
        <f>(+G36/F36-1)*100</f>
        <v>14.207718648925693</v>
      </c>
      <c r="I36" s="290">
        <f>+'Typical Bills WATER'!G37+'Typical Bills SANITARY'!G37+'Typical Non-Res Bills SW'!I37</f>
        <v>13259.832</v>
      </c>
      <c r="J36" s="288">
        <f t="shared" si="1"/>
        <v>7.1916455150649927</v>
      </c>
    </row>
    <row r="37" spans="2:10" ht="4.4000000000000004" customHeight="1">
      <c r="B37" s="291"/>
      <c r="C37" s="292"/>
      <c r="D37" s="293"/>
      <c r="E37" s="293"/>
      <c r="F37" s="294"/>
      <c r="G37" s="294"/>
      <c r="H37" s="292"/>
      <c r="I37" s="294"/>
      <c r="J37" s="292" t="e">
        <f t="shared" si="1"/>
        <v>#DIV/0!</v>
      </c>
    </row>
    <row r="38" spans="2:10" ht="17.5" customHeight="1">
      <c r="B38" s="281">
        <f>+'Typical Bills WATER'!B39</f>
        <v>4</v>
      </c>
      <c r="C38" s="288">
        <f>+'Typical Bills WATER'!C39</f>
        <v>30</v>
      </c>
      <c r="D38" s="289">
        <f>+'Typical Non-Res Bills SW'!D39</f>
        <v>7700</v>
      </c>
      <c r="E38" s="289">
        <f>+'Typical Non-Res Bills SW'!E39</f>
        <v>7900</v>
      </c>
      <c r="F38" s="290">
        <f>+'Typical Bills WATER'!D39+'Typical Bills SANITARY'!D39+'Typical Non-Res Bills SW'!F39</f>
        <v>3488.4959999999996</v>
      </c>
      <c r="G38" s="290">
        <f>+'Typical Bills WATER'!E39+'Typical Bills SANITARY'!E39+'Typical Non-Res Bills SW'!G39</f>
        <v>3982.5803240279379</v>
      </c>
      <c r="H38" s="288">
        <f>(+G38/F38-1)*100</f>
        <v>14.163247543581491</v>
      </c>
      <c r="I38" s="290">
        <f>+'Typical Bills WATER'!G39+'Typical Bills SANITARY'!G39+'Typical Non-Res Bills SW'!I39</f>
        <v>4266.8220000000001</v>
      </c>
      <c r="J38" s="288">
        <f t="shared" si="1"/>
        <v>7.1371234939608952</v>
      </c>
    </row>
    <row r="39" spans="2:10" ht="17.5" customHeight="1">
      <c r="B39" s="281">
        <f>+'Typical Bills WATER'!B40</f>
        <v>4</v>
      </c>
      <c r="C39" s="288">
        <f>+'Typical Bills WATER'!C40</f>
        <v>170</v>
      </c>
      <c r="D39" s="289">
        <f>+'Typical Non-Res Bills SW'!D40</f>
        <v>10500</v>
      </c>
      <c r="E39" s="289">
        <f>+'Typical Non-Res Bills SW'!E40</f>
        <v>12000</v>
      </c>
      <c r="F39" s="290">
        <f>+'Typical Bills WATER'!D40+'Typical Bills SANITARY'!D40+'Typical Non-Res Bills SW'!F40</f>
        <v>17519.937000000002</v>
      </c>
      <c r="G39" s="290">
        <f>+'Typical Bills WATER'!E40+'Typical Bills SANITARY'!E40+'Typical Non-Res Bills SW'!G40</f>
        <v>20037.195987426989</v>
      </c>
      <c r="H39" s="288">
        <f>(+G39/F39-1)*100</f>
        <v>14.367968260542185</v>
      </c>
      <c r="I39" s="290">
        <f>+'Typical Bills WATER'!G40+'Typical Bills SANITARY'!G40+'Typical Non-Res Bills SW'!I40</f>
        <v>21506.37</v>
      </c>
      <c r="J39" s="288">
        <f t="shared" si="1"/>
        <v>7.3322335794633764</v>
      </c>
    </row>
    <row r="40" spans="2:10" ht="17.5" customHeight="1">
      <c r="B40" s="281">
        <f>+'Typical Bills WATER'!B41</f>
        <v>4</v>
      </c>
      <c r="C40" s="288">
        <f>+'Typical Bills WATER'!C41</f>
        <v>330</v>
      </c>
      <c r="D40" s="289">
        <f>+'Typical Non-Res Bills SW'!D41</f>
        <v>26000</v>
      </c>
      <c r="E40" s="289">
        <f>+'Typical Non-Res Bills SW'!E41</f>
        <v>38000</v>
      </c>
      <c r="F40" s="290">
        <f>+'Typical Bills WATER'!D41+'Typical Bills SANITARY'!D41+'Typical Non-Res Bills SW'!F41</f>
        <v>32709.139999999996</v>
      </c>
      <c r="G40" s="290">
        <f>+'Typical Bills WATER'!E41+'Typical Bills SANITARY'!E41+'Typical Non-Res Bills SW'!G41</f>
        <v>37421.918762961184</v>
      </c>
      <c r="H40" s="288">
        <f>(+G40/F40-1)*100</f>
        <v>14.408140241416278</v>
      </c>
      <c r="I40" s="290">
        <f>+'Typical Bills WATER'!G41+'Typical Bills SANITARY'!G41+'Typical Non-Res Bills SW'!I41</f>
        <v>40209.118000000002</v>
      </c>
      <c r="J40" s="288">
        <f t="shared" si="1"/>
        <v>7.44803935547389</v>
      </c>
    </row>
    <row r="41" spans="2:10" ht="17.5" customHeight="1">
      <c r="B41" s="281">
        <f>+'Typical Bills WATER'!B42</f>
        <v>4</v>
      </c>
      <c r="C41" s="288">
        <f>+'Typical Bills WATER'!C42</f>
        <v>500</v>
      </c>
      <c r="D41" s="289">
        <f>+'Typical Non-Res Bills SW'!D42</f>
        <v>140000</v>
      </c>
      <c r="E41" s="289">
        <f>+'Typical Non-Res Bills SW'!E42</f>
        <v>160000</v>
      </c>
      <c r="F41" s="290">
        <f>+'Typical Bills WATER'!D42+'Typical Bills SANITARY'!D42+'Typical Non-Res Bills SW'!F42</f>
        <v>50241.02</v>
      </c>
      <c r="G41" s="290">
        <f>+'Typical Bills WATER'!E42+'Typical Bills SANITARY'!E42+'Typical Non-Res Bills SW'!G42</f>
        <v>57339.908003466771</v>
      </c>
      <c r="H41" s="288">
        <f>(+G41/F41-1)*100</f>
        <v>14.12966536799367</v>
      </c>
      <c r="I41" s="290">
        <f>+'Typical Bills WATER'!G42+'Typical Bills SANITARY'!G42+'Typical Non-Res Bills SW'!I42</f>
        <v>61673.270000000004</v>
      </c>
      <c r="J41" s="288">
        <f t="shared" si="1"/>
        <v>7.5573228967706685</v>
      </c>
    </row>
    <row r="42" spans="2:10" ht="4.4000000000000004" customHeight="1">
      <c r="B42" s="291"/>
      <c r="C42" s="292"/>
      <c r="D42" s="293"/>
      <c r="E42" s="293"/>
      <c r="F42" s="294"/>
      <c r="G42" s="294"/>
      <c r="H42" s="292"/>
      <c r="I42" s="294"/>
      <c r="J42" s="292" t="e">
        <f t="shared" si="1"/>
        <v>#DIV/0!</v>
      </c>
    </row>
    <row r="43" spans="2:10" ht="17.5" customHeight="1">
      <c r="B43" s="281">
        <f>+'Typical Bills WATER'!B44</f>
        <v>6</v>
      </c>
      <c r="C43" s="288">
        <f>+'Typical Bills WATER'!C44</f>
        <v>150</v>
      </c>
      <c r="D43" s="289">
        <f>+'Typical Non-Res Bills SW'!D44</f>
        <v>10500</v>
      </c>
      <c r="E43" s="289">
        <f>+'Typical Non-Res Bills SW'!E44</f>
        <v>12000</v>
      </c>
      <c r="F43" s="290">
        <f>+'Typical Bills WATER'!D44+'Typical Bills SANITARY'!D44+'Typical Non-Res Bills SW'!F44</f>
        <v>15808.177</v>
      </c>
      <c r="G43" s="290">
        <f>+'Typical Bills WATER'!E44+'Typical Bills SANITARY'!E44+'Typical Non-Res Bills SW'!G44</f>
        <v>18082.335987426988</v>
      </c>
      <c r="H43" s="288">
        <f>(+G43/F43-1)*100</f>
        <v>14.385966120109783</v>
      </c>
      <c r="I43" s="290">
        <f>+'Typical Bills WATER'!G44+'Typical Bills SANITARY'!G44+'Typical Non-Res Bills SW'!I44</f>
        <v>19404.259999999998</v>
      </c>
      <c r="J43" s="288">
        <f t="shared" si="1"/>
        <v>7.3105820702157542</v>
      </c>
    </row>
    <row r="44" spans="2:10" ht="17.5" customHeight="1">
      <c r="B44" s="281">
        <f>+'Typical Bills WATER'!B45</f>
        <v>6</v>
      </c>
      <c r="C44" s="288">
        <f>+'Typical Bills WATER'!C45</f>
        <v>500</v>
      </c>
      <c r="D44" s="289">
        <f>+'Typical Non-Res Bills SW'!D45</f>
        <v>41750</v>
      </c>
      <c r="E44" s="289">
        <f>+'Typical Non-Res Bills SW'!E45</f>
        <v>45500</v>
      </c>
      <c r="F44" s="290">
        <f>+'Typical Bills WATER'!D45+'Typical Bills SANITARY'!D45+'Typical Non-Res Bills SW'!F45</f>
        <v>48963.897999999994</v>
      </c>
      <c r="G44" s="290">
        <f>+'Typical Bills WATER'!E45+'Typical Bills SANITARY'!E45+'Typical Non-Res Bills SW'!G45</f>
        <v>56036.688599942114</v>
      </c>
      <c r="H44" s="288">
        <f>(+G44/F44-1)*100</f>
        <v>14.444909185829369</v>
      </c>
      <c r="I44" s="290">
        <f>+'Typical Bills WATER'!G45+'Typical Bills SANITARY'!G45+'Typical Non-Res Bills SW'!I45</f>
        <v>60234.254999999997</v>
      </c>
      <c r="J44" s="288">
        <f t="shared" si="1"/>
        <v>7.490746696374595</v>
      </c>
    </row>
    <row r="45" spans="2:10" ht="17.5" customHeight="1">
      <c r="B45" s="281">
        <f>+'Typical Bills WATER'!B46</f>
        <v>6</v>
      </c>
      <c r="C45" s="288">
        <f>+'Typical Bills WATER'!C46</f>
        <v>1000</v>
      </c>
      <c r="D45" s="289">
        <f>+'Typical Non-Res Bills SW'!D46</f>
        <v>26000</v>
      </c>
      <c r="E45" s="289">
        <f>+'Typical Non-Res Bills SW'!E46</f>
        <v>38000</v>
      </c>
      <c r="F45" s="290">
        <f>+'Typical Bills WATER'!D46+'Typical Bills SANITARY'!D46+'Typical Non-Res Bills SW'!F46</f>
        <v>95464.08</v>
      </c>
      <c r="G45" s="290">
        <f>+'Typical Bills WATER'!E46+'Typical Bills SANITARY'!E46+'Typical Non-Res Bills SW'!G46</f>
        <v>109359.15876296119</v>
      </c>
      <c r="H45" s="288">
        <f>(+G45/F45-1)*100</f>
        <v>14.555295314175964</v>
      </c>
      <c r="I45" s="290">
        <f>+'Typical Bills WATER'!G46+'Typical Bills SANITARY'!G46+'Typical Non-Res Bills SW'!I46</f>
        <v>117574.30799999999</v>
      </c>
      <c r="J45" s="288">
        <f t="shared" si="1"/>
        <v>7.51208159423149</v>
      </c>
    </row>
    <row r="46" spans="2:10" ht="17.5" customHeight="1">
      <c r="B46" s="281">
        <f>+'Typical Bills WATER'!B47</f>
        <v>6</v>
      </c>
      <c r="C46" s="288">
        <f>+'Typical Bills WATER'!C47</f>
        <v>1500</v>
      </c>
      <c r="D46" s="289">
        <f>+'Typical Non-Res Bills SW'!D47</f>
        <v>140000</v>
      </c>
      <c r="E46" s="289">
        <f>+'Typical Non-Res Bills SW'!E47</f>
        <v>160000</v>
      </c>
      <c r="F46" s="290">
        <f>+'Typical Bills WATER'!D47+'Typical Bills SANITARY'!D47+'Typical Non-Res Bills SW'!F47</f>
        <v>143827.86000000002</v>
      </c>
      <c r="G46" s="290">
        <f>+'Typical Bills WATER'!E47+'Typical Bills SANITARY'!E47+'Typical Non-Res Bills SW'!G47</f>
        <v>164616.84800346676</v>
      </c>
      <c r="H46" s="288">
        <f>(+G46/F46-1)*100</f>
        <v>14.454075867823345</v>
      </c>
      <c r="I46" s="290">
        <f>+'Typical Bills WATER'!G47+'Typical Bills SANITARY'!G47+'Typical Non-Res Bills SW'!I47</f>
        <v>177044.56</v>
      </c>
      <c r="J46" s="288">
        <f t="shared" si="1"/>
        <v>7.5494775578934137</v>
      </c>
    </row>
    <row r="47" spans="2:10" ht="4.4000000000000004" customHeight="1">
      <c r="B47" s="291"/>
      <c r="C47" s="292"/>
      <c r="D47" s="293"/>
      <c r="E47" s="293"/>
      <c r="F47" s="294"/>
      <c r="G47" s="294"/>
      <c r="H47" s="292"/>
      <c r="I47" s="294"/>
      <c r="J47" s="292" t="e">
        <f t="shared" si="1"/>
        <v>#DIV/0!</v>
      </c>
    </row>
    <row r="48" spans="2:10" ht="17.5" customHeight="1">
      <c r="B48" s="281">
        <f>+'Typical Bills WATER'!B49</f>
        <v>8</v>
      </c>
      <c r="C48" s="288">
        <f>+'Typical Bills WATER'!C49</f>
        <v>750</v>
      </c>
      <c r="D48" s="289">
        <f>+'Typical Non-Res Bills SW'!D49</f>
        <v>10500</v>
      </c>
      <c r="E48" s="289">
        <f>+'Typical Non-Res Bills SW'!E49</f>
        <v>12000</v>
      </c>
      <c r="F48" s="290">
        <f>+'Typical Bills WATER'!D49+'Typical Bills SANITARY'!D49+'Typical Non-Res Bills SW'!F49</f>
        <v>72049.926999999996</v>
      </c>
      <c r="G48" s="290">
        <f>+'Typical Bills WATER'!E49+'Typical Bills SANITARY'!E49+'Typical Non-Res Bills SW'!G49</f>
        <v>82556.015987426988</v>
      </c>
      <c r="H48" s="288">
        <f>(+G48/F48-1)*100</f>
        <v>14.581678878629534</v>
      </c>
      <c r="I48" s="290">
        <f>+'Typical Bills WATER'!G49+'Typical Bills SANITARY'!G49+'Typical Non-Res Bills SW'!I49</f>
        <v>88742.959999999992</v>
      </c>
      <c r="J48" s="288">
        <f t="shared" si="1"/>
        <v>7.4942376258990695</v>
      </c>
    </row>
    <row r="49" spans="2:12" ht="17.5" customHeight="1">
      <c r="B49" s="281">
        <f>+'Typical Bills WATER'!B50</f>
        <v>8</v>
      </c>
      <c r="C49" s="288">
        <f>+'Typical Bills WATER'!C50</f>
        <v>1500</v>
      </c>
      <c r="D49" s="289">
        <f>+'Typical Non-Res Bills SW'!D50</f>
        <v>66500</v>
      </c>
      <c r="E49" s="289">
        <f>+'Typical Non-Res Bills SW'!E50</f>
        <v>80000</v>
      </c>
      <c r="F49" s="290">
        <f>+'Typical Bills WATER'!D50+'Typical Bills SANITARY'!D50+'Typical Non-Res Bills SW'!F50</f>
        <v>142946.26700000002</v>
      </c>
      <c r="G49" s="290">
        <f>+'Typical Bills WATER'!E50+'Typical Bills SANITARY'!E50+'Typical Non-Res Bills SW'!G50</f>
        <v>163729.80492328413</v>
      </c>
      <c r="H49" s="288">
        <f>(+G49/F49-1)*100</f>
        <v>14.539405861703347</v>
      </c>
      <c r="I49" s="290">
        <f>+'Typical Bills WATER'!G50+'Typical Bills SANITARY'!G50+'Typical Non-Res Bills SW'!I50</f>
        <v>176063.02799999999</v>
      </c>
      <c r="J49" s="288">
        <f t="shared" si="1"/>
        <v>7.5326682777730136</v>
      </c>
    </row>
    <row r="50" spans="2:12" ht="17.5" customHeight="1">
      <c r="B50" s="281">
        <f>+'Typical Bills WATER'!B51</f>
        <v>8</v>
      </c>
      <c r="C50" s="288">
        <f>+'Typical Bills WATER'!C51</f>
        <v>2000</v>
      </c>
      <c r="D50" s="289">
        <f>+'Typical Non-Res Bills SW'!D51</f>
        <v>26000</v>
      </c>
      <c r="E50" s="289">
        <f>+'Typical Non-Res Bills SW'!E51</f>
        <v>38000</v>
      </c>
      <c r="F50" s="290">
        <f>+'Typical Bills WATER'!D51+'Typical Bills SANITARY'!D51+'Typical Non-Res Bills SW'!F51</f>
        <v>189077.83000000002</v>
      </c>
      <c r="G50" s="290">
        <f>+'Typical Bills WATER'!E51+'Typical Bills SANITARY'!E51+'Typical Non-Res Bills SW'!G51</f>
        <v>216668.83876296118</v>
      </c>
      <c r="H50" s="288">
        <f>(+G50/F50-1)*100</f>
        <v>14.592408196646399</v>
      </c>
      <c r="I50" s="290">
        <f>+'Typical Bills WATER'!G51+'Typical Bills SANITARY'!G51+'Typical Non-Res Bills SW'!I51</f>
        <v>232981.008</v>
      </c>
      <c r="J50" s="288">
        <f t="shared" si="1"/>
        <v>7.5286180191719065</v>
      </c>
    </row>
    <row r="51" spans="2:12" ht="17.5" customHeight="1">
      <c r="B51" s="281">
        <f>+'Typical Bills WATER'!B52</f>
        <v>8</v>
      </c>
      <c r="C51" s="288">
        <f>+'Typical Bills WATER'!C52</f>
        <v>3000</v>
      </c>
      <c r="D51" s="289">
        <f>+'Typical Non-Res Bills SW'!D52</f>
        <v>140000</v>
      </c>
      <c r="E51" s="289">
        <f>+'Typical Non-Res Bills SW'!E52</f>
        <v>160000</v>
      </c>
      <c r="F51" s="290">
        <f>+'Typical Bills WATER'!D52+'Typical Bills SANITARY'!D52+'Typical Non-Res Bills SW'!F52</f>
        <v>282936.61</v>
      </c>
      <c r="G51" s="290">
        <f>+'Typical Bills WATER'!E52+'Typical Bills SANITARY'!E52+'Typical Non-Res Bills SW'!G52</f>
        <v>325471.52800346684</v>
      </c>
      <c r="H51" s="288">
        <f>(+G51/F51-1)*100</f>
        <v>15.033373731121923</v>
      </c>
      <c r="I51" s="290">
        <f>+'Typical Bills WATER'!G52+'Typical Bills SANITARY'!G52+'Typical Non-Res Bills SW'!I52</f>
        <v>350036.26</v>
      </c>
      <c r="J51" s="288">
        <f t="shared" si="1"/>
        <v>7.5474288479917329</v>
      </c>
    </row>
    <row r="52" spans="2:12" ht="4.4000000000000004" customHeight="1">
      <c r="B52" s="291"/>
      <c r="C52" s="292"/>
      <c r="D52" s="293"/>
      <c r="E52" s="293"/>
      <c r="F52" s="294"/>
      <c r="G52" s="294"/>
      <c r="H52" s="292"/>
      <c r="I52" s="294"/>
      <c r="J52" s="292" t="e">
        <f t="shared" si="1"/>
        <v>#DIV/0!</v>
      </c>
    </row>
    <row r="53" spans="2:12" ht="17.5" customHeight="1">
      <c r="B53" s="281">
        <f>+'Typical Bills WATER'!B54</f>
        <v>10</v>
      </c>
      <c r="C53" s="288">
        <f>+'Typical Bills WATER'!C54</f>
        <v>600</v>
      </c>
      <c r="D53" s="289">
        <f>+'Typical Non-Res Bills SW'!D54</f>
        <v>22500</v>
      </c>
      <c r="E53" s="289">
        <f>+'Typical Non-Res Bills SW'!E54</f>
        <v>24000</v>
      </c>
      <c r="F53" s="290">
        <f>+'Typical Bills WATER'!D54+'Typical Bills SANITARY'!D54+'Typical Non-Res Bills SW'!F54</f>
        <v>58433.041000000005</v>
      </c>
      <c r="G53" s="290">
        <f>+'Typical Bills WATER'!E54+'Typical Bills SANITARY'!E54+'Typical Non-Res Bills SW'!G54</f>
        <v>66939.137196981901</v>
      </c>
      <c r="H53" s="288">
        <f>(+G53/F53-1)*100</f>
        <v>14.556997293674812</v>
      </c>
      <c r="I53" s="290">
        <f>+'Typical Bills WATER'!G54+'Typical Bills SANITARY'!G54+'Typical Non-Res Bills SW'!I54</f>
        <v>71952.457999999999</v>
      </c>
      <c r="J53" s="288">
        <f t="shared" si="1"/>
        <v>7.4893717083107658</v>
      </c>
    </row>
    <row r="54" spans="2:12" ht="17.5" customHeight="1">
      <c r="B54" s="281">
        <f>+'Typical Bills WATER'!B55</f>
        <v>10</v>
      </c>
      <c r="C54" s="288">
        <f>+'Typical Bills WATER'!C55</f>
        <v>1700</v>
      </c>
      <c r="D54" s="289">
        <f>+'Typical Non-Res Bills SW'!D55</f>
        <v>41750</v>
      </c>
      <c r="E54" s="289">
        <f>+'Typical Non-Res Bills SW'!E55</f>
        <v>45500</v>
      </c>
      <c r="F54" s="290">
        <f>+'Typical Bills WATER'!D55+'Typical Bills SANITARY'!D55+'Typical Non-Res Bills SW'!F55</f>
        <v>161489.158</v>
      </c>
      <c r="G54" s="290">
        <f>+'Typical Bills WATER'!E55+'Typical Bills SANITARY'!E55+'Typical Non-Res Bills SW'!G55</f>
        <v>185032.26859994212</v>
      </c>
      <c r="H54" s="288">
        <f>(+G54/F54-1)*100</f>
        <v>14.578756178753572</v>
      </c>
      <c r="I54" s="290">
        <f>+'Typical Bills WATER'!G55+'Typical Bills SANITARY'!G55+'Typical Non-Res Bills SW'!I55</f>
        <v>198963.22500000001</v>
      </c>
      <c r="J54" s="288">
        <f t="shared" si="1"/>
        <v>7.5289334695333388</v>
      </c>
    </row>
    <row r="55" spans="2:12" ht="17.5" customHeight="1">
      <c r="B55" s="281">
        <f>+'Typical Bills WATER'!B56</f>
        <v>10</v>
      </c>
      <c r="C55" s="288">
        <f>+'Typical Bills WATER'!C56</f>
        <v>3300</v>
      </c>
      <c r="D55" s="289">
        <f>+'Typical Non-Res Bills SW'!D56</f>
        <v>26000</v>
      </c>
      <c r="E55" s="289">
        <f>+'Typical Non-Res Bills SW'!E56</f>
        <v>38000</v>
      </c>
      <c r="F55" s="290">
        <f>+'Typical Bills WATER'!D56+'Typical Bills SANITARY'!D56+'Typical Non-Res Bills SW'!F56</f>
        <v>309176.33999999997</v>
      </c>
      <c r="G55" s="290">
        <f>+'Typical Bills WATER'!E56+'Typical Bills SANITARY'!E56+'Typical Non-Res Bills SW'!G56</f>
        <v>356153.73876296123</v>
      </c>
      <c r="H55" s="288">
        <f>(+G55/F55-1)*100</f>
        <v>15.194370553374581</v>
      </c>
      <c r="I55" s="290">
        <f>+'Typical Bills WATER'!G56+'Typical Bills SANITARY'!G56+'Typical Non-Res Bills SW'!I56</f>
        <v>382990.27799999999</v>
      </c>
      <c r="J55" s="288">
        <f t="shared" si="1"/>
        <v>7.5350996820223948</v>
      </c>
    </row>
    <row r="56" spans="2:12" ht="17.5" customHeight="1">
      <c r="B56" s="281">
        <f>+'Typical Bills WATER'!B57</f>
        <v>10</v>
      </c>
      <c r="C56" s="288">
        <f>+'Typical Bills WATER'!C57</f>
        <v>6000</v>
      </c>
      <c r="D56" s="289">
        <f>+'Typical Non-Res Bills SW'!D57</f>
        <v>140000</v>
      </c>
      <c r="E56" s="289">
        <f>+'Typical Non-Res Bills SW'!E57</f>
        <v>160000</v>
      </c>
      <c r="F56" s="290">
        <f>+'Typical Bills WATER'!D57+'Typical Bills SANITARY'!D57+'Typical Non-Res Bills SW'!F57</f>
        <v>559792.12</v>
      </c>
      <c r="G56" s="290">
        <f>+'Typical Bills WATER'!E57+'Typical Bills SANITARY'!E57+'Typical Non-Res Bills SW'!G57</f>
        <v>647009.42800346669</v>
      </c>
      <c r="H56" s="288">
        <f>(+G56/F56-1)*100</f>
        <v>15.580302917352018</v>
      </c>
      <c r="I56" s="290">
        <f>+'Typical Bills WATER'!G57+'Typical Bills SANITARY'!G57+'Typical Non-Res Bills SW'!I57</f>
        <v>695834.53</v>
      </c>
      <c r="J56" s="288">
        <f t="shared" si="1"/>
        <v>7.5462736527962537</v>
      </c>
    </row>
    <row r="57" spans="2:12" ht="1" customHeight="1">
      <c r="B57" s="295"/>
      <c r="C57" s="295"/>
      <c r="D57" s="295"/>
      <c r="E57" s="295"/>
      <c r="F57" s="295"/>
      <c r="G57" s="295"/>
      <c r="H57" s="295"/>
      <c r="I57" s="295"/>
      <c r="J57" s="295"/>
    </row>
    <row r="58" spans="2:12">
      <c r="B58" s="274" t="str">
        <f>'Typ Non Res Bill TOTAL PARCEL'!B59</f>
        <v xml:space="preserve">(a) Examples with gross area less than 5,000 square feet reflect an impervious area of 85% of the gross area consistent with PWD Regulations </v>
      </c>
      <c r="C58" s="274"/>
      <c r="D58" s="274"/>
      <c r="E58" s="274"/>
      <c r="F58" s="274"/>
      <c r="G58" s="274"/>
      <c r="H58" s="274"/>
      <c r="I58" s="274"/>
      <c r="J58" s="274"/>
    </row>
    <row r="59" spans="2:12">
      <c r="B59" s="274" t="str">
        <f>'Typ Non Res Bill TOTAL PARCEL'!B60</f>
        <v xml:space="preserve">       section 304.3.</v>
      </c>
      <c r="C59" s="274"/>
      <c r="D59" s="274"/>
      <c r="E59" s="274"/>
      <c r="F59" s="274"/>
      <c r="G59" s="274"/>
      <c r="H59" s="274"/>
      <c r="I59" s="274"/>
      <c r="J59" s="274"/>
    </row>
    <row r="60" spans="2:12">
      <c r="B60" s="274" t="str">
        <f>'Typ Non Res Bill TOTAL PARCEL'!B61</f>
        <v xml:space="preserve">(b) The FY 2025 figures reflect the existing base and current TAP-R rates, of $3.08/Mcf for water and $4.40/Mcf for sewer. </v>
      </c>
      <c r="C60" s="274"/>
      <c r="D60" s="274"/>
      <c r="E60" s="274"/>
      <c r="F60" s="274"/>
      <c r="G60" s="274"/>
      <c r="H60" s="274"/>
      <c r="I60" s="274"/>
      <c r="J60" s="274"/>
    </row>
    <row r="61" spans="2:12">
      <c r="B61" s="274" t="str">
        <f>'Typ Non Res Bill TOTAL PARCEL'!B62</f>
        <v>(c) FY 2026 and FY 2027 figures reflect the proposed base and TAP-R rates, of $3.87/Mcf for water and $5.67/Mcf for sewer.</v>
      </c>
      <c r="C61" s="274"/>
      <c r="D61" s="274"/>
      <c r="E61" s="274"/>
      <c r="F61" s="274"/>
      <c r="G61" s="274"/>
      <c r="H61" s="274"/>
      <c r="I61" s="274"/>
      <c r="J61" s="274"/>
    </row>
    <row r="62" spans="2:12">
      <c r="B62" s="274" t="str">
        <f>'Typ Non Res Bill TOTAL PARCEL'!B63</f>
        <v>(d) The FY 2026 TAP-R rates are subject to the Rate Board's Determination in the 2025 TAP-R Reconciliation Proceeding.</v>
      </c>
      <c r="C62" s="274"/>
      <c r="D62" s="274"/>
      <c r="E62" s="274"/>
      <c r="F62" s="274"/>
      <c r="G62" s="274"/>
      <c r="H62" s="274"/>
      <c r="I62" s="274"/>
      <c r="J62" s="274"/>
      <c r="L62" s="129"/>
    </row>
    <row r="63" spans="2:12">
      <c r="B63" s="274" t="str">
        <f>'Typ Non Res Bill TOTAL PARCEL'!B64</f>
        <v xml:space="preserve">The TAP-R Rates are subject to annual reconciliation. </v>
      </c>
      <c r="C63" s="274"/>
      <c r="D63" s="274"/>
      <c r="E63" s="274"/>
      <c r="F63" s="274"/>
      <c r="G63" s="274"/>
      <c r="H63" s="274"/>
      <c r="I63" s="274"/>
      <c r="J63" s="274"/>
    </row>
    <row r="64" spans="2:12">
      <c r="B64" s="274"/>
      <c r="C64" s="274"/>
      <c r="D64" s="274"/>
      <c r="E64" s="274"/>
      <c r="F64" s="274"/>
      <c r="G64" s="274"/>
      <c r="H64" s="274"/>
      <c r="I64" s="274"/>
      <c r="J64" s="274"/>
    </row>
    <row r="65" spans="2:10">
      <c r="B65" s="274" t="str">
        <f>'Typ Non Res Bill TOTAL PARCEL'!B66</f>
        <v>Mcf - Thousand cubic feet</v>
      </c>
      <c r="C65" s="274"/>
      <c r="D65" s="274"/>
      <c r="E65" s="274"/>
      <c r="F65" s="274"/>
      <c r="G65" s="274"/>
      <c r="H65" s="274"/>
      <c r="I65" s="274"/>
      <c r="J65" s="274"/>
    </row>
    <row r="66" spans="2:10">
      <c r="B66" s="274" t="str">
        <f>'Typ Non Res Bill TOTAL PARCEL'!B67</f>
        <v>sf - square feet</v>
      </c>
      <c r="C66" s="274"/>
      <c r="D66" s="274"/>
      <c r="E66" s="274"/>
      <c r="F66" s="274"/>
      <c r="G66" s="274"/>
      <c r="H66" s="274"/>
      <c r="I66" s="274"/>
      <c r="J66" s="274"/>
    </row>
    <row r="67" spans="2:10">
      <c r="B67" s="274"/>
      <c r="C67" s="274"/>
      <c r="D67" s="274"/>
      <c r="E67" s="274"/>
      <c r="F67" s="274"/>
      <c r="G67" s="274"/>
      <c r="H67" s="274"/>
      <c r="I67" s="274"/>
      <c r="J67" s="274"/>
    </row>
    <row r="68" spans="2:10">
      <c r="B68" s="274"/>
      <c r="C68" s="274"/>
      <c r="D68" s="274"/>
      <c r="E68" s="274"/>
      <c r="F68" s="274"/>
      <c r="G68" s="274"/>
      <c r="H68" s="274"/>
      <c r="I68" s="274"/>
      <c r="J68" s="274"/>
    </row>
    <row r="69" spans="2:10" ht="14.5">
      <c r="B69" s="274"/>
      <c r="C69" s="275"/>
      <c r="D69" s="275"/>
      <c r="E69" s="275"/>
      <c r="F69" s="275"/>
      <c r="G69" s="275"/>
      <c r="H69" s="275"/>
      <c r="I69" s="275"/>
      <c r="J69" s="275"/>
    </row>
    <row r="70" spans="2:10" ht="14.5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4.5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4.5">
      <c r="B72" s="296" t="s">
        <v>250</v>
      </c>
      <c r="C72" s="275"/>
      <c r="D72" s="275"/>
      <c r="E72" s="275"/>
      <c r="F72" s="275"/>
      <c r="G72" s="275"/>
      <c r="H72" s="275"/>
      <c r="I72" s="275"/>
      <c r="J72" s="275"/>
    </row>
    <row r="74" spans="2:10" ht="14.5">
      <c r="B74" s="51"/>
    </row>
    <row r="75" spans="2:10" ht="14.5">
      <c r="B75" s="51"/>
    </row>
  </sheetData>
  <conditionalFormatting sqref="D17:F17 D22:F22 D26:F26">
    <cfRule type="cellIs" dxfId="7" priority="8" operator="lessThan">
      <formula>0</formula>
    </cfRule>
  </conditionalFormatting>
  <conditionalFormatting sqref="D31:F31">
    <cfRule type="cellIs" dxfId="6" priority="7" operator="lessThan">
      <formula>0</formula>
    </cfRule>
  </conditionalFormatting>
  <conditionalFormatting sqref="D36:F36">
    <cfRule type="cellIs" dxfId="5" priority="6" operator="lessThan">
      <formula>0</formula>
    </cfRule>
  </conditionalFormatting>
  <conditionalFormatting sqref="D41:F41">
    <cfRule type="cellIs" dxfId="4" priority="5" operator="lessThan">
      <formula>0</formula>
    </cfRule>
  </conditionalFormatting>
  <conditionalFormatting sqref="D46:F46">
    <cfRule type="cellIs" dxfId="3" priority="4" operator="lessThan">
      <formula>0</formula>
    </cfRule>
  </conditionalFormatting>
  <conditionalFormatting sqref="D51:F51">
    <cfRule type="cellIs" dxfId="2" priority="3" operator="lessThan">
      <formula>0</formula>
    </cfRule>
  </conditionalFormatting>
  <conditionalFormatting sqref="D56:F56">
    <cfRule type="cellIs" dxfId="1" priority="2" operator="lessThan">
      <formula>0</formula>
    </cfRule>
  </conditionalFormatting>
  <conditionalFormatting sqref="D18:F20">
    <cfRule type="cellIs" dxfId="0" priority="1" operator="lessThan">
      <formula>0</formula>
    </cfRule>
  </conditionalFormatting>
  <hyperlinks>
    <hyperlink ref="A1" location="TOC!A1" display="TOC!A1" xr:uid="{00000000-0004-0000-1300-000000000000}"/>
  </hyperlinks>
  <printOptions horizontalCentered="1"/>
  <pageMargins left="0.7" right="0.7" top="0.5" bottom="0.5" header="0.3" footer="0.3"/>
  <pageSetup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pageSetUpPr fitToPage="1"/>
  </sheetPr>
  <dimension ref="A1:AJ41"/>
  <sheetViews>
    <sheetView showGridLines="0" zoomScale="80" zoomScaleNormal="80" workbookViewId="0"/>
  </sheetViews>
  <sheetFormatPr defaultRowHeight="14"/>
  <cols>
    <col min="1" max="1" width="5.54296875" customWidth="1"/>
    <col min="2" max="2" width="3.453125" customWidth="1"/>
    <col min="3" max="3" width="14.1796875" customWidth="1"/>
    <col min="4" max="4" width="12.81640625" customWidth="1"/>
    <col min="5" max="5" width="14" customWidth="1"/>
    <col min="6" max="6" width="16.54296875" customWidth="1"/>
    <col min="7" max="7" width="1.453125" customWidth="1"/>
    <col min="8" max="8" width="10.453125" customWidth="1"/>
    <col min="10" max="10" width="11.54296875" customWidth="1"/>
    <col min="11" max="11" width="11.81640625" customWidth="1"/>
    <col min="12" max="12" width="10.54296875" customWidth="1"/>
    <col min="13" max="13" width="1.54296875" customWidth="1"/>
    <col min="16" max="16" width="9.81640625" customWidth="1"/>
    <col min="17" max="17" width="10.1796875" customWidth="1"/>
    <col min="18" max="18" width="10.453125" customWidth="1"/>
    <col min="20" max="20" width="17.1796875" customWidth="1"/>
    <col min="21" max="21" width="12.453125" customWidth="1"/>
    <col min="22" max="22" width="13.81640625" customWidth="1"/>
    <col min="23" max="23" width="12.1796875" customWidth="1"/>
    <col min="24" max="24" width="11" bestFit="1" customWidth="1"/>
    <col min="31" max="31" width="12.1796875" customWidth="1"/>
  </cols>
  <sheetData>
    <row r="1" spans="1:36" ht="15" thickBot="1">
      <c r="A1" s="239" t="s">
        <v>1</v>
      </c>
      <c r="C1" s="82" t="str">
        <f ca="1">"PWD "&amp;+MID(CELL("filename",A1),FIND("]",CELL("filename",A1))+1,256)</f>
        <v>PWD 2025 Bill Detail</v>
      </c>
    </row>
    <row r="2" spans="1:36" ht="14.5">
      <c r="C2" s="82" t="s">
        <v>12</v>
      </c>
      <c r="H2" s="82" t="s">
        <v>13</v>
      </c>
      <c r="T2" s="82" t="s">
        <v>14</v>
      </c>
      <c r="U2" s="82"/>
      <c r="AB2" s="82" t="s">
        <v>15</v>
      </c>
      <c r="AD2" s="82"/>
    </row>
    <row r="3" spans="1:36" ht="14.5">
      <c r="B3" s="64"/>
      <c r="C3" s="64"/>
      <c r="H3" s="82" t="s">
        <v>2</v>
      </c>
      <c r="I3" s="82"/>
      <c r="J3" s="64"/>
      <c r="K3" s="64"/>
      <c r="L3" s="64"/>
      <c r="M3" s="64"/>
      <c r="N3" s="64"/>
      <c r="O3" s="64"/>
      <c r="P3" s="82"/>
      <c r="T3" s="82" t="s">
        <v>2</v>
      </c>
      <c r="U3" s="82"/>
      <c r="V3" s="64"/>
      <c r="W3" s="64"/>
      <c r="X3" s="64"/>
      <c r="AB3" s="82" t="s">
        <v>2</v>
      </c>
      <c r="AC3" s="82"/>
      <c r="AD3" s="64"/>
      <c r="AE3" s="64"/>
      <c r="AF3" s="64"/>
    </row>
    <row r="4" spans="1:36" ht="14.5">
      <c r="B4" s="64"/>
      <c r="C4" s="64"/>
      <c r="H4" s="64"/>
      <c r="I4" s="81" t="s">
        <v>16</v>
      </c>
      <c r="J4" s="84"/>
      <c r="K4" s="81"/>
      <c r="L4" s="81"/>
      <c r="M4" s="64"/>
      <c r="N4" s="64"/>
      <c r="O4" s="64"/>
      <c r="T4" s="64"/>
      <c r="U4" s="81" t="s">
        <v>16</v>
      </c>
      <c r="V4" s="84"/>
      <c r="W4" s="81"/>
      <c r="X4" s="81"/>
      <c r="AB4" s="64"/>
      <c r="AC4" s="81" t="s">
        <v>16</v>
      </c>
      <c r="AD4" s="84"/>
      <c r="AE4" s="81"/>
      <c r="AF4" s="81"/>
    </row>
    <row r="5" spans="1:36" ht="14.5">
      <c r="B5" s="64"/>
      <c r="C5" s="64"/>
      <c r="E5" s="84"/>
      <c r="H5" s="64"/>
      <c r="I5" s="85" t="str">
        <f>+"430 cf x $("&amp;FIXED(D25,2)&amp;" + "&amp;FIXED(D31,2)&amp;")/1,000 cf="</f>
        <v>430 cf x $(64.32 + 3.87)/1,000 cf=</v>
      </c>
      <c r="J5" s="85"/>
      <c r="K5" s="86"/>
      <c r="L5" s="88">
        <f>'Typical Bills WATER'!U18</f>
        <v>28.98</v>
      </c>
      <c r="M5" s="64"/>
      <c r="N5" s="64"/>
      <c r="O5" s="64"/>
      <c r="P5" s="79"/>
      <c r="T5" s="64"/>
      <c r="U5" s="85" t="str">
        <f>+"300 cf x $("&amp;FIXED(D25,2)&amp;" + "&amp;FIXED(D31,2)&amp;")/1,000 cf="</f>
        <v>300 cf x $(64.32 + 3.87)/1,000 cf=</v>
      </c>
      <c r="V5" s="85"/>
      <c r="W5" s="86"/>
      <c r="X5" s="88">
        <f>ROUND('Typical Bills WATER'!U16,2)</f>
        <v>20.22</v>
      </c>
      <c r="AB5" s="64"/>
      <c r="AC5" s="85" t="str">
        <f>+"550 cf x $("&amp;FIXED(D25,2)&amp;" + "&amp;FIXED(D31,2)&amp;")/1,000 cf="</f>
        <v>550 cf x $(64.32 + 3.87)/1,000 cf=</v>
      </c>
      <c r="AD5" s="85"/>
      <c r="AE5" s="86"/>
      <c r="AF5" s="88">
        <f>'Typical Bills WATER'!U20</f>
        <v>37.07</v>
      </c>
    </row>
    <row r="6" spans="1:36" ht="14.5">
      <c r="B6" s="64"/>
      <c r="C6" s="64"/>
      <c r="H6" s="64"/>
      <c r="I6" s="81"/>
      <c r="J6" s="84"/>
      <c r="K6" s="81"/>
      <c r="L6" s="79"/>
      <c r="M6" s="64"/>
      <c r="N6" s="64"/>
      <c r="O6" s="64"/>
      <c r="T6" s="64"/>
      <c r="U6" s="81"/>
      <c r="V6" s="84"/>
      <c r="W6" s="81"/>
      <c r="X6" s="79"/>
      <c r="AB6" s="64"/>
      <c r="AC6" s="81"/>
      <c r="AD6" s="84"/>
      <c r="AE6" s="81"/>
      <c r="AF6" s="79"/>
      <c r="AJ6" s="79"/>
    </row>
    <row r="7" spans="1:36" ht="14.5">
      <c r="B7" s="64"/>
      <c r="C7" s="64"/>
      <c r="H7" s="64"/>
      <c r="I7" s="81" t="s">
        <v>17</v>
      </c>
      <c r="J7" s="84"/>
      <c r="K7" s="87"/>
      <c r="L7" s="79"/>
      <c r="M7" s="64"/>
      <c r="N7" s="64"/>
      <c r="O7" s="64"/>
      <c r="T7" s="64"/>
      <c r="U7" s="81" t="s">
        <v>17</v>
      </c>
      <c r="V7" s="84"/>
      <c r="W7" s="87"/>
      <c r="X7" s="79"/>
      <c r="AB7" s="64"/>
      <c r="AC7" s="81" t="s">
        <v>17</v>
      </c>
      <c r="AD7" s="84"/>
      <c r="AE7" s="87"/>
      <c r="AF7" s="79"/>
      <c r="AJ7" s="79"/>
    </row>
    <row r="8" spans="1:36" ht="14.5">
      <c r="B8" s="64"/>
      <c r="C8" s="64"/>
      <c r="H8" s="64"/>
      <c r="I8" s="85" t="str">
        <f>"430 cf x $("&amp;FIXED(F25,2)&amp;" + "&amp;FIXED(F31,2)&amp;")/1,000 cf="</f>
        <v>430 cf x $(41.11 + 5.67)/1,000 cf=</v>
      </c>
      <c r="J8" s="85"/>
      <c r="K8" s="86"/>
      <c r="L8" s="88">
        <f>'Typical Bills SANITARY'!S18</f>
        <v>19.57</v>
      </c>
      <c r="M8" s="64"/>
      <c r="N8" s="64"/>
      <c r="O8" s="64"/>
      <c r="P8" s="79"/>
      <c r="T8" s="64"/>
      <c r="U8" s="85" t="str">
        <f>"300 cf x $("&amp;FIXED(F25,2)&amp;" + "&amp;FIXED(F31,2)&amp;")/1,000 cf="</f>
        <v>300 cf x $(41.11 + 5.67)/1,000 cf=</v>
      </c>
      <c r="V8" s="85"/>
      <c r="W8" s="86"/>
      <c r="X8" s="88">
        <f>ROUND('Typical Bills SANITARY'!S16,2)</f>
        <v>13.65</v>
      </c>
      <c r="AB8" s="64"/>
      <c r="AC8" s="85" t="str">
        <f>"550 cf x $("&amp;FIXED(F25,2)&amp;" + "&amp;FIXED(F31,2)&amp;")/1,000 cf="</f>
        <v>550 cf x $(41.11 + 5.67)/1,000 cf=</v>
      </c>
      <c r="AD8" s="85"/>
      <c r="AE8" s="86"/>
      <c r="AF8" s="88">
        <f>'Typical Bills SANITARY'!S20</f>
        <v>25.03</v>
      </c>
    </row>
    <row r="9" spans="1:36" ht="14.5">
      <c r="B9" s="64"/>
      <c r="C9" s="64"/>
      <c r="H9" s="85"/>
      <c r="I9" s="85"/>
      <c r="J9" s="85"/>
      <c r="K9" s="86"/>
      <c r="L9" s="198"/>
      <c r="M9" s="64"/>
      <c r="N9" s="64"/>
      <c r="O9" s="64"/>
      <c r="T9" s="85"/>
      <c r="U9" s="85"/>
      <c r="V9" s="85"/>
      <c r="W9" s="86"/>
      <c r="X9" s="198"/>
      <c r="AB9" s="85"/>
      <c r="AC9" s="85"/>
      <c r="AD9" s="85"/>
      <c r="AE9" s="86"/>
      <c r="AF9" s="198"/>
      <c r="AJ9" s="202"/>
    </row>
    <row r="10" spans="1:36" ht="14.5">
      <c r="B10" s="64"/>
      <c r="C10" s="64"/>
      <c r="H10" s="82" t="s">
        <v>18</v>
      </c>
      <c r="I10" s="82"/>
      <c r="J10" s="64"/>
      <c r="K10" s="64"/>
      <c r="L10" s="170"/>
      <c r="M10" s="64"/>
      <c r="N10" s="64"/>
      <c r="O10" s="64"/>
      <c r="T10" s="82" t="s">
        <v>18</v>
      </c>
      <c r="U10" s="82"/>
      <c r="V10" s="64"/>
      <c r="W10" s="64"/>
      <c r="X10" s="170"/>
      <c r="AB10" s="82" t="s">
        <v>18</v>
      </c>
      <c r="AC10" s="82"/>
      <c r="AD10" s="64"/>
      <c r="AE10" s="64"/>
      <c r="AF10" s="170"/>
      <c r="AJ10" s="170"/>
    </row>
    <row r="11" spans="1:36" ht="14.5">
      <c r="B11" s="64"/>
      <c r="C11" s="64"/>
      <c r="H11" s="64"/>
      <c r="I11" s="81" t="s">
        <v>8</v>
      </c>
      <c r="J11" s="81"/>
      <c r="K11" s="81"/>
      <c r="L11" s="79">
        <f>L25</f>
        <v>12.809999999999999</v>
      </c>
      <c r="M11" s="64"/>
      <c r="N11" s="64"/>
      <c r="O11" s="64"/>
      <c r="P11" s="79"/>
      <c r="T11" s="64"/>
      <c r="U11" s="81" t="s">
        <v>8</v>
      </c>
      <c r="V11" s="81"/>
      <c r="W11" s="81"/>
      <c r="X11" s="79">
        <f>L11</f>
        <v>12.809999999999999</v>
      </c>
      <c r="AB11" s="64"/>
      <c r="AC11" s="81" t="s">
        <v>8</v>
      </c>
      <c r="AD11" s="81"/>
      <c r="AE11" s="81"/>
      <c r="AF11" s="79">
        <f>X11</f>
        <v>12.809999999999999</v>
      </c>
    </row>
    <row r="12" spans="1:36" ht="14.5">
      <c r="B12" s="64"/>
      <c r="C12" s="64"/>
      <c r="H12" s="64"/>
      <c r="I12" s="89" t="s">
        <v>19</v>
      </c>
      <c r="J12" s="81"/>
      <c r="K12" s="81"/>
      <c r="L12" s="79"/>
      <c r="M12" s="64"/>
      <c r="N12" s="64"/>
      <c r="O12" s="64"/>
      <c r="T12" s="64"/>
      <c r="U12" s="89" t="s">
        <v>19</v>
      </c>
      <c r="V12" s="81"/>
      <c r="W12" s="81"/>
      <c r="X12" s="79"/>
      <c r="AB12" s="64"/>
      <c r="AC12" s="89" t="s">
        <v>19</v>
      </c>
      <c r="AD12" s="81"/>
      <c r="AE12" s="81"/>
      <c r="AF12" s="79"/>
      <c r="AJ12" s="79"/>
    </row>
    <row r="13" spans="1:36" ht="14.5">
      <c r="B13" s="64"/>
      <c r="C13" s="64"/>
      <c r="H13" s="78"/>
      <c r="I13" s="90" t="s">
        <v>20</v>
      </c>
      <c r="J13" s="91"/>
      <c r="K13" s="91"/>
      <c r="L13" s="88"/>
      <c r="M13" s="64"/>
      <c r="N13" s="64"/>
      <c r="O13" s="64"/>
      <c r="T13" s="78"/>
      <c r="U13" s="90" t="s">
        <v>20</v>
      </c>
      <c r="V13" s="91"/>
      <c r="W13" s="91"/>
      <c r="X13" s="88"/>
      <c r="AB13" s="78"/>
      <c r="AC13" s="90" t="s">
        <v>20</v>
      </c>
      <c r="AD13" s="91"/>
      <c r="AE13" s="91"/>
      <c r="AF13" s="88"/>
      <c r="AJ13" s="79"/>
    </row>
    <row r="14" spans="1:36" ht="24.75" customHeight="1" thickBot="1">
      <c r="B14" s="64"/>
      <c r="C14" s="64"/>
      <c r="H14" s="83" t="s">
        <v>21</v>
      </c>
      <c r="I14" s="83"/>
      <c r="J14" s="77"/>
      <c r="K14" s="77"/>
      <c r="L14" s="92">
        <f>'Typical Res Bills SW'!D18</f>
        <v>20.41</v>
      </c>
      <c r="M14" s="64"/>
      <c r="N14" s="64"/>
      <c r="O14" s="64"/>
      <c r="P14" s="79"/>
      <c r="T14" s="83" t="s">
        <v>21</v>
      </c>
      <c r="U14" s="83"/>
      <c r="V14" s="77"/>
      <c r="W14" s="77"/>
      <c r="X14" s="92">
        <f>L14</f>
        <v>20.41</v>
      </c>
      <c r="AB14" s="83" t="s">
        <v>21</v>
      </c>
      <c r="AC14" s="83"/>
      <c r="AD14" s="77"/>
      <c r="AE14" s="77"/>
      <c r="AF14" s="92">
        <f>'Typical Non-Res Bills SW'!F20</f>
        <v>62.474000000000004</v>
      </c>
    </row>
    <row r="15" spans="1:36" ht="15" thickTop="1">
      <c r="B15" s="64"/>
      <c r="C15" s="64"/>
      <c r="D15" s="64"/>
      <c r="E15" s="64"/>
      <c r="F15" s="64"/>
      <c r="G15" s="64"/>
      <c r="H15" s="82" t="s">
        <v>9</v>
      </c>
      <c r="I15" s="82"/>
      <c r="J15" s="64"/>
      <c r="K15" s="64"/>
      <c r="L15" s="80">
        <f>SUM(L5:L14)</f>
        <v>81.77</v>
      </c>
      <c r="M15" s="64"/>
      <c r="N15" s="64"/>
      <c r="O15" s="64"/>
      <c r="P15" s="80"/>
      <c r="T15" s="82" t="s">
        <v>9</v>
      </c>
      <c r="U15" s="82"/>
      <c r="V15" s="64"/>
      <c r="W15" s="64"/>
      <c r="X15" s="80">
        <f>SUM(X5:X14)</f>
        <v>67.089999999999989</v>
      </c>
      <c r="AB15" s="82" t="s">
        <v>9</v>
      </c>
      <c r="AC15" s="82"/>
      <c r="AD15" s="64"/>
      <c r="AE15" s="64"/>
      <c r="AF15" s="80">
        <f>SUM(AF5:AF14)</f>
        <v>137.38400000000001</v>
      </c>
      <c r="AJ15" s="80"/>
    </row>
    <row r="16" spans="1:36" ht="14.5">
      <c r="B16" s="64"/>
      <c r="C16" s="64"/>
      <c r="D16" s="64"/>
      <c r="E16" s="64"/>
      <c r="F16" s="64"/>
      <c r="G16" s="64"/>
      <c r="H16" s="89" t="s">
        <v>22</v>
      </c>
      <c r="I16" s="81"/>
      <c r="J16" s="81"/>
      <c r="K16" s="64"/>
      <c r="L16" s="64"/>
      <c r="M16" s="64"/>
      <c r="N16" s="64"/>
      <c r="O16" s="64"/>
      <c r="T16" s="89" t="s">
        <v>22</v>
      </c>
      <c r="U16" s="81"/>
      <c r="V16" s="81"/>
      <c r="W16" s="64"/>
      <c r="X16" s="64"/>
    </row>
    <row r="17" spans="2:24" ht="15" thickBot="1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T17" s="83" t="s">
        <v>23</v>
      </c>
      <c r="U17" s="83"/>
      <c r="V17" s="83"/>
      <c r="W17" s="83"/>
      <c r="X17" s="201">
        <f>-ROUND(X15*0.25,2)</f>
        <v>-16.77</v>
      </c>
    </row>
    <row r="18" spans="2:24" ht="15" thickTop="1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T18" s="82" t="s">
        <v>24</v>
      </c>
      <c r="X18" s="80">
        <f>X15+X17</f>
        <v>50.319999999999993</v>
      </c>
    </row>
    <row r="19" spans="2:24" ht="14.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24" ht="15.5">
      <c r="B20" s="64"/>
      <c r="C20" s="136" t="s">
        <v>25</v>
      </c>
      <c r="D20" s="67"/>
      <c r="E20" s="68"/>
      <c r="F20" s="68"/>
      <c r="G20" s="64"/>
      <c r="H20" s="136" t="s">
        <v>26</v>
      </c>
      <c r="I20" s="67"/>
      <c r="J20" s="68"/>
      <c r="K20" s="68"/>
      <c r="L20" s="68"/>
      <c r="M20" s="64"/>
      <c r="N20" s="136" t="s">
        <v>26</v>
      </c>
      <c r="O20" s="67"/>
      <c r="P20" s="68"/>
      <c r="Q20" s="68"/>
      <c r="R20" s="68"/>
    </row>
    <row r="21" spans="2:24" ht="15.5">
      <c r="B21" s="64"/>
      <c r="C21" s="138"/>
      <c r="D21" s="65"/>
      <c r="E21" s="66"/>
      <c r="F21" s="66"/>
      <c r="G21" s="64"/>
      <c r="H21" s="65"/>
      <c r="I21" s="65"/>
      <c r="J21" s="66"/>
      <c r="K21" s="66"/>
      <c r="L21" s="66"/>
      <c r="M21" s="64"/>
      <c r="N21" s="137" t="s">
        <v>27</v>
      </c>
      <c r="O21" s="65"/>
      <c r="P21" s="66"/>
      <c r="Q21" s="66"/>
      <c r="R21" s="66"/>
    </row>
    <row r="22" spans="2:24" ht="15.5">
      <c r="B22" s="64"/>
      <c r="C22" s="137" t="s">
        <v>28</v>
      </c>
      <c r="D22" s="65"/>
      <c r="E22" s="66"/>
      <c r="F22" s="66"/>
      <c r="G22" s="64"/>
      <c r="H22" s="137" t="s">
        <v>29</v>
      </c>
      <c r="I22" s="65"/>
      <c r="J22" s="66"/>
      <c r="K22" s="66"/>
      <c r="L22" s="66"/>
      <c r="M22" s="64"/>
      <c r="N22" s="137" t="s">
        <v>30</v>
      </c>
      <c r="O22" s="66"/>
      <c r="P22" s="66"/>
      <c r="Q22" s="66"/>
      <c r="R22" s="66"/>
    </row>
    <row r="23" spans="2:24" ht="15.5">
      <c r="B23" s="64"/>
      <c r="C23" s="66"/>
      <c r="D23" s="66"/>
      <c r="E23" s="66"/>
      <c r="F23" s="66"/>
      <c r="G23" s="64"/>
      <c r="H23" s="66"/>
      <c r="I23" s="66"/>
      <c r="J23" s="66"/>
      <c r="K23" s="66"/>
      <c r="L23" s="66"/>
      <c r="M23" s="64"/>
      <c r="N23" s="65"/>
      <c r="O23" s="65"/>
      <c r="P23" s="66"/>
      <c r="Q23" s="66"/>
      <c r="R23" s="66"/>
    </row>
    <row r="24" spans="2:24" ht="67.5" customHeight="1">
      <c r="B24" s="64"/>
      <c r="C24" s="94" t="s">
        <v>31</v>
      </c>
      <c r="D24" s="95" t="s">
        <v>32</v>
      </c>
      <c r="E24" s="95" t="s">
        <v>31</v>
      </c>
      <c r="F24" s="95" t="s">
        <v>33</v>
      </c>
      <c r="G24" s="64"/>
      <c r="H24" s="94" t="s">
        <v>34</v>
      </c>
      <c r="I24" s="95" t="s">
        <v>35</v>
      </c>
      <c r="J24" s="95" t="s">
        <v>36</v>
      </c>
      <c r="K24" s="95" t="s">
        <v>37</v>
      </c>
      <c r="L24" s="93" t="s">
        <v>38</v>
      </c>
      <c r="M24" s="64"/>
      <c r="N24" s="467" t="str">
        <f>"Water service charges for customers with residential fire services are $"&amp;'Water Charges'!D124&amp;" higher for all meter sizes although the sewer service charges are the same as a residential customer with a 5/8 inch meter without a fire service. Please see the chart below if you have a residential fire service."</f>
        <v>Water service charges for customers with residential fire services are $2.08 higher for all meter sizes although the sewer service charges are the same as a residential customer with a 5/8 inch meter without a fire service. Please see the chart below if you have a residential fire service.</v>
      </c>
      <c r="O24" s="467"/>
      <c r="P24" s="467"/>
      <c r="Q24" s="467"/>
      <c r="R24" s="467"/>
    </row>
    <row r="25" spans="2:24" ht="29">
      <c r="B25" s="69"/>
      <c r="C25" s="70" t="s">
        <v>39</v>
      </c>
      <c r="D25" s="71">
        <f>'Water Charges'!D33</f>
        <v>64.319999999999993</v>
      </c>
      <c r="E25" s="72" t="s">
        <v>40</v>
      </c>
      <c r="F25" s="71">
        <f>'Wastewater Charges'!E35</f>
        <v>41.11</v>
      </c>
      <c r="G25" s="64"/>
      <c r="H25" s="75" t="s">
        <v>41</v>
      </c>
      <c r="I25" s="75" t="s">
        <v>42</v>
      </c>
      <c r="J25" s="71">
        <f>'Water Charges'!D13</f>
        <v>5.17</v>
      </c>
      <c r="K25" s="71">
        <f>'Wastewater Charges'!E15</f>
        <v>7.64</v>
      </c>
      <c r="L25" s="96">
        <f>SUM(J25,K25)</f>
        <v>12.809999999999999</v>
      </c>
      <c r="M25" s="64"/>
      <c r="N25" s="65"/>
      <c r="O25" s="65"/>
      <c r="P25" s="66"/>
      <c r="Q25" s="66"/>
      <c r="R25" s="66"/>
    </row>
    <row r="26" spans="2:24" ht="15.5">
      <c r="B26" s="69"/>
      <c r="C26" s="73" t="s">
        <v>43</v>
      </c>
      <c r="D26" s="71">
        <f>'Water Charges'!D34</f>
        <v>57.88</v>
      </c>
      <c r="E26" s="74"/>
      <c r="F26" s="74"/>
      <c r="G26" s="64"/>
      <c r="H26" s="75" t="s">
        <v>44</v>
      </c>
      <c r="I26" s="75" t="s">
        <v>45</v>
      </c>
      <c r="J26" s="71">
        <f>'Water Charges'!D14</f>
        <v>5.7</v>
      </c>
      <c r="K26" s="71">
        <f>'Wastewater Charges'!E16</f>
        <v>9.7899999999999991</v>
      </c>
      <c r="L26" s="71">
        <f t="shared" ref="L26:L35" si="0">SUM(J26,K26)</f>
        <v>15.489999999999998</v>
      </c>
      <c r="M26" s="64"/>
      <c r="N26" s="65"/>
      <c r="O26" s="65"/>
      <c r="P26" s="66"/>
      <c r="Q26" s="66"/>
      <c r="R26" s="66"/>
    </row>
    <row r="27" spans="2:24" ht="15.5">
      <c r="B27" s="69"/>
      <c r="C27" s="73" t="s">
        <v>46</v>
      </c>
      <c r="D27" s="71">
        <f>'Water Charges'!D35</f>
        <v>44.84</v>
      </c>
      <c r="E27" s="98" t="s">
        <v>47</v>
      </c>
      <c r="F27" s="99" t="s">
        <v>48</v>
      </c>
      <c r="G27" s="64"/>
      <c r="H27" s="75">
        <v>1</v>
      </c>
      <c r="I27" s="75" t="s">
        <v>49</v>
      </c>
      <c r="J27" s="71">
        <f>'Water Charges'!D15</f>
        <v>7.19</v>
      </c>
      <c r="K27" s="71">
        <f>'Wastewater Charges'!E17</f>
        <v>14.43</v>
      </c>
      <c r="L27" s="71">
        <f t="shared" si="0"/>
        <v>21.62</v>
      </c>
      <c r="M27" s="64"/>
      <c r="N27" s="137" t="s">
        <v>50</v>
      </c>
      <c r="O27" s="65"/>
      <c r="P27" s="66"/>
      <c r="Q27" s="66"/>
      <c r="R27" s="66"/>
      <c r="T27" s="139" t="s">
        <v>13</v>
      </c>
      <c r="U27" s="102"/>
      <c r="V27" s="102"/>
      <c r="W27" s="102"/>
    </row>
    <row r="28" spans="2:24" ht="15.5">
      <c r="B28" s="69"/>
      <c r="C28" s="70" t="s">
        <v>51</v>
      </c>
      <c r="D28" s="71">
        <f>'Water Charges'!D36</f>
        <v>43.62</v>
      </c>
      <c r="E28" s="66"/>
      <c r="F28" s="99" t="s">
        <v>52</v>
      </c>
      <c r="G28" s="64"/>
      <c r="H28" s="76" t="s">
        <v>53</v>
      </c>
      <c r="I28" s="75" t="s">
        <v>54</v>
      </c>
      <c r="J28" s="71">
        <f>'Water Charges'!D17</f>
        <v>10.29</v>
      </c>
      <c r="K28" s="71">
        <f>'Wastewater Charges'!E19</f>
        <v>25.53</v>
      </c>
      <c r="L28" s="71">
        <f t="shared" si="0"/>
        <v>35.82</v>
      </c>
      <c r="M28" s="64"/>
      <c r="N28" s="137" t="s">
        <v>55</v>
      </c>
      <c r="O28" s="66"/>
      <c r="P28" s="66"/>
      <c r="Q28" s="66"/>
      <c r="R28" s="66"/>
      <c r="T28" s="139" t="s">
        <v>56</v>
      </c>
      <c r="U28" s="102"/>
      <c r="V28" s="102"/>
      <c r="W28" s="102"/>
    </row>
    <row r="29" spans="2:24" ht="39.5">
      <c r="B29" s="64"/>
      <c r="C29" s="140" t="s">
        <v>57</v>
      </c>
      <c r="D29" s="66"/>
      <c r="E29" s="66"/>
      <c r="F29" s="66"/>
      <c r="G29" s="64"/>
      <c r="H29" s="76">
        <v>2</v>
      </c>
      <c r="I29" s="76" t="s">
        <v>58</v>
      </c>
      <c r="J29" s="71">
        <f>'Water Charges'!D18</f>
        <v>14.75</v>
      </c>
      <c r="K29" s="71">
        <f>'Wastewater Charges'!E20</f>
        <v>39.44</v>
      </c>
      <c r="L29" s="71">
        <f t="shared" si="0"/>
        <v>54.19</v>
      </c>
      <c r="M29" s="64"/>
      <c r="N29" s="94" t="s">
        <v>34</v>
      </c>
      <c r="O29" s="95" t="s">
        <v>35</v>
      </c>
      <c r="P29" s="95" t="s">
        <v>36</v>
      </c>
      <c r="Q29" s="95" t="s">
        <v>37</v>
      </c>
      <c r="R29" s="93" t="s">
        <v>59</v>
      </c>
      <c r="T29" s="94" t="s">
        <v>60</v>
      </c>
      <c r="U29" s="95" t="s">
        <v>9</v>
      </c>
      <c r="V29" s="95" t="s">
        <v>61</v>
      </c>
      <c r="W29" s="95" t="s">
        <v>62</v>
      </c>
    </row>
    <row r="30" spans="2:24" ht="39.5">
      <c r="B30" s="64"/>
      <c r="C30" s="94" t="s">
        <v>31</v>
      </c>
      <c r="D30" s="95" t="s">
        <v>63</v>
      </c>
      <c r="E30" s="95" t="s">
        <v>31</v>
      </c>
      <c r="F30" s="95" t="s">
        <v>64</v>
      </c>
      <c r="G30" s="64"/>
      <c r="H30" s="76">
        <v>3</v>
      </c>
      <c r="I30" s="76" t="s">
        <v>65</v>
      </c>
      <c r="J30" s="71">
        <f>'Water Charges'!D19</f>
        <v>24.33</v>
      </c>
      <c r="K30" s="71">
        <f>'Wastewater Charges'!E21</f>
        <v>71.260000000000005</v>
      </c>
      <c r="L30" s="71">
        <f t="shared" si="0"/>
        <v>95.59</v>
      </c>
      <c r="M30" s="64"/>
      <c r="N30" s="75" t="s">
        <v>44</v>
      </c>
      <c r="O30" s="75" t="s">
        <v>45</v>
      </c>
      <c r="P30" s="71">
        <f>'Water Charges'!D103</f>
        <v>9.27</v>
      </c>
      <c r="Q30" s="71">
        <f>'2025 Bill Detail'!K$25</f>
        <v>7.64</v>
      </c>
      <c r="R30" s="96">
        <f>SUM(P30,Q30)</f>
        <v>16.91</v>
      </c>
      <c r="S30" s="229"/>
      <c r="T30" s="103" t="s">
        <v>66</v>
      </c>
      <c r="U30" s="105" t="s">
        <v>67</v>
      </c>
      <c r="V30" s="105"/>
      <c r="W30" s="104"/>
    </row>
    <row r="31" spans="2:24" ht="29">
      <c r="C31" s="72" t="s">
        <v>40</v>
      </c>
      <c r="D31" s="71">
        <f>'Water Charges'!E42</f>
        <v>3.87</v>
      </c>
      <c r="E31" s="72" t="s">
        <v>40</v>
      </c>
      <c r="F31" s="71">
        <f>'Wastewater Charges'!F45</f>
        <v>5.67</v>
      </c>
      <c r="H31" s="76">
        <v>4</v>
      </c>
      <c r="I31" s="76" t="s">
        <v>68</v>
      </c>
      <c r="J31" s="71">
        <f>'Water Charges'!D20</f>
        <v>43.28</v>
      </c>
      <c r="K31" s="71">
        <f>'Wastewater Charges'!E22</f>
        <v>120.98</v>
      </c>
      <c r="L31" s="71">
        <f t="shared" si="0"/>
        <v>164.26</v>
      </c>
      <c r="N31" s="75">
        <v>1</v>
      </c>
      <c r="O31" s="75" t="s">
        <v>49</v>
      </c>
      <c r="P31" s="71">
        <f>'Water Charges'!D104</f>
        <v>10.76</v>
      </c>
      <c r="Q31" s="71">
        <f>'2025 Bill Detail'!K$25</f>
        <v>7.64</v>
      </c>
      <c r="R31" s="71">
        <f>SUM(P31,Q31)</f>
        <v>18.399999999999999</v>
      </c>
      <c r="S31" s="229"/>
      <c r="T31" s="103" t="str">
        <f>"Rates Effective "&amp;TEXT(Inputs!$C$6,"mmmm dd, yyyy")</f>
        <v>Rates Effective September 01, 2024</v>
      </c>
      <c r="U31" s="105">
        <f>'Typical Res Bills TOTAL'!D20</f>
        <v>81.77</v>
      </c>
      <c r="V31" s="105" t="s">
        <v>67</v>
      </c>
      <c r="W31" s="135" t="s">
        <v>67</v>
      </c>
    </row>
    <row r="32" spans="2:24" ht="15.5">
      <c r="C32" s="137" t="s">
        <v>69</v>
      </c>
      <c r="D32" s="65"/>
      <c r="E32" s="66"/>
      <c r="F32" s="66"/>
      <c r="H32" s="76">
        <v>6</v>
      </c>
      <c r="I32" s="76" t="s">
        <v>70</v>
      </c>
      <c r="J32" s="71">
        <f>'Water Charges'!D21</f>
        <v>82.46</v>
      </c>
      <c r="K32" s="71">
        <f>'Wastewater Charges'!E23</f>
        <v>238.64</v>
      </c>
      <c r="L32" s="71">
        <f t="shared" si="0"/>
        <v>321.09999999999997</v>
      </c>
      <c r="N32" s="76" t="s">
        <v>53</v>
      </c>
      <c r="O32" s="75" t="s">
        <v>54</v>
      </c>
      <c r="P32" s="71">
        <f>'Water Charges'!D105</f>
        <v>13.86</v>
      </c>
      <c r="Q32" s="71">
        <f>'2025 Bill Detail'!K$25</f>
        <v>7.64</v>
      </c>
      <c r="R32" s="71">
        <f>SUM(P32,Q32)</f>
        <v>21.5</v>
      </c>
      <c r="S32" s="229"/>
      <c r="T32" s="97" t="s">
        <v>71</v>
      </c>
      <c r="U32" s="66"/>
      <c r="V32" s="66"/>
      <c r="W32" s="66" t="s">
        <v>72</v>
      </c>
    </row>
    <row r="33" spans="3:23" ht="14.5">
      <c r="C33" s="100" t="s">
        <v>73</v>
      </c>
      <c r="D33" s="66"/>
      <c r="E33" s="100" t="s">
        <v>74</v>
      </c>
      <c r="F33" s="66"/>
      <c r="H33" s="76">
        <v>8</v>
      </c>
      <c r="I33" s="76" t="s">
        <v>75</v>
      </c>
      <c r="J33" s="71">
        <f>'Water Charges'!D22</f>
        <v>127.03</v>
      </c>
      <c r="K33" s="71">
        <f>'Wastewater Charges'!E24</f>
        <v>377.82</v>
      </c>
      <c r="L33" s="71">
        <f t="shared" si="0"/>
        <v>504.85</v>
      </c>
      <c r="N33" s="76">
        <v>2</v>
      </c>
      <c r="O33" s="76" t="s">
        <v>58</v>
      </c>
      <c r="P33" s="71">
        <f>'Water Charges'!D106</f>
        <v>18.32</v>
      </c>
      <c r="Q33" s="71">
        <f>'2025 Bill Detail'!K$25</f>
        <v>7.64</v>
      </c>
      <c r="R33" s="71">
        <f>SUM(P33,Q33)</f>
        <v>25.96</v>
      </c>
      <c r="S33" s="229"/>
      <c r="T33" s="97" t="s">
        <v>76</v>
      </c>
      <c r="U33" s="97"/>
      <c r="V33" s="97"/>
      <c r="W33" s="97"/>
    </row>
    <row r="34" spans="3:23" ht="14.5">
      <c r="C34" s="100" t="s">
        <v>77</v>
      </c>
      <c r="D34" s="66"/>
      <c r="E34" s="100" t="s">
        <v>78</v>
      </c>
      <c r="F34" s="66"/>
      <c r="H34" s="76">
        <v>10</v>
      </c>
      <c r="I34" s="76" t="s">
        <v>79</v>
      </c>
      <c r="J34" s="71">
        <f>'Water Charges'!D23</f>
        <v>185.16</v>
      </c>
      <c r="K34" s="71">
        <f>'Wastewater Charges'!E25</f>
        <v>545.20000000000005</v>
      </c>
      <c r="L34" s="71">
        <f t="shared" si="0"/>
        <v>730.36</v>
      </c>
      <c r="N34" s="66"/>
      <c r="O34" s="66"/>
      <c r="P34" s="66"/>
      <c r="Q34" s="66"/>
      <c r="R34" s="66"/>
      <c r="T34" s="97" t="s">
        <v>80</v>
      </c>
      <c r="U34" s="97"/>
      <c r="V34" s="97"/>
      <c r="W34" s="97"/>
    </row>
    <row r="35" spans="3:23" ht="14.5">
      <c r="C35" s="101">
        <f>'Wastewater Charges'!E51</f>
        <v>0.45</v>
      </c>
      <c r="D35" s="66"/>
      <c r="E35" s="101">
        <f>'Wastewater Charges'!E52</f>
        <v>0.45800000000000002</v>
      </c>
      <c r="F35" s="66"/>
      <c r="H35" s="76">
        <v>12</v>
      </c>
      <c r="I35" s="76" t="s">
        <v>81</v>
      </c>
      <c r="J35" s="71">
        <f>'Water Charges'!D24</f>
        <v>313.27</v>
      </c>
      <c r="K35" s="71">
        <f>'Wastewater Charges'!E26</f>
        <v>992.49</v>
      </c>
      <c r="L35" s="71">
        <f t="shared" si="0"/>
        <v>1305.76</v>
      </c>
      <c r="N35" s="97"/>
      <c r="O35" s="97"/>
      <c r="P35" s="141"/>
      <c r="Q35" s="97"/>
      <c r="R35" s="66"/>
      <c r="T35" s="97" t="s">
        <v>82</v>
      </c>
      <c r="U35" s="97"/>
      <c r="V35" s="97"/>
      <c r="W35" s="97"/>
    </row>
    <row r="36" spans="3:23" ht="14.5">
      <c r="C36" s="97" t="s">
        <v>83</v>
      </c>
      <c r="D36" s="97"/>
      <c r="E36" s="97" t="s">
        <v>83</v>
      </c>
      <c r="F36" s="66"/>
      <c r="H36" s="66"/>
      <c r="I36" s="66"/>
      <c r="J36" s="66"/>
      <c r="K36" s="66"/>
      <c r="L36" s="66"/>
      <c r="N36" s="97"/>
      <c r="O36" s="97"/>
      <c r="P36" s="141"/>
      <c r="Q36" s="97"/>
      <c r="R36" s="66"/>
    </row>
    <row r="37" spans="3:23" ht="14.5">
      <c r="C37" s="97" t="s">
        <v>84</v>
      </c>
      <c r="D37" s="97"/>
      <c r="E37" s="97" t="s">
        <v>85</v>
      </c>
      <c r="F37" s="66"/>
      <c r="H37" s="97" t="s">
        <v>86</v>
      </c>
      <c r="I37" s="97"/>
      <c r="J37" s="97"/>
      <c r="K37" s="97"/>
      <c r="L37" s="66"/>
      <c r="N37" s="97"/>
      <c r="O37" s="97"/>
      <c r="P37" s="141"/>
      <c r="Q37" s="97"/>
      <c r="R37" s="66"/>
    </row>
    <row r="38" spans="3:23" ht="14.5">
      <c r="C38" s="97" t="s">
        <v>87</v>
      </c>
      <c r="D38" s="66"/>
      <c r="E38" s="97" t="s">
        <v>88</v>
      </c>
      <c r="F38" s="66"/>
      <c r="H38" s="97"/>
      <c r="I38" s="97"/>
      <c r="J38" s="97"/>
      <c r="K38" s="97"/>
      <c r="L38" s="66"/>
      <c r="N38" s="97"/>
      <c r="O38" s="97"/>
      <c r="P38" s="141"/>
      <c r="Q38" s="97"/>
      <c r="R38" s="66"/>
    </row>
    <row r="39" spans="3:23" ht="14.5">
      <c r="C39" s="97" t="s">
        <v>89</v>
      </c>
      <c r="D39" s="66"/>
      <c r="E39" s="98" t="s">
        <v>90</v>
      </c>
      <c r="F39" s="99" t="s">
        <v>91</v>
      </c>
      <c r="H39" s="97"/>
      <c r="I39" s="97"/>
      <c r="J39" s="97"/>
      <c r="K39" s="97"/>
      <c r="L39" s="66"/>
      <c r="N39" s="97"/>
      <c r="O39" s="97"/>
      <c r="P39" s="141"/>
      <c r="Q39" s="97"/>
      <c r="R39" s="66"/>
    </row>
    <row r="40" spans="3:23" ht="14.5">
      <c r="C40" s="97"/>
      <c r="D40" s="66"/>
      <c r="E40" s="98"/>
      <c r="F40" s="99"/>
      <c r="H40" s="97"/>
      <c r="I40" s="97"/>
      <c r="J40" s="97"/>
      <c r="K40" s="97"/>
      <c r="L40" s="66"/>
      <c r="N40" s="97"/>
      <c r="O40" s="97"/>
      <c r="P40" s="97"/>
      <c r="Q40" s="97"/>
      <c r="R40" s="66"/>
    </row>
    <row r="41" spans="3:23" ht="31.4" customHeight="1">
      <c r="C41" s="468" t="s">
        <v>92</v>
      </c>
      <c r="D41" s="468"/>
      <c r="E41" s="468"/>
      <c r="F41" s="468"/>
      <c r="H41" s="97"/>
      <c r="I41" s="97"/>
      <c r="J41" s="97"/>
      <c r="K41" s="97"/>
      <c r="L41" s="66"/>
      <c r="N41" s="97"/>
      <c r="O41" s="97"/>
      <c r="P41" s="97"/>
      <c r="Q41" s="97"/>
      <c r="R41" s="66"/>
    </row>
  </sheetData>
  <mergeCells count="2">
    <mergeCell ref="N24:R24"/>
    <mergeCell ref="C41:F41"/>
  </mergeCells>
  <hyperlinks>
    <hyperlink ref="A1" location="TOC!A1" display="TOC!A1" xr:uid="{00000000-0004-0000-0200-000000000000}"/>
  </hyperlinks>
  <pageMargins left="0.25" right="0.25" top="0.75" bottom="0.75" header="0.3" footer="0.3"/>
  <pageSetup scale="40" orientation="landscape" r:id="rId1"/>
  <ignoredErrors>
    <ignoredError sqref="N32 H2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K41"/>
  <sheetViews>
    <sheetView showGridLines="0" zoomScale="80" zoomScaleNormal="80" workbookViewId="0"/>
  </sheetViews>
  <sheetFormatPr defaultRowHeight="14"/>
  <cols>
    <col min="1" max="1" width="5.54296875" customWidth="1"/>
    <col min="2" max="2" width="3.453125" customWidth="1"/>
    <col min="3" max="3" width="14.1796875" customWidth="1"/>
    <col min="4" max="4" width="12.81640625" customWidth="1"/>
    <col min="5" max="5" width="14" customWidth="1"/>
    <col min="6" max="6" width="16.54296875" customWidth="1"/>
    <col min="7" max="7" width="1.453125" customWidth="1"/>
    <col min="8" max="8" width="10.453125" customWidth="1"/>
    <col min="10" max="10" width="11.54296875" customWidth="1"/>
    <col min="11" max="11" width="11.81640625" customWidth="1"/>
    <col min="12" max="12" width="10.54296875" customWidth="1"/>
    <col min="13" max="13" width="1.54296875" customWidth="1"/>
    <col min="16" max="16" width="9.81640625" customWidth="1"/>
    <col min="17" max="17" width="10.1796875" customWidth="1"/>
    <col min="18" max="18" width="10.453125" customWidth="1"/>
    <col min="20" max="20" width="17.1796875" customWidth="1"/>
    <col min="21" max="21" width="12.453125" customWidth="1"/>
    <col min="22" max="22" width="13.81640625" customWidth="1"/>
    <col min="23" max="23" width="12.1796875" customWidth="1"/>
    <col min="24" max="24" width="11" bestFit="1" customWidth="1"/>
  </cols>
  <sheetData>
    <row r="1" spans="1:37" ht="15" thickBot="1">
      <c r="A1" s="239" t="s">
        <v>1</v>
      </c>
      <c r="C1" s="82" t="str">
        <f ca="1">"PWD "&amp;+MID(CELL("filename",A1),FIND("]",CELL("filename",A1))+1,256)</f>
        <v>PWD 2026 Bill Detail</v>
      </c>
    </row>
    <row r="2" spans="1:37" ht="14.5">
      <c r="H2" s="82" t="s">
        <v>13</v>
      </c>
      <c r="T2" s="82" t="s">
        <v>14</v>
      </c>
      <c r="U2" s="82"/>
      <c r="AB2" s="82" t="s">
        <v>15</v>
      </c>
      <c r="AD2" s="82"/>
      <c r="AH2" s="82"/>
      <c r="AI2" s="82"/>
      <c r="AK2" s="82"/>
    </row>
    <row r="3" spans="1:37" ht="14.5">
      <c r="B3" s="64"/>
      <c r="C3" s="64"/>
      <c r="H3" s="82" t="s">
        <v>2</v>
      </c>
      <c r="I3" s="82"/>
      <c r="J3" s="64"/>
      <c r="K3" s="64"/>
      <c r="L3" s="64"/>
      <c r="M3" s="64"/>
      <c r="N3" s="64"/>
      <c r="O3" s="64"/>
      <c r="P3" s="82"/>
      <c r="T3" s="82" t="s">
        <v>2</v>
      </c>
      <c r="U3" s="82"/>
      <c r="V3" s="64"/>
      <c r="W3" s="64"/>
      <c r="X3" s="64"/>
      <c r="AB3" s="82" t="s">
        <v>2</v>
      </c>
      <c r="AC3" s="82"/>
      <c r="AD3" s="64"/>
      <c r="AE3" s="64"/>
      <c r="AF3" s="64"/>
      <c r="AH3" s="82"/>
      <c r="AI3" s="82"/>
    </row>
    <row r="4" spans="1:37" ht="14.5">
      <c r="B4" s="64"/>
      <c r="C4" s="64"/>
      <c r="H4" s="64"/>
      <c r="I4" s="81" t="s">
        <v>16</v>
      </c>
      <c r="J4" s="84"/>
      <c r="K4" s="81"/>
      <c r="L4" s="81"/>
      <c r="M4" s="64"/>
      <c r="N4" s="64"/>
      <c r="O4" s="64"/>
      <c r="T4" s="64"/>
      <c r="U4" s="81" t="s">
        <v>16</v>
      </c>
      <c r="V4" s="84"/>
      <c r="W4" s="81"/>
      <c r="X4" s="81"/>
      <c r="AB4" s="64"/>
      <c r="AC4" s="81" t="s">
        <v>16</v>
      </c>
      <c r="AD4" s="84"/>
      <c r="AE4" s="81"/>
      <c r="AF4" s="81"/>
    </row>
    <row r="5" spans="1:37" ht="14.5">
      <c r="B5" s="64"/>
      <c r="C5" s="64"/>
      <c r="H5" s="64"/>
      <c r="I5" s="85" t="str">
        <f>+"430 cf x $("&amp;FIXED(D25,2)&amp;" + "&amp;FIXED(D31,2)&amp;")/1,000 cf="</f>
        <v>430 cf x $(72.45 + 3.87)/1,000 cf=</v>
      </c>
      <c r="J5" s="85"/>
      <c r="K5" s="86"/>
      <c r="L5" s="88">
        <f>'Typical Bills WATER'!V18</f>
        <v>32.82</v>
      </c>
      <c r="M5" s="64"/>
      <c r="N5" s="64"/>
      <c r="O5" s="64"/>
      <c r="P5" s="79"/>
      <c r="T5" s="64"/>
      <c r="U5" s="85" t="str">
        <f>+"300 cf x $("&amp;FIXED(D25,2)&amp;" + "&amp;FIXED(D31,2)&amp;")/1,000 cf="</f>
        <v>300 cf x $(72.45 + 3.87)/1,000 cf=</v>
      </c>
      <c r="V5" s="85"/>
      <c r="W5" s="86"/>
      <c r="X5" s="198">
        <f>ROUND('Typical Bills WATER'!V16,2)</f>
        <v>22.9</v>
      </c>
      <c r="Y5" s="244"/>
      <c r="AB5" s="64"/>
      <c r="AC5" s="85" t="str">
        <f>+"550 cf x $("&amp;FIXED(D25,2)&amp;" + "&amp;FIXED(D31,2)&amp;")/1,000 cf="</f>
        <v>550 cf x $(72.45 + 3.87)/1,000 cf=</v>
      </c>
      <c r="AD5" s="85"/>
      <c r="AE5" s="86"/>
      <c r="AF5" s="198">
        <f>ROUND('Typical Bills WATER'!V20,2)</f>
        <v>41.98</v>
      </c>
      <c r="AI5" s="79"/>
    </row>
    <row r="6" spans="1:37" ht="14.5">
      <c r="B6" s="64"/>
      <c r="C6" s="64"/>
      <c r="H6" s="64"/>
      <c r="I6" s="81"/>
      <c r="J6" s="84"/>
      <c r="K6" s="81"/>
      <c r="L6" s="79"/>
      <c r="M6" s="64"/>
      <c r="N6" s="64"/>
      <c r="O6" s="64"/>
      <c r="T6" s="64"/>
      <c r="U6" s="81"/>
      <c r="V6" s="84"/>
      <c r="W6" s="81"/>
      <c r="X6" s="79"/>
      <c r="AB6" s="64"/>
      <c r="AC6" s="81"/>
      <c r="AD6" s="84"/>
      <c r="AE6" s="81"/>
      <c r="AF6" s="79"/>
      <c r="AH6" s="79"/>
      <c r="AK6" s="79"/>
    </row>
    <row r="7" spans="1:37" ht="14.5">
      <c r="B7" s="64"/>
      <c r="C7" s="64"/>
      <c r="H7" s="64"/>
      <c r="I7" s="81" t="s">
        <v>17</v>
      </c>
      <c r="J7" s="84"/>
      <c r="K7" s="87"/>
      <c r="L7" s="79"/>
      <c r="M7" s="64"/>
      <c r="N7" s="64"/>
      <c r="O7" s="64"/>
      <c r="T7" s="64"/>
      <c r="U7" s="81" t="s">
        <v>17</v>
      </c>
      <c r="V7" s="84"/>
      <c r="W7" s="87"/>
      <c r="X7" s="79"/>
      <c r="AB7" s="64"/>
      <c r="AC7" s="81" t="s">
        <v>17</v>
      </c>
      <c r="AD7" s="84"/>
      <c r="AE7" s="87"/>
      <c r="AF7" s="79"/>
      <c r="AH7" s="79"/>
      <c r="AK7" s="79"/>
    </row>
    <row r="8" spans="1:37" ht="14.5">
      <c r="B8" s="64"/>
      <c r="C8" s="64"/>
      <c r="H8" s="64"/>
      <c r="I8" s="85" t="str">
        <f>"430 cf x $("&amp;FIXED(F25,2)&amp;" + "&amp;FIXED(F31,2)&amp;")/1,000 cf="</f>
        <v>430 cf x $(47.39 + 5.67)/1,000 cf=</v>
      </c>
      <c r="J8" s="85"/>
      <c r="K8" s="86"/>
      <c r="L8" s="88">
        <f>'Typical Bills SANITARY'!T18</f>
        <v>22.82</v>
      </c>
      <c r="M8" s="64"/>
      <c r="N8" s="64"/>
      <c r="O8" s="64"/>
      <c r="P8" s="79"/>
      <c r="T8" s="64"/>
      <c r="U8" s="85" t="str">
        <f>"300 cf x $("&amp;FIXED(F25,2)&amp;" + "&amp;FIXED(F31,2)&amp;")/1,000 cf="</f>
        <v>300 cf x $(47.39 + 5.67)/1,000 cf=</v>
      </c>
      <c r="V8" s="85"/>
      <c r="W8" s="86"/>
      <c r="X8" s="198">
        <f>ROUND('Typical Bills SANITARY'!T16,2)</f>
        <v>15.92</v>
      </c>
      <c r="Y8" s="244"/>
      <c r="AB8" s="64"/>
      <c r="AC8" s="85" t="str">
        <f>"550 cf x $("&amp;FIXED(F25,2)&amp;" + "&amp;FIXED(F31,2)&amp;")/1,000 cf="</f>
        <v>550 cf x $(47.39 + 5.67)/1,000 cf=</v>
      </c>
      <c r="AD8" s="85"/>
      <c r="AE8" s="86"/>
      <c r="AF8" s="198">
        <f>ROUND('Typical Bills SANITARY'!T20,2)</f>
        <v>29.18</v>
      </c>
      <c r="AI8" s="79"/>
    </row>
    <row r="9" spans="1:37" ht="14.5">
      <c r="B9" s="64"/>
      <c r="C9" s="64"/>
      <c r="H9" s="85"/>
      <c r="I9" s="85"/>
      <c r="J9" s="85"/>
      <c r="K9" s="86"/>
      <c r="L9" s="88"/>
      <c r="M9" s="64"/>
      <c r="N9" s="64"/>
      <c r="O9" s="64"/>
      <c r="T9" s="85"/>
      <c r="U9" s="85"/>
      <c r="V9" s="85"/>
      <c r="W9" s="86"/>
      <c r="X9" s="198"/>
      <c r="AB9" s="85"/>
      <c r="AC9" s="85"/>
      <c r="AD9" s="85"/>
      <c r="AE9" s="86"/>
      <c r="AF9" s="198"/>
      <c r="AH9" s="202"/>
      <c r="AK9" s="202"/>
    </row>
    <row r="10" spans="1:37" ht="14.5">
      <c r="B10" s="64"/>
      <c r="C10" s="64"/>
      <c r="H10" s="82" t="s">
        <v>18</v>
      </c>
      <c r="I10" s="82"/>
      <c r="J10" s="64"/>
      <c r="K10" s="64"/>
      <c r="L10" s="170"/>
      <c r="M10" s="64"/>
      <c r="N10" s="64"/>
      <c r="O10" s="64"/>
      <c r="T10" s="82" t="s">
        <v>18</v>
      </c>
      <c r="U10" s="82"/>
      <c r="V10" s="64"/>
      <c r="W10" s="64"/>
      <c r="X10" s="170"/>
      <c r="AB10" s="82" t="s">
        <v>18</v>
      </c>
      <c r="AC10" s="82"/>
      <c r="AD10" s="64"/>
      <c r="AE10" s="64"/>
      <c r="AF10" s="170"/>
      <c r="AH10" s="170"/>
      <c r="AK10" s="170"/>
    </row>
    <row r="11" spans="1:37" ht="14.5">
      <c r="B11" s="64"/>
      <c r="C11" s="64"/>
      <c r="H11" s="64"/>
      <c r="I11" s="81" t="s">
        <v>8</v>
      </c>
      <c r="J11" s="81"/>
      <c r="K11" s="81"/>
      <c r="L11" s="79">
        <f>L25</f>
        <v>14.3</v>
      </c>
      <c r="M11" s="64"/>
      <c r="N11" s="64"/>
      <c r="O11" s="64"/>
      <c r="P11" s="79"/>
      <c r="T11" s="64"/>
      <c r="U11" s="81" t="s">
        <v>8</v>
      </c>
      <c r="V11" s="81"/>
      <c r="W11" s="81"/>
      <c r="X11" s="79">
        <f>L11</f>
        <v>14.3</v>
      </c>
      <c r="AB11" s="64"/>
      <c r="AC11" s="81" t="s">
        <v>8</v>
      </c>
      <c r="AD11" s="81"/>
      <c r="AE11" s="81"/>
      <c r="AF11" s="79">
        <f>X11</f>
        <v>14.3</v>
      </c>
      <c r="AI11" s="79"/>
    </row>
    <row r="12" spans="1:37" ht="14.5">
      <c r="B12" s="64"/>
      <c r="C12" s="64"/>
      <c r="H12" s="64"/>
      <c r="I12" s="89" t="s">
        <v>19</v>
      </c>
      <c r="J12" s="81"/>
      <c r="K12" s="81"/>
      <c r="L12" s="79"/>
      <c r="M12" s="64"/>
      <c r="N12" s="64"/>
      <c r="O12" s="64"/>
      <c r="T12" s="64"/>
      <c r="U12" s="89" t="s">
        <v>19</v>
      </c>
      <c r="V12" s="81"/>
      <c r="W12" s="81"/>
      <c r="X12" s="79"/>
      <c r="AB12" s="64"/>
      <c r="AC12" s="89" t="s">
        <v>19</v>
      </c>
      <c r="AD12" s="81"/>
      <c r="AE12" s="81"/>
      <c r="AF12" s="79"/>
      <c r="AH12" s="79"/>
      <c r="AK12" s="79"/>
    </row>
    <row r="13" spans="1:37" ht="14.5">
      <c r="B13" s="64"/>
      <c r="C13" s="64"/>
      <c r="H13" s="78"/>
      <c r="I13" s="90" t="s">
        <v>20</v>
      </c>
      <c r="J13" s="91"/>
      <c r="K13" s="91"/>
      <c r="L13" s="88"/>
      <c r="M13" s="64"/>
      <c r="N13" s="64"/>
      <c r="O13" s="64"/>
      <c r="T13" s="78"/>
      <c r="U13" s="90" t="s">
        <v>20</v>
      </c>
      <c r="V13" s="91"/>
      <c r="W13" s="91"/>
      <c r="X13" s="88"/>
      <c r="AB13" s="78"/>
      <c r="AC13" s="90" t="s">
        <v>20</v>
      </c>
      <c r="AD13" s="91"/>
      <c r="AE13" s="91"/>
      <c r="AF13" s="88"/>
      <c r="AH13" s="79"/>
      <c r="AK13" s="79"/>
    </row>
    <row r="14" spans="1:37" ht="24.75" customHeight="1" thickBot="1">
      <c r="B14" s="64"/>
      <c r="C14" s="64"/>
      <c r="H14" s="83" t="s">
        <v>21</v>
      </c>
      <c r="I14" s="83"/>
      <c r="J14" s="77"/>
      <c r="K14" s="77"/>
      <c r="L14" s="92">
        <f>'Typical Res Bills SW'!E18</f>
        <v>21.374241100541834</v>
      </c>
      <c r="M14" s="64"/>
      <c r="N14" s="64"/>
      <c r="O14" s="64"/>
      <c r="P14" s="79"/>
      <c r="T14" s="83" t="s">
        <v>21</v>
      </c>
      <c r="U14" s="83"/>
      <c r="V14" s="77"/>
      <c r="W14" s="77"/>
      <c r="X14" s="92">
        <f>L14</f>
        <v>21.374241100541834</v>
      </c>
      <c r="AB14" s="83" t="s">
        <v>21</v>
      </c>
      <c r="AC14" s="83"/>
      <c r="AD14" s="77"/>
      <c r="AE14" s="77"/>
      <c r="AF14" s="92">
        <f>'Typical Non-Res Bills SW'!G20</f>
        <v>65.028665584744658</v>
      </c>
      <c r="AI14" s="79"/>
    </row>
    <row r="15" spans="1:37" ht="15" thickTop="1">
      <c r="B15" s="64"/>
      <c r="C15" s="64"/>
      <c r="D15" s="64"/>
      <c r="E15" s="64"/>
      <c r="F15" s="64"/>
      <c r="G15" s="64"/>
      <c r="H15" s="82" t="s">
        <v>9</v>
      </c>
      <c r="I15" s="82"/>
      <c r="J15" s="64"/>
      <c r="K15" s="64"/>
      <c r="L15" s="80">
        <f>SUM(L5:L14)</f>
        <v>91.314241100541835</v>
      </c>
      <c r="M15" s="64"/>
      <c r="N15" s="64"/>
      <c r="O15" s="266">
        <f>(L15-'2025 Bill Detail'!L15)/'2025 Bill Detail'!L15</f>
        <v>0.11672057112072691</v>
      </c>
      <c r="P15" s="80"/>
      <c r="T15" s="82" t="s">
        <v>9</v>
      </c>
      <c r="U15" s="82"/>
      <c r="V15" s="64"/>
      <c r="W15" s="64"/>
      <c r="X15" s="80">
        <f>SUM(X5:X14)</f>
        <v>74.494241100541842</v>
      </c>
      <c r="Y15" s="80"/>
      <c r="AB15" s="82" t="s">
        <v>9</v>
      </c>
      <c r="AC15" s="82"/>
      <c r="AD15" s="64"/>
      <c r="AE15" s="64"/>
      <c r="AF15" s="80">
        <f>SUM(AF5:AF14)</f>
        <v>150.48866558474464</v>
      </c>
      <c r="AH15" s="80"/>
      <c r="AI15" s="80"/>
      <c r="AK15" s="80"/>
    </row>
    <row r="16" spans="1:37" ht="14.5">
      <c r="B16" s="64"/>
      <c r="C16" s="64"/>
      <c r="D16" s="64"/>
      <c r="E16" s="64"/>
      <c r="F16" s="64"/>
      <c r="G16" s="64"/>
      <c r="H16" s="89" t="s">
        <v>22</v>
      </c>
      <c r="I16" s="81"/>
      <c r="J16" s="81"/>
      <c r="K16" s="64"/>
      <c r="L16" s="64"/>
      <c r="M16" s="64"/>
      <c r="N16" s="64"/>
      <c r="O16" s="64"/>
      <c r="T16" s="89" t="s">
        <v>22</v>
      </c>
      <c r="U16" s="81"/>
      <c r="V16" s="81"/>
      <c r="W16" s="64"/>
      <c r="X16" s="64"/>
    </row>
    <row r="17" spans="2:25" ht="15" thickBot="1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T17" s="83" t="s">
        <v>23</v>
      </c>
      <c r="U17" s="83"/>
      <c r="V17" s="83"/>
      <c r="W17" s="83"/>
      <c r="X17" s="201">
        <f>-ROUND(X15*0.25,2)</f>
        <v>-18.62</v>
      </c>
    </row>
    <row r="18" spans="2:25" ht="15" thickTop="1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T18" s="82" t="s">
        <v>24</v>
      </c>
      <c r="X18" s="80">
        <f>X15+X17</f>
        <v>55.874241100541838</v>
      </c>
      <c r="Y18" s="80"/>
    </row>
    <row r="19" spans="2:25" ht="14.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X19" s="229">
        <f>+X18-'2025 Bill Detail'!X18</f>
        <v>5.5542411005418444</v>
      </c>
    </row>
    <row r="20" spans="2:25" ht="15.5">
      <c r="B20" s="64"/>
      <c r="C20" s="136" t="s">
        <v>25</v>
      </c>
      <c r="D20" s="67"/>
      <c r="E20" s="68"/>
      <c r="F20" s="68"/>
      <c r="G20" s="64"/>
      <c r="H20" s="136" t="s">
        <v>26</v>
      </c>
      <c r="I20" s="67"/>
      <c r="J20" s="68"/>
      <c r="K20" s="68"/>
      <c r="L20" s="68"/>
      <c r="M20" s="64"/>
      <c r="N20" s="136" t="s">
        <v>26</v>
      </c>
      <c r="O20" s="67"/>
      <c r="P20" s="68"/>
      <c r="Q20" s="68"/>
      <c r="R20" s="68"/>
      <c r="X20" s="203">
        <f>+X19/'2025 Bill Detail'!X18</f>
        <v>0.11037840024924175</v>
      </c>
    </row>
    <row r="21" spans="2:25" ht="15.5">
      <c r="B21" s="64"/>
      <c r="C21" s="138"/>
      <c r="D21" s="65"/>
      <c r="E21" s="66"/>
      <c r="F21" s="66"/>
      <c r="G21" s="64"/>
      <c r="H21" s="65"/>
      <c r="I21" s="65"/>
      <c r="J21" s="66"/>
      <c r="K21" s="66"/>
      <c r="L21" s="66"/>
      <c r="M21" s="64"/>
      <c r="N21" s="137" t="s">
        <v>27</v>
      </c>
      <c r="O21" s="65"/>
      <c r="P21" s="66"/>
      <c r="Q21" s="66"/>
      <c r="R21" s="66"/>
    </row>
    <row r="22" spans="2:25" ht="15.5">
      <c r="B22" s="64"/>
      <c r="C22" s="137" t="s">
        <v>28</v>
      </c>
      <c r="D22" s="65"/>
      <c r="E22" s="66"/>
      <c r="F22" s="66"/>
      <c r="G22" s="64"/>
      <c r="H22" s="137" t="s">
        <v>29</v>
      </c>
      <c r="I22" s="65"/>
      <c r="J22" s="66"/>
      <c r="K22" s="66"/>
      <c r="L22" s="66"/>
      <c r="M22" s="64"/>
      <c r="N22" s="137" t="s">
        <v>30</v>
      </c>
      <c r="O22" s="66"/>
      <c r="P22" s="66"/>
      <c r="Q22" s="66"/>
      <c r="R22" s="66"/>
    </row>
    <row r="23" spans="2:25" ht="15.5">
      <c r="B23" s="64"/>
      <c r="C23" s="66"/>
      <c r="D23" s="66"/>
      <c r="E23" s="66"/>
      <c r="F23" s="66"/>
      <c r="G23" s="64"/>
      <c r="H23" s="66"/>
      <c r="I23" s="66"/>
      <c r="J23" s="66"/>
      <c r="K23" s="66"/>
      <c r="L23" s="66"/>
      <c r="M23" s="64"/>
      <c r="N23" s="65"/>
      <c r="O23" s="65"/>
      <c r="P23" s="66"/>
      <c r="Q23" s="66"/>
      <c r="R23" s="66"/>
    </row>
    <row r="24" spans="2:25" ht="67.5" customHeight="1">
      <c r="B24" s="64"/>
      <c r="C24" s="94" t="s">
        <v>31</v>
      </c>
      <c r="D24" s="95" t="s">
        <v>32</v>
      </c>
      <c r="E24" s="95" t="s">
        <v>31</v>
      </c>
      <c r="F24" s="95" t="s">
        <v>33</v>
      </c>
      <c r="G24" s="64"/>
      <c r="H24" s="94" t="s">
        <v>34</v>
      </c>
      <c r="I24" s="95" t="s">
        <v>35</v>
      </c>
      <c r="J24" s="95" t="s">
        <v>36</v>
      </c>
      <c r="K24" s="95" t="s">
        <v>37</v>
      </c>
      <c r="L24" s="93" t="s">
        <v>38</v>
      </c>
      <c r="M24" s="64"/>
      <c r="N24" s="469" t="str">
        <f>"Water service charges for customers with residential fire services are $"&amp;'Water Charges'!E124&amp;" higher for all meter sizes although the sewer service charges are the same as a residential customer with a 5/8 inch meter without a fire service. Please see the chart below if you have a residential fire service."</f>
        <v>Water service charges for customers with residential fire services are $2.91 higher for all meter sizes although the sewer service charges are the same as a residential customer with a 5/8 inch meter without a fire service. Please see the chart below if you have a residential fire service.</v>
      </c>
      <c r="O24" s="469"/>
      <c r="P24" s="469"/>
      <c r="Q24" s="469"/>
      <c r="R24" s="469"/>
    </row>
    <row r="25" spans="2:25" ht="29">
      <c r="B25" s="69"/>
      <c r="C25" s="70" t="s">
        <v>39</v>
      </c>
      <c r="D25" s="71">
        <f>'Water Charges'!E33</f>
        <v>72.45</v>
      </c>
      <c r="E25" s="72" t="s">
        <v>40</v>
      </c>
      <c r="F25" s="71">
        <f>'Wastewater Charges'!F35</f>
        <v>47.39</v>
      </c>
      <c r="G25" s="64"/>
      <c r="H25" s="75" t="s">
        <v>41</v>
      </c>
      <c r="I25" s="75" t="s">
        <v>42</v>
      </c>
      <c r="J25" s="71">
        <f>'Water Charges'!E13</f>
        <v>6.08</v>
      </c>
      <c r="K25" s="71">
        <f>'Wastewater Charges'!F15</f>
        <v>8.2200000000000006</v>
      </c>
      <c r="L25" s="96">
        <f>SUM(J25,K25)</f>
        <v>14.3</v>
      </c>
      <c r="M25" s="64"/>
      <c r="N25" s="65"/>
      <c r="O25" s="65"/>
      <c r="P25" s="66"/>
      <c r="Q25" s="66"/>
      <c r="R25" s="66"/>
    </row>
    <row r="26" spans="2:25" ht="15.5">
      <c r="B26" s="69"/>
      <c r="C26" s="73" t="s">
        <v>43</v>
      </c>
      <c r="D26" s="71">
        <f>'Water Charges'!E34</f>
        <v>64.760000000000005</v>
      </c>
      <c r="E26" s="74"/>
      <c r="F26" s="74"/>
      <c r="G26" s="64"/>
      <c r="H26" s="75" t="s">
        <v>44</v>
      </c>
      <c r="I26" s="75" t="s">
        <v>45</v>
      </c>
      <c r="J26" s="71">
        <f>'Water Charges'!E14</f>
        <v>7.06</v>
      </c>
      <c r="K26" s="71">
        <f>'Wastewater Charges'!F16</f>
        <v>10.52</v>
      </c>
      <c r="L26" s="71">
        <f t="shared" ref="L26:L35" si="0">SUM(J26,K26)</f>
        <v>17.579999999999998</v>
      </c>
      <c r="M26" s="64"/>
      <c r="N26" s="65"/>
      <c r="O26" s="65"/>
      <c r="P26" s="66"/>
      <c r="Q26" s="66"/>
      <c r="R26" s="66"/>
    </row>
    <row r="27" spans="2:25" ht="15.5">
      <c r="B27" s="69"/>
      <c r="C27" s="73" t="s">
        <v>46</v>
      </c>
      <c r="D27" s="71">
        <f>'Water Charges'!E35</f>
        <v>50.16</v>
      </c>
      <c r="E27" s="98" t="s">
        <v>47</v>
      </c>
      <c r="F27" s="99" t="s">
        <v>48</v>
      </c>
      <c r="G27" s="64"/>
      <c r="H27" s="75">
        <v>1</v>
      </c>
      <c r="I27" s="75" t="s">
        <v>49</v>
      </c>
      <c r="J27" s="71">
        <f>'Water Charges'!E15</f>
        <v>9.42</v>
      </c>
      <c r="K27" s="71">
        <f>'Wastewater Charges'!F17</f>
        <v>15.47</v>
      </c>
      <c r="L27" s="71">
        <f t="shared" si="0"/>
        <v>24.89</v>
      </c>
      <c r="M27" s="64"/>
      <c r="N27" s="137" t="s">
        <v>50</v>
      </c>
      <c r="O27" s="65"/>
      <c r="P27" s="66"/>
      <c r="Q27" s="66"/>
      <c r="R27" s="66"/>
      <c r="T27" s="139" t="s">
        <v>13</v>
      </c>
      <c r="U27" s="102"/>
      <c r="V27" s="102"/>
      <c r="W27" s="102"/>
    </row>
    <row r="28" spans="2:25" ht="15.5">
      <c r="B28" s="69"/>
      <c r="C28" s="70" t="s">
        <v>51</v>
      </c>
      <c r="D28" s="71">
        <f>'Water Charges'!E36</f>
        <v>50.16</v>
      </c>
      <c r="E28" s="66"/>
      <c r="F28" s="99" t="s">
        <v>52</v>
      </c>
      <c r="G28" s="64"/>
      <c r="H28" s="76" t="s">
        <v>53</v>
      </c>
      <c r="I28" s="75" t="s">
        <v>54</v>
      </c>
      <c r="J28" s="71">
        <f>'Water Charges'!E17</f>
        <v>14.73</v>
      </c>
      <c r="K28" s="71">
        <f>'Wastewater Charges'!F19</f>
        <v>27.3</v>
      </c>
      <c r="L28" s="71">
        <f t="shared" si="0"/>
        <v>42.03</v>
      </c>
      <c r="M28" s="64"/>
      <c r="N28" s="137" t="s">
        <v>55</v>
      </c>
      <c r="O28" s="66"/>
      <c r="P28" s="66"/>
      <c r="Q28" s="66"/>
      <c r="R28" s="66"/>
      <c r="T28" s="139" t="s">
        <v>56</v>
      </c>
      <c r="U28" s="102"/>
      <c r="V28" s="102"/>
      <c r="W28" s="102"/>
    </row>
    <row r="29" spans="2:25" ht="39.5">
      <c r="B29" s="64"/>
      <c r="C29" s="140" t="s">
        <v>57</v>
      </c>
      <c r="D29" s="66"/>
      <c r="E29" s="66"/>
      <c r="F29" s="66"/>
      <c r="G29" s="64"/>
      <c r="H29" s="76">
        <v>2</v>
      </c>
      <c r="I29" s="76" t="s">
        <v>58</v>
      </c>
      <c r="J29" s="71">
        <f>'Water Charges'!E18</f>
        <v>21.85</v>
      </c>
      <c r="K29" s="71">
        <f>'Wastewater Charges'!F20</f>
        <v>42.16</v>
      </c>
      <c r="L29" s="71">
        <f t="shared" si="0"/>
        <v>64.009999999999991</v>
      </c>
      <c r="M29" s="64"/>
      <c r="N29" s="94" t="s">
        <v>34</v>
      </c>
      <c r="O29" s="95" t="s">
        <v>35</v>
      </c>
      <c r="P29" s="95" t="s">
        <v>36</v>
      </c>
      <c r="Q29" s="95" t="s">
        <v>37</v>
      </c>
      <c r="R29" s="93" t="s">
        <v>59</v>
      </c>
      <c r="T29" s="94" t="s">
        <v>60</v>
      </c>
      <c r="U29" s="95" t="s">
        <v>9</v>
      </c>
      <c r="V29" s="95" t="s">
        <v>61</v>
      </c>
      <c r="W29" s="95" t="s">
        <v>62</v>
      </c>
    </row>
    <row r="30" spans="2:25" ht="39.5">
      <c r="B30" s="64"/>
      <c r="C30" s="94" t="s">
        <v>31</v>
      </c>
      <c r="D30" s="95" t="s">
        <v>63</v>
      </c>
      <c r="E30" s="95" t="s">
        <v>31</v>
      </c>
      <c r="F30" s="95" t="s">
        <v>64</v>
      </c>
      <c r="G30" s="64"/>
      <c r="H30" s="76">
        <v>3</v>
      </c>
      <c r="I30" s="76" t="s">
        <v>65</v>
      </c>
      <c r="J30" s="71">
        <f>'Water Charges'!E19</f>
        <v>37.619999999999997</v>
      </c>
      <c r="K30" s="71">
        <f>'Wastewater Charges'!F21</f>
        <v>76.09</v>
      </c>
      <c r="L30" s="71">
        <f t="shared" si="0"/>
        <v>113.71000000000001</v>
      </c>
      <c r="M30" s="64"/>
      <c r="N30" s="75" t="s">
        <v>44</v>
      </c>
      <c r="O30" s="75" t="s">
        <v>45</v>
      </c>
      <c r="P30" s="71">
        <f>'Water Charges'!E103</f>
        <v>12.329999999999998</v>
      </c>
      <c r="Q30" s="71">
        <f>'2026 Bill Detail'!K$25</f>
        <v>8.2200000000000006</v>
      </c>
      <c r="R30" s="96">
        <f>SUM(P30,Q30)</f>
        <v>20.549999999999997</v>
      </c>
      <c r="S30" s="229"/>
      <c r="T30" s="103" t="s">
        <v>66</v>
      </c>
      <c r="U30" s="105">
        <f>'Typical Res Bills TOTAL'!D20</f>
        <v>81.77</v>
      </c>
      <c r="V30" s="105"/>
      <c r="W30" s="104"/>
    </row>
    <row r="31" spans="2:25" ht="29">
      <c r="C31" s="72" t="s">
        <v>40</v>
      </c>
      <c r="D31" s="71">
        <f>'Water Charges'!E42</f>
        <v>3.87</v>
      </c>
      <c r="E31" s="72" t="s">
        <v>40</v>
      </c>
      <c r="F31" s="71">
        <f>'Wastewater Charges'!F45</f>
        <v>5.67</v>
      </c>
      <c r="H31" s="76">
        <v>4</v>
      </c>
      <c r="I31" s="76" t="s">
        <v>68</v>
      </c>
      <c r="J31" s="71">
        <f>'Water Charges'!E20</f>
        <v>65.44</v>
      </c>
      <c r="K31" s="71">
        <f>'Wastewater Charges'!F22</f>
        <v>129.24</v>
      </c>
      <c r="L31" s="71">
        <f t="shared" si="0"/>
        <v>194.68</v>
      </c>
      <c r="N31" s="75">
        <v>1</v>
      </c>
      <c r="O31" s="75" t="s">
        <v>49</v>
      </c>
      <c r="P31" s="71">
        <f>'Water Charges'!E104</f>
        <v>14.69</v>
      </c>
      <c r="Q31" s="71">
        <f>'2026 Bill Detail'!K$25</f>
        <v>8.2200000000000006</v>
      </c>
      <c r="R31" s="71">
        <f>SUM(P31,Q31)</f>
        <v>22.91</v>
      </c>
      <c r="S31" s="229"/>
      <c r="T31" s="103" t="str">
        <f>"Rates Effective "&amp;TEXT(Inputs!$D$6,"mmmm dd, yyyy")</f>
        <v>Rates Effective September 01, 2025</v>
      </c>
      <c r="U31" s="105">
        <f>'Typical Res Bills TOTAL'!E20</f>
        <v>91.314241100541835</v>
      </c>
      <c r="V31" s="105">
        <f>'Typical Res Bills TOTAL'!E20-'Typical Res Bills TOTAL'!D20</f>
        <v>9.5442411005418393</v>
      </c>
      <c r="W31" s="135">
        <f>ROUND('Typical Res Bills TOTAL'!F20,1)</f>
        <v>11.7</v>
      </c>
    </row>
    <row r="32" spans="2:25" ht="15.5">
      <c r="C32" s="137" t="s">
        <v>69</v>
      </c>
      <c r="D32" s="65"/>
      <c r="E32" s="66"/>
      <c r="F32" s="66"/>
      <c r="H32" s="76">
        <v>6</v>
      </c>
      <c r="I32" s="76" t="s">
        <v>70</v>
      </c>
      <c r="J32" s="71">
        <f>'Water Charges'!E21</f>
        <v>126.77</v>
      </c>
      <c r="K32" s="71">
        <f>'Wastewater Charges'!F23</f>
        <v>254.85</v>
      </c>
      <c r="L32" s="71">
        <f t="shared" si="0"/>
        <v>381.62</v>
      </c>
      <c r="N32" s="76" t="s">
        <v>53</v>
      </c>
      <c r="O32" s="75" t="s">
        <v>54</v>
      </c>
      <c r="P32" s="71">
        <f>'Water Charges'!E105</f>
        <v>20</v>
      </c>
      <c r="Q32" s="71">
        <f>'2026 Bill Detail'!K$25</f>
        <v>8.2200000000000006</v>
      </c>
      <c r="R32" s="71">
        <f>SUM(P32,Q32)</f>
        <v>28.22</v>
      </c>
      <c r="S32" s="229"/>
      <c r="T32" s="97" t="s">
        <v>71</v>
      </c>
      <c r="U32" s="66"/>
      <c r="V32" s="66"/>
      <c r="W32" s="66" t="s">
        <v>72</v>
      </c>
    </row>
    <row r="33" spans="3:23" ht="14.5">
      <c r="C33" s="100" t="s">
        <v>73</v>
      </c>
      <c r="D33" s="66"/>
      <c r="E33" s="100" t="s">
        <v>74</v>
      </c>
      <c r="F33" s="66"/>
      <c r="H33" s="76">
        <v>8</v>
      </c>
      <c r="I33" s="76" t="s">
        <v>75</v>
      </c>
      <c r="J33" s="71">
        <f>'Water Charges'!E22</f>
        <v>197.89</v>
      </c>
      <c r="K33" s="71">
        <f>'Wastewater Charges'!F24</f>
        <v>403.41</v>
      </c>
      <c r="L33" s="71">
        <f t="shared" si="0"/>
        <v>601.29999999999995</v>
      </c>
      <c r="N33" s="76">
        <v>2</v>
      </c>
      <c r="O33" s="76" t="s">
        <v>58</v>
      </c>
      <c r="P33" s="71">
        <f>'Water Charges'!E106</f>
        <v>27.12</v>
      </c>
      <c r="Q33" s="71">
        <f>'2026 Bill Detail'!K$25</f>
        <v>8.2200000000000006</v>
      </c>
      <c r="R33" s="71">
        <f>SUM(P33,Q33)</f>
        <v>35.340000000000003</v>
      </c>
      <c r="S33" s="229"/>
      <c r="T33" s="97" t="s">
        <v>76</v>
      </c>
      <c r="U33" s="97"/>
      <c r="V33" s="97"/>
      <c r="W33" s="97"/>
    </row>
    <row r="34" spans="3:23" ht="14.5">
      <c r="C34" s="100" t="s">
        <v>77</v>
      </c>
      <c r="D34" s="66"/>
      <c r="E34" s="100" t="s">
        <v>78</v>
      </c>
      <c r="F34" s="66"/>
      <c r="H34" s="76">
        <v>10</v>
      </c>
      <c r="I34" s="76" t="s">
        <v>79</v>
      </c>
      <c r="J34" s="71">
        <f>'Water Charges'!E23</f>
        <v>287.04000000000002</v>
      </c>
      <c r="K34" s="71">
        <f>'Wastewater Charges'!F25</f>
        <v>582.16</v>
      </c>
      <c r="L34" s="71">
        <f t="shared" si="0"/>
        <v>869.2</v>
      </c>
      <c r="N34" s="66"/>
      <c r="O34" s="66"/>
      <c r="P34" s="66"/>
      <c r="Q34" s="66"/>
      <c r="R34" s="66"/>
      <c r="T34" s="97" t="s">
        <v>80</v>
      </c>
      <c r="U34" s="97"/>
      <c r="V34" s="97"/>
      <c r="W34" s="97"/>
    </row>
    <row r="35" spans="3:23" ht="14.5">
      <c r="C35" s="101">
        <f>'Wastewater Charges'!F51</f>
        <v>0.51400000000000001</v>
      </c>
      <c r="D35" s="66"/>
      <c r="E35" s="101">
        <f>'Wastewater Charges'!F52</f>
        <v>0.53500000000000003</v>
      </c>
      <c r="F35" s="66"/>
      <c r="H35" s="76">
        <v>12</v>
      </c>
      <c r="I35" s="76" t="s">
        <v>81</v>
      </c>
      <c r="J35" s="71">
        <f>'Water Charges'!E24</f>
        <v>503.58</v>
      </c>
      <c r="K35" s="71">
        <f>'Wastewater Charges'!F26</f>
        <v>1059.17</v>
      </c>
      <c r="L35" s="71">
        <f t="shared" si="0"/>
        <v>1562.75</v>
      </c>
      <c r="N35" s="97"/>
      <c r="O35" s="97"/>
      <c r="P35" s="141"/>
      <c r="Q35" s="97"/>
      <c r="R35" s="66"/>
      <c r="T35" s="97" t="s">
        <v>82</v>
      </c>
      <c r="U35" s="97"/>
      <c r="V35" s="97"/>
      <c r="W35" s="97"/>
    </row>
    <row r="36" spans="3:23" ht="14.5">
      <c r="C36" s="97" t="s">
        <v>83</v>
      </c>
      <c r="D36" s="97"/>
      <c r="E36" s="97" t="s">
        <v>83</v>
      </c>
      <c r="F36" s="66"/>
      <c r="H36" s="66"/>
      <c r="I36" s="66"/>
      <c r="J36" s="66"/>
      <c r="K36" s="66"/>
      <c r="L36" s="66"/>
      <c r="N36" s="97"/>
      <c r="O36" s="97"/>
      <c r="P36" s="141"/>
      <c r="Q36" s="97"/>
      <c r="R36" s="66"/>
    </row>
    <row r="37" spans="3:23" ht="14.5">
      <c r="C37" s="97" t="s">
        <v>84</v>
      </c>
      <c r="D37" s="97"/>
      <c r="E37" s="97" t="s">
        <v>85</v>
      </c>
      <c r="F37" s="66"/>
      <c r="H37" s="97" t="s">
        <v>86</v>
      </c>
      <c r="I37" s="97"/>
      <c r="J37" s="97"/>
      <c r="K37" s="97"/>
      <c r="L37" s="66"/>
      <c r="N37" s="97"/>
      <c r="O37" s="97"/>
      <c r="P37" s="141"/>
      <c r="Q37" s="97"/>
      <c r="R37" s="66"/>
    </row>
    <row r="38" spans="3:23" ht="14.5">
      <c r="C38" s="97" t="s">
        <v>87</v>
      </c>
      <c r="D38" s="66"/>
      <c r="E38" s="97" t="s">
        <v>88</v>
      </c>
      <c r="F38" s="66"/>
      <c r="H38" s="97"/>
      <c r="I38" s="97"/>
      <c r="J38" s="97"/>
      <c r="K38" s="97"/>
      <c r="L38" s="66"/>
      <c r="N38" s="97"/>
      <c r="O38" s="97"/>
      <c r="P38" s="141"/>
      <c r="Q38" s="97"/>
      <c r="R38" s="66"/>
    </row>
    <row r="39" spans="3:23" ht="14.5">
      <c r="C39" s="97" t="s">
        <v>89</v>
      </c>
      <c r="D39" s="66"/>
      <c r="E39" s="98" t="s">
        <v>90</v>
      </c>
      <c r="F39" s="99" t="s">
        <v>91</v>
      </c>
      <c r="H39" s="97"/>
      <c r="I39" s="97"/>
      <c r="J39" s="97"/>
      <c r="K39" s="97"/>
      <c r="L39" s="66"/>
      <c r="N39" s="97"/>
      <c r="O39" s="97"/>
      <c r="P39" s="141"/>
      <c r="Q39" s="97"/>
      <c r="R39" s="66"/>
    </row>
    <row r="40" spans="3:23" ht="14.5">
      <c r="C40" s="97"/>
      <c r="D40" s="66"/>
      <c r="E40" s="98"/>
      <c r="F40" s="99"/>
      <c r="H40" s="97"/>
      <c r="I40" s="97"/>
      <c r="J40" s="97"/>
      <c r="K40" s="97"/>
      <c r="L40" s="66"/>
      <c r="N40" s="97"/>
      <c r="O40" s="97"/>
      <c r="P40" s="97"/>
      <c r="Q40" s="97"/>
      <c r="R40" s="66"/>
    </row>
    <row r="41" spans="3:23" ht="31.4" customHeight="1">
      <c r="C41" s="468" t="s">
        <v>92</v>
      </c>
      <c r="D41" s="468"/>
      <c r="E41" s="468"/>
      <c r="F41" s="468"/>
      <c r="H41" s="97"/>
      <c r="I41" s="97"/>
      <c r="J41" s="97"/>
      <c r="K41" s="97"/>
      <c r="L41" s="66"/>
      <c r="N41" s="97"/>
      <c r="O41" s="97"/>
      <c r="P41" s="97"/>
      <c r="Q41" s="97"/>
      <c r="R41" s="66"/>
    </row>
  </sheetData>
  <mergeCells count="2">
    <mergeCell ref="N24:R24"/>
    <mergeCell ref="C41:F41"/>
  </mergeCells>
  <hyperlinks>
    <hyperlink ref="A1" location="TOC!A1" display="TOC!A1" xr:uid="{00000000-0004-0000-0300-000000000000}"/>
  </hyperlinks>
  <pageMargins left="0.25" right="0.25" top="0.75" bottom="0.75" header="0.3" footer="0.3"/>
  <pageSetup scale="41" orientation="landscape" r:id="rId1"/>
  <ignoredErrors>
    <ignoredError sqref="H28 N3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pageSetUpPr fitToPage="1"/>
  </sheetPr>
  <dimension ref="A1:AK41"/>
  <sheetViews>
    <sheetView showGridLines="0" zoomScale="80" zoomScaleNormal="80" workbookViewId="0"/>
  </sheetViews>
  <sheetFormatPr defaultRowHeight="14"/>
  <cols>
    <col min="1" max="1" width="5.54296875" customWidth="1"/>
    <col min="2" max="2" width="3.453125" customWidth="1"/>
    <col min="3" max="3" width="14.1796875" customWidth="1"/>
    <col min="4" max="4" width="12.81640625" customWidth="1"/>
    <col min="5" max="5" width="14" customWidth="1"/>
    <col min="6" max="6" width="16.54296875" customWidth="1"/>
    <col min="7" max="7" width="1.453125" customWidth="1"/>
    <col min="8" max="8" width="10.453125" customWidth="1"/>
    <col min="10" max="10" width="11.54296875" customWidth="1"/>
    <col min="11" max="11" width="11.81640625" customWidth="1"/>
    <col min="12" max="12" width="10.54296875" customWidth="1"/>
    <col min="13" max="13" width="1.54296875" customWidth="1"/>
    <col min="16" max="16" width="9.81640625" customWidth="1"/>
    <col min="17" max="17" width="10.1796875" customWidth="1"/>
    <col min="18" max="18" width="10.453125" customWidth="1"/>
    <col min="20" max="20" width="17.1796875" customWidth="1"/>
    <col min="21" max="21" width="12.453125" customWidth="1"/>
    <col min="22" max="22" width="13.81640625" customWidth="1"/>
    <col min="23" max="23" width="12.1796875" customWidth="1"/>
    <col min="24" max="24" width="11" bestFit="1" customWidth="1"/>
  </cols>
  <sheetData>
    <row r="1" spans="1:37" ht="15" thickBot="1">
      <c r="A1" s="239" t="s">
        <v>1</v>
      </c>
      <c r="C1" s="82" t="str">
        <f ca="1">"PWD "&amp;+MID(CELL("filename",A1),FIND("]",CELL("filename",A1))+1,256)</f>
        <v>PWD 2027 Bill Detail</v>
      </c>
    </row>
    <row r="2" spans="1:37" ht="14.5">
      <c r="H2" s="82" t="s">
        <v>13</v>
      </c>
      <c r="T2" s="82" t="s">
        <v>14</v>
      </c>
      <c r="U2" s="82"/>
      <c r="AB2" s="82" t="s">
        <v>15</v>
      </c>
      <c r="AD2" s="82"/>
      <c r="AH2" s="82"/>
      <c r="AI2" s="82"/>
      <c r="AK2" s="82"/>
    </row>
    <row r="3" spans="1:37" ht="14.5">
      <c r="B3" s="64"/>
      <c r="C3" s="64"/>
      <c r="H3" s="82" t="s">
        <v>2</v>
      </c>
      <c r="I3" s="82"/>
      <c r="J3" s="64"/>
      <c r="K3" s="64"/>
      <c r="L3" s="64"/>
      <c r="M3" s="64"/>
      <c r="N3" s="64"/>
      <c r="O3" s="64"/>
      <c r="P3" s="82"/>
      <c r="T3" s="82" t="s">
        <v>2</v>
      </c>
      <c r="U3" s="82"/>
      <c r="V3" s="64"/>
      <c r="W3" s="64"/>
      <c r="X3" s="64"/>
      <c r="AB3" s="82" t="s">
        <v>2</v>
      </c>
      <c r="AC3" s="82"/>
      <c r="AD3" s="64"/>
      <c r="AE3" s="64"/>
      <c r="AF3" s="64"/>
      <c r="AH3" s="82"/>
      <c r="AI3" s="82"/>
    </row>
    <row r="4" spans="1:37" ht="14.5">
      <c r="B4" s="64"/>
      <c r="C4" s="64"/>
      <c r="H4" s="64"/>
      <c r="I4" s="81" t="s">
        <v>16</v>
      </c>
      <c r="J4" s="84"/>
      <c r="K4" s="81"/>
      <c r="L4" s="81"/>
      <c r="M4" s="64"/>
      <c r="N4" s="64"/>
      <c r="O4" s="64"/>
      <c r="T4" s="64"/>
      <c r="U4" s="81" t="s">
        <v>16</v>
      </c>
      <c r="V4" s="84"/>
      <c r="W4" s="81"/>
      <c r="X4" s="81"/>
      <c r="AB4" s="64"/>
      <c r="AC4" s="81" t="s">
        <v>16</v>
      </c>
      <c r="AD4" s="84"/>
      <c r="AE4" s="81"/>
      <c r="AF4" s="81"/>
    </row>
    <row r="5" spans="1:37" ht="14.5">
      <c r="B5" s="64"/>
      <c r="C5" s="64"/>
      <c r="H5" s="64"/>
      <c r="I5" s="85" t="str">
        <f>+"430 cf x $("&amp;FIXED(D25,2)&amp;" + "&amp;FIXED(D31,2)&amp;")/1,000 cf="</f>
        <v>430 cf x $(74.79 + 3.87)/1,000 cf=</v>
      </c>
      <c r="J5" s="85"/>
      <c r="K5" s="86"/>
      <c r="L5" s="88">
        <f>'Typical Bills WATER'!W18</f>
        <v>33.82</v>
      </c>
      <c r="M5" s="64"/>
      <c r="N5" s="64"/>
      <c r="O5" s="64"/>
      <c r="P5" s="79"/>
      <c r="T5" s="64"/>
      <c r="U5" s="85" t="str">
        <f>+"300 cf x $("&amp;FIXED(D25,2)&amp;" + "&amp;FIXED(D31,2)&amp;")/1,000 cf="</f>
        <v>300 cf x $(74.79 + 3.87)/1,000 cf=</v>
      </c>
      <c r="V5" s="85"/>
      <c r="W5" s="86"/>
      <c r="X5" s="198">
        <f>ROUND('Typical Bills WATER'!W16,2)</f>
        <v>23.6</v>
      </c>
      <c r="Y5" s="244"/>
      <c r="AB5" s="64"/>
      <c r="AC5" s="85" t="str">
        <f>+"550 cf x $("&amp;FIXED(D25,2)&amp;" + "&amp;FIXED(D31,2)&amp;")/1,000 cf="</f>
        <v>550 cf x $(74.79 + 3.87)/1,000 cf=</v>
      </c>
      <c r="AD5" s="85"/>
      <c r="AE5" s="86"/>
      <c r="AF5" s="198">
        <f>ROUND('Typical Bills WATER'!W20,2)</f>
        <v>43.26</v>
      </c>
      <c r="AI5" s="79"/>
    </row>
    <row r="6" spans="1:37" ht="14.5">
      <c r="B6" s="64"/>
      <c r="C6" s="64"/>
      <c r="H6" s="64"/>
      <c r="I6" s="81"/>
      <c r="J6" s="84"/>
      <c r="K6" s="81"/>
      <c r="L6" s="79"/>
      <c r="M6" s="64"/>
      <c r="N6" s="64"/>
      <c r="O6" s="64"/>
      <c r="T6" s="64"/>
      <c r="U6" s="81"/>
      <c r="V6" s="84"/>
      <c r="W6" s="81"/>
      <c r="X6" s="79"/>
      <c r="AB6" s="64"/>
      <c r="AC6" s="81"/>
      <c r="AD6" s="84"/>
      <c r="AE6" s="81"/>
      <c r="AF6" s="79"/>
      <c r="AH6" s="79"/>
      <c r="AK6" s="79"/>
    </row>
    <row r="7" spans="1:37" ht="14.5">
      <c r="B7" s="64"/>
      <c r="C7" s="64"/>
      <c r="H7" s="64"/>
      <c r="I7" s="81" t="s">
        <v>17</v>
      </c>
      <c r="J7" s="84"/>
      <c r="K7" s="87"/>
      <c r="L7" s="79"/>
      <c r="M7" s="64"/>
      <c r="N7" s="64"/>
      <c r="O7" s="64"/>
      <c r="T7" s="64"/>
      <c r="U7" s="81" t="s">
        <v>17</v>
      </c>
      <c r="V7" s="84"/>
      <c r="W7" s="87"/>
      <c r="X7" s="79"/>
      <c r="AB7" s="64"/>
      <c r="AC7" s="81" t="s">
        <v>17</v>
      </c>
      <c r="AD7" s="84"/>
      <c r="AE7" s="87"/>
      <c r="AF7" s="79"/>
      <c r="AH7" s="79"/>
      <c r="AK7" s="79"/>
    </row>
    <row r="8" spans="1:37" ht="14.5">
      <c r="B8" s="64"/>
      <c r="C8" s="64"/>
      <c r="H8" s="64"/>
      <c r="I8" s="85" t="str">
        <f>"430 cf x $("&amp;FIXED(F25,2)&amp;" + "&amp;FIXED(F31,2)&amp;")/1,000 cf="</f>
        <v>430 cf x $(50.66 + 5.67)/1,000 cf=</v>
      </c>
      <c r="J8" s="85"/>
      <c r="K8" s="86"/>
      <c r="L8" s="88">
        <f>'Typical Bills SANITARY'!U18</f>
        <v>24.22</v>
      </c>
      <c r="M8" s="64"/>
      <c r="N8" s="64"/>
      <c r="O8" s="64"/>
      <c r="P8" s="79"/>
      <c r="T8" s="64"/>
      <c r="U8" s="85" t="str">
        <f>"300 cf x $("&amp;FIXED(F25,2)&amp;" + "&amp;FIXED(F31,2)&amp;")/1,000 cf="</f>
        <v>300 cf x $(50.66 + 5.67)/1,000 cf=</v>
      </c>
      <c r="V8" s="85"/>
      <c r="W8" s="86"/>
      <c r="X8" s="198">
        <f>ROUND('Typical Bills SANITARY'!U16,2)</f>
        <v>16.899999999999999</v>
      </c>
      <c r="Y8" s="244"/>
      <c r="AB8" s="64"/>
      <c r="AC8" s="85" t="str">
        <f>"550 cf x $("&amp;FIXED(F25,2)&amp;" + "&amp;FIXED(F31,2)&amp;")/1,000 cf="</f>
        <v>550 cf x $(50.66 + 5.67)/1,000 cf=</v>
      </c>
      <c r="AD8" s="85"/>
      <c r="AE8" s="86"/>
      <c r="AF8" s="198">
        <f>ROUND('Typical Bills SANITARY'!U20,2)</f>
        <v>30.98</v>
      </c>
      <c r="AI8" s="79"/>
    </row>
    <row r="9" spans="1:37" ht="14.5">
      <c r="B9" s="64"/>
      <c r="C9" s="64"/>
      <c r="H9" s="85"/>
      <c r="I9" s="85"/>
      <c r="J9" s="85"/>
      <c r="K9" s="86"/>
      <c r="L9" s="88"/>
      <c r="M9" s="64"/>
      <c r="N9" s="64"/>
      <c r="O9" s="64"/>
      <c r="T9" s="85"/>
      <c r="U9" s="85"/>
      <c r="V9" s="85"/>
      <c r="W9" s="86"/>
      <c r="X9" s="198"/>
      <c r="AB9" s="85"/>
      <c r="AC9" s="85"/>
      <c r="AD9" s="85"/>
      <c r="AE9" s="86"/>
      <c r="AF9" s="198"/>
      <c r="AH9" s="202"/>
      <c r="AK9" s="202"/>
    </row>
    <row r="10" spans="1:37" ht="14.5">
      <c r="B10" s="64"/>
      <c r="C10" s="64"/>
      <c r="H10" s="82" t="s">
        <v>18</v>
      </c>
      <c r="I10" s="82"/>
      <c r="J10" s="64"/>
      <c r="K10" s="64"/>
      <c r="L10" s="170"/>
      <c r="M10" s="64"/>
      <c r="N10" s="64"/>
      <c r="O10" s="64"/>
      <c r="T10" s="82" t="s">
        <v>18</v>
      </c>
      <c r="U10" s="82"/>
      <c r="V10" s="64"/>
      <c r="W10" s="64"/>
      <c r="X10" s="170"/>
      <c r="AB10" s="82" t="s">
        <v>18</v>
      </c>
      <c r="AC10" s="82"/>
      <c r="AD10" s="64"/>
      <c r="AE10" s="64"/>
      <c r="AF10" s="170"/>
      <c r="AH10" s="170"/>
      <c r="AK10" s="170"/>
    </row>
    <row r="11" spans="1:37" ht="14.5">
      <c r="B11" s="64"/>
      <c r="C11" s="64"/>
      <c r="H11" s="64"/>
      <c r="I11" s="81" t="s">
        <v>8</v>
      </c>
      <c r="J11" s="81"/>
      <c r="K11" s="81"/>
      <c r="L11" s="79">
        <f>L25</f>
        <v>15.149999999999999</v>
      </c>
      <c r="M11" s="64"/>
      <c r="N11" s="64"/>
      <c r="O11" s="64"/>
      <c r="P11" s="79"/>
      <c r="T11" s="64"/>
      <c r="U11" s="81" t="s">
        <v>8</v>
      </c>
      <c r="V11" s="81"/>
      <c r="W11" s="81"/>
      <c r="X11" s="79">
        <f>L11</f>
        <v>15.149999999999999</v>
      </c>
      <c r="AB11" s="64"/>
      <c r="AC11" s="81" t="s">
        <v>8</v>
      </c>
      <c r="AD11" s="81"/>
      <c r="AE11" s="81"/>
      <c r="AF11" s="79">
        <f>X11</f>
        <v>15.149999999999999</v>
      </c>
      <c r="AI11" s="79"/>
    </row>
    <row r="12" spans="1:37" ht="14.5">
      <c r="B12" s="64"/>
      <c r="C12" s="64"/>
      <c r="H12" s="64"/>
      <c r="I12" s="89" t="s">
        <v>19</v>
      </c>
      <c r="J12" s="81"/>
      <c r="K12" s="81"/>
      <c r="L12" s="79"/>
      <c r="M12" s="64"/>
      <c r="N12" s="64"/>
      <c r="O12" s="64"/>
      <c r="T12" s="64"/>
      <c r="U12" s="89" t="s">
        <v>19</v>
      </c>
      <c r="V12" s="81"/>
      <c r="W12" s="81"/>
      <c r="X12" s="79"/>
      <c r="AB12" s="64"/>
      <c r="AC12" s="89" t="s">
        <v>19</v>
      </c>
      <c r="AD12" s="81"/>
      <c r="AE12" s="81"/>
      <c r="AF12" s="79"/>
      <c r="AH12" s="79"/>
      <c r="AK12" s="79"/>
    </row>
    <row r="13" spans="1:37" ht="14.5">
      <c r="B13" s="64"/>
      <c r="C13" s="64"/>
      <c r="H13" s="78"/>
      <c r="I13" s="90" t="s">
        <v>20</v>
      </c>
      <c r="J13" s="91"/>
      <c r="K13" s="91"/>
      <c r="L13" s="88"/>
      <c r="M13" s="64"/>
      <c r="N13" s="64"/>
      <c r="O13" s="64"/>
      <c r="T13" s="78"/>
      <c r="U13" s="90" t="s">
        <v>20</v>
      </c>
      <c r="V13" s="91"/>
      <c r="W13" s="91"/>
      <c r="X13" s="88"/>
      <c r="AB13" s="78"/>
      <c r="AC13" s="90" t="s">
        <v>20</v>
      </c>
      <c r="AD13" s="91"/>
      <c r="AE13" s="91"/>
      <c r="AF13" s="88"/>
      <c r="AH13" s="79"/>
      <c r="AK13" s="79"/>
    </row>
    <row r="14" spans="1:37" ht="24.75" customHeight="1" thickBot="1">
      <c r="B14" s="64"/>
      <c r="C14" s="64"/>
      <c r="H14" s="83" t="s">
        <v>21</v>
      </c>
      <c r="I14" s="83"/>
      <c r="J14" s="77"/>
      <c r="K14" s="77"/>
      <c r="L14" s="92">
        <f>'Typical Res Bills SW'!G18</f>
        <v>23.49</v>
      </c>
      <c r="M14" s="64"/>
      <c r="N14" s="64"/>
      <c r="O14" s="64"/>
      <c r="P14" s="79"/>
      <c r="T14" s="83" t="s">
        <v>21</v>
      </c>
      <c r="U14" s="83"/>
      <c r="V14" s="77"/>
      <c r="W14" s="77"/>
      <c r="X14" s="92">
        <f>L14</f>
        <v>23.49</v>
      </c>
      <c r="AB14" s="83" t="s">
        <v>21</v>
      </c>
      <c r="AC14" s="83"/>
      <c r="AD14" s="77"/>
      <c r="AE14" s="77"/>
      <c r="AF14" s="92">
        <f>'Typical Non-Res Bills SW'!I20</f>
        <v>71.528999999999996</v>
      </c>
      <c r="AI14" s="79"/>
    </row>
    <row r="15" spans="1:37" ht="15" thickTop="1">
      <c r="B15" s="64"/>
      <c r="C15" s="64"/>
      <c r="D15" s="64"/>
      <c r="E15" s="64"/>
      <c r="F15" s="64"/>
      <c r="G15" s="64"/>
      <c r="H15" s="82" t="s">
        <v>9</v>
      </c>
      <c r="I15" s="82"/>
      <c r="J15" s="64"/>
      <c r="K15" s="64"/>
      <c r="L15" s="80">
        <f>SUM(L5:L14)</f>
        <v>96.679999999999993</v>
      </c>
      <c r="M15" s="64"/>
      <c r="N15" s="64"/>
      <c r="O15" s="266">
        <f>(L15-'2026 Bill Detail'!L15)/'2026 Bill Detail'!L15</f>
        <v>5.8761468471825458E-2</v>
      </c>
      <c r="P15" s="80"/>
      <c r="T15" s="82" t="s">
        <v>9</v>
      </c>
      <c r="U15" s="82"/>
      <c r="V15" s="64"/>
      <c r="W15" s="64"/>
      <c r="X15" s="80">
        <f>SUM(X5:X14)</f>
        <v>79.14</v>
      </c>
      <c r="Y15" s="80"/>
      <c r="AB15" s="82" t="s">
        <v>9</v>
      </c>
      <c r="AC15" s="82"/>
      <c r="AD15" s="64"/>
      <c r="AE15" s="64"/>
      <c r="AF15" s="80">
        <f>SUM(AF5:AF14)</f>
        <v>160.91899999999998</v>
      </c>
      <c r="AH15" s="80"/>
      <c r="AI15" s="80"/>
      <c r="AK15" s="80"/>
    </row>
    <row r="16" spans="1:37" ht="14.5">
      <c r="B16" s="64"/>
      <c r="C16" s="64"/>
      <c r="D16" s="64"/>
      <c r="E16" s="64"/>
      <c r="F16" s="64"/>
      <c r="G16" s="64"/>
      <c r="H16" s="89" t="s">
        <v>22</v>
      </c>
      <c r="I16" s="81"/>
      <c r="J16" s="81"/>
      <c r="K16" s="64"/>
      <c r="L16" s="64"/>
      <c r="M16" s="64"/>
      <c r="N16" s="64"/>
      <c r="O16" s="64"/>
      <c r="T16" s="89" t="s">
        <v>22</v>
      </c>
      <c r="U16" s="81"/>
      <c r="V16" s="81"/>
      <c r="W16" s="64"/>
      <c r="X16" s="64"/>
    </row>
    <row r="17" spans="2:25" ht="15" thickBot="1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T17" s="83" t="s">
        <v>23</v>
      </c>
      <c r="U17" s="83"/>
      <c r="V17" s="83"/>
      <c r="W17" s="83"/>
      <c r="X17" s="201">
        <f>-ROUND(X15*0.25,2)</f>
        <v>-19.79</v>
      </c>
    </row>
    <row r="18" spans="2:25" ht="15" thickTop="1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T18" s="82" t="s">
        <v>24</v>
      </c>
      <c r="X18" s="80">
        <f>X15+X17</f>
        <v>59.35</v>
      </c>
      <c r="Y18" s="80"/>
    </row>
    <row r="19" spans="2:25" ht="14.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X19" s="229">
        <f>+X18-'2026 Bill Detail'!X18</f>
        <v>3.4757588994581639</v>
      </c>
    </row>
    <row r="20" spans="2:25" ht="15.5">
      <c r="B20" s="64"/>
      <c r="C20" s="136" t="s">
        <v>25</v>
      </c>
      <c r="D20" s="67"/>
      <c r="E20" s="68"/>
      <c r="F20" s="68"/>
      <c r="G20" s="64"/>
      <c r="H20" s="136" t="s">
        <v>26</v>
      </c>
      <c r="I20" s="67"/>
      <c r="J20" s="68"/>
      <c r="K20" s="68"/>
      <c r="L20" s="68"/>
      <c r="M20" s="64"/>
      <c r="N20" s="136" t="s">
        <v>26</v>
      </c>
      <c r="O20" s="67"/>
      <c r="P20" s="68"/>
      <c r="Q20" s="68"/>
      <c r="R20" s="68"/>
      <c r="X20" s="203">
        <f>+X19/'2026 Bill Detail'!X18</f>
        <v>6.2206820728066367E-2</v>
      </c>
    </row>
    <row r="21" spans="2:25" ht="15.5">
      <c r="B21" s="64"/>
      <c r="C21" s="138"/>
      <c r="D21" s="65"/>
      <c r="E21" s="66"/>
      <c r="F21" s="66"/>
      <c r="G21" s="64"/>
      <c r="H21" s="65"/>
      <c r="I21" s="65"/>
      <c r="J21" s="66"/>
      <c r="K21" s="66"/>
      <c r="L21" s="66"/>
      <c r="M21" s="64"/>
      <c r="N21" s="137" t="s">
        <v>27</v>
      </c>
      <c r="O21" s="65"/>
      <c r="P21" s="66"/>
      <c r="Q21" s="66"/>
      <c r="R21" s="66"/>
    </row>
    <row r="22" spans="2:25" ht="15.5">
      <c r="B22" s="64"/>
      <c r="C22" s="137" t="s">
        <v>28</v>
      </c>
      <c r="D22" s="65"/>
      <c r="E22" s="66"/>
      <c r="F22" s="66"/>
      <c r="G22" s="64"/>
      <c r="H22" s="137" t="s">
        <v>29</v>
      </c>
      <c r="I22" s="65"/>
      <c r="J22" s="66"/>
      <c r="K22" s="66"/>
      <c r="L22" s="66"/>
      <c r="M22" s="64"/>
      <c r="N22" s="137" t="s">
        <v>30</v>
      </c>
      <c r="O22" s="66"/>
      <c r="P22" s="66"/>
      <c r="Q22" s="66"/>
      <c r="R22" s="66"/>
    </row>
    <row r="23" spans="2:25" ht="15.5">
      <c r="B23" s="64"/>
      <c r="C23" s="66"/>
      <c r="D23" s="66"/>
      <c r="E23" s="66"/>
      <c r="F23" s="66"/>
      <c r="G23" s="64"/>
      <c r="H23" s="66"/>
      <c r="I23" s="66"/>
      <c r="J23" s="66"/>
      <c r="K23" s="66"/>
      <c r="L23" s="66"/>
      <c r="M23" s="64"/>
      <c r="N23" s="65"/>
      <c r="O23" s="65"/>
      <c r="P23" s="66"/>
      <c r="Q23" s="66"/>
      <c r="R23" s="66"/>
    </row>
    <row r="24" spans="2:25" ht="67.5" customHeight="1">
      <c r="B24" s="64"/>
      <c r="C24" s="94" t="s">
        <v>31</v>
      </c>
      <c r="D24" s="95" t="s">
        <v>32</v>
      </c>
      <c r="E24" s="95" t="s">
        <v>31</v>
      </c>
      <c r="F24" s="95" t="s">
        <v>33</v>
      </c>
      <c r="G24" s="64"/>
      <c r="H24" s="94" t="s">
        <v>34</v>
      </c>
      <c r="I24" s="95" t="s">
        <v>35</v>
      </c>
      <c r="J24" s="95" t="s">
        <v>36</v>
      </c>
      <c r="K24" s="95" t="s">
        <v>37</v>
      </c>
      <c r="L24" s="93" t="s">
        <v>38</v>
      </c>
      <c r="M24" s="64"/>
      <c r="N24" s="469" t="str">
        <f>"Water service charges for customers with residential fire services are $"&amp;'Water Charges'!F124&amp;" higher for all meter sizes although the sewer service charges are the same as a residential customer with a 5/8 inch meter without a fire service. Please see the chart below if you have a residential fire service."</f>
        <v>Water service charges for customers with residential fire services are $4.34 higher for all meter sizes although the sewer service charges are the same as a residential customer with a 5/8 inch meter without a fire service. Please see the chart below if you have a residential fire service.</v>
      </c>
      <c r="O24" s="469"/>
      <c r="P24" s="469"/>
      <c r="Q24" s="469"/>
      <c r="R24" s="469"/>
    </row>
    <row r="25" spans="2:25" ht="29">
      <c r="B25" s="69"/>
      <c r="C25" s="70" t="s">
        <v>39</v>
      </c>
      <c r="D25" s="71">
        <f>'Water Charges'!F33</f>
        <v>74.790000000000006</v>
      </c>
      <c r="E25" s="72" t="s">
        <v>40</v>
      </c>
      <c r="F25" s="71">
        <f>'Wastewater Charges'!G35</f>
        <v>50.66</v>
      </c>
      <c r="G25" s="64"/>
      <c r="H25" s="75" t="s">
        <v>41</v>
      </c>
      <c r="I25" s="75" t="s">
        <v>42</v>
      </c>
      <c r="J25" s="71">
        <f>'Water Charges'!F13</f>
        <v>6.31</v>
      </c>
      <c r="K25" s="71">
        <f>'Wastewater Charges'!G15</f>
        <v>8.84</v>
      </c>
      <c r="L25" s="96">
        <f>SUM(J25,K25)</f>
        <v>15.149999999999999</v>
      </c>
      <c r="M25" s="64"/>
      <c r="N25" s="65"/>
      <c r="O25" s="65"/>
      <c r="P25" s="66"/>
      <c r="Q25" s="66"/>
      <c r="R25" s="66"/>
    </row>
    <row r="26" spans="2:25" ht="15.5">
      <c r="B26" s="69"/>
      <c r="C26" s="73" t="s">
        <v>43</v>
      </c>
      <c r="D26" s="71">
        <f>'Water Charges'!F34</f>
        <v>70.28</v>
      </c>
      <c r="E26" s="74"/>
      <c r="F26" s="74"/>
      <c r="G26" s="64"/>
      <c r="H26" s="75" t="s">
        <v>44</v>
      </c>
      <c r="I26" s="75" t="s">
        <v>45</v>
      </c>
      <c r="J26" s="71">
        <f>'Water Charges'!F14</f>
        <v>7.35</v>
      </c>
      <c r="K26" s="71">
        <f>'Wastewater Charges'!G16</f>
        <v>11.36</v>
      </c>
      <c r="L26" s="71">
        <f t="shared" ref="L26:L35" si="0">SUM(J26,K26)</f>
        <v>18.71</v>
      </c>
      <c r="M26" s="64"/>
      <c r="N26" s="65"/>
      <c r="O26" s="65"/>
      <c r="P26" s="66"/>
      <c r="Q26" s="66"/>
      <c r="R26" s="66"/>
    </row>
    <row r="27" spans="2:25" ht="15.5">
      <c r="B27" s="69"/>
      <c r="C27" s="73" t="s">
        <v>46</v>
      </c>
      <c r="D27" s="71">
        <f>'Water Charges'!F35</f>
        <v>54.97</v>
      </c>
      <c r="E27" s="98" t="s">
        <v>47</v>
      </c>
      <c r="F27" s="99" t="s">
        <v>48</v>
      </c>
      <c r="G27" s="64"/>
      <c r="H27" s="75">
        <v>1</v>
      </c>
      <c r="I27" s="75" t="s">
        <v>49</v>
      </c>
      <c r="J27" s="71">
        <f>'Water Charges'!F15</f>
        <v>9.82</v>
      </c>
      <c r="K27" s="71">
        <f>'Wastewater Charges'!G17</f>
        <v>16.77</v>
      </c>
      <c r="L27" s="71">
        <f t="shared" si="0"/>
        <v>26.59</v>
      </c>
      <c r="M27" s="64"/>
      <c r="N27" s="137" t="s">
        <v>50</v>
      </c>
      <c r="O27" s="65"/>
      <c r="P27" s="66"/>
      <c r="Q27" s="66"/>
      <c r="R27" s="66"/>
      <c r="T27" s="139" t="s">
        <v>13</v>
      </c>
      <c r="U27" s="102"/>
      <c r="V27" s="102"/>
      <c r="W27" s="102"/>
    </row>
    <row r="28" spans="2:25" ht="15.5">
      <c r="B28" s="69"/>
      <c r="C28" s="70" t="s">
        <v>51</v>
      </c>
      <c r="D28" s="71">
        <f>'Water Charges'!F36</f>
        <v>54.97</v>
      </c>
      <c r="E28" s="66"/>
      <c r="F28" s="99" t="s">
        <v>52</v>
      </c>
      <c r="G28" s="64"/>
      <c r="H28" s="76" t="s">
        <v>53</v>
      </c>
      <c r="I28" s="75" t="s">
        <v>54</v>
      </c>
      <c r="J28" s="71">
        <f>'Water Charges'!F16</f>
        <v>12.91</v>
      </c>
      <c r="K28" s="71">
        <f>'Wastewater Charges'!G18</f>
        <v>23.7</v>
      </c>
      <c r="L28" s="71">
        <f t="shared" si="0"/>
        <v>36.61</v>
      </c>
      <c r="M28" s="64"/>
      <c r="N28" s="137" t="s">
        <v>55</v>
      </c>
      <c r="O28" s="66"/>
      <c r="P28" s="66"/>
      <c r="Q28" s="66"/>
      <c r="R28" s="66"/>
      <c r="T28" s="139" t="s">
        <v>56</v>
      </c>
      <c r="U28" s="102"/>
      <c r="V28" s="102"/>
      <c r="W28" s="102"/>
    </row>
    <row r="29" spans="2:25" ht="39.5">
      <c r="B29" s="64"/>
      <c r="C29" s="140" t="s">
        <v>57</v>
      </c>
      <c r="D29" s="66"/>
      <c r="E29" s="66"/>
      <c r="F29" s="66"/>
      <c r="G29" s="64"/>
      <c r="H29" s="76">
        <v>2</v>
      </c>
      <c r="I29" s="76" t="s">
        <v>58</v>
      </c>
      <c r="J29" s="71">
        <f>'Water Charges'!F17</f>
        <v>15.37</v>
      </c>
      <c r="K29" s="71">
        <f>'Wastewater Charges'!G19</f>
        <v>29.74</v>
      </c>
      <c r="L29" s="71">
        <f t="shared" si="0"/>
        <v>45.11</v>
      </c>
      <c r="M29" s="64"/>
      <c r="N29" s="94" t="s">
        <v>34</v>
      </c>
      <c r="O29" s="95" t="s">
        <v>35</v>
      </c>
      <c r="P29" s="95" t="s">
        <v>36</v>
      </c>
      <c r="Q29" s="95" t="s">
        <v>37</v>
      </c>
      <c r="R29" s="93" t="s">
        <v>59</v>
      </c>
      <c r="T29" s="94" t="s">
        <v>60</v>
      </c>
      <c r="U29" s="95" t="s">
        <v>9</v>
      </c>
      <c r="V29" s="95" t="s">
        <v>61</v>
      </c>
      <c r="W29" s="95" t="s">
        <v>62</v>
      </c>
    </row>
    <row r="30" spans="2:25" ht="39.5">
      <c r="B30" s="64"/>
      <c r="C30" s="94" t="s">
        <v>31</v>
      </c>
      <c r="D30" s="95" t="s">
        <v>63</v>
      </c>
      <c r="E30" s="95" t="s">
        <v>31</v>
      </c>
      <c r="F30" s="95" t="s">
        <v>64</v>
      </c>
      <c r="G30" s="64"/>
      <c r="H30" s="76">
        <v>3</v>
      </c>
      <c r="I30" s="76" t="s">
        <v>65</v>
      </c>
      <c r="J30" s="71">
        <f>'Water Charges'!F18</f>
        <v>22.79</v>
      </c>
      <c r="K30" s="71">
        <f>'Wastewater Charges'!G20</f>
        <v>45.98</v>
      </c>
      <c r="L30" s="71">
        <f t="shared" si="0"/>
        <v>68.77</v>
      </c>
      <c r="M30" s="64"/>
      <c r="N30" s="75" t="s">
        <v>44</v>
      </c>
      <c r="O30" s="75" t="s">
        <v>45</v>
      </c>
      <c r="P30" s="71">
        <f>'Water Charges'!F103</f>
        <v>14.16</v>
      </c>
      <c r="Q30" s="71">
        <f>'2027 Bill Detail'!K$25</f>
        <v>8.84</v>
      </c>
      <c r="R30" s="96">
        <f>SUM(P30,Q30)</f>
        <v>23</v>
      </c>
      <c r="S30" s="229"/>
      <c r="T30" s="103" t="s">
        <v>66</v>
      </c>
      <c r="U30" s="105">
        <f>'Typical Res Bills TOTAL'!E20</f>
        <v>91.314241100541835</v>
      </c>
      <c r="V30" s="105"/>
      <c r="W30" s="104"/>
    </row>
    <row r="31" spans="2:25" ht="29">
      <c r="C31" s="72" t="s">
        <v>40</v>
      </c>
      <c r="D31" s="71">
        <f>'Water Charges'!F42</f>
        <v>3.87</v>
      </c>
      <c r="E31" s="72" t="s">
        <v>40</v>
      </c>
      <c r="F31" s="71">
        <f>'Wastewater Charges'!G45</f>
        <v>5.67</v>
      </c>
      <c r="H31" s="76">
        <v>4</v>
      </c>
      <c r="I31" s="76" t="s">
        <v>68</v>
      </c>
      <c r="J31" s="71">
        <f>'Water Charges'!F19</f>
        <v>39.26</v>
      </c>
      <c r="K31" s="71">
        <f>'Wastewater Charges'!G21</f>
        <v>83.12</v>
      </c>
      <c r="L31" s="71">
        <f t="shared" si="0"/>
        <v>122.38</v>
      </c>
      <c r="N31" s="75">
        <v>1</v>
      </c>
      <c r="O31" s="75" t="s">
        <v>49</v>
      </c>
      <c r="P31" s="71">
        <f>'Water Charges'!F104</f>
        <v>16.63</v>
      </c>
      <c r="Q31" s="71">
        <f>'2027 Bill Detail'!K$25</f>
        <v>8.84</v>
      </c>
      <c r="R31" s="71">
        <f>SUM(P31,Q31)</f>
        <v>25.47</v>
      </c>
      <c r="S31" s="229"/>
      <c r="T31" s="103" t="str">
        <f>"Rates Effective "&amp;TEXT(Inputs!$E$6,"mmmm dd, yyyy")</f>
        <v>Rates Effective September 01, 2026</v>
      </c>
      <c r="U31" s="105">
        <f>'Typical Res Bills TOTAL'!G20</f>
        <v>96.679999999999993</v>
      </c>
      <c r="V31" s="105">
        <f>'Typical Res Bills TOTAL'!G20-'Typical Res Bills TOTAL'!E20</f>
        <v>5.3657588994581573</v>
      </c>
      <c r="W31" s="135">
        <f>ROUND('Typical Res Bills TOTAL'!G20,1)</f>
        <v>96.7</v>
      </c>
    </row>
    <row r="32" spans="2:25" ht="15.5">
      <c r="C32" s="137" t="s">
        <v>69</v>
      </c>
      <c r="D32" s="65"/>
      <c r="E32" s="66"/>
      <c r="F32" s="66"/>
      <c r="H32" s="76">
        <v>6</v>
      </c>
      <c r="I32" s="76" t="s">
        <v>70</v>
      </c>
      <c r="J32" s="71">
        <f>'Water Charges'!F20</f>
        <v>68.290000000000006</v>
      </c>
      <c r="K32" s="71">
        <f>'Wastewater Charges'!G22</f>
        <v>141.07</v>
      </c>
      <c r="L32" s="71">
        <f t="shared" si="0"/>
        <v>209.36</v>
      </c>
      <c r="N32" s="76" t="s">
        <v>53</v>
      </c>
      <c r="O32" s="75" t="s">
        <v>54</v>
      </c>
      <c r="P32" s="71">
        <f>'Water Charges'!F105</f>
        <v>22.18</v>
      </c>
      <c r="Q32" s="71">
        <f>'2027 Bill Detail'!K$25</f>
        <v>8.84</v>
      </c>
      <c r="R32" s="71">
        <f>SUM(P32,Q32)</f>
        <v>31.02</v>
      </c>
      <c r="S32" s="229"/>
      <c r="T32" s="97" t="s">
        <v>71</v>
      </c>
      <c r="U32" s="66"/>
      <c r="V32" s="66"/>
      <c r="W32" s="66" t="s">
        <v>72</v>
      </c>
    </row>
    <row r="33" spans="3:23" ht="14.5">
      <c r="C33" s="100" t="s">
        <v>73</v>
      </c>
      <c r="D33" s="66"/>
      <c r="E33" s="100" t="s">
        <v>74</v>
      </c>
      <c r="F33" s="66"/>
      <c r="H33" s="76">
        <v>8</v>
      </c>
      <c r="I33" s="76" t="s">
        <v>75</v>
      </c>
      <c r="J33" s="71">
        <f>'Water Charges'!F21</f>
        <v>132.31</v>
      </c>
      <c r="K33" s="71">
        <f>'Wastewater Charges'!G23</f>
        <v>278.33999999999997</v>
      </c>
      <c r="L33" s="71">
        <f t="shared" si="0"/>
        <v>410.65</v>
      </c>
      <c r="N33" s="76">
        <v>2</v>
      </c>
      <c r="O33" s="76" t="s">
        <v>58</v>
      </c>
      <c r="P33" s="71">
        <f>'Water Charges'!F106</f>
        <v>29.6</v>
      </c>
      <c r="Q33" s="71">
        <f>'2027 Bill Detail'!K$25</f>
        <v>8.84</v>
      </c>
      <c r="R33" s="71">
        <f>SUM(P33,Q33)</f>
        <v>38.44</v>
      </c>
      <c r="S33" s="229"/>
      <c r="T33" s="97" t="s">
        <v>76</v>
      </c>
      <c r="U33" s="97"/>
      <c r="V33" s="97"/>
      <c r="W33" s="97"/>
    </row>
    <row r="34" spans="3:23" ht="14.5">
      <c r="C34" s="100" t="s">
        <v>77</v>
      </c>
      <c r="D34" s="66"/>
      <c r="E34" s="100" t="s">
        <v>78</v>
      </c>
      <c r="F34" s="66"/>
      <c r="H34" s="76">
        <v>10</v>
      </c>
      <c r="I34" s="76" t="s">
        <v>79</v>
      </c>
      <c r="J34" s="71">
        <f>'Water Charges'!F22</f>
        <v>206.57</v>
      </c>
      <c r="K34" s="71">
        <f>'Wastewater Charges'!G24</f>
        <v>440.78</v>
      </c>
      <c r="L34" s="71">
        <f t="shared" si="0"/>
        <v>647.34999999999991</v>
      </c>
      <c r="N34" s="66"/>
      <c r="O34" s="66"/>
      <c r="P34" s="66"/>
      <c r="Q34" s="66"/>
      <c r="R34" s="66"/>
      <c r="T34" s="97" t="s">
        <v>80</v>
      </c>
      <c r="U34" s="97"/>
      <c r="V34" s="97"/>
      <c r="W34" s="97"/>
    </row>
    <row r="35" spans="3:23" ht="14.5">
      <c r="C35" s="101">
        <f>'Wastewater Charges'!G51</f>
        <v>0.53700000000000003</v>
      </c>
      <c r="D35" s="66"/>
      <c r="E35" s="101">
        <f>'Wastewater Charges'!G52</f>
        <v>0.55500000000000005</v>
      </c>
      <c r="F35" s="66"/>
      <c r="H35" s="76">
        <v>12</v>
      </c>
      <c r="I35" s="76" t="s">
        <v>81</v>
      </c>
      <c r="J35" s="71">
        <f>'Water Charges'!F23</f>
        <v>299.62</v>
      </c>
      <c r="K35" s="71">
        <f>'Wastewater Charges'!G25</f>
        <v>636</v>
      </c>
      <c r="L35" s="71">
        <f t="shared" si="0"/>
        <v>935.62</v>
      </c>
      <c r="N35" s="97"/>
      <c r="O35" s="97"/>
      <c r="P35" s="141"/>
      <c r="Q35" s="97"/>
      <c r="R35" s="66"/>
      <c r="T35" s="97" t="s">
        <v>82</v>
      </c>
      <c r="U35" s="97"/>
      <c r="V35" s="97"/>
      <c r="W35" s="97"/>
    </row>
    <row r="36" spans="3:23" ht="14.5">
      <c r="C36" s="97" t="s">
        <v>83</v>
      </c>
      <c r="D36" s="97"/>
      <c r="E36" s="97" t="s">
        <v>83</v>
      </c>
      <c r="F36" s="66"/>
      <c r="H36" s="66"/>
      <c r="I36" s="66"/>
      <c r="J36" s="66"/>
      <c r="K36" s="66"/>
      <c r="L36" s="66"/>
      <c r="N36" s="97"/>
      <c r="O36" s="97"/>
      <c r="P36" s="141"/>
      <c r="Q36" s="97"/>
      <c r="R36" s="66"/>
    </row>
    <row r="37" spans="3:23" ht="14.5">
      <c r="C37" s="97" t="s">
        <v>84</v>
      </c>
      <c r="D37" s="97"/>
      <c r="E37" s="97" t="s">
        <v>85</v>
      </c>
      <c r="F37" s="66"/>
      <c r="H37" s="97" t="s">
        <v>86</v>
      </c>
      <c r="I37" s="97"/>
      <c r="J37" s="97"/>
      <c r="K37" s="97"/>
      <c r="L37" s="66"/>
      <c r="N37" s="97"/>
      <c r="O37" s="97"/>
      <c r="P37" s="141"/>
      <c r="Q37" s="97"/>
      <c r="R37" s="66"/>
    </row>
    <row r="38" spans="3:23" ht="14.5">
      <c r="C38" s="97" t="s">
        <v>87</v>
      </c>
      <c r="D38" s="66"/>
      <c r="E38" s="97" t="s">
        <v>88</v>
      </c>
      <c r="F38" s="66"/>
      <c r="H38" s="97"/>
      <c r="I38" s="97"/>
      <c r="J38" s="97"/>
      <c r="K38" s="97"/>
      <c r="L38" s="66"/>
      <c r="N38" s="97"/>
      <c r="O38" s="97"/>
      <c r="P38" s="141"/>
      <c r="Q38" s="97"/>
      <c r="R38" s="66"/>
    </row>
    <row r="39" spans="3:23" ht="14.5">
      <c r="C39" s="97" t="s">
        <v>89</v>
      </c>
      <c r="D39" s="66"/>
      <c r="E39" s="98" t="s">
        <v>90</v>
      </c>
      <c r="F39" s="99" t="s">
        <v>91</v>
      </c>
      <c r="H39" s="97"/>
      <c r="I39" s="97"/>
      <c r="J39" s="97"/>
      <c r="K39" s="97"/>
      <c r="L39" s="66"/>
      <c r="N39" s="97"/>
      <c r="O39" s="97"/>
      <c r="P39" s="141"/>
      <c r="Q39" s="97"/>
      <c r="R39" s="66"/>
    </row>
    <row r="40" spans="3:23" ht="14.5">
      <c r="C40" s="97"/>
      <c r="D40" s="66"/>
      <c r="E40" s="98"/>
      <c r="F40" s="99"/>
      <c r="H40" s="97"/>
      <c r="I40" s="97"/>
      <c r="J40" s="97"/>
      <c r="K40" s="97"/>
      <c r="L40" s="66"/>
      <c r="N40" s="97"/>
      <c r="O40" s="97"/>
      <c r="P40" s="97"/>
      <c r="Q40" s="97"/>
      <c r="R40" s="66"/>
    </row>
    <row r="41" spans="3:23" ht="31.4" customHeight="1">
      <c r="C41" s="468" t="s">
        <v>92</v>
      </c>
      <c r="D41" s="468"/>
      <c r="E41" s="468"/>
      <c r="F41" s="468"/>
      <c r="H41" s="97"/>
      <c r="I41" s="97"/>
      <c r="J41" s="97"/>
      <c r="K41" s="97"/>
      <c r="L41" s="66"/>
      <c r="N41" s="97"/>
      <c r="O41" s="97"/>
      <c r="P41" s="97"/>
      <c r="Q41" s="97"/>
      <c r="R41" s="66"/>
    </row>
  </sheetData>
  <mergeCells count="2">
    <mergeCell ref="N24:R24"/>
    <mergeCell ref="C41:F41"/>
  </mergeCells>
  <hyperlinks>
    <hyperlink ref="A1" location="TOC!A1" display="TOC!A1" xr:uid="{00000000-0004-0000-0400-000000000000}"/>
  </hyperlinks>
  <pageMargins left="0.25" right="0.25" top="0.75" bottom="0.75" header="0.3" footer="0.3"/>
  <pageSetup scale="41" orientation="landscape" r:id="rId1"/>
  <ignoredErrors>
    <ignoredError sqref="H28 N3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L43"/>
  <sheetViews>
    <sheetView showGridLines="0" zoomScaleNormal="100" zoomScaleSheetLayoutView="100" workbookViewId="0">
      <selection activeCell="A9" sqref="A9"/>
    </sheetView>
  </sheetViews>
  <sheetFormatPr defaultRowHeight="14"/>
  <cols>
    <col min="4" max="4" width="27.54296875" customWidth="1"/>
    <col min="5" max="5" width="18" customWidth="1"/>
    <col min="6" max="6" width="17.81640625" customWidth="1"/>
    <col min="7" max="7" width="16.453125" customWidth="1"/>
    <col min="10" max="10" width="12.453125" customWidth="1"/>
    <col min="11" max="11" width="12.7265625" customWidth="1"/>
    <col min="12" max="12" width="12" customWidth="1"/>
  </cols>
  <sheetData>
    <row r="1" spans="1:12" ht="14.5" thickBot="1">
      <c r="A1" s="239" t="s">
        <v>1</v>
      </c>
    </row>
    <row r="2" spans="1:12">
      <c r="D2" s="63" t="s">
        <v>93</v>
      </c>
    </row>
    <row r="5" spans="1:12" ht="15">
      <c r="D5" s="43" t="s">
        <v>94</v>
      </c>
      <c r="E5" s="43"/>
      <c r="F5" s="43"/>
      <c r="G5" s="43"/>
    </row>
    <row r="6" spans="1:12" ht="15.5">
      <c r="D6" s="42"/>
      <c r="E6" s="42"/>
      <c r="F6" s="42"/>
      <c r="G6" s="42"/>
    </row>
    <row r="7" spans="1:12" ht="62">
      <c r="D7" s="47" t="s">
        <v>95</v>
      </c>
      <c r="E7" s="48" t="s">
        <v>96</v>
      </c>
      <c r="F7" s="48" t="s">
        <v>97</v>
      </c>
      <c r="G7" s="48" t="s">
        <v>98</v>
      </c>
      <c r="I7" s="41"/>
      <c r="J7" s="41"/>
    </row>
    <row r="8" spans="1:12" ht="15.5">
      <c r="D8" s="49" t="s">
        <v>99</v>
      </c>
      <c r="E8" s="50">
        <f>'2025 Bill Detail'!L15</f>
        <v>81.77</v>
      </c>
      <c r="F8" s="50"/>
      <c r="G8" s="115"/>
      <c r="J8" s="30"/>
      <c r="K8" s="318">
        <f>J9/E8-1</f>
        <v>0.10000000000000009</v>
      </c>
      <c r="L8" s="30" t="s">
        <v>283</v>
      </c>
    </row>
    <row r="9" spans="1:12" ht="15.5">
      <c r="D9" s="49" t="str">
        <f>"Effective "&amp;Inputs!$D$6</f>
        <v>Effective September 1, 2025</v>
      </c>
      <c r="E9" s="50">
        <f>'2026 Bill Detail'!L15</f>
        <v>91.314241100541835</v>
      </c>
      <c r="F9" s="50">
        <f>+E9-E8</f>
        <v>9.5442411005418393</v>
      </c>
      <c r="G9" s="430">
        <f>F9/E8</f>
        <v>0.11672057112072691</v>
      </c>
      <c r="J9" s="143">
        <f>E8*1.1</f>
        <v>89.947000000000003</v>
      </c>
      <c r="K9" s="143">
        <f>J9-E8</f>
        <v>8.1770000000000067</v>
      </c>
      <c r="L9" s="143">
        <f>F9-K9</f>
        <v>1.3672411005418326</v>
      </c>
    </row>
    <row r="10" spans="1:12" ht="15.5">
      <c r="D10" s="49" t="str">
        <f>"Effective "&amp;Inputs!$E$6</f>
        <v>Effective September 1, 2026</v>
      </c>
      <c r="E10" s="50">
        <f>'2027 Bill Detail'!L15</f>
        <v>96.679999999999993</v>
      </c>
      <c r="F10" s="50">
        <f>+E10-E9</f>
        <v>5.3657588994581573</v>
      </c>
      <c r="G10" s="430">
        <f>F10/E9</f>
        <v>5.8761468471825458E-2</v>
      </c>
    </row>
    <row r="11" spans="1:12">
      <c r="D11" s="30"/>
      <c r="E11" s="143"/>
      <c r="F11" s="143">
        <f>AVERAGE(F9:F10)</f>
        <v>7.4549999999999983</v>
      </c>
      <c r="G11" s="319">
        <f>AVERAGE(G9:G10)</f>
        <v>8.7741019796276187E-2</v>
      </c>
    </row>
    <row r="12" spans="1:12">
      <c r="D12" s="125" t="s">
        <v>100</v>
      </c>
    </row>
    <row r="13" spans="1:12">
      <c r="D13" s="126" t="s">
        <v>101</v>
      </c>
    </row>
    <row r="14" spans="1:12">
      <c r="D14" s="126" t="s">
        <v>102</v>
      </c>
    </row>
    <row r="15" spans="1:12">
      <c r="D15" s="126"/>
    </row>
    <row r="16" spans="1:12">
      <c r="D16" s="126"/>
    </row>
    <row r="17" spans="4:10" ht="15">
      <c r="D17" s="43" t="s">
        <v>103</v>
      </c>
      <c r="E17" s="43"/>
      <c r="F17" s="43"/>
      <c r="G17" s="43"/>
    </row>
    <row r="18" spans="4:10" ht="15.5">
      <c r="D18" s="42"/>
      <c r="E18" s="42"/>
      <c r="F18" s="42"/>
      <c r="G18" s="42"/>
    </row>
    <row r="19" spans="4:10" ht="62">
      <c r="D19" s="47" t="s">
        <v>104</v>
      </c>
      <c r="E19" s="48" t="s">
        <v>96</v>
      </c>
      <c r="F19" s="48" t="s">
        <v>97</v>
      </c>
      <c r="G19" s="48" t="s">
        <v>98</v>
      </c>
      <c r="I19" s="41"/>
      <c r="J19" s="41"/>
    </row>
    <row r="20" spans="4:10" ht="15.5">
      <c r="D20" s="49" t="s">
        <v>99</v>
      </c>
      <c r="E20" s="50">
        <f>+'2025 Bill Detail'!X18</f>
        <v>50.319999999999993</v>
      </c>
      <c r="F20" s="50"/>
      <c r="G20" s="116"/>
    </row>
    <row r="21" spans="4:10" ht="15.5">
      <c r="D21" s="49" t="str">
        <f>D9</f>
        <v>Effective September 1, 2025</v>
      </c>
      <c r="E21" s="50">
        <f>+'2026 Bill Detail'!X18</f>
        <v>55.874241100541838</v>
      </c>
      <c r="F21" s="50">
        <f>+E21-E20</f>
        <v>5.5542411005418444</v>
      </c>
      <c r="G21" s="430">
        <f>F21/E20</f>
        <v>0.11037840024924175</v>
      </c>
      <c r="I21" s="203"/>
    </row>
    <row r="22" spans="4:10" ht="15.5">
      <c r="D22" s="49" t="str">
        <f>D10</f>
        <v>Effective September 1, 2026</v>
      </c>
      <c r="E22" s="50">
        <f>+'2027 Bill Detail'!X18</f>
        <v>59.35</v>
      </c>
      <c r="F22" s="50">
        <f>+E22-E21</f>
        <v>3.4757588994581639</v>
      </c>
      <c r="G22" s="430">
        <f>F22/E21</f>
        <v>6.2206820728066367E-2</v>
      </c>
      <c r="I22" s="203"/>
    </row>
    <row r="23" spans="4:10">
      <c r="D23" s="30"/>
      <c r="E23" s="30"/>
      <c r="F23" s="143"/>
      <c r="G23" s="30"/>
    </row>
    <row r="24" spans="4:10">
      <c r="D24" s="125" t="s">
        <v>105</v>
      </c>
    </row>
    <row r="25" spans="4:10">
      <c r="D25" s="126" t="s">
        <v>106</v>
      </c>
    </row>
    <row r="26" spans="4:10">
      <c r="D26" s="126" t="s">
        <v>102</v>
      </c>
    </row>
    <row r="27" spans="4:10">
      <c r="D27" s="126" t="s">
        <v>107</v>
      </c>
    </row>
    <row r="29" spans="4:10" ht="15">
      <c r="D29" s="43" t="s">
        <v>108</v>
      </c>
      <c r="E29" s="43"/>
      <c r="F29" s="43"/>
      <c r="G29" s="43"/>
    </row>
    <row r="30" spans="4:10" ht="15.5">
      <c r="D30" s="42"/>
      <c r="E30" s="42"/>
      <c r="F30" s="42"/>
      <c r="G30" s="42"/>
    </row>
    <row r="31" spans="4:10" ht="62">
      <c r="D31" s="47" t="s">
        <v>104</v>
      </c>
      <c r="E31" s="48" t="s">
        <v>96</v>
      </c>
      <c r="F31" s="48" t="s">
        <v>97</v>
      </c>
      <c r="G31" s="48" t="s">
        <v>98</v>
      </c>
    </row>
    <row r="32" spans="4:10" ht="15.5">
      <c r="D32" s="49" t="s">
        <v>99</v>
      </c>
      <c r="E32" s="50">
        <f>'2025 Bill Detail'!AF15</f>
        <v>137.38400000000001</v>
      </c>
      <c r="F32" s="50"/>
      <c r="G32" s="49"/>
    </row>
    <row r="33" spans="4:9" ht="15.5">
      <c r="D33" s="49" t="str">
        <f>D21</f>
        <v>Effective September 1, 2025</v>
      </c>
      <c r="E33" s="50">
        <f>ROUND('2026 Bill Detail'!AF15,2)</f>
        <v>150.49</v>
      </c>
      <c r="F33" s="50">
        <f>E33-E32</f>
        <v>13.105999999999995</v>
      </c>
      <c r="G33" s="430">
        <f>F33/E32</f>
        <v>9.5396843882839297E-2</v>
      </c>
      <c r="H33" s="142"/>
      <c r="I33" s="203"/>
    </row>
    <row r="34" spans="4:9" ht="15.5">
      <c r="D34" s="49" t="str">
        <f>D22</f>
        <v>Effective September 1, 2026</v>
      </c>
      <c r="E34" s="50">
        <f>ROUND('2027 Bill Detail'!AF15,2)</f>
        <v>160.91999999999999</v>
      </c>
      <c r="F34" s="50">
        <f>E34-E33</f>
        <v>10.429999999999978</v>
      </c>
      <c r="G34" s="430">
        <f>F34/E33</f>
        <v>6.930693069306916E-2</v>
      </c>
      <c r="H34" s="142"/>
      <c r="I34" s="203"/>
    </row>
    <row r="35" spans="4:9">
      <c r="D35" s="30"/>
      <c r="E35" s="143"/>
      <c r="F35" s="143"/>
      <c r="G35" s="30"/>
    </row>
    <row r="36" spans="4:9">
      <c r="D36" s="125" t="s">
        <v>100</v>
      </c>
    </row>
    <row r="37" spans="4:9">
      <c r="D37" s="126" t="s">
        <v>109</v>
      </c>
    </row>
    <row r="38" spans="4:9">
      <c r="D38" s="126" t="s">
        <v>110</v>
      </c>
    </row>
    <row r="39" spans="4:9">
      <c r="D39" s="126" t="s">
        <v>102</v>
      </c>
    </row>
    <row r="40" spans="4:9">
      <c r="D40" s="126"/>
    </row>
    <row r="41" spans="4:9">
      <c r="D41" s="126"/>
    </row>
    <row r="42" spans="4:9" ht="14.5">
      <c r="D42" s="51"/>
    </row>
    <row r="43" spans="4:9" ht="14.5">
      <c r="D43" s="51"/>
    </row>
  </sheetData>
  <hyperlinks>
    <hyperlink ref="A1" location="TOC!A1" display="TOC!A1" xr:uid="{00000000-0004-0000-0500-000000000000}"/>
  </hyperlinks>
  <printOptions horizontalCentered="1"/>
  <pageMargins left="0.7" right="0.7" top="0.75" bottom="0.7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W124"/>
  <sheetViews>
    <sheetView zoomScaleNormal="100" workbookViewId="0"/>
  </sheetViews>
  <sheetFormatPr defaultRowHeight="14"/>
  <cols>
    <col min="2" max="2" width="17.453125" customWidth="1"/>
    <col min="3" max="3" width="9.453125" customWidth="1"/>
    <col min="4" max="4" width="9.54296875" customWidth="1"/>
    <col min="5" max="5" width="11.1796875" bestFit="1" customWidth="1"/>
    <col min="6" max="6" width="11.1796875" customWidth="1"/>
    <col min="7" max="7" width="11.1796875" bestFit="1" customWidth="1"/>
    <col min="8" max="8" width="9.1796875" customWidth="1"/>
    <col min="10" max="10" width="9.1796875" customWidth="1"/>
    <col min="15" max="15" width="6" customWidth="1"/>
    <col min="16" max="16" width="23.81640625" customWidth="1"/>
    <col min="17" max="18" width="9.1796875" customWidth="1"/>
    <col min="19" max="20" width="17.54296875" customWidth="1"/>
  </cols>
  <sheetData>
    <row r="1" spans="1:23" ht="14.5" thickBot="1">
      <c r="A1" s="239" t="s">
        <v>1</v>
      </c>
    </row>
    <row r="2" spans="1:23" ht="18">
      <c r="B2" s="111" t="s">
        <v>148</v>
      </c>
      <c r="C2" s="111"/>
      <c r="D2" s="111"/>
      <c r="E2" s="111"/>
      <c r="F2" s="111"/>
      <c r="G2" s="111"/>
    </row>
    <row r="3" spans="1:23" ht="18">
      <c r="B3" s="1"/>
      <c r="C3" s="1"/>
      <c r="D3" s="1"/>
      <c r="E3" s="1"/>
      <c r="F3" s="1"/>
      <c r="G3" s="1"/>
      <c r="H3" s="1"/>
    </row>
    <row r="4" spans="1:23" ht="18">
      <c r="A4" s="111"/>
      <c r="B4" s="111" t="s">
        <v>149</v>
      </c>
      <c r="C4" s="111"/>
      <c r="D4" s="111"/>
      <c r="E4" s="111"/>
      <c r="F4" s="111"/>
      <c r="G4" s="111"/>
    </row>
    <row r="5" spans="1:23" ht="18">
      <c r="A5" s="111"/>
      <c r="B5" s="111" t="s">
        <v>150</v>
      </c>
      <c r="C5" s="111"/>
      <c r="D5" s="111"/>
      <c r="E5" s="111"/>
      <c r="F5" s="111"/>
      <c r="G5" s="111"/>
    </row>
    <row r="6" spans="1:23" ht="15.5">
      <c r="B6" s="471" t="s">
        <v>18</v>
      </c>
      <c r="C6" s="471"/>
      <c r="D6" s="471"/>
      <c r="E6" s="471"/>
      <c r="F6" s="471"/>
      <c r="G6" s="471"/>
      <c r="H6" s="19"/>
    </row>
    <row r="7" spans="1:23">
      <c r="B7" s="3"/>
      <c r="C7" s="3"/>
      <c r="D7" s="3"/>
      <c r="E7" s="3"/>
      <c r="F7" s="3"/>
      <c r="G7" s="40"/>
      <c r="H7" s="40"/>
    </row>
    <row r="8" spans="1:23">
      <c r="B8" s="4"/>
      <c r="C8" s="3"/>
      <c r="D8" s="4" t="str">
        <f>Inputs!$C$4</f>
        <v>FY 2025</v>
      </c>
      <c r="E8" s="4" t="str">
        <f>Inputs!$D$4</f>
        <v>FY 2026</v>
      </c>
      <c r="F8" s="4" t="str">
        <f>Inputs!$E$4</f>
        <v>FY 2027</v>
      </c>
      <c r="G8" s="4"/>
      <c r="H8" s="4"/>
    </row>
    <row r="9" spans="1:23">
      <c r="B9" s="4"/>
      <c r="C9" s="3"/>
      <c r="D9" s="4" t="s">
        <v>122</v>
      </c>
      <c r="E9" s="4" t="s">
        <v>122</v>
      </c>
      <c r="F9" s="4" t="s">
        <v>122</v>
      </c>
      <c r="G9" s="4"/>
      <c r="H9" s="4"/>
    </row>
    <row r="10" spans="1:23" ht="15.5">
      <c r="B10" s="6" t="s">
        <v>123</v>
      </c>
      <c r="C10" s="7"/>
      <c r="D10" s="8" t="s">
        <v>124</v>
      </c>
      <c r="E10" s="8" t="s">
        <v>124</v>
      </c>
      <c r="F10" s="8" t="s">
        <v>124</v>
      </c>
      <c r="G10" s="8"/>
      <c r="H10" s="8"/>
    </row>
    <row r="11" spans="1:23">
      <c r="B11" s="4" t="s">
        <v>125</v>
      </c>
      <c r="C11" s="3"/>
      <c r="D11" s="4" t="s">
        <v>126</v>
      </c>
      <c r="E11" s="4" t="s">
        <v>126</v>
      </c>
      <c r="F11" s="4" t="s">
        <v>126</v>
      </c>
      <c r="G11" s="4"/>
      <c r="H11" s="4"/>
    </row>
    <row r="12" spans="1:23">
      <c r="B12" s="3"/>
      <c r="C12" s="3"/>
      <c r="D12" s="3"/>
      <c r="E12" s="3"/>
      <c r="F12" s="3"/>
      <c r="G12" s="9"/>
      <c r="H12" s="9"/>
    </row>
    <row r="13" spans="1:23">
      <c r="B13" s="10" t="s">
        <v>41</v>
      </c>
      <c r="C13" s="12"/>
      <c r="D13" s="261">
        <v>5.17</v>
      </c>
      <c r="E13" s="261">
        <v>6.08</v>
      </c>
      <c r="F13" s="261">
        <v>6.31</v>
      </c>
      <c r="G13" s="12"/>
      <c r="H13" s="113"/>
      <c r="V13" s="21"/>
      <c r="W13" s="21"/>
    </row>
    <row r="14" spans="1:23">
      <c r="B14" s="10" t="s">
        <v>44</v>
      </c>
      <c r="C14" s="12"/>
      <c r="D14" s="261">
        <v>5.7</v>
      </c>
      <c r="E14" s="261">
        <v>7.06</v>
      </c>
      <c r="F14" s="261">
        <v>7.35</v>
      </c>
      <c r="G14" s="12"/>
      <c r="H14" s="113"/>
      <c r="V14" s="21"/>
      <c r="W14" s="21"/>
    </row>
    <row r="15" spans="1:23">
      <c r="B15" s="4">
        <v>1</v>
      </c>
      <c r="C15" s="12"/>
      <c r="D15" s="261">
        <v>7.19</v>
      </c>
      <c r="E15" s="261">
        <v>9.42</v>
      </c>
      <c r="F15" s="261">
        <v>9.82</v>
      </c>
      <c r="G15" s="12"/>
      <c r="H15" s="113"/>
      <c r="V15" s="21"/>
      <c r="W15" s="21"/>
    </row>
    <row r="16" spans="1:23">
      <c r="B16" s="10" t="s">
        <v>131</v>
      </c>
      <c r="C16" s="12"/>
      <c r="D16" s="261">
        <v>9</v>
      </c>
      <c r="E16" s="261">
        <v>12.38</v>
      </c>
      <c r="F16" s="261">
        <v>12.91</v>
      </c>
      <c r="G16" s="12"/>
      <c r="H16" s="113"/>
      <c r="V16" s="21"/>
      <c r="W16" s="21"/>
    </row>
    <row r="17" spans="2:23">
      <c r="B17" s="10" t="s">
        <v>53</v>
      </c>
      <c r="C17" s="12"/>
      <c r="D17" s="261">
        <v>10.29</v>
      </c>
      <c r="E17" s="261">
        <v>14.73</v>
      </c>
      <c r="F17" s="261">
        <v>15.37</v>
      </c>
      <c r="G17" s="12"/>
      <c r="H17" s="113"/>
      <c r="V17" s="21"/>
      <c r="W17" s="21"/>
    </row>
    <row r="18" spans="2:23">
      <c r="B18" s="10">
        <v>2</v>
      </c>
      <c r="C18" s="12"/>
      <c r="D18" s="261">
        <v>14.75</v>
      </c>
      <c r="E18" s="261">
        <v>21.85</v>
      </c>
      <c r="F18" s="261">
        <v>22.79</v>
      </c>
      <c r="G18" s="12"/>
      <c r="H18" s="113"/>
      <c r="V18" s="21"/>
      <c r="W18" s="21"/>
    </row>
    <row r="19" spans="2:23">
      <c r="B19" s="10">
        <v>3</v>
      </c>
      <c r="C19" s="12"/>
      <c r="D19" s="261">
        <v>24.33</v>
      </c>
      <c r="E19" s="261">
        <v>37.619999999999997</v>
      </c>
      <c r="F19" s="261">
        <v>39.26</v>
      </c>
      <c r="G19" s="12"/>
      <c r="H19" s="113"/>
      <c r="V19" s="21"/>
      <c r="W19" s="21"/>
    </row>
    <row r="20" spans="2:23">
      <c r="B20" s="10">
        <v>4</v>
      </c>
      <c r="C20" s="12"/>
      <c r="D20" s="261">
        <v>43.28</v>
      </c>
      <c r="E20" s="261">
        <v>65.44</v>
      </c>
      <c r="F20" s="261">
        <v>68.290000000000006</v>
      </c>
      <c r="G20" s="12"/>
      <c r="H20" s="113"/>
      <c r="V20" s="21"/>
      <c r="W20" s="21"/>
    </row>
    <row r="21" spans="2:23">
      <c r="B21" s="10">
        <v>6</v>
      </c>
      <c r="C21" s="12"/>
      <c r="D21" s="261">
        <v>82.46</v>
      </c>
      <c r="E21" s="261">
        <v>126.77</v>
      </c>
      <c r="F21" s="261">
        <v>132.31</v>
      </c>
      <c r="G21" s="12"/>
      <c r="H21" s="113"/>
      <c r="V21" s="21"/>
      <c r="W21" s="21"/>
    </row>
    <row r="22" spans="2:23">
      <c r="B22" s="10">
        <v>8</v>
      </c>
      <c r="C22" s="12"/>
      <c r="D22" s="261">
        <v>127.03</v>
      </c>
      <c r="E22" s="261">
        <v>197.89</v>
      </c>
      <c r="F22" s="261">
        <v>206.57</v>
      </c>
      <c r="G22" s="12"/>
      <c r="H22" s="113"/>
      <c r="V22" s="21"/>
      <c r="W22" s="21"/>
    </row>
    <row r="23" spans="2:23">
      <c r="B23" s="10">
        <v>10</v>
      </c>
      <c r="C23" s="12"/>
      <c r="D23" s="261">
        <v>185.16</v>
      </c>
      <c r="E23" s="261">
        <v>287.04000000000002</v>
      </c>
      <c r="F23" s="261">
        <v>299.62</v>
      </c>
      <c r="G23" s="12"/>
      <c r="H23" s="113"/>
      <c r="V23" s="21"/>
      <c r="W23" s="21"/>
    </row>
    <row r="24" spans="2:23">
      <c r="B24" s="10">
        <v>12</v>
      </c>
      <c r="C24" s="12"/>
      <c r="D24" s="261">
        <v>313.27</v>
      </c>
      <c r="E24" s="261">
        <v>503.58</v>
      </c>
      <c r="F24" s="261">
        <v>525.79</v>
      </c>
      <c r="G24" s="12"/>
      <c r="H24" s="113"/>
      <c r="V24" s="21"/>
      <c r="W24" s="21"/>
    </row>
    <row r="25" spans="2:23">
      <c r="B25" s="13"/>
      <c r="C25" s="3"/>
      <c r="D25" s="3"/>
      <c r="E25" s="3"/>
      <c r="F25" s="3"/>
      <c r="G25" s="14"/>
      <c r="H25" s="14"/>
    </row>
    <row r="26" spans="2:23" ht="15.5">
      <c r="B26" s="471" t="s">
        <v>134</v>
      </c>
      <c r="C26" s="471"/>
      <c r="D26" s="471"/>
      <c r="E26" s="471"/>
      <c r="F26" s="471"/>
      <c r="G26" s="471"/>
      <c r="H26" s="19"/>
      <c r="I26" s="471" t="s">
        <v>135</v>
      </c>
      <c r="J26" s="471"/>
      <c r="K26" s="471"/>
      <c r="L26" s="471"/>
      <c r="M26" s="471"/>
    </row>
    <row r="27" spans="2:23">
      <c r="B27" s="15"/>
      <c r="C27" s="3"/>
      <c r="D27" s="3"/>
      <c r="E27" s="3"/>
      <c r="F27" s="3"/>
      <c r="G27" s="14"/>
      <c r="H27" s="14"/>
    </row>
    <row r="28" spans="2:23">
      <c r="B28" s="15"/>
      <c r="C28" s="3"/>
      <c r="D28" s="4" t="str">
        <f>Inputs!$C$4</f>
        <v>FY 2025</v>
      </c>
      <c r="E28" s="4" t="str">
        <f>Inputs!$D$4</f>
        <v>FY 2026</v>
      </c>
      <c r="F28" s="4" t="str">
        <f>Inputs!$E$4</f>
        <v>FY 2027</v>
      </c>
      <c r="G28" s="4"/>
      <c r="H28" s="4"/>
      <c r="J28" s="4" t="str">
        <f>Inputs!$C$4</f>
        <v>FY 2025</v>
      </c>
      <c r="K28" s="4" t="str">
        <f>Inputs!$D$4</f>
        <v>FY 2026</v>
      </c>
      <c r="L28" s="4" t="str">
        <f>Inputs!$E$4</f>
        <v>FY 2027</v>
      </c>
    </row>
    <row r="29" spans="2:23">
      <c r="B29" s="16"/>
      <c r="C29" s="3"/>
      <c r="D29" s="4" t="s">
        <v>124</v>
      </c>
      <c r="E29" s="4" t="s">
        <v>124</v>
      </c>
      <c r="F29" s="4" t="s">
        <v>124</v>
      </c>
      <c r="G29" s="4"/>
      <c r="H29" s="4"/>
      <c r="J29" s="4" t="s">
        <v>124</v>
      </c>
      <c r="K29" s="4" t="s">
        <v>124</v>
      </c>
      <c r="L29" s="4" t="s">
        <v>124</v>
      </c>
    </row>
    <row r="30" spans="2:23" ht="15.5">
      <c r="B30" s="17" t="s">
        <v>151</v>
      </c>
      <c r="C30" s="3"/>
      <c r="D30" s="8" t="s">
        <v>136</v>
      </c>
      <c r="E30" s="8" t="s">
        <v>136</v>
      </c>
      <c r="F30" s="8" t="s">
        <v>136</v>
      </c>
      <c r="G30" s="8"/>
      <c r="H30" s="8"/>
      <c r="J30" s="8" t="s">
        <v>136</v>
      </c>
      <c r="K30" s="8" t="s">
        <v>136</v>
      </c>
      <c r="L30" s="8" t="s">
        <v>136</v>
      </c>
    </row>
    <row r="31" spans="2:23">
      <c r="B31" s="3"/>
      <c r="C31" s="3"/>
      <c r="D31" s="4" t="s">
        <v>126</v>
      </c>
      <c r="E31" s="4" t="s">
        <v>126</v>
      </c>
      <c r="F31" s="4" t="s">
        <v>126</v>
      </c>
      <c r="G31" s="4"/>
      <c r="H31" s="4"/>
      <c r="J31" s="4" t="s">
        <v>126</v>
      </c>
      <c r="K31" s="4" t="s">
        <v>126</v>
      </c>
      <c r="L31" s="4" t="s">
        <v>126</v>
      </c>
    </row>
    <row r="32" spans="2:23">
      <c r="B32" s="3"/>
      <c r="C32" s="3"/>
      <c r="D32" s="3"/>
      <c r="E32" s="3"/>
      <c r="F32" s="3"/>
      <c r="G32" s="3"/>
      <c r="H32" s="3"/>
      <c r="J32" s="3"/>
      <c r="K32" s="3"/>
      <c r="L32" s="3"/>
    </row>
    <row r="33" spans="2:23">
      <c r="B33" s="5" t="s">
        <v>39</v>
      </c>
      <c r="C33" s="12"/>
      <c r="D33" s="261">
        <v>64.319999999999993</v>
      </c>
      <c r="E33" s="261">
        <v>72.45</v>
      </c>
      <c r="F33" s="261">
        <v>74.790000000000006</v>
      </c>
      <c r="G33" s="12"/>
      <c r="H33" s="12"/>
      <c r="I33" s="133"/>
      <c r="J33" s="130">
        <f>D33+$D$42</f>
        <v>67.399999999999991</v>
      </c>
      <c r="K33" s="130">
        <f>E33+$E$42</f>
        <v>76.320000000000007</v>
      </c>
      <c r="L33" s="130">
        <f>F33+$F$42</f>
        <v>78.660000000000011</v>
      </c>
      <c r="V33" s="21"/>
      <c r="W33" s="21"/>
    </row>
    <row r="34" spans="2:23">
      <c r="B34" s="20" t="s">
        <v>43</v>
      </c>
      <c r="C34" s="12"/>
      <c r="D34" s="261">
        <v>57.88</v>
      </c>
      <c r="E34" s="261">
        <v>64.760000000000005</v>
      </c>
      <c r="F34" s="261">
        <v>70.28</v>
      </c>
      <c r="G34" s="12"/>
      <c r="H34" s="12"/>
      <c r="I34" s="133"/>
      <c r="J34" s="130">
        <f>D34+$D$42</f>
        <v>60.96</v>
      </c>
      <c r="K34" s="130">
        <f>E34+$E$42</f>
        <v>68.63000000000001</v>
      </c>
      <c r="L34" s="130">
        <f>F34+$F$42</f>
        <v>74.150000000000006</v>
      </c>
      <c r="V34" s="21"/>
      <c r="W34" s="21"/>
    </row>
    <row r="35" spans="2:23">
      <c r="B35" s="20" t="s">
        <v>152</v>
      </c>
      <c r="C35" s="12"/>
      <c r="D35" s="261">
        <v>44.84</v>
      </c>
      <c r="E35" s="261">
        <v>50.16</v>
      </c>
      <c r="F35" s="261">
        <v>54.97</v>
      </c>
      <c r="G35" s="12"/>
      <c r="H35" s="12"/>
      <c r="I35" s="133"/>
      <c r="J35" s="130">
        <f>D35+$D$42</f>
        <v>47.92</v>
      </c>
      <c r="K35" s="130">
        <f>E35+$E$42</f>
        <v>54.029999999999994</v>
      </c>
      <c r="L35" s="130">
        <f>F35+$F$42</f>
        <v>58.839999999999996</v>
      </c>
      <c r="V35" s="21"/>
      <c r="W35" s="21"/>
    </row>
    <row r="36" spans="2:23">
      <c r="B36" s="3" t="s">
        <v>153</v>
      </c>
      <c r="C36" s="12"/>
      <c r="D36" s="261">
        <v>43.62</v>
      </c>
      <c r="E36" s="261">
        <v>50.16</v>
      </c>
      <c r="F36" s="261">
        <v>54.97</v>
      </c>
      <c r="G36" s="12"/>
      <c r="H36" s="12"/>
      <c r="I36" s="133"/>
      <c r="J36" s="130">
        <f>D36+$D$42</f>
        <v>46.699999999999996</v>
      </c>
      <c r="K36" s="130">
        <f>E36+$E$42</f>
        <v>54.029999999999994</v>
      </c>
      <c r="L36" s="130">
        <f>F36+$F$42</f>
        <v>58.839999999999996</v>
      </c>
      <c r="V36" s="21"/>
      <c r="W36" s="21"/>
    </row>
    <row r="37" spans="2:23" ht="15.5">
      <c r="B37" s="5"/>
      <c r="C37" s="3"/>
      <c r="D37" s="3"/>
      <c r="E37" s="2"/>
      <c r="F37" s="2"/>
      <c r="G37" s="2"/>
      <c r="H37" s="2"/>
    </row>
    <row r="38" spans="2:23" ht="15.5">
      <c r="B38" s="13" t="s">
        <v>146</v>
      </c>
      <c r="C38" s="3"/>
      <c r="D38" s="3"/>
      <c r="E38" s="2"/>
      <c r="F38" s="2"/>
      <c r="G38" s="2"/>
      <c r="H38" s="2"/>
    </row>
    <row r="39" spans="2:23" ht="15.5">
      <c r="B39" s="3"/>
      <c r="C39" s="3"/>
      <c r="D39" s="3"/>
      <c r="E39" s="2"/>
      <c r="F39" s="2"/>
      <c r="G39" s="2"/>
      <c r="H39" s="2"/>
    </row>
    <row r="40" spans="2:23" ht="15.5">
      <c r="B40" s="122" t="s">
        <v>154</v>
      </c>
      <c r="C40" s="122"/>
      <c r="D40" s="122"/>
      <c r="E40" s="122"/>
      <c r="F40" s="122"/>
      <c r="G40" s="122"/>
      <c r="H40" s="117"/>
      <c r="I40" s="12"/>
    </row>
    <row r="41" spans="2:23">
      <c r="B41" s="5"/>
      <c r="C41" s="5"/>
      <c r="D41" s="3"/>
      <c r="E41" s="12"/>
      <c r="F41" s="12"/>
      <c r="G41" s="12"/>
      <c r="H41" s="12"/>
      <c r="I41" s="12"/>
    </row>
    <row r="42" spans="2:23">
      <c r="B42" s="5" t="s">
        <v>40</v>
      </c>
      <c r="C42" s="5"/>
      <c r="D42" s="261">
        <v>3.08</v>
      </c>
      <c r="E42" s="261">
        <v>3.87</v>
      </c>
      <c r="F42" s="261">
        <v>3.87</v>
      </c>
      <c r="G42" s="12"/>
      <c r="H42" s="114"/>
    </row>
    <row r="44" spans="2:23">
      <c r="B44" s="129" t="s">
        <v>142</v>
      </c>
    </row>
    <row r="46" spans="2:23" ht="28">
      <c r="D46" s="38" t="str">
        <f>+B33</f>
        <v>First 2 Mcf</v>
      </c>
      <c r="E46" s="38" t="s">
        <v>43</v>
      </c>
      <c r="F46" s="38" t="s">
        <v>152</v>
      </c>
      <c r="G46" s="39" t="s">
        <v>153</v>
      </c>
    </row>
    <row r="48" spans="2:23">
      <c r="B48" s="4" t="str">
        <f>Inputs!$C$4</f>
        <v>FY 2025</v>
      </c>
      <c r="D48" s="21">
        <f>+D$33+D42</f>
        <v>67.399999999999991</v>
      </c>
      <c r="E48" s="21">
        <f>+D$34+D42</f>
        <v>60.96</v>
      </c>
      <c r="F48" s="21">
        <f>+D$35+D42</f>
        <v>47.92</v>
      </c>
      <c r="G48" s="21">
        <f>+D$36+D42</f>
        <v>46.699999999999996</v>
      </c>
    </row>
    <row r="49" spans="2:8">
      <c r="B49" s="4" t="str">
        <f>Inputs!$D$4</f>
        <v>FY 2026</v>
      </c>
      <c r="D49" s="21">
        <f>+E$33+E42</f>
        <v>76.320000000000007</v>
      </c>
      <c r="E49" s="21">
        <f>+E$34+E42</f>
        <v>68.63000000000001</v>
      </c>
      <c r="F49" s="21">
        <f>+E$35+E42</f>
        <v>54.029999999999994</v>
      </c>
      <c r="G49" s="21">
        <f>+E$36+E42</f>
        <v>54.029999999999994</v>
      </c>
    </row>
    <row r="50" spans="2:8">
      <c r="B50" s="4" t="str">
        <f>Inputs!$E$4</f>
        <v>FY 2027</v>
      </c>
      <c r="D50" s="21">
        <f>+F$33+F42</f>
        <v>78.660000000000011</v>
      </c>
      <c r="E50" s="21">
        <f>+F$34+F42</f>
        <v>74.150000000000006</v>
      </c>
      <c r="F50" s="21">
        <f>+F$35+F42</f>
        <v>58.839999999999996</v>
      </c>
      <c r="G50" s="21">
        <f>+F$36+F42</f>
        <v>58.839999999999996</v>
      </c>
      <c r="H50" s="21"/>
    </row>
    <row r="55" spans="2:8" ht="18">
      <c r="B55" s="111" t="s">
        <v>155</v>
      </c>
      <c r="C55" s="111"/>
      <c r="D55" s="111"/>
      <c r="E55" s="111"/>
      <c r="F55" s="111"/>
      <c r="G55" s="111"/>
    </row>
    <row r="56" spans="2:8" ht="18">
      <c r="B56" s="111"/>
      <c r="C56" s="111"/>
      <c r="D56" s="111"/>
      <c r="E56" s="111"/>
      <c r="F56" s="111"/>
      <c r="G56" s="111"/>
      <c r="H56" s="111"/>
    </row>
    <row r="57" spans="2:8" ht="18">
      <c r="B57" s="111" t="s">
        <v>156</v>
      </c>
      <c r="C57" s="111"/>
      <c r="D57" s="111"/>
      <c r="E57" s="111"/>
      <c r="F57" s="111"/>
      <c r="G57" s="111"/>
    </row>
    <row r="58" spans="2:8" ht="18">
      <c r="B58" s="111" t="s">
        <v>157</v>
      </c>
      <c r="C58" s="111"/>
      <c r="D58" s="111"/>
      <c r="E58" s="111"/>
      <c r="F58" s="111"/>
      <c r="G58" s="111"/>
    </row>
    <row r="59" spans="2:8" ht="18">
      <c r="B59" s="472"/>
      <c r="C59" s="472"/>
      <c r="D59" s="472"/>
      <c r="E59" s="472"/>
      <c r="F59" s="472"/>
      <c r="G59" s="472"/>
      <c r="H59" s="22"/>
    </row>
    <row r="60" spans="2:8" ht="15.5">
      <c r="B60" s="2"/>
      <c r="C60" s="2"/>
      <c r="D60" s="2"/>
      <c r="E60" s="2"/>
      <c r="F60" s="2"/>
      <c r="G60" s="2"/>
      <c r="H60" s="2"/>
    </row>
    <row r="61" spans="2:8" ht="15.5">
      <c r="B61" s="471" t="s">
        <v>158</v>
      </c>
      <c r="C61" s="471"/>
      <c r="D61" s="471"/>
      <c r="E61" s="471"/>
      <c r="F61" s="471"/>
      <c r="G61" s="471"/>
      <c r="H61" s="19"/>
    </row>
    <row r="62" spans="2:8">
      <c r="B62" s="3"/>
      <c r="C62" s="3"/>
      <c r="D62" s="3"/>
      <c r="E62" s="3"/>
      <c r="F62" s="3"/>
      <c r="G62" s="40"/>
      <c r="H62" s="40"/>
    </row>
    <row r="63" spans="2:8">
      <c r="B63" s="4"/>
      <c r="C63" s="3"/>
      <c r="D63" s="4" t="str">
        <f>Inputs!$C$4</f>
        <v>FY 2025</v>
      </c>
      <c r="E63" s="4" t="str">
        <f>Inputs!$D$4</f>
        <v>FY 2026</v>
      </c>
      <c r="F63" s="4" t="str">
        <f>Inputs!$E$4</f>
        <v>FY 2027</v>
      </c>
      <c r="G63" s="4"/>
      <c r="H63" s="4"/>
    </row>
    <row r="64" spans="2:8">
      <c r="B64" s="4" t="s">
        <v>159</v>
      </c>
      <c r="C64" s="3"/>
      <c r="D64" s="4" t="s">
        <v>122</v>
      </c>
      <c r="E64" s="4" t="s">
        <v>122</v>
      </c>
      <c r="F64" s="4" t="s">
        <v>122</v>
      </c>
      <c r="G64" s="4"/>
      <c r="H64" s="4"/>
    </row>
    <row r="65" spans="2:23" ht="15.5">
      <c r="B65" s="6" t="s">
        <v>160</v>
      </c>
      <c r="C65" s="7"/>
      <c r="D65" s="8" t="s">
        <v>124</v>
      </c>
      <c r="E65" s="8" t="s">
        <v>124</v>
      </c>
      <c r="F65" s="8" t="s">
        <v>124</v>
      </c>
      <c r="G65" s="8"/>
      <c r="H65" s="8"/>
    </row>
    <row r="66" spans="2:23">
      <c r="B66" s="4" t="s">
        <v>125</v>
      </c>
      <c r="C66" s="3"/>
      <c r="D66" s="4" t="s">
        <v>126</v>
      </c>
      <c r="E66" s="4" t="s">
        <v>126</v>
      </c>
      <c r="F66" s="4" t="s">
        <v>126</v>
      </c>
      <c r="G66" s="4"/>
      <c r="H66" s="4"/>
    </row>
    <row r="67" spans="2:23">
      <c r="B67" s="3"/>
      <c r="C67" s="3"/>
      <c r="D67" s="3"/>
      <c r="E67" s="3"/>
      <c r="F67" s="3"/>
      <c r="G67" s="9"/>
      <c r="H67" s="9"/>
    </row>
    <row r="68" spans="2:23">
      <c r="B68" s="10" t="s">
        <v>161</v>
      </c>
      <c r="C68" s="12"/>
      <c r="D68" s="261">
        <v>28.06</v>
      </c>
      <c r="E68" s="261">
        <v>33.880000000000003</v>
      </c>
      <c r="F68" s="261">
        <v>39.380000000000003</v>
      </c>
      <c r="G68" s="12"/>
      <c r="H68" s="113"/>
      <c r="V68" s="21"/>
      <c r="W68" s="21"/>
    </row>
    <row r="69" spans="2:23">
      <c r="B69" s="10">
        <v>6</v>
      </c>
      <c r="C69" s="12"/>
      <c r="D69" s="261">
        <v>52.02</v>
      </c>
      <c r="E69" s="261">
        <v>63.64</v>
      </c>
      <c r="F69" s="261">
        <v>74.48</v>
      </c>
      <c r="G69" s="12"/>
      <c r="H69" s="113"/>
      <c r="V69" s="21"/>
      <c r="W69" s="21"/>
    </row>
    <row r="70" spans="2:23">
      <c r="B70" s="10">
        <v>8</v>
      </c>
      <c r="C70" s="12"/>
      <c r="D70" s="261">
        <v>78.31</v>
      </c>
      <c r="E70" s="261">
        <v>96.9</v>
      </c>
      <c r="F70" s="261">
        <v>114.06</v>
      </c>
      <c r="G70" s="12"/>
      <c r="H70" s="113"/>
      <c r="V70" s="21"/>
      <c r="W70" s="21"/>
    </row>
    <row r="71" spans="2:23">
      <c r="B71" s="10">
        <v>10</v>
      </c>
      <c r="C71" s="12"/>
      <c r="D71" s="261">
        <v>115.13</v>
      </c>
      <c r="E71" s="261">
        <v>141.86000000000001</v>
      </c>
      <c r="F71" s="261">
        <v>166.62</v>
      </c>
      <c r="G71" s="12"/>
      <c r="H71" s="113"/>
      <c r="V71" s="21"/>
      <c r="W71" s="21"/>
    </row>
    <row r="72" spans="2:23">
      <c r="B72" s="10">
        <v>12</v>
      </c>
      <c r="C72" s="12"/>
      <c r="D72" s="261">
        <v>182.34</v>
      </c>
      <c r="E72" s="261">
        <v>232.14</v>
      </c>
      <c r="F72" s="261">
        <v>277.14999999999998</v>
      </c>
      <c r="G72" s="12"/>
      <c r="H72" s="113"/>
    </row>
    <row r="73" spans="2:23">
      <c r="B73" s="13"/>
      <c r="C73" s="3"/>
      <c r="D73" s="3"/>
      <c r="E73" s="3"/>
      <c r="F73" s="3"/>
      <c r="G73" s="14"/>
      <c r="H73" s="14"/>
    </row>
    <row r="74" spans="2:23" ht="15.5">
      <c r="B74" s="471" t="s">
        <v>162</v>
      </c>
      <c r="C74" s="471"/>
      <c r="D74" s="471"/>
      <c r="E74" s="471"/>
      <c r="F74" s="471"/>
      <c r="G74" s="471"/>
      <c r="H74" s="19"/>
    </row>
    <row r="75" spans="2:23">
      <c r="B75" s="15"/>
      <c r="C75" s="3"/>
      <c r="D75" s="3"/>
      <c r="E75" s="3"/>
      <c r="F75" s="3"/>
      <c r="G75" s="40"/>
      <c r="H75" s="40"/>
    </row>
    <row r="76" spans="2:23">
      <c r="B76" s="15"/>
      <c r="C76" s="3"/>
      <c r="D76" s="4" t="str">
        <f>Inputs!$C$4</f>
        <v>FY 2025</v>
      </c>
      <c r="E76" s="4" t="str">
        <f>Inputs!$D$4</f>
        <v>FY 2026</v>
      </c>
      <c r="F76" s="4" t="str">
        <f>Inputs!$E$4</f>
        <v>FY 2027</v>
      </c>
      <c r="G76" s="4"/>
      <c r="H76" s="4"/>
    </row>
    <row r="77" spans="2:23">
      <c r="B77" s="16"/>
      <c r="C77" s="3"/>
      <c r="D77" s="4" t="s">
        <v>163</v>
      </c>
      <c r="E77" s="4" t="s">
        <v>163</v>
      </c>
      <c r="F77" s="4" t="s">
        <v>163</v>
      </c>
      <c r="G77" s="4"/>
      <c r="H77" s="4"/>
    </row>
    <row r="78" spans="2:23" ht="15.5">
      <c r="B78" s="17"/>
      <c r="C78" s="3"/>
      <c r="D78" s="8" t="s">
        <v>124</v>
      </c>
      <c r="E78" s="8" t="s">
        <v>124</v>
      </c>
      <c r="F78" s="8" t="s">
        <v>124</v>
      </c>
      <c r="G78" s="8"/>
      <c r="H78" s="8"/>
    </row>
    <row r="79" spans="2:23">
      <c r="B79" s="3"/>
      <c r="C79" s="3"/>
      <c r="D79" s="4" t="s">
        <v>126</v>
      </c>
      <c r="E79" s="4" t="s">
        <v>126</v>
      </c>
      <c r="F79" s="4" t="s">
        <v>126</v>
      </c>
      <c r="G79" s="4"/>
      <c r="H79" s="4"/>
    </row>
    <row r="80" spans="2:23">
      <c r="B80" s="3"/>
      <c r="C80" s="3"/>
      <c r="D80" s="3"/>
      <c r="E80" s="3"/>
      <c r="F80" s="3"/>
      <c r="G80" s="3"/>
      <c r="H80" s="3"/>
    </row>
    <row r="81" spans="1:23">
      <c r="B81" s="5" t="s">
        <v>164</v>
      </c>
      <c r="C81" s="3"/>
      <c r="D81" s="263">
        <v>8248000</v>
      </c>
      <c r="E81" s="263">
        <v>10786000</v>
      </c>
      <c r="F81" s="263">
        <v>13786000</v>
      </c>
      <c r="G81" s="132"/>
      <c r="V81" s="21"/>
      <c r="W81" s="21"/>
    </row>
    <row r="91" spans="1:23" ht="18">
      <c r="A91" s="470" t="s">
        <v>165</v>
      </c>
      <c r="B91" s="470"/>
      <c r="C91" s="470"/>
      <c r="D91" s="470"/>
      <c r="E91" s="470"/>
      <c r="F91" s="267"/>
      <c r="G91" s="237"/>
    </row>
    <row r="92" spans="1:23" ht="18" hidden="1">
      <c r="A92" s="144"/>
      <c r="B92" s="144"/>
      <c r="C92" s="144"/>
      <c r="D92" s="144"/>
      <c r="E92" s="144"/>
      <c r="F92" s="144"/>
      <c r="G92" s="237"/>
      <c r="H92" s="1"/>
    </row>
    <row r="93" spans="1:23" ht="18">
      <c r="A93" s="470" t="s">
        <v>156</v>
      </c>
      <c r="B93" s="470"/>
      <c r="C93" s="470"/>
      <c r="D93" s="470"/>
      <c r="E93" s="470"/>
      <c r="F93" s="267"/>
      <c r="G93" s="237"/>
    </row>
    <row r="94" spans="1:23" ht="18">
      <c r="A94" s="470" t="s">
        <v>157</v>
      </c>
      <c r="B94" s="470"/>
      <c r="C94" s="470"/>
      <c r="D94" s="470"/>
      <c r="E94" s="470"/>
      <c r="F94" s="267"/>
      <c r="G94" s="237"/>
    </row>
    <row r="95" spans="1:23" ht="18">
      <c r="A95" s="470" t="s">
        <v>166</v>
      </c>
      <c r="B95" s="470"/>
      <c r="C95" s="470"/>
      <c r="D95" s="470"/>
      <c r="E95" s="470"/>
      <c r="F95" s="267"/>
      <c r="G95" s="237"/>
      <c r="H95" s="22"/>
    </row>
    <row r="96" spans="1:23" ht="4" customHeight="1"/>
    <row r="97" spans="1:20" ht="17">
      <c r="A97" s="145"/>
      <c r="B97" s="146"/>
      <c r="C97" s="146"/>
      <c r="D97" s="147"/>
      <c r="E97" s="147">
        <f>D97-1</f>
        <v>-1</v>
      </c>
      <c r="F97" s="147">
        <f>E97-1</f>
        <v>-2</v>
      </c>
      <c r="G97" s="206"/>
      <c r="O97" s="204"/>
      <c r="P97" s="205"/>
      <c r="Q97" s="205"/>
      <c r="R97" s="205"/>
      <c r="S97" s="206"/>
      <c r="T97" s="206"/>
    </row>
    <row r="98" spans="1:20" ht="16">
      <c r="A98" s="145"/>
      <c r="B98" s="145"/>
      <c r="C98" s="124"/>
      <c r="D98" s="124" t="str">
        <f>Inputs!$C$4</f>
        <v>FY 2025</v>
      </c>
      <c r="E98" s="124" t="str">
        <f>Inputs!$D$4</f>
        <v>FY 2026</v>
      </c>
      <c r="F98" s="124" t="str">
        <f>Inputs!$E$4</f>
        <v>FY 2027</v>
      </c>
      <c r="J98" s="4"/>
      <c r="K98" s="4"/>
    </row>
    <row r="99" spans="1:20" ht="14.5">
      <c r="A99" s="147" t="s">
        <v>167</v>
      </c>
      <c r="B99" s="147" t="s">
        <v>159</v>
      </c>
      <c r="C99" s="147"/>
      <c r="D99" s="147" t="s">
        <v>122</v>
      </c>
      <c r="E99" s="147" t="s">
        <v>122</v>
      </c>
      <c r="F99" s="147" t="s">
        <v>122</v>
      </c>
      <c r="J99" s="4"/>
      <c r="K99" s="4"/>
    </row>
    <row r="100" spans="1:20" ht="16">
      <c r="A100" s="123" t="s">
        <v>168</v>
      </c>
      <c r="B100" s="123" t="s">
        <v>160</v>
      </c>
      <c r="C100" s="123"/>
      <c r="D100" s="123" t="s">
        <v>124</v>
      </c>
      <c r="E100" s="123" t="s">
        <v>124</v>
      </c>
      <c r="F100" s="123" t="s">
        <v>124</v>
      </c>
      <c r="J100" s="8"/>
      <c r="K100" s="8"/>
    </row>
    <row r="101" spans="1:20">
      <c r="A101" s="148"/>
      <c r="B101" s="148" t="s">
        <v>125</v>
      </c>
      <c r="C101" s="149"/>
      <c r="D101" s="148" t="s">
        <v>126</v>
      </c>
      <c r="E101" s="148" t="s">
        <v>126</v>
      </c>
      <c r="F101" s="148" t="s">
        <v>126</v>
      </c>
      <c r="G101" s="127"/>
      <c r="J101" s="4"/>
      <c r="K101" s="4"/>
    </row>
    <row r="102" spans="1:20" ht="14.5">
      <c r="A102" s="150" t="s">
        <v>169</v>
      </c>
      <c r="B102" s="150"/>
      <c r="C102" s="150"/>
      <c r="D102" s="150"/>
      <c r="E102" s="150"/>
      <c r="F102" s="150"/>
    </row>
    <row r="103" spans="1:20">
      <c r="A103" s="151">
        <v>1</v>
      </c>
      <c r="B103" s="151" t="s">
        <v>44</v>
      </c>
      <c r="C103" s="127"/>
      <c r="D103" s="152">
        <v>9.27</v>
      </c>
      <c r="E103" s="152">
        <v>12.329999999999998</v>
      </c>
      <c r="F103" s="152">
        <v>14.16</v>
      </c>
      <c r="N103" s="21"/>
      <c r="O103" s="21"/>
    </row>
    <row r="104" spans="1:20">
      <c r="A104" s="151">
        <f>1+MAX(A$97:A103)</f>
        <v>2</v>
      </c>
      <c r="B104" s="151">
        <v>1</v>
      </c>
      <c r="C104" s="127"/>
      <c r="D104" s="152">
        <v>10.76</v>
      </c>
      <c r="E104" s="152">
        <v>14.69</v>
      </c>
      <c r="F104" s="152">
        <v>16.63</v>
      </c>
      <c r="H104" s="241"/>
      <c r="I104" s="241"/>
      <c r="J104" s="241"/>
      <c r="N104" s="21"/>
      <c r="O104" s="21"/>
    </row>
    <row r="105" spans="1:20">
      <c r="A105" s="151">
        <f>1+MAX(A$97:A104)</f>
        <v>3</v>
      </c>
      <c r="B105" s="151" t="s">
        <v>53</v>
      </c>
      <c r="C105" s="127"/>
      <c r="D105" s="152">
        <v>13.86</v>
      </c>
      <c r="E105" s="152">
        <v>20</v>
      </c>
      <c r="F105" s="152">
        <v>22.18</v>
      </c>
      <c r="H105" s="241"/>
      <c r="I105" s="241"/>
      <c r="J105" s="241"/>
      <c r="N105" s="21"/>
      <c r="O105" s="21"/>
    </row>
    <row r="106" spans="1:20">
      <c r="A106" s="151">
        <f>1+MAX(A$97:A105)</f>
        <v>4</v>
      </c>
      <c r="B106" s="151">
        <v>2</v>
      </c>
      <c r="C106" s="127"/>
      <c r="D106" s="152">
        <v>18.32</v>
      </c>
      <c r="E106" s="152">
        <v>27.12</v>
      </c>
      <c r="F106" s="152">
        <v>29.6</v>
      </c>
      <c r="H106" s="241"/>
      <c r="I106" s="241"/>
      <c r="J106" s="241"/>
      <c r="N106" s="21"/>
      <c r="O106" s="21"/>
    </row>
    <row r="107" spans="1:20" ht="2.25" customHeight="1">
      <c r="A107" s="64"/>
      <c r="B107" s="64"/>
      <c r="C107" s="64"/>
      <c r="D107" s="64"/>
      <c r="E107" s="64"/>
      <c r="F107" s="64"/>
    </row>
    <row r="108" spans="1:20" ht="14.5">
      <c r="A108" s="150" t="s">
        <v>170</v>
      </c>
      <c r="B108" s="150"/>
      <c r="C108" s="150"/>
      <c r="D108" s="150"/>
      <c r="E108" s="150"/>
      <c r="F108" s="150"/>
    </row>
    <row r="109" spans="1:20">
      <c r="A109" s="151">
        <f>1+MAX(A$97:A108)</f>
        <v>5</v>
      </c>
      <c r="B109" s="151" t="s">
        <v>44</v>
      </c>
      <c r="C109" s="127"/>
      <c r="D109" s="152">
        <v>7.64</v>
      </c>
      <c r="E109" s="152">
        <v>8.2200000000000006</v>
      </c>
      <c r="F109" s="152">
        <v>8.84</v>
      </c>
      <c r="N109" s="21"/>
      <c r="O109" s="21"/>
    </row>
    <row r="110" spans="1:20">
      <c r="A110" s="151">
        <f>1+MAX(A$97:A109)</f>
        <v>6</v>
      </c>
      <c r="B110" s="151">
        <v>1</v>
      </c>
      <c r="C110" s="127"/>
      <c r="D110" s="152">
        <v>7.64</v>
      </c>
      <c r="E110" s="152">
        <v>8.2200000000000006</v>
      </c>
      <c r="F110" s="152">
        <v>8.84</v>
      </c>
      <c r="N110" s="21"/>
      <c r="O110" s="21"/>
    </row>
    <row r="111" spans="1:20" hidden="1">
      <c r="A111" s="228"/>
      <c r="B111" s="228" t="s">
        <v>131</v>
      </c>
      <c r="C111" s="228"/>
      <c r="D111" s="152"/>
      <c r="E111" s="152">
        <v>8.2200000000000006</v>
      </c>
      <c r="F111" s="152">
        <v>8.84</v>
      </c>
    </row>
    <row r="112" spans="1:20">
      <c r="A112" s="151">
        <f>1+MAX(A$97:A111)</f>
        <v>7</v>
      </c>
      <c r="B112" s="151" t="s">
        <v>53</v>
      </c>
      <c r="C112" s="127"/>
      <c r="D112" s="152">
        <v>7.64</v>
      </c>
      <c r="E112" s="152">
        <v>8.2200000000000006</v>
      </c>
      <c r="F112" s="152">
        <v>8.84</v>
      </c>
      <c r="N112" s="21"/>
      <c r="O112" s="21"/>
    </row>
    <row r="113" spans="1:15">
      <c r="A113" s="151">
        <f>1+MAX(A$97:A112)</f>
        <v>8</v>
      </c>
      <c r="B113" s="151">
        <v>2</v>
      </c>
      <c r="C113" s="127"/>
      <c r="D113" s="152">
        <v>7.64</v>
      </c>
      <c r="E113" s="152">
        <v>8.2200000000000006</v>
      </c>
      <c r="F113" s="152">
        <v>8.84</v>
      </c>
      <c r="N113" s="21"/>
      <c r="O113" s="21"/>
    </row>
    <row r="114" spans="1:15" ht="2.15" customHeight="1">
      <c r="E114" s="152"/>
      <c r="F114" s="152"/>
    </row>
    <row r="124" spans="1:15">
      <c r="D124" s="241">
        <f>D103-D15</f>
        <v>2.0799999999999992</v>
      </c>
      <c r="E124" s="241">
        <f>E103-E15</f>
        <v>2.9099999999999984</v>
      </c>
      <c r="F124" s="241">
        <f>F103-F15</f>
        <v>4.34</v>
      </c>
    </row>
  </sheetData>
  <mergeCells count="10">
    <mergeCell ref="A95:E95"/>
    <mergeCell ref="I26:M26"/>
    <mergeCell ref="B74:G74"/>
    <mergeCell ref="B26:G26"/>
    <mergeCell ref="B6:G6"/>
    <mergeCell ref="B59:G59"/>
    <mergeCell ref="B61:G61"/>
    <mergeCell ref="A91:E91"/>
    <mergeCell ref="A93:E93"/>
    <mergeCell ref="A94:E94"/>
  </mergeCells>
  <hyperlinks>
    <hyperlink ref="A1" location="TOC!A1" display="TOC!A1" xr:uid="{00000000-0004-0000-0700-000000000000}"/>
  </hyperlinks>
  <printOptions horizontalCentered="1"/>
  <pageMargins left="0.7" right="0.7" top="0.75" bottom="0.75" header="0.3" footer="0.3"/>
  <pageSetup fitToWidth="0" orientation="portrait" r:id="rId1"/>
  <ignoredErrors>
    <ignoredError sqref="A17:B17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AW60"/>
  <sheetViews>
    <sheetView zoomScaleNormal="100" zoomScaleSheetLayoutView="90" workbookViewId="0">
      <selection activeCell="A25" sqref="A25"/>
    </sheetView>
  </sheetViews>
  <sheetFormatPr defaultRowHeight="14"/>
  <cols>
    <col min="2" max="2" width="10.81640625" customWidth="1"/>
    <col min="4" max="4" width="11" customWidth="1"/>
    <col min="5" max="6" width="13.81640625" bestFit="1" customWidth="1"/>
    <col min="7" max="7" width="13.81640625" customWidth="1"/>
    <col min="8" max="10" width="9.1796875" customWidth="1"/>
    <col min="11" max="11" width="10.54296875" customWidth="1"/>
    <col min="12" max="12" width="4" customWidth="1"/>
    <col min="13" max="18" width="9.453125" customWidth="1"/>
    <col min="19" max="19" width="13.453125" hidden="1" customWidth="1"/>
    <col min="21" max="21" width="9.1796875" customWidth="1"/>
    <col min="23" max="23" width="9.1796875" customWidth="1"/>
    <col min="25" max="25" width="9.1796875" customWidth="1"/>
    <col min="26" max="26" width="11" customWidth="1"/>
  </cols>
  <sheetData>
    <row r="1" spans="1:49" ht="14.5" thickBot="1">
      <c r="A1" s="239" t="s">
        <v>1</v>
      </c>
    </row>
    <row r="2" spans="1:49" ht="18">
      <c r="B2" s="1"/>
      <c r="C2" s="472" t="s">
        <v>111</v>
      </c>
      <c r="D2" s="472"/>
      <c r="E2" s="472"/>
      <c r="F2" s="472"/>
      <c r="G2" s="472"/>
      <c r="H2" s="472"/>
      <c r="I2" s="111"/>
      <c r="J2" s="111"/>
      <c r="K2" s="22"/>
      <c r="L2" s="22"/>
      <c r="M2" s="111" t="s">
        <v>112</v>
      </c>
      <c r="N2" s="111"/>
      <c r="O2" s="111"/>
      <c r="P2" s="111"/>
      <c r="Q2" s="111"/>
      <c r="R2" s="111"/>
      <c r="T2" s="22"/>
      <c r="U2" s="111" t="s">
        <v>113</v>
      </c>
      <c r="V2" s="111"/>
      <c r="W2" s="111"/>
      <c r="X2" s="111"/>
      <c r="Y2" s="111"/>
      <c r="Z2" s="111"/>
    </row>
    <row r="3" spans="1:49" ht="18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1"/>
      <c r="N3" s="111"/>
      <c r="O3" s="111"/>
      <c r="P3" s="111"/>
      <c r="Q3" s="111"/>
      <c r="R3" s="1"/>
      <c r="T3" s="1"/>
      <c r="U3" s="111"/>
      <c r="V3" s="111"/>
      <c r="W3" s="111"/>
      <c r="X3" s="111"/>
      <c r="Y3" s="111"/>
      <c r="Z3" s="1"/>
    </row>
    <row r="4" spans="1:49" ht="18">
      <c r="B4" s="1"/>
      <c r="C4" s="472" t="s">
        <v>114</v>
      </c>
      <c r="D4" s="472"/>
      <c r="E4" s="472"/>
      <c r="F4" s="472"/>
      <c r="G4" s="472"/>
      <c r="H4" s="472"/>
      <c r="I4" s="111"/>
      <c r="J4" s="111"/>
      <c r="K4" s="111"/>
      <c r="L4" s="22"/>
      <c r="M4" s="111" t="s">
        <v>115</v>
      </c>
      <c r="N4" s="111"/>
      <c r="O4" s="111"/>
      <c r="P4" s="111"/>
      <c r="Q4" s="111"/>
      <c r="R4" s="111"/>
      <c r="T4" s="22"/>
      <c r="U4" s="111" t="s">
        <v>115</v>
      </c>
      <c r="V4" s="111"/>
      <c r="W4" s="111"/>
      <c r="X4" s="111"/>
      <c r="Y4" s="111"/>
      <c r="Z4" s="111"/>
    </row>
    <row r="5" spans="1:49" ht="18">
      <c r="B5" s="1"/>
      <c r="C5" s="472" t="s">
        <v>116</v>
      </c>
      <c r="D5" s="472"/>
      <c r="E5" s="472"/>
      <c r="F5" s="472"/>
      <c r="G5" s="472"/>
      <c r="H5" s="472"/>
      <c r="I5" s="111"/>
      <c r="J5" s="111"/>
      <c r="K5" s="111"/>
      <c r="L5" s="22"/>
      <c r="M5" s="111" t="s">
        <v>117</v>
      </c>
      <c r="N5" s="111"/>
      <c r="O5" s="111"/>
      <c r="P5" s="111"/>
      <c r="Q5" s="111"/>
      <c r="R5" s="111"/>
      <c r="T5" s="22"/>
      <c r="U5" s="111" t="s">
        <v>118</v>
      </c>
      <c r="V5" s="111"/>
      <c r="W5" s="111"/>
      <c r="X5" s="111"/>
      <c r="Y5" s="111"/>
      <c r="Z5" s="111"/>
    </row>
    <row r="6" spans="1:49" ht="18">
      <c r="B6" s="1"/>
      <c r="C6" s="472" t="s">
        <v>119</v>
      </c>
      <c r="D6" s="472"/>
      <c r="E6" s="472"/>
      <c r="F6" s="472"/>
      <c r="G6" s="472"/>
      <c r="H6" s="472"/>
      <c r="I6" s="111"/>
      <c r="J6" s="111"/>
      <c r="K6" s="22"/>
      <c r="L6" s="22"/>
      <c r="M6" s="472"/>
      <c r="N6" s="472"/>
      <c r="O6" s="472"/>
      <c r="P6" s="472"/>
      <c r="Q6" s="22"/>
      <c r="R6" s="22"/>
      <c r="U6" s="472"/>
      <c r="V6" s="472"/>
      <c r="W6" s="472"/>
      <c r="X6" s="472"/>
      <c r="Y6" s="111"/>
    </row>
    <row r="7" spans="1:49" ht="15.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U7" s="118"/>
      <c r="V7" s="118"/>
      <c r="W7" s="118"/>
      <c r="X7" s="118"/>
      <c r="Y7" s="118"/>
    </row>
    <row r="8" spans="1:49" ht="15.5">
      <c r="B8" s="117"/>
      <c r="C8" s="471" t="s">
        <v>120</v>
      </c>
      <c r="D8" s="471"/>
      <c r="E8" s="471"/>
      <c r="F8" s="471"/>
      <c r="G8" s="471"/>
      <c r="H8" s="471"/>
      <c r="I8" s="19"/>
      <c r="J8" s="19"/>
      <c r="K8" s="19"/>
      <c r="L8" s="19"/>
      <c r="M8" s="122" t="s">
        <v>121</v>
      </c>
      <c r="N8" s="122"/>
      <c r="O8" s="122"/>
      <c r="P8" s="122"/>
      <c r="Q8" s="122"/>
      <c r="R8" s="122"/>
      <c r="U8" s="122" t="s">
        <v>121</v>
      </c>
      <c r="V8" s="122"/>
      <c r="W8" s="122"/>
      <c r="X8" s="122"/>
      <c r="Y8" s="122"/>
      <c r="Z8" s="122"/>
    </row>
    <row r="9" spans="1:49">
      <c r="B9" s="3"/>
      <c r="C9" s="3"/>
      <c r="D9" s="3"/>
      <c r="E9" s="3"/>
      <c r="F9" s="3"/>
      <c r="G9" s="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U9" s="3"/>
      <c r="V9" s="3"/>
      <c r="W9" s="3"/>
      <c r="X9" s="3"/>
      <c r="Y9" s="5"/>
    </row>
    <row r="10" spans="1:49">
      <c r="B10" s="4"/>
      <c r="C10" s="4"/>
      <c r="D10" s="3"/>
      <c r="E10" s="4" t="str">
        <f>Inputs!$C$4</f>
        <v>FY 2025</v>
      </c>
      <c r="F10" s="4" t="str">
        <f>Inputs!$D$4</f>
        <v>FY 2026</v>
      </c>
      <c r="G10" s="4" t="str">
        <f>Inputs!$E$4</f>
        <v>FY 2027</v>
      </c>
      <c r="H10" s="4"/>
      <c r="I10" s="4"/>
      <c r="J10" s="4"/>
      <c r="K10" s="4"/>
      <c r="L10" s="4"/>
      <c r="M10" s="4"/>
      <c r="N10" s="4"/>
      <c r="O10" s="4" t="str">
        <f>Inputs!$C$4</f>
        <v>FY 2025</v>
      </c>
      <c r="P10" s="4" t="str">
        <f>Inputs!$D$4</f>
        <v>FY 2026</v>
      </c>
      <c r="Q10" s="4" t="str">
        <f>Inputs!$E$4</f>
        <v>FY 2027</v>
      </c>
      <c r="R10" s="4"/>
      <c r="U10" s="4"/>
      <c r="V10" s="3"/>
      <c r="W10" s="4" t="str">
        <f>Inputs!$C$4</f>
        <v>FY 2025</v>
      </c>
      <c r="X10" s="4" t="str">
        <f>Inputs!$D$4</f>
        <v>FY 2026</v>
      </c>
      <c r="Y10" s="4" t="str">
        <f>Inputs!$E$4</f>
        <v>FY 2027</v>
      </c>
    </row>
    <row r="11" spans="1:49">
      <c r="B11" s="4"/>
      <c r="C11" s="4"/>
      <c r="D11" s="3"/>
      <c r="E11" s="4" t="s">
        <v>122</v>
      </c>
      <c r="F11" s="4" t="s">
        <v>122</v>
      </c>
      <c r="G11" s="4" t="s">
        <v>122</v>
      </c>
      <c r="H11" s="4"/>
      <c r="I11" s="4"/>
      <c r="J11" s="4"/>
      <c r="K11" s="4"/>
      <c r="L11" s="4"/>
      <c r="M11" s="4"/>
      <c r="N11" s="4"/>
      <c r="O11" s="4" t="s">
        <v>122</v>
      </c>
      <c r="P11" s="4" t="s">
        <v>122</v>
      </c>
      <c r="Q11" s="4" t="s">
        <v>122</v>
      </c>
      <c r="R11" s="4"/>
      <c r="U11" s="4"/>
      <c r="V11" s="3"/>
      <c r="W11" s="4" t="s">
        <v>122</v>
      </c>
      <c r="X11" s="4" t="s">
        <v>122</v>
      </c>
      <c r="Y11" s="4" t="s">
        <v>122</v>
      </c>
    </row>
    <row r="12" spans="1:49" ht="15.5">
      <c r="A12" s="7"/>
      <c r="B12" s="7"/>
      <c r="C12" s="6" t="s">
        <v>123</v>
      </c>
      <c r="D12" s="7"/>
      <c r="E12" s="8" t="s">
        <v>124</v>
      </c>
      <c r="F12" s="8" t="s">
        <v>124</v>
      </c>
      <c r="G12" s="8" t="s">
        <v>124</v>
      </c>
      <c r="H12" s="8"/>
      <c r="I12" s="8"/>
      <c r="J12" s="8"/>
      <c r="K12" s="8"/>
      <c r="L12" s="8"/>
      <c r="M12" s="8"/>
      <c r="N12" s="8"/>
      <c r="O12" s="8" t="s">
        <v>124</v>
      </c>
      <c r="P12" s="8" t="s">
        <v>124</v>
      </c>
      <c r="Q12" s="8" t="s">
        <v>124</v>
      </c>
      <c r="R12" s="8"/>
      <c r="U12" s="6"/>
      <c r="V12" s="7"/>
      <c r="W12" s="8" t="s">
        <v>124</v>
      </c>
      <c r="X12" s="8" t="s">
        <v>124</v>
      </c>
      <c r="Y12" s="8" t="s">
        <v>124</v>
      </c>
    </row>
    <row r="13" spans="1:49">
      <c r="A13" s="3"/>
      <c r="B13" s="3"/>
      <c r="C13" s="4" t="s">
        <v>125</v>
      </c>
      <c r="D13" s="3"/>
      <c r="E13" s="4" t="s">
        <v>126</v>
      </c>
      <c r="F13" s="4" t="s">
        <v>126</v>
      </c>
      <c r="G13" s="4" t="s">
        <v>126</v>
      </c>
      <c r="H13" s="4"/>
      <c r="I13" s="4"/>
      <c r="J13" s="4"/>
      <c r="K13" s="4"/>
      <c r="L13" s="4"/>
      <c r="M13" s="4"/>
      <c r="N13" s="4"/>
      <c r="O13" s="4" t="s">
        <v>126</v>
      </c>
      <c r="P13" s="4" t="s">
        <v>126</v>
      </c>
      <c r="Q13" s="4" t="s">
        <v>126</v>
      </c>
      <c r="R13" s="4"/>
      <c r="U13" s="4"/>
      <c r="V13" s="3"/>
      <c r="W13" s="4" t="s">
        <v>126</v>
      </c>
      <c r="X13" s="4" t="s">
        <v>126</v>
      </c>
      <c r="Y13" s="4" t="s">
        <v>126</v>
      </c>
    </row>
    <row r="14" spans="1:49">
      <c r="C14" s="3"/>
      <c r="D14" s="3"/>
      <c r="E14" s="3"/>
      <c r="F14" s="3"/>
      <c r="G14" s="3"/>
      <c r="H14" s="9"/>
      <c r="I14" s="9"/>
      <c r="J14" s="9"/>
      <c r="K14" s="9"/>
      <c r="L14" s="9"/>
      <c r="M14" s="4"/>
      <c r="N14" s="3"/>
      <c r="O14" s="3"/>
      <c r="P14" s="3"/>
      <c r="Q14" s="3"/>
      <c r="R14" s="9"/>
      <c r="U14" s="4"/>
      <c r="V14" s="3"/>
      <c r="W14" s="3"/>
      <c r="X14" s="3"/>
      <c r="Y14" s="3"/>
    </row>
    <row r="15" spans="1:49">
      <c r="C15" s="10" t="s">
        <v>41</v>
      </c>
      <c r="D15" s="11"/>
      <c r="E15" s="261">
        <v>7.64</v>
      </c>
      <c r="F15" s="261">
        <v>8.2200000000000006</v>
      </c>
      <c r="G15" s="261">
        <v>8.84</v>
      </c>
      <c r="H15" s="113"/>
      <c r="I15" s="113"/>
      <c r="J15" s="113"/>
      <c r="K15" s="12"/>
      <c r="L15" s="12"/>
      <c r="M15" s="20" t="s">
        <v>127</v>
      </c>
      <c r="N15" s="11"/>
      <c r="O15" s="261">
        <v>18.47</v>
      </c>
      <c r="P15" s="261">
        <v>19.318201876441616</v>
      </c>
      <c r="Q15" s="261">
        <v>21.27</v>
      </c>
      <c r="R15" s="12"/>
      <c r="U15" s="20" t="s">
        <v>128</v>
      </c>
      <c r="V15" s="11"/>
      <c r="W15" s="261">
        <v>18.47</v>
      </c>
      <c r="X15" s="261">
        <v>19.318201876441616</v>
      </c>
      <c r="Y15" s="261">
        <v>21.27</v>
      </c>
      <c r="AC15" s="21"/>
      <c r="AD15" s="21"/>
      <c r="AM15" s="21"/>
      <c r="AN15" s="21"/>
      <c r="AV15" s="21"/>
      <c r="AW15" s="21"/>
    </row>
    <row r="16" spans="1:49">
      <c r="C16" s="10" t="s">
        <v>44</v>
      </c>
      <c r="D16" s="11"/>
      <c r="E16" s="261">
        <v>9.7899999999999991</v>
      </c>
      <c r="F16" s="261">
        <v>10.52</v>
      </c>
      <c r="G16" s="261">
        <v>11.36</v>
      </c>
      <c r="H16" s="113"/>
      <c r="I16" s="113"/>
      <c r="J16" s="113"/>
      <c r="K16" s="12"/>
      <c r="L16" s="12"/>
      <c r="M16" s="12"/>
      <c r="N16" s="12"/>
      <c r="O16" s="12"/>
      <c r="P16" s="113"/>
      <c r="Q16" s="113"/>
      <c r="R16" s="12"/>
      <c r="U16" s="10"/>
      <c r="V16" s="11"/>
      <c r="W16" s="12"/>
      <c r="X16" s="12"/>
      <c r="Y16" s="12"/>
      <c r="AC16" s="21"/>
      <c r="AD16" s="21"/>
      <c r="AM16" s="21"/>
    </row>
    <row r="17" spans="2:49" ht="15.5">
      <c r="C17" s="4">
        <v>1</v>
      </c>
      <c r="D17" s="11"/>
      <c r="E17" s="261">
        <v>14.43</v>
      </c>
      <c r="F17" s="261">
        <v>15.47</v>
      </c>
      <c r="G17" s="261">
        <v>16.77</v>
      </c>
      <c r="H17" s="113"/>
      <c r="I17" s="113"/>
      <c r="J17" s="113"/>
      <c r="K17" s="12"/>
      <c r="L17" s="12"/>
      <c r="M17" s="117" t="s">
        <v>129</v>
      </c>
      <c r="N17" s="117"/>
      <c r="O17" s="117"/>
      <c r="P17" s="117"/>
      <c r="Q17" s="117"/>
      <c r="R17" s="12"/>
      <c r="U17" s="5" t="s">
        <v>130</v>
      </c>
      <c r="V17" s="11"/>
      <c r="W17" s="262">
        <v>0.86199999999999999</v>
      </c>
      <c r="X17" s="262">
        <v>0.92735935837020189</v>
      </c>
      <c r="Y17" s="262">
        <v>1.0209999999999999</v>
      </c>
      <c r="Z17" s="18"/>
      <c r="AA17" s="18"/>
      <c r="AC17" s="21"/>
      <c r="AD17" s="21"/>
      <c r="AV17" s="128"/>
      <c r="AW17" s="128"/>
    </row>
    <row r="18" spans="2:49">
      <c r="C18" s="10" t="s">
        <v>131</v>
      </c>
      <c r="D18" s="11"/>
      <c r="E18" s="261">
        <v>20.36</v>
      </c>
      <c r="F18" s="261">
        <v>21.8</v>
      </c>
      <c r="G18" s="261">
        <v>23.7</v>
      </c>
      <c r="H18" s="113"/>
      <c r="I18" s="113"/>
      <c r="J18" s="113"/>
      <c r="K18" s="12"/>
      <c r="L18" s="12"/>
      <c r="M18" s="12"/>
      <c r="N18" s="12"/>
      <c r="O18" s="12"/>
      <c r="P18" s="12"/>
      <c r="Q18" s="12"/>
      <c r="R18" s="12"/>
      <c r="U18" s="5" t="s">
        <v>132</v>
      </c>
      <c r="V18" s="11"/>
      <c r="W18" s="262">
        <v>6.3090000000000002</v>
      </c>
      <c r="X18" s="262">
        <v>6.5193577064177699</v>
      </c>
      <c r="Y18" s="262">
        <v>7.1760000000000002</v>
      </c>
      <c r="Z18" s="18"/>
      <c r="AA18" s="18"/>
      <c r="AC18" s="21"/>
      <c r="AD18" s="21"/>
      <c r="AV18" s="128"/>
      <c r="AW18" s="128"/>
    </row>
    <row r="19" spans="2:49">
      <c r="C19" s="10" t="s">
        <v>53</v>
      </c>
      <c r="D19" s="11"/>
      <c r="E19" s="261">
        <v>25.53</v>
      </c>
      <c r="F19" s="261">
        <v>27.3</v>
      </c>
      <c r="G19" s="261">
        <v>29.74</v>
      </c>
      <c r="H19" s="113"/>
      <c r="I19" s="113"/>
      <c r="J19" s="113"/>
      <c r="K19" s="12"/>
      <c r="L19" s="12"/>
      <c r="M19" s="4"/>
      <c r="N19" s="4"/>
      <c r="O19" s="4" t="str">
        <f>Inputs!$C$4</f>
        <v>FY 2025</v>
      </c>
      <c r="P19" s="4" t="str">
        <f>Inputs!$D$4</f>
        <v>FY 2026</v>
      </c>
      <c r="Q19" s="4" t="str">
        <f>Inputs!$E$4</f>
        <v>FY 2027</v>
      </c>
      <c r="R19" s="12"/>
      <c r="X19" s="128"/>
      <c r="Y19" s="128"/>
      <c r="Z19" s="114"/>
      <c r="AA19" s="114"/>
      <c r="AC19" s="21"/>
      <c r="AD19" s="21"/>
    </row>
    <row r="20" spans="2:49" ht="15.5">
      <c r="C20" s="10">
        <v>2</v>
      </c>
      <c r="D20" s="11"/>
      <c r="E20" s="261">
        <v>39.44</v>
      </c>
      <c r="F20" s="261">
        <v>42.16</v>
      </c>
      <c r="G20" s="261">
        <v>45.98</v>
      </c>
      <c r="H20" s="113"/>
      <c r="I20" s="113"/>
      <c r="J20" s="113"/>
      <c r="K20" s="12"/>
      <c r="L20" s="12"/>
      <c r="M20" s="4"/>
      <c r="N20" s="4"/>
      <c r="O20" s="4" t="s">
        <v>122</v>
      </c>
      <c r="P20" s="4" t="s">
        <v>122</v>
      </c>
      <c r="Q20" s="4" t="s">
        <v>122</v>
      </c>
      <c r="R20" s="12"/>
      <c r="U20" s="117" t="s">
        <v>129</v>
      </c>
      <c r="V20" s="117"/>
      <c r="W20" s="117"/>
      <c r="X20" s="117"/>
      <c r="Y20" s="117"/>
      <c r="Z20" s="12"/>
      <c r="AC20" s="21"/>
      <c r="AD20" s="21"/>
    </row>
    <row r="21" spans="2:49" ht="15.5">
      <c r="C21" s="10">
        <v>3</v>
      </c>
      <c r="D21" s="11"/>
      <c r="E21" s="261">
        <v>71.260000000000005</v>
      </c>
      <c r="F21" s="261">
        <v>76.09</v>
      </c>
      <c r="G21" s="261">
        <v>83.12</v>
      </c>
      <c r="H21" s="113"/>
      <c r="I21" s="113"/>
      <c r="J21" s="113"/>
      <c r="K21" s="12"/>
      <c r="L21" s="12"/>
      <c r="M21" s="8"/>
      <c r="N21" s="8"/>
      <c r="O21" s="8" t="s">
        <v>124</v>
      </c>
      <c r="P21" s="8" t="s">
        <v>124</v>
      </c>
      <c r="Q21" s="8" t="s">
        <v>124</v>
      </c>
      <c r="R21" s="12"/>
      <c r="U21" s="10"/>
      <c r="V21" s="11"/>
      <c r="W21" s="11"/>
      <c r="X21" s="12"/>
      <c r="Y21" s="12"/>
      <c r="AC21" s="21"/>
      <c r="AD21" s="21"/>
    </row>
    <row r="22" spans="2:49">
      <c r="C22" s="10">
        <v>4</v>
      </c>
      <c r="D22" s="11"/>
      <c r="E22" s="261">
        <v>120.98</v>
      </c>
      <c r="F22" s="261">
        <v>129.24</v>
      </c>
      <c r="G22" s="261">
        <v>141.07</v>
      </c>
      <c r="H22" s="113"/>
      <c r="I22" s="113"/>
      <c r="J22" s="113"/>
      <c r="K22" s="12"/>
      <c r="L22" s="12"/>
      <c r="M22" s="4"/>
      <c r="N22" s="4"/>
      <c r="O22" s="4" t="s">
        <v>126</v>
      </c>
      <c r="P22" s="4" t="s">
        <v>126</v>
      </c>
      <c r="Q22" s="4" t="s">
        <v>126</v>
      </c>
      <c r="R22" s="12"/>
      <c r="U22" s="15"/>
      <c r="V22" s="3"/>
      <c r="W22" s="4" t="str">
        <f>Inputs!$C$4</f>
        <v>FY 2025</v>
      </c>
      <c r="X22" s="4" t="str">
        <f>Inputs!$D$4</f>
        <v>FY 2026</v>
      </c>
      <c r="Y22" s="4" t="str">
        <f>Inputs!$E$4</f>
        <v>FY 2027</v>
      </c>
      <c r="AC22" s="21"/>
      <c r="AD22" s="21"/>
    </row>
    <row r="23" spans="2:49">
      <c r="C23" s="10">
        <v>6</v>
      </c>
      <c r="D23" s="11"/>
      <c r="E23" s="261">
        <v>238.64</v>
      </c>
      <c r="F23" s="261">
        <v>254.85</v>
      </c>
      <c r="G23" s="261">
        <v>278.33999999999997</v>
      </c>
      <c r="H23" s="113"/>
      <c r="I23" s="113"/>
      <c r="J23" s="113"/>
      <c r="K23" s="12"/>
      <c r="L23" s="12"/>
      <c r="M23" s="3"/>
      <c r="N23" s="3"/>
      <c r="O23" s="3"/>
      <c r="P23" s="3"/>
      <c r="Q23" s="3"/>
      <c r="R23" s="12"/>
      <c r="U23" s="16"/>
      <c r="V23" s="3"/>
      <c r="W23" s="4" t="s">
        <v>122</v>
      </c>
      <c r="X23" s="4" t="s">
        <v>122</v>
      </c>
      <c r="Y23" s="4" t="s">
        <v>122</v>
      </c>
      <c r="AC23" s="21"/>
      <c r="AD23" s="21"/>
    </row>
    <row r="24" spans="2:49" ht="15.5">
      <c r="C24" s="10">
        <v>8</v>
      </c>
      <c r="D24" s="11"/>
      <c r="E24" s="261">
        <v>377.82</v>
      </c>
      <c r="F24" s="261">
        <v>403.41</v>
      </c>
      <c r="G24" s="261">
        <v>440.78</v>
      </c>
      <c r="H24" s="113"/>
      <c r="I24" s="113"/>
      <c r="J24" s="113"/>
      <c r="K24" s="12"/>
      <c r="L24" s="12"/>
      <c r="M24" s="5" t="s">
        <v>133</v>
      </c>
      <c r="N24" s="11"/>
      <c r="O24" s="261">
        <v>1.94</v>
      </c>
      <c r="P24" s="261">
        <v>2.0560392241002163</v>
      </c>
      <c r="Q24" s="261">
        <v>2.2200000000000002</v>
      </c>
      <c r="R24" s="12"/>
      <c r="U24" s="17"/>
      <c r="V24" s="3"/>
      <c r="W24" s="8" t="s">
        <v>124</v>
      </c>
      <c r="X24" s="8" t="s">
        <v>124</v>
      </c>
      <c r="Y24" s="8" t="s">
        <v>124</v>
      </c>
      <c r="AC24" s="21"/>
      <c r="AD24" s="21"/>
      <c r="AM24" s="21"/>
      <c r="AN24" s="21"/>
    </row>
    <row r="25" spans="2:49">
      <c r="C25" s="10">
        <v>10</v>
      </c>
      <c r="D25" s="11"/>
      <c r="E25" s="261">
        <v>545.20000000000005</v>
      </c>
      <c r="F25" s="261">
        <v>582.16</v>
      </c>
      <c r="G25" s="261">
        <v>636</v>
      </c>
      <c r="H25" s="113"/>
      <c r="I25" s="113"/>
      <c r="J25" s="113"/>
      <c r="K25" s="12"/>
      <c r="L25" s="12"/>
      <c r="P25" s="21"/>
      <c r="R25" s="12"/>
      <c r="U25" s="3"/>
      <c r="V25" s="3"/>
      <c r="W25" s="4" t="s">
        <v>126</v>
      </c>
      <c r="X25" s="4" t="s">
        <v>126</v>
      </c>
      <c r="Y25" s="4" t="s">
        <v>126</v>
      </c>
      <c r="AC25" s="21"/>
      <c r="AD25" s="21"/>
    </row>
    <row r="26" spans="2:49">
      <c r="C26" s="10">
        <v>12</v>
      </c>
      <c r="D26" s="11"/>
      <c r="E26" s="261">
        <v>992.49</v>
      </c>
      <c r="F26" s="261">
        <v>1059.17</v>
      </c>
      <c r="G26" s="261">
        <v>1158.44</v>
      </c>
      <c r="H26" s="113"/>
      <c r="I26" s="113"/>
      <c r="J26" s="113"/>
      <c r="K26" s="12"/>
      <c r="L26" s="12"/>
      <c r="O26" s="21"/>
      <c r="P26" s="21"/>
      <c r="R26" s="12"/>
      <c r="U26" s="5"/>
      <c r="V26" s="3"/>
      <c r="W26" s="3"/>
      <c r="X26" s="3"/>
      <c r="Y26" s="3"/>
      <c r="AC26" s="21"/>
      <c r="AD26" s="21"/>
    </row>
    <row r="27" spans="2:49">
      <c r="B27" s="13"/>
      <c r="C27" s="13"/>
      <c r="D27" s="3"/>
      <c r="E27" s="3"/>
      <c r="F27" s="3"/>
      <c r="G27" s="3"/>
      <c r="H27" s="37"/>
      <c r="I27" s="37"/>
      <c r="J27" s="37"/>
      <c r="K27" s="14"/>
      <c r="L27" s="14"/>
      <c r="M27" s="12"/>
      <c r="N27" s="12"/>
      <c r="O27" s="12"/>
      <c r="P27" s="12"/>
      <c r="Q27" s="12"/>
      <c r="R27" s="14"/>
      <c r="U27" s="5" t="s">
        <v>133</v>
      </c>
      <c r="V27" s="11"/>
      <c r="W27" s="261">
        <v>2.52</v>
      </c>
      <c r="X27" s="261">
        <v>2.6728509913302814</v>
      </c>
      <c r="Y27" s="261">
        <v>2.89</v>
      </c>
      <c r="Z27" s="12"/>
      <c r="AA27" s="12"/>
      <c r="AV27" s="21"/>
      <c r="AW27" s="21"/>
    </row>
    <row r="28" spans="2:49" ht="15.5">
      <c r="B28" s="122" t="s">
        <v>134</v>
      </c>
      <c r="C28" s="122"/>
      <c r="D28" s="122"/>
      <c r="E28" s="122"/>
      <c r="F28" s="122"/>
      <c r="G28" s="122"/>
      <c r="H28" s="117"/>
      <c r="I28" s="131" t="s">
        <v>135</v>
      </c>
      <c r="J28" s="19"/>
      <c r="K28" s="19"/>
      <c r="L28" s="19"/>
      <c r="P28" s="21"/>
      <c r="R28" s="19"/>
      <c r="Z28" s="21"/>
      <c r="AA28" s="21"/>
    </row>
    <row r="29" spans="2:49">
      <c r="B29" s="15"/>
      <c r="C29" s="15"/>
      <c r="D29" s="3"/>
      <c r="E29" s="3"/>
      <c r="F29" s="3"/>
      <c r="G29" s="3"/>
      <c r="H29" s="14"/>
      <c r="I29" s="14"/>
      <c r="J29" s="14"/>
      <c r="K29" s="14"/>
      <c r="L29" s="14"/>
      <c r="O29" s="21"/>
      <c r="P29" s="21"/>
      <c r="R29" s="14"/>
      <c r="U29" s="15"/>
      <c r="V29" s="3"/>
      <c r="W29" s="3"/>
      <c r="X29" s="27"/>
      <c r="Y29" s="14"/>
    </row>
    <row r="30" spans="2:49">
      <c r="B30" s="15"/>
      <c r="C30" s="15"/>
      <c r="D30" s="3"/>
      <c r="E30" s="4" t="str">
        <f>Inputs!$C$4</f>
        <v>FY 2025</v>
      </c>
      <c r="F30" s="4" t="str">
        <f>Inputs!$D$4</f>
        <v>FY 2026</v>
      </c>
      <c r="G30" s="4" t="str">
        <f>Inputs!$E$4</f>
        <v>FY 2027</v>
      </c>
      <c r="H30" s="4"/>
      <c r="I30" s="4" t="str">
        <f>E30</f>
        <v>FY 2025</v>
      </c>
      <c r="J30" s="4" t="str">
        <f>Inputs!$D$4</f>
        <v>FY 2026</v>
      </c>
      <c r="K30" s="4" t="str">
        <f>Inputs!$E$4</f>
        <v>FY 2027</v>
      </c>
      <c r="L30" s="4"/>
      <c r="P30" s="21"/>
      <c r="R30" s="4"/>
    </row>
    <row r="31" spans="2:49">
      <c r="B31" s="16"/>
      <c r="C31" s="16"/>
      <c r="D31" s="3"/>
      <c r="E31" s="4" t="s">
        <v>124</v>
      </c>
      <c r="F31" s="4" t="s">
        <v>124</v>
      </c>
      <c r="G31" s="4" t="s">
        <v>124</v>
      </c>
      <c r="H31" s="4"/>
      <c r="I31" s="4" t="s">
        <v>124</v>
      </c>
      <c r="J31" s="4" t="s">
        <v>124</v>
      </c>
      <c r="K31" s="4" t="s">
        <v>124</v>
      </c>
      <c r="L31" s="4"/>
      <c r="P31" s="21"/>
      <c r="R31" s="4"/>
    </row>
    <row r="32" spans="2:49" ht="15.5">
      <c r="B32" s="16"/>
      <c r="C32" s="16"/>
      <c r="D32" s="3"/>
      <c r="E32" s="8" t="s">
        <v>136</v>
      </c>
      <c r="F32" s="8" t="s">
        <v>136</v>
      </c>
      <c r="G32" s="8" t="s">
        <v>136</v>
      </c>
      <c r="H32" s="8"/>
      <c r="I32" s="8" t="s">
        <v>136</v>
      </c>
      <c r="J32" s="8" t="s">
        <v>136</v>
      </c>
      <c r="K32" s="8" t="s">
        <v>136</v>
      </c>
      <c r="L32" s="8"/>
      <c r="R32" s="8"/>
    </row>
    <row r="33" spans="2:30">
      <c r="B33" s="3"/>
      <c r="C33" s="3"/>
      <c r="D33" s="3"/>
      <c r="E33" s="4" t="s">
        <v>126</v>
      </c>
      <c r="F33" s="4" t="s">
        <v>126</v>
      </c>
      <c r="G33" s="4" t="s">
        <v>126</v>
      </c>
      <c r="H33" s="4"/>
      <c r="I33" s="4" t="s">
        <v>126</v>
      </c>
      <c r="J33" s="4" t="s">
        <v>126</v>
      </c>
      <c r="K33" s="4" t="s">
        <v>126</v>
      </c>
      <c r="L33" s="4"/>
      <c r="R33" s="4"/>
    </row>
    <row r="34" spans="2:30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R34" s="3"/>
    </row>
    <row r="35" spans="2:30">
      <c r="B35" s="5" t="s">
        <v>40</v>
      </c>
      <c r="C35" s="5"/>
      <c r="D35" s="11"/>
      <c r="E35" s="261">
        <v>41.11</v>
      </c>
      <c r="F35" s="261">
        <v>47.39</v>
      </c>
      <c r="G35" s="261">
        <v>50.66</v>
      </c>
      <c r="H35" s="113"/>
      <c r="I35" s="12">
        <f>E35+E45</f>
        <v>45.51</v>
      </c>
      <c r="J35" s="12">
        <f>F35+F45</f>
        <v>53.06</v>
      </c>
      <c r="K35" s="12">
        <f>G35+G45</f>
        <v>56.33</v>
      </c>
      <c r="L35" s="12"/>
      <c r="R35" s="12"/>
      <c r="AC35" s="21"/>
      <c r="AD35" s="21"/>
    </row>
    <row r="36" spans="2:30">
      <c r="B36" s="5" t="s">
        <v>137</v>
      </c>
      <c r="C36" s="5"/>
      <c r="D36" s="11"/>
      <c r="E36" s="261">
        <v>14.81</v>
      </c>
      <c r="F36" s="261">
        <v>16.329999999999998</v>
      </c>
      <c r="G36" s="261">
        <v>17.47</v>
      </c>
      <c r="H36" s="113"/>
      <c r="I36" s="12">
        <f>E36</f>
        <v>14.81</v>
      </c>
      <c r="J36" s="12">
        <f>F36</f>
        <v>16.329999999999998</v>
      </c>
      <c r="K36" s="12">
        <f>G36</f>
        <v>17.47</v>
      </c>
      <c r="L36" s="12"/>
      <c r="R36" s="12"/>
      <c r="AC36" s="21"/>
      <c r="AD36" s="21"/>
    </row>
    <row r="37" spans="2:30">
      <c r="B37" s="5"/>
      <c r="C37" s="5"/>
      <c r="D37" s="11"/>
      <c r="E37" s="12"/>
      <c r="F37" s="12"/>
      <c r="G37" s="12"/>
      <c r="H37" s="113"/>
      <c r="I37" s="12"/>
      <c r="J37" s="12"/>
      <c r="K37" s="12"/>
      <c r="L37" s="12"/>
      <c r="R37" s="12"/>
      <c r="AC37" s="21"/>
      <c r="AD37" s="21"/>
    </row>
    <row r="38" spans="2:30">
      <c r="B38" s="5"/>
      <c r="C38" s="5"/>
      <c r="D38" s="11"/>
      <c r="E38" s="4" t="str">
        <f>Inputs!$C$4</f>
        <v>FY 2025</v>
      </c>
      <c r="F38" s="4" t="str">
        <f>Inputs!$D$4</f>
        <v>FY 2026</v>
      </c>
      <c r="G38" s="4" t="str">
        <f>Inputs!$E$4</f>
        <v>FY 2027</v>
      </c>
      <c r="H38" s="113"/>
      <c r="I38" s="12"/>
      <c r="J38" s="12"/>
      <c r="K38" s="12"/>
      <c r="L38" s="12"/>
      <c r="R38" s="12"/>
      <c r="AC38" s="21"/>
      <c r="AD38" s="21"/>
    </row>
    <row r="39" spans="2:30">
      <c r="B39" s="5"/>
      <c r="C39" s="5"/>
      <c r="D39" s="11"/>
      <c r="E39" s="4" t="s">
        <v>124</v>
      </c>
      <c r="F39" s="4" t="s">
        <v>124</v>
      </c>
      <c r="G39" s="4" t="s">
        <v>124</v>
      </c>
      <c r="H39" s="113"/>
      <c r="I39" s="12"/>
      <c r="J39" s="12"/>
      <c r="K39" s="12"/>
      <c r="L39" s="12"/>
      <c r="R39" s="12"/>
      <c r="AC39" s="21"/>
      <c r="AD39" s="21"/>
    </row>
    <row r="40" spans="2:30" ht="15.5">
      <c r="B40" s="5"/>
      <c r="C40" s="5"/>
      <c r="D40" s="240" t="s">
        <v>138</v>
      </c>
      <c r="E40" s="8" t="s">
        <v>139</v>
      </c>
      <c r="F40" s="8" t="s">
        <v>139</v>
      </c>
      <c r="G40" s="8" t="s">
        <v>139</v>
      </c>
      <c r="H40" s="113"/>
      <c r="I40" s="12"/>
      <c r="J40" s="12"/>
      <c r="K40" s="12"/>
      <c r="L40" s="12"/>
      <c r="R40" s="12"/>
      <c r="AC40" s="21"/>
      <c r="AD40" s="21"/>
    </row>
    <row r="41" spans="2:30">
      <c r="B41" s="5" t="s">
        <v>140</v>
      </c>
      <c r="C41" s="5"/>
      <c r="D41" s="3"/>
      <c r="E41" s="261">
        <v>65.88</v>
      </c>
      <c r="F41" s="261">
        <v>76.104585</v>
      </c>
      <c r="G41" s="261">
        <v>79.225830000000002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30">
      <c r="B42" s="5"/>
      <c r="C42" s="5"/>
      <c r="D42" s="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30" ht="15.5">
      <c r="B43" s="471" t="s">
        <v>141</v>
      </c>
      <c r="C43" s="471"/>
      <c r="D43" s="471"/>
      <c r="E43" s="471"/>
      <c r="F43" s="471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30">
      <c r="B44" s="5"/>
      <c r="C44" s="5"/>
      <c r="D44" s="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30">
      <c r="B45" s="5" t="s">
        <v>40</v>
      </c>
      <c r="C45" s="5"/>
      <c r="D45" s="3"/>
      <c r="E45" s="321">
        <v>4.4000000000000004</v>
      </c>
      <c r="F45" s="321">
        <v>5.67</v>
      </c>
      <c r="G45" s="321">
        <v>5.67</v>
      </c>
      <c r="H45" s="114"/>
      <c r="I45" s="114"/>
      <c r="J45" s="114"/>
      <c r="K45" s="12"/>
      <c r="L45" s="12"/>
      <c r="M45" s="12"/>
      <c r="N45" s="12"/>
      <c r="O45" s="12"/>
      <c r="P45" s="12"/>
      <c r="Q45" s="12"/>
      <c r="R45" s="12"/>
      <c r="AC45" s="21"/>
      <c r="AD45" s="21"/>
    </row>
    <row r="46" spans="2:30">
      <c r="B46" s="5"/>
      <c r="C46" s="5"/>
      <c r="D46" s="3"/>
      <c r="E46" s="12"/>
      <c r="F46" s="12"/>
      <c r="G46" s="12"/>
      <c r="H46" s="114"/>
      <c r="I46" s="114"/>
      <c r="J46" s="114"/>
      <c r="K46" s="12"/>
      <c r="L46" s="12"/>
      <c r="M46" s="12"/>
      <c r="N46" s="12"/>
      <c r="O46" s="12"/>
      <c r="P46" s="12"/>
      <c r="Q46" s="12"/>
      <c r="R46" s="12"/>
    </row>
    <row r="47" spans="2:30">
      <c r="B47" s="129" t="s">
        <v>142</v>
      </c>
      <c r="C47" s="5"/>
      <c r="D47" s="3"/>
      <c r="E47" s="12"/>
      <c r="F47" s="12"/>
      <c r="G47" s="12"/>
      <c r="H47" s="114"/>
      <c r="I47" s="114"/>
      <c r="J47" s="114"/>
      <c r="K47" s="12"/>
      <c r="L47" s="12"/>
      <c r="M47" s="12"/>
      <c r="N47" s="12"/>
      <c r="O47" s="12"/>
      <c r="P47" s="12"/>
      <c r="Q47" s="12"/>
      <c r="R47" s="12"/>
    </row>
    <row r="48" spans="2:30">
      <c r="B48" s="126"/>
      <c r="C48" s="5"/>
      <c r="D48" s="3"/>
      <c r="E48" s="12"/>
      <c r="F48" s="113"/>
      <c r="G48" s="11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30" ht="15.5">
      <c r="B49" s="471" t="s">
        <v>143</v>
      </c>
      <c r="C49" s="471"/>
      <c r="D49" s="471"/>
      <c r="E49" s="471"/>
      <c r="F49" s="471"/>
      <c r="G49" s="471"/>
      <c r="H49" s="471"/>
      <c r="I49" s="19"/>
      <c r="J49" s="19"/>
      <c r="K49" s="19"/>
      <c r="L49" s="19"/>
      <c r="M49" s="12"/>
      <c r="N49" s="12"/>
      <c r="O49" s="12"/>
      <c r="P49" s="12"/>
      <c r="Q49" s="19"/>
      <c r="R49" s="19"/>
    </row>
    <row r="50" spans="2:30">
      <c r="B50" s="5"/>
      <c r="C50" s="5"/>
      <c r="D50" s="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30">
      <c r="B51" s="5" t="s">
        <v>144</v>
      </c>
      <c r="C51" s="5"/>
      <c r="D51" s="11"/>
      <c r="E51" s="262">
        <v>0.45</v>
      </c>
      <c r="F51" s="262">
        <v>0.51400000000000001</v>
      </c>
      <c r="G51" s="262">
        <v>0.53700000000000003</v>
      </c>
      <c r="H51" s="114"/>
      <c r="I51" s="114"/>
      <c r="J51" s="114"/>
      <c r="K51" s="18"/>
      <c r="L51" s="18"/>
      <c r="M51" s="18"/>
      <c r="N51" s="18"/>
      <c r="O51" s="18"/>
      <c r="P51" s="18"/>
      <c r="Q51" s="18"/>
      <c r="R51" s="18"/>
      <c r="AC51" s="230"/>
      <c r="AD51" s="230"/>
    </row>
    <row r="52" spans="2:30">
      <c r="B52" s="5" t="s">
        <v>145</v>
      </c>
      <c r="C52" s="5"/>
      <c r="D52" s="11"/>
      <c r="E52" s="262">
        <v>0.45800000000000002</v>
      </c>
      <c r="F52" s="262">
        <v>0.53500000000000003</v>
      </c>
      <c r="G52" s="262">
        <v>0.55500000000000005</v>
      </c>
      <c r="H52" s="114"/>
      <c r="I52" s="114"/>
      <c r="J52" s="114"/>
      <c r="K52" s="18"/>
      <c r="L52" s="18"/>
      <c r="M52" s="18"/>
      <c r="N52" s="18"/>
      <c r="O52" s="18"/>
      <c r="P52" s="18"/>
      <c r="Q52" s="18"/>
      <c r="R52" s="18"/>
      <c r="AC52" s="230"/>
      <c r="AD52" s="230"/>
    </row>
    <row r="53" spans="2:30"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30">
      <c r="B54" s="13" t="s">
        <v>146</v>
      </c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30">
      <c r="B55" s="13" t="s">
        <v>147</v>
      </c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60" spans="2:30" ht="18">
      <c r="B60" s="1"/>
      <c r="C60" s="1"/>
      <c r="D60" s="1"/>
      <c r="E60" s="1"/>
      <c r="F60" s="1"/>
      <c r="G60" s="1"/>
      <c r="H60" s="22"/>
      <c r="I60" s="22"/>
      <c r="J60" s="22"/>
      <c r="K60" s="22"/>
      <c r="L60" s="22"/>
      <c r="M60" s="472"/>
      <c r="N60" s="472"/>
      <c r="O60" s="472"/>
      <c r="P60" s="472"/>
      <c r="Q60" s="22"/>
      <c r="R60" s="22"/>
      <c r="U60" s="472"/>
      <c r="V60" s="472"/>
      <c r="W60" s="472"/>
      <c r="X60" s="472"/>
      <c r="Y60" s="22"/>
    </row>
  </sheetData>
  <mergeCells count="11">
    <mergeCell ref="U60:X60"/>
    <mergeCell ref="B43:F43"/>
    <mergeCell ref="M6:P6"/>
    <mergeCell ref="U6:X6"/>
    <mergeCell ref="C8:H8"/>
    <mergeCell ref="B49:H49"/>
    <mergeCell ref="C4:H4"/>
    <mergeCell ref="C5:H5"/>
    <mergeCell ref="C6:H6"/>
    <mergeCell ref="C2:H2"/>
    <mergeCell ref="M60:P60"/>
  </mergeCells>
  <hyperlinks>
    <hyperlink ref="A1" location="TOC!A1" display="TOC!A1" xr:uid="{00000000-0004-0000-0600-000000000000}"/>
  </hyperlinks>
  <printOptions horizontalCentered="1"/>
  <pageMargins left="0.7" right="0.7" top="0.75" bottom="0.75" header="0.3" footer="0.3"/>
  <pageSetup scale="81" fitToWidth="0" orientation="portrait" r:id="rId1"/>
  <colBreaks count="3" manualBreakCount="3">
    <brk id="12" max="53" man="1"/>
    <brk id="18" max="46" man="1"/>
    <brk id="19" max="46" man="1"/>
  </colBreaks>
  <ignoredErrors>
    <ignoredError sqref="C1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K104"/>
  <sheetViews>
    <sheetView showGridLines="0" zoomScale="80" zoomScaleNormal="80" workbookViewId="0">
      <selection activeCell="P1" sqref="P1:T1"/>
    </sheetView>
  </sheetViews>
  <sheetFormatPr defaultColWidth="9.1796875" defaultRowHeight="14.5"/>
  <cols>
    <col min="1" max="1" width="9.1796875" style="64"/>
    <col min="2" max="2" width="17.54296875" style="64" customWidth="1"/>
    <col min="3" max="3" width="10.54296875" style="64" customWidth="1"/>
    <col min="4" max="4" width="20.7265625" style="64" hidden="1" customWidth="1"/>
    <col min="5" max="6" width="20.7265625" style="64" customWidth="1"/>
    <col min="7" max="7" width="7.1796875" style="157" customWidth="1"/>
    <col min="8" max="8" width="1.7265625" style="157" customWidth="1"/>
    <col min="9" max="9" width="17.54296875" style="64" customWidth="1"/>
    <col min="10" max="10" width="14.81640625" style="64" customWidth="1"/>
    <col min="11" max="13" width="11.54296875" style="64" customWidth="1"/>
    <col min="14" max="14" width="9.1796875" style="64" customWidth="1"/>
    <col min="15" max="15" width="9.1796875" style="64"/>
    <col min="16" max="16" width="9.1796875" style="64" customWidth="1"/>
    <col min="17" max="17" width="9.1796875" style="64"/>
    <col min="18" max="18" width="21" style="64" customWidth="1"/>
    <col min="19" max="19" width="12.54296875" style="64" customWidth="1"/>
    <col min="20" max="20" width="13.81640625" style="64" customWidth="1"/>
    <col min="21" max="21" width="5.54296875" style="64" customWidth="1"/>
    <col min="22" max="22" width="36.54296875" style="64" customWidth="1"/>
    <col min="23" max="24" width="12.54296875" style="64" customWidth="1"/>
    <col min="25" max="32" width="9.1796875" style="64"/>
    <col min="33" max="33" width="17.54296875" style="64" customWidth="1"/>
    <col min="34" max="34" width="11.54296875" style="64" customWidth="1"/>
    <col min="35" max="35" width="10.54296875" style="64" customWidth="1"/>
    <col min="36" max="36" width="13.54296875" style="64" bestFit="1" customWidth="1"/>
    <col min="37" max="37" width="10.54296875" style="64" customWidth="1"/>
    <col min="38" max="16384" width="9.1796875" style="64"/>
  </cols>
  <sheetData>
    <row r="1" spans="1:37" ht="15" thickBot="1">
      <c r="A1" s="239" t="s">
        <v>1</v>
      </c>
      <c r="C1" s="171" t="s">
        <v>171</v>
      </c>
      <c r="P1" s="473"/>
      <c r="Q1" s="473"/>
      <c r="R1" s="473"/>
      <c r="S1" s="473"/>
      <c r="T1" s="473"/>
    </row>
    <row r="2" spans="1:37">
      <c r="B2" s="473"/>
      <c r="C2" s="473"/>
      <c r="D2" s="473"/>
      <c r="E2" s="473"/>
      <c r="F2" s="172"/>
      <c r="G2" s="173"/>
      <c r="H2" s="173"/>
      <c r="I2" s="172"/>
      <c r="J2" s="172"/>
      <c r="K2" s="172"/>
      <c r="L2" s="172"/>
      <c r="M2" s="172"/>
      <c r="N2" s="172"/>
      <c r="P2" s="174"/>
      <c r="Q2" s="175"/>
      <c r="R2" s="174"/>
      <c r="S2" s="174"/>
      <c r="T2" s="174"/>
      <c r="AG2" s="64" t="s">
        <v>172</v>
      </c>
    </row>
    <row r="3" spans="1:37" ht="15" thickBot="1">
      <c r="B3" s="322" t="s">
        <v>173</v>
      </c>
      <c r="C3" s="322"/>
      <c r="D3" s="322"/>
      <c r="E3" s="322"/>
      <c r="F3" s="322"/>
      <c r="G3" s="323"/>
      <c r="H3" s="324"/>
      <c r="I3" s="322" t="s">
        <v>174</v>
      </c>
      <c r="J3" s="322"/>
      <c r="K3" s="322"/>
      <c r="L3" s="322"/>
      <c r="M3" s="322"/>
      <c r="N3" s="172"/>
      <c r="P3" s="175"/>
      <c r="Q3" s="175"/>
      <c r="R3" s="175"/>
      <c r="S3" s="175"/>
      <c r="T3" s="176"/>
      <c r="AG3" s="403"/>
      <c r="AH3" s="403"/>
      <c r="AI3" s="403"/>
      <c r="AJ3" s="403"/>
      <c r="AK3" s="403"/>
    </row>
    <row r="4" spans="1:37" ht="15.5">
      <c r="B4" s="325"/>
      <c r="C4" s="325"/>
      <c r="D4" s="326" t="s">
        <v>175</v>
      </c>
      <c r="E4" s="326" t="s">
        <v>176</v>
      </c>
      <c r="F4" s="326"/>
      <c r="G4" s="327"/>
      <c r="H4" s="324"/>
      <c r="I4" s="325"/>
      <c r="J4" s="325"/>
      <c r="K4" s="326" t="s">
        <v>175</v>
      </c>
      <c r="L4" s="326" t="s">
        <v>176</v>
      </c>
      <c r="M4" s="326"/>
      <c r="N4" s="177"/>
      <c r="R4" s="437"/>
      <c r="S4" s="437"/>
      <c r="T4" s="438"/>
      <c r="U4" s="404"/>
      <c r="V4" s="437"/>
      <c r="W4" s="437"/>
      <c r="X4" s="438"/>
      <c r="AG4" s="403"/>
      <c r="AH4" s="403"/>
      <c r="AI4" s="403"/>
      <c r="AJ4" s="431" t="s">
        <v>177</v>
      </c>
      <c r="AK4" s="403"/>
    </row>
    <row r="5" spans="1:37">
      <c r="B5" s="325" t="s">
        <v>178</v>
      </c>
      <c r="C5" s="325"/>
      <c r="D5" s="325" t="str">
        <f>Inputs!$C$4</f>
        <v>FY 2025</v>
      </c>
      <c r="E5" s="325" t="str">
        <f>Inputs!$D$4</f>
        <v>FY 2026</v>
      </c>
      <c r="F5" s="325" t="str">
        <f>Inputs!$E$4</f>
        <v>FY 2027</v>
      </c>
      <c r="G5" s="328"/>
      <c r="H5" s="324"/>
      <c r="I5" s="325" t="s">
        <v>178</v>
      </c>
      <c r="J5" s="325"/>
      <c r="K5" s="325" t="str">
        <f>Inputs!$C$4</f>
        <v>FY 2025</v>
      </c>
      <c r="L5" s="325" t="str">
        <f>Inputs!$D$4</f>
        <v>FY 2026</v>
      </c>
      <c r="M5" s="325" t="str">
        <f>Inputs!$E$4</f>
        <v>FY 2027</v>
      </c>
      <c r="N5" s="174"/>
      <c r="R5" s="437" t="s">
        <v>179</v>
      </c>
      <c r="S5" s="437"/>
      <c r="T5" s="437"/>
      <c r="U5" s="404"/>
      <c r="V5" s="437" t="s">
        <v>180</v>
      </c>
      <c r="W5" s="437"/>
      <c r="X5" s="437"/>
      <c r="AG5" s="403" t="s">
        <v>181</v>
      </c>
      <c r="AH5" s="403"/>
      <c r="AI5" s="403" t="s">
        <v>182</v>
      </c>
      <c r="AJ5" s="403" t="s">
        <v>183</v>
      </c>
      <c r="AK5" s="403" t="s">
        <v>184</v>
      </c>
    </row>
    <row r="6" spans="1:37">
      <c r="B6" s="329" t="s">
        <v>185</v>
      </c>
      <c r="C6" s="329"/>
      <c r="D6" s="329"/>
      <c r="E6" s="329"/>
      <c r="F6" s="329"/>
      <c r="G6" s="324"/>
      <c r="H6" s="324"/>
      <c r="I6" s="330" t="s">
        <v>186</v>
      </c>
      <c r="J6" s="330"/>
      <c r="K6" s="330"/>
      <c r="L6" s="330"/>
      <c r="M6" s="330"/>
      <c r="N6" s="174"/>
      <c r="R6" s="439" t="s">
        <v>186</v>
      </c>
      <c r="S6" s="439"/>
      <c r="T6" s="439"/>
      <c r="U6" s="404"/>
      <c r="V6" s="439" t="s">
        <v>187</v>
      </c>
      <c r="W6" s="439"/>
      <c r="X6" s="439"/>
      <c r="AG6" s="406" t="s">
        <v>185</v>
      </c>
      <c r="AH6" s="406"/>
      <c r="AI6" s="406"/>
      <c r="AJ6" s="406"/>
      <c r="AK6" s="406"/>
    </row>
    <row r="7" spans="1:37">
      <c r="B7" s="331" t="s">
        <v>188</v>
      </c>
      <c r="C7" s="332"/>
      <c r="D7" s="332"/>
      <c r="E7" s="332"/>
      <c r="F7" s="332"/>
      <c r="G7" s="333"/>
      <c r="H7" s="333"/>
      <c r="I7" s="331" t="s">
        <v>188</v>
      </c>
      <c r="J7" s="332"/>
      <c r="K7" s="332"/>
      <c r="L7" s="332"/>
      <c r="M7" s="332"/>
      <c r="N7" s="176"/>
      <c r="R7" s="393" t="s">
        <v>188</v>
      </c>
      <c r="S7" s="394"/>
      <c r="T7" s="394"/>
      <c r="U7" s="404"/>
      <c r="V7" s="440" t="s">
        <v>189</v>
      </c>
      <c r="W7" s="404"/>
      <c r="X7" s="404"/>
      <c r="AG7" s="393" t="s">
        <v>188</v>
      </c>
      <c r="AH7" s="394"/>
      <c r="AI7" s="394"/>
      <c r="AJ7" s="394"/>
      <c r="AK7" s="394"/>
    </row>
    <row r="8" spans="1:37" ht="15" customHeight="1">
      <c r="B8" s="334" t="s">
        <v>41</v>
      </c>
      <c r="C8" s="335"/>
      <c r="D8" s="336">
        <f>'Water Charges'!D13</f>
        <v>5.17</v>
      </c>
      <c r="E8" s="336">
        <f>'Water Charges'!E13</f>
        <v>6.08</v>
      </c>
      <c r="F8" s="336">
        <f>'Water Charges'!F13</f>
        <v>6.31</v>
      </c>
      <c r="G8" s="337"/>
      <c r="H8" s="337"/>
      <c r="I8" s="334" t="str">
        <f>B8</f>
        <v>5/8</v>
      </c>
      <c r="J8" s="335"/>
      <c r="K8" s="336">
        <f>'Wastewater Charges'!E15</f>
        <v>7.64</v>
      </c>
      <c r="L8" s="336">
        <f>'Wastewater Charges'!F15</f>
        <v>8.2200000000000006</v>
      </c>
      <c r="M8" s="336">
        <f>'Wastewater Charges'!G15</f>
        <v>8.84</v>
      </c>
      <c r="N8" s="178"/>
      <c r="R8" s="441" t="s">
        <v>41</v>
      </c>
      <c r="S8" s="442"/>
      <c r="T8" s="443">
        <f>K8</f>
        <v>7.64</v>
      </c>
      <c r="U8" s="404"/>
      <c r="V8" s="444" t="s">
        <v>127</v>
      </c>
      <c r="W8" s="404"/>
      <c r="X8" s="445">
        <f>K64</f>
        <v>18.47</v>
      </c>
      <c r="AG8" s="395" t="s">
        <v>41</v>
      </c>
      <c r="AH8" s="396"/>
      <c r="AI8" s="397">
        <f>D8</f>
        <v>5.17</v>
      </c>
      <c r="AJ8" s="296"/>
      <c r="AK8" s="397"/>
    </row>
    <row r="9" spans="1:37" ht="15" customHeight="1">
      <c r="B9" s="334" t="s">
        <v>44</v>
      </c>
      <c r="C9" s="335"/>
      <c r="D9" s="336">
        <f>'Water Charges'!D14</f>
        <v>5.7</v>
      </c>
      <c r="E9" s="336">
        <f>'Water Charges'!E14</f>
        <v>7.06</v>
      </c>
      <c r="F9" s="336">
        <f>'Water Charges'!F14</f>
        <v>7.35</v>
      </c>
      <c r="G9" s="337"/>
      <c r="H9" s="337"/>
      <c r="I9" s="334" t="str">
        <f t="shared" ref="I9:I19" si="0">B9</f>
        <v>3/4</v>
      </c>
      <c r="J9" s="335"/>
      <c r="K9" s="336">
        <f>'Wastewater Charges'!E16</f>
        <v>9.7899999999999991</v>
      </c>
      <c r="L9" s="336">
        <f>'Wastewater Charges'!F16</f>
        <v>10.52</v>
      </c>
      <c r="M9" s="336">
        <f>'Wastewater Charges'!G16</f>
        <v>11.36</v>
      </c>
      <c r="N9" s="178"/>
      <c r="R9" s="441" t="s">
        <v>44</v>
      </c>
      <c r="S9" s="442"/>
      <c r="T9" s="443">
        <f t="shared" ref="T9:T19" si="1">K9</f>
        <v>9.7899999999999991</v>
      </c>
      <c r="U9" s="404"/>
      <c r="V9" s="444"/>
      <c r="W9" s="404"/>
      <c r="X9" s="446"/>
      <c r="AG9" s="395" t="s">
        <v>44</v>
      </c>
      <c r="AH9" s="396"/>
      <c r="AI9" s="397">
        <f t="shared" ref="AI9:AI19" si="2">D9</f>
        <v>5.7</v>
      </c>
      <c r="AJ9" s="397">
        <f>+'Water Charges'!D103</f>
        <v>9.27</v>
      </c>
      <c r="AK9" s="397"/>
    </row>
    <row r="10" spans="1:37" ht="15" customHeight="1">
      <c r="B10" s="338">
        <v>1</v>
      </c>
      <c r="C10" s="335"/>
      <c r="D10" s="336">
        <f>'Water Charges'!D15</f>
        <v>7.19</v>
      </c>
      <c r="E10" s="336">
        <f>'Water Charges'!E15</f>
        <v>9.42</v>
      </c>
      <c r="F10" s="336">
        <f>'Water Charges'!F15</f>
        <v>9.82</v>
      </c>
      <c r="G10" s="337"/>
      <c r="H10" s="337"/>
      <c r="I10" s="338">
        <f t="shared" si="0"/>
        <v>1</v>
      </c>
      <c r="J10" s="335"/>
      <c r="K10" s="336">
        <f>'Wastewater Charges'!E17</f>
        <v>14.43</v>
      </c>
      <c r="L10" s="336">
        <f>'Wastewater Charges'!F17</f>
        <v>15.47</v>
      </c>
      <c r="M10" s="336">
        <f>'Wastewater Charges'!G17</f>
        <v>16.77</v>
      </c>
      <c r="N10" s="178"/>
      <c r="R10" s="447">
        <v>1</v>
      </c>
      <c r="S10" s="442"/>
      <c r="T10" s="443">
        <f t="shared" si="1"/>
        <v>14.43</v>
      </c>
      <c r="U10" s="404"/>
      <c r="V10" s="448" t="s">
        <v>190</v>
      </c>
      <c r="W10" s="404"/>
      <c r="X10" s="446"/>
      <c r="AG10" s="398">
        <v>1</v>
      </c>
      <c r="AH10" s="396"/>
      <c r="AI10" s="397">
        <f t="shared" si="2"/>
        <v>7.19</v>
      </c>
      <c r="AJ10" s="397">
        <f>+'Water Charges'!D104</f>
        <v>10.76</v>
      </c>
      <c r="AK10" s="397"/>
    </row>
    <row r="11" spans="1:37" ht="15" hidden="1" customHeight="1" thickBot="1">
      <c r="B11" s="334" t="s">
        <v>131</v>
      </c>
      <c r="C11" s="335"/>
      <c r="D11" s="336">
        <f>'Water Charges'!D16</f>
        <v>9</v>
      </c>
      <c r="E11" s="336">
        <f>'Water Charges'!E16</f>
        <v>12.38</v>
      </c>
      <c r="F11" s="336">
        <f>'Water Charges'!F16</f>
        <v>12.91</v>
      </c>
      <c r="G11" s="337"/>
      <c r="H11" s="337"/>
      <c r="I11" s="334" t="str">
        <f t="shared" si="0"/>
        <v>1-1/4</v>
      </c>
      <c r="J11" s="335"/>
      <c r="K11" s="336">
        <f>'Wastewater Charges'!E18</f>
        <v>20.36</v>
      </c>
      <c r="L11" s="336">
        <f>'Wastewater Charges'!F18</f>
        <v>21.8</v>
      </c>
      <c r="M11" s="336">
        <f>'Wastewater Charges'!G18</f>
        <v>23.7</v>
      </c>
      <c r="N11" s="178"/>
      <c r="R11" s="441" t="s">
        <v>131</v>
      </c>
      <c r="S11" s="442"/>
      <c r="T11" s="443">
        <f t="shared" si="1"/>
        <v>20.36</v>
      </c>
      <c r="U11" s="404"/>
      <c r="V11" s="449" t="s">
        <v>191</v>
      </c>
      <c r="W11" s="450"/>
      <c r="X11" s="451">
        <v>1.77</v>
      </c>
      <c r="AG11" s="395" t="s">
        <v>131</v>
      </c>
      <c r="AH11" s="396"/>
      <c r="AI11" s="397">
        <f t="shared" si="2"/>
        <v>9</v>
      </c>
      <c r="AJ11" s="397"/>
      <c r="AK11" s="397"/>
    </row>
    <row r="12" spans="1:37" ht="15" customHeight="1">
      <c r="B12" s="334" t="s">
        <v>53</v>
      </c>
      <c r="C12" s="335"/>
      <c r="D12" s="336">
        <f>'Water Charges'!D17</f>
        <v>10.29</v>
      </c>
      <c r="E12" s="336">
        <f>'Water Charges'!E17</f>
        <v>14.73</v>
      </c>
      <c r="F12" s="336">
        <f>'Water Charges'!F17</f>
        <v>15.37</v>
      </c>
      <c r="G12" s="337"/>
      <c r="H12" s="337"/>
      <c r="I12" s="334" t="str">
        <f t="shared" si="0"/>
        <v>1-1/2</v>
      </c>
      <c r="J12" s="335"/>
      <c r="K12" s="336">
        <f>'Wastewater Charges'!E19</f>
        <v>25.53</v>
      </c>
      <c r="L12" s="336">
        <f>'Wastewater Charges'!F19</f>
        <v>27.3</v>
      </c>
      <c r="M12" s="336">
        <f>'Wastewater Charges'!G19</f>
        <v>29.74</v>
      </c>
      <c r="N12" s="178"/>
      <c r="R12" s="441" t="s">
        <v>53</v>
      </c>
      <c r="S12" s="442"/>
      <c r="T12" s="443">
        <f t="shared" si="1"/>
        <v>25.53</v>
      </c>
      <c r="U12" s="404"/>
      <c r="V12" s="405" t="s">
        <v>191</v>
      </c>
      <c r="W12" s="404"/>
      <c r="X12" s="445">
        <f>K67</f>
        <v>1.94</v>
      </c>
      <c r="AG12" s="395" t="s">
        <v>53</v>
      </c>
      <c r="AH12" s="396"/>
      <c r="AI12" s="397">
        <f t="shared" si="2"/>
        <v>10.29</v>
      </c>
      <c r="AJ12" s="397">
        <f>+'Water Charges'!D105</f>
        <v>13.86</v>
      </c>
      <c r="AK12" s="397"/>
    </row>
    <row r="13" spans="1:37" ht="15" customHeight="1">
      <c r="B13" s="334">
        <v>2</v>
      </c>
      <c r="C13" s="335"/>
      <c r="D13" s="336">
        <f>'Water Charges'!D18</f>
        <v>14.75</v>
      </c>
      <c r="E13" s="336">
        <f>'Water Charges'!E18</f>
        <v>21.85</v>
      </c>
      <c r="F13" s="336">
        <f>'Water Charges'!F18</f>
        <v>22.79</v>
      </c>
      <c r="G13" s="337"/>
      <c r="H13" s="337"/>
      <c r="I13" s="334">
        <f t="shared" si="0"/>
        <v>2</v>
      </c>
      <c r="J13" s="335"/>
      <c r="K13" s="336">
        <f>'Wastewater Charges'!E20</f>
        <v>39.44</v>
      </c>
      <c r="L13" s="336">
        <f>'Wastewater Charges'!F20</f>
        <v>42.16</v>
      </c>
      <c r="M13" s="336">
        <f>'Wastewater Charges'!G20</f>
        <v>45.98</v>
      </c>
      <c r="N13" s="178"/>
      <c r="R13" s="441">
        <v>2</v>
      </c>
      <c r="S13" s="442"/>
      <c r="T13" s="443">
        <f t="shared" si="1"/>
        <v>39.44</v>
      </c>
      <c r="U13" s="404"/>
      <c r="V13" s="439" t="s">
        <v>192</v>
      </c>
      <c r="W13" s="439"/>
      <c r="X13" s="439"/>
      <c r="AG13" s="395">
        <v>2</v>
      </c>
      <c r="AH13" s="396"/>
      <c r="AI13" s="397">
        <f t="shared" si="2"/>
        <v>14.75</v>
      </c>
      <c r="AJ13" s="397">
        <f>+'Water Charges'!D106</f>
        <v>18.32</v>
      </c>
      <c r="AK13" s="397"/>
    </row>
    <row r="14" spans="1:37" ht="15" customHeight="1">
      <c r="B14" s="334">
        <v>3</v>
      </c>
      <c r="C14" s="335"/>
      <c r="D14" s="336">
        <f>'Water Charges'!D19</f>
        <v>24.33</v>
      </c>
      <c r="E14" s="336">
        <f>'Water Charges'!E19</f>
        <v>37.619999999999997</v>
      </c>
      <c r="F14" s="336">
        <f>'Water Charges'!F19</f>
        <v>39.26</v>
      </c>
      <c r="G14" s="337"/>
      <c r="H14" s="337"/>
      <c r="I14" s="334">
        <f t="shared" si="0"/>
        <v>3</v>
      </c>
      <c r="J14" s="335"/>
      <c r="K14" s="336">
        <f>'Wastewater Charges'!E21</f>
        <v>71.260000000000005</v>
      </c>
      <c r="L14" s="336">
        <f>'Wastewater Charges'!F21</f>
        <v>76.09</v>
      </c>
      <c r="M14" s="336">
        <f>'Wastewater Charges'!G21</f>
        <v>83.12</v>
      </c>
      <c r="N14" s="178"/>
      <c r="R14" s="441">
        <v>3</v>
      </c>
      <c r="S14" s="442"/>
      <c r="T14" s="443">
        <f t="shared" si="1"/>
        <v>71.260000000000005</v>
      </c>
      <c r="U14" s="404"/>
      <c r="V14" s="440" t="s">
        <v>189</v>
      </c>
      <c r="W14" s="404"/>
      <c r="X14" s="404"/>
      <c r="AG14" s="395">
        <v>3</v>
      </c>
      <c r="AH14" s="396"/>
      <c r="AI14" s="397">
        <f t="shared" si="2"/>
        <v>24.33</v>
      </c>
      <c r="AJ14" s="397"/>
      <c r="AK14" s="397"/>
    </row>
    <row r="15" spans="1:37" ht="15" customHeight="1">
      <c r="B15" s="334">
        <v>4</v>
      </c>
      <c r="C15" s="335"/>
      <c r="D15" s="336">
        <f>'Water Charges'!D20</f>
        <v>43.28</v>
      </c>
      <c r="E15" s="336">
        <f>'Water Charges'!E20</f>
        <v>65.44</v>
      </c>
      <c r="F15" s="336">
        <f>'Water Charges'!F20</f>
        <v>68.290000000000006</v>
      </c>
      <c r="G15" s="337"/>
      <c r="H15" s="337"/>
      <c r="I15" s="334">
        <f t="shared" si="0"/>
        <v>4</v>
      </c>
      <c r="J15" s="335"/>
      <c r="K15" s="336">
        <f>'Wastewater Charges'!E22</f>
        <v>120.98</v>
      </c>
      <c r="L15" s="336">
        <f>'Wastewater Charges'!F22</f>
        <v>129.24</v>
      </c>
      <c r="M15" s="336">
        <f>'Wastewater Charges'!G22</f>
        <v>141.07</v>
      </c>
      <c r="N15" s="178"/>
      <c r="R15" s="441">
        <v>4</v>
      </c>
      <c r="S15" s="442"/>
      <c r="T15" s="443">
        <f t="shared" si="1"/>
        <v>120.98</v>
      </c>
      <c r="U15" s="404"/>
      <c r="V15" s="444" t="s">
        <v>193</v>
      </c>
      <c r="W15" s="404" t="s">
        <v>194</v>
      </c>
      <c r="X15" s="452">
        <f>K71</f>
        <v>0.86199999999999999</v>
      </c>
      <c r="AG15" s="395">
        <v>4</v>
      </c>
      <c r="AH15" s="396"/>
      <c r="AI15" s="397">
        <f t="shared" si="2"/>
        <v>43.28</v>
      </c>
      <c r="AJ15" s="397"/>
      <c r="AK15" s="397">
        <f>'Water Charges'!D68</f>
        <v>28.06</v>
      </c>
    </row>
    <row r="16" spans="1:37" ht="15" customHeight="1">
      <c r="B16" s="334">
        <v>6</v>
      </c>
      <c r="C16" s="335"/>
      <c r="D16" s="336">
        <f>'Water Charges'!D21</f>
        <v>82.46</v>
      </c>
      <c r="E16" s="336">
        <f>'Water Charges'!E21</f>
        <v>126.77</v>
      </c>
      <c r="F16" s="336">
        <f>'Water Charges'!F21</f>
        <v>132.31</v>
      </c>
      <c r="G16" s="337"/>
      <c r="H16" s="337"/>
      <c r="I16" s="334">
        <f t="shared" si="0"/>
        <v>6</v>
      </c>
      <c r="J16" s="335"/>
      <c r="K16" s="336">
        <f>'Wastewater Charges'!E23</f>
        <v>238.64</v>
      </c>
      <c r="L16" s="336">
        <f>'Wastewater Charges'!F23</f>
        <v>254.85</v>
      </c>
      <c r="M16" s="336">
        <f>'Wastewater Charges'!G23</f>
        <v>278.33999999999997</v>
      </c>
      <c r="N16" s="178"/>
      <c r="R16" s="441">
        <v>6</v>
      </c>
      <c r="S16" s="442"/>
      <c r="T16" s="443">
        <f t="shared" si="1"/>
        <v>238.64</v>
      </c>
      <c r="U16" s="404"/>
      <c r="V16" s="444" t="s">
        <v>195</v>
      </c>
      <c r="W16" s="404" t="s">
        <v>194</v>
      </c>
      <c r="X16" s="452">
        <f>K72</f>
        <v>6.3090000000000002</v>
      </c>
      <c r="AG16" s="395">
        <v>6</v>
      </c>
      <c r="AH16" s="396"/>
      <c r="AI16" s="397">
        <f t="shared" si="2"/>
        <v>82.46</v>
      </c>
      <c r="AJ16" s="397"/>
      <c r="AK16" s="397">
        <f>'Water Charges'!D69</f>
        <v>52.02</v>
      </c>
    </row>
    <row r="17" spans="2:37" ht="15" customHeight="1">
      <c r="B17" s="334">
        <v>8</v>
      </c>
      <c r="C17" s="335"/>
      <c r="D17" s="336">
        <f>'Water Charges'!D22</f>
        <v>127.03</v>
      </c>
      <c r="E17" s="336">
        <f>'Water Charges'!E22</f>
        <v>197.89</v>
      </c>
      <c r="F17" s="336">
        <f>'Water Charges'!F22</f>
        <v>206.57</v>
      </c>
      <c r="G17" s="337"/>
      <c r="H17" s="337"/>
      <c r="I17" s="334">
        <f t="shared" si="0"/>
        <v>8</v>
      </c>
      <c r="J17" s="335"/>
      <c r="K17" s="336">
        <f>'Wastewater Charges'!E24</f>
        <v>377.82</v>
      </c>
      <c r="L17" s="336">
        <f>'Wastewater Charges'!F24</f>
        <v>403.41</v>
      </c>
      <c r="M17" s="336">
        <f>'Wastewater Charges'!G24</f>
        <v>440.78</v>
      </c>
      <c r="N17" s="178"/>
      <c r="P17" s="179"/>
      <c r="Q17" s="175"/>
      <c r="R17" s="441">
        <v>8</v>
      </c>
      <c r="S17" s="442"/>
      <c r="T17" s="443">
        <f t="shared" si="1"/>
        <v>377.82</v>
      </c>
      <c r="U17" s="404"/>
      <c r="V17" s="444"/>
      <c r="W17" s="404"/>
      <c r="X17" s="446"/>
      <c r="AG17" s="395">
        <v>8</v>
      </c>
      <c r="AH17" s="396"/>
      <c r="AI17" s="397">
        <f t="shared" si="2"/>
        <v>127.03</v>
      </c>
      <c r="AJ17" s="397"/>
      <c r="AK17" s="397">
        <f>'Water Charges'!D70</f>
        <v>78.31</v>
      </c>
    </row>
    <row r="18" spans="2:37" ht="15" customHeight="1">
      <c r="B18" s="334">
        <v>10</v>
      </c>
      <c r="C18" s="335"/>
      <c r="D18" s="336">
        <f>'Water Charges'!D23</f>
        <v>185.16</v>
      </c>
      <c r="E18" s="336">
        <f>'Water Charges'!E23</f>
        <v>287.04000000000002</v>
      </c>
      <c r="F18" s="336">
        <f>'Water Charges'!F23</f>
        <v>299.62</v>
      </c>
      <c r="G18" s="337"/>
      <c r="H18" s="337"/>
      <c r="I18" s="334">
        <f t="shared" si="0"/>
        <v>10</v>
      </c>
      <c r="J18" s="335"/>
      <c r="K18" s="336">
        <f>'Wastewater Charges'!E25</f>
        <v>545.20000000000005</v>
      </c>
      <c r="L18" s="336">
        <f>'Wastewater Charges'!F25</f>
        <v>582.16</v>
      </c>
      <c r="M18" s="336">
        <f>'Wastewater Charges'!G25</f>
        <v>636</v>
      </c>
      <c r="N18" s="178"/>
      <c r="P18" s="180"/>
      <c r="Q18" s="175"/>
      <c r="R18" s="441">
        <v>10</v>
      </c>
      <c r="S18" s="442"/>
      <c r="T18" s="443">
        <f t="shared" si="1"/>
        <v>545.20000000000005</v>
      </c>
      <c r="U18" s="404"/>
      <c r="V18" s="448" t="s">
        <v>190</v>
      </c>
      <c r="W18" s="404"/>
      <c r="X18" s="446"/>
      <c r="AG18" s="395">
        <v>10</v>
      </c>
      <c r="AH18" s="396"/>
      <c r="AI18" s="397">
        <f t="shared" si="2"/>
        <v>185.16</v>
      </c>
      <c r="AJ18" s="397"/>
      <c r="AK18" s="397">
        <f>'Water Charges'!D71</f>
        <v>115.13</v>
      </c>
    </row>
    <row r="19" spans="2:37" ht="15" customHeight="1" thickBot="1">
      <c r="B19" s="339">
        <v>12</v>
      </c>
      <c r="C19" s="340"/>
      <c r="D19" s="341">
        <f>'Water Charges'!D24</f>
        <v>313.27</v>
      </c>
      <c r="E19" s="341">
        <f>'Water Charges'!E24</f>
        <v>503.58</v>
      </c>
      <c r="F19" s="341">
        <f>'Water Charges'!F24</f>
        <v>525.79</v>
      </c>
      <c r="G19" s="337"/>
      <c r="H19" s="337"/>
      <c r="I19" s="339">
        <f t="shared" si="0"/>
        <v>12</v>
      </c>
      <c r="J19" s="340"/>
      <c r="K19" s="341">
        <f>'Wastewater Charges'!E26</f>
        <v>992.49</v>
      </c>
      <c r="L19" s="341">
        <f>'Wastewater Charges'!F26</f>
        <v>1059.17</v>
      </c>
      <c r="M19" s="341">
        <f>'Wastewater Charges'!G26</f>
        <v>1158.44</v>
      </c>
      <c r="N19" s="178"/>
      <c r="P19" s="175"/>
      <c r="Q19" s="175"/>
      <c r="R19" s="453">
        <v>12</v>
      </c>
      <c r="S19" s="454"/>
      <c r="T19" s="401">
        <f t="shared" si="1"/>
        <v>992.49</v>
      </c>
      <c r="U19" s="404"/>
      <c r="V19" s="449" t="s">
        <v>191</v>
      </c>
      <c r="W19" s="450"/>
      <c r="X19" s="451">
        <f>K75</f>
        <v>2.52</v>
      </c>
      <c r="AG19" s="399">
        <v>12</v>
      </c>
      <c r="AH19" s="400"/>
      <c r="AI19" s="401">
        <f t="shared" si="2"/>
        <v>313.27</v>
      </c>
      <c r="AJ19" s="401"/>
      <c r="AK19" s="401">
        <f>'Water Charges'!D72</f>
        <v>182.34</v>
      </c>
    </row>
    <row r="20" spans="2:37" ht="5.15" customHeight="1">
      <c r="B20" s="342"/>
      <c r="C20" s="332"/>
      <c r="D20" s="332"/>
      <c r="E20" s="332"/>
      <c r="F20" s="332"/>
      <c r="G20" s="343"/>
      <c r="H20" s="343"/>
      <c r="I20" s="343"/>
      <c r="J20" s="343"/>
      <c r="K20" s="343"/>
      <c r="L20" s="343"/>
      <c r="M20" s="343"/>
      <c r="N20" s="181"/>
      <c r="R20" s="455"/>
      <c r="S20" s="455"/>
      <c r="T20" s="455"/>
      <c r="U20" s="404"/>
      <c r="V20" s="404"/>
      <c r="W20" s="404"/>
      <c r="X20" s="404"/>
      <c r="AG20" s="402"/>
      <c r="AH20" s="394"/>
      <c r="AI20" s="394"/>
      <c r="AJ20" s="394"/>
      <c r="AK20" s="394"/>
    </row>
    <row r="21" spans="2:37" hidden="1">
      <c r="B21" s="344"/>
      <c r="C21" s="344"/>
      <c r="D21" s="344"/>
      <c r="E21" s="344"/>
      <c r="F21" s="344"/>
      <c r="G21" s="343"/>
      <c r="H21" s="343"/>
      <c r="I21" s="344"/>
      <c r="J21" s="344"/>
      <c r="K21" s="344"/>
      <c r="L21" s="344"/>
      <c r="M21" s="344"/>
      <c r="N21" s="181"/>
      <c r="R21" s="403"/>
      <c r="S21" s="403"/>
      <c r="T21" s="403"/>
      <c r="U21" s="404"/>
      <c r="V21" s="404"/>
      <c r="W21" s="404"/>
      <c r="X21" s="404"/>
      <c r="Z21" s="167"/>
      <c r="AA21" s="167"/>
      <c r="AG21" s="296"/>
      <c r="AH21" s="296"/>
      <c r="AI21" s="296"/>
      <c r="AJ21" s="296"/>
      <c r="AK21" s="296"/>
    </row>
    <row r="22" spans="2:37" hidden="1">
      <c r="B22" s="344" t="s">
        <v>178</v>
      </c>
      <c r="C22" s="344"/>
      <c r="D22" s="344" t="str">
        <f>Inputs!$C$4</f>
        <v>FY 2025</v>
      </c>
      <c r="E22" s="344" t="str">
        <f>Inputs!$D$4</f>
        <v>FY 2026</v>
      </c>
      <c r="F22" s="344"/>
      <c r="G22" s="324"/>
      <c r="H22" s="324"/>
      <c r="I22" s="344" t="s">
        <v>178</v>
      </c>
      <c r="J22" s="344"/>
      <c r="K22" s="344" t="str">
        <f>Inputs!$C$4</f>
        <v>FY 2025</v>
      </c>
      <c r="L22" s="344" t="str">
        <f>Inputs!$D$4</f>
        <v>FY 2026</v>
      </c>
      <c r="M22" s="344"/>
      <c r="N22" s="174"/>
      <c r="R22" s="403" t="s">
        <v>178</v>
      </c>
      <c r="S22" s="403"/>
      <c r="T22" s="403" t="s">
        <v>196</v>
      </c>
      <c r="U22" s="404"/>
      <c r="V22" s="404"/>
      <c r="W22" s="404"/>
      <c r="X22" s="404"/>
      <c r="Z22" s="167" t="str">
        <f>Inputs!$D$4</f>
        <v>FY 2026</v>
      </c>
      <c r="AA22" s="167" t="str">
        <f>Inputs!$E$4</f>
        <v>FY 2027</v>
      </c>
      <c r="AG22" s="296"/>
      <c r="AH22" s="296"/>
      <c r="AI22" s="296"/>
      <c r="AJ22" s="296"/>
      <c r="AK22" s="296"/>
    </row>
    <row r="23" spans="2:37">
      <c r="B23" s="329" t="s">
        <v>197</v>
      </c>
      <c r="C23" s="329"/>
      <c r="D23" s="329"/>
      <c r="E23" s="329"/>
      <c r="F23" s="329"/>
      <c r="G23" s="324"/>
      <c r="H23" s="324"/>
      <c r="I23" s="330" t="s">
        <v>198</v>
      </c>
      <c r="J23" s="330"/>
      <c r="K23" s="330"/>
      <c r="L23" s="330"/>
      <c r="M23" s="330"/>
      <c r="N23" s="174"/>
      <c r="R23" s="439" t="s">
        <v>198</v>
      </c>
      <c r="S23" s="439"/>
      <c r="T23" s="439"/>
      <c r="U23" s="404"/>
      <c r="V23" s="404"/>
      <c r="W23" s="404"/>
      <c r="X23" s="404"/>
      <c r="Z23" s="168" t="s">
        <v>199</v>
      </c>
      <c r="AA23" s="168"/>
      <c r="AB23" s="168"/>
      <c r="AC23" s="168"/>
      <c r="AD23" s="168"/>
      <c r="AE23" s="168"/>
      <c r="AG23" s="406" t="s">
        <v>197</v>
      </c>
      <c r="AH23" s="406"/>
      <c r="AI23" s="406"/>
      <c r="AJ23" s="406"/>
      <c r="AK23" s="406"/>
    </row>
    <row r="24" spans="2:37" ht="15" customHeight="1">
      <c r="B24" s="345" t="s">
        <v>151</v>
      </c>
      <c r="C24" s="332"/>
      <c r="D24" s="332"/>
      <c r="E24" s="332"/>
      <c r="F24" s="332"/>
      <c r="G24" s="332"/>
      <c r="H24" s="332"/>
      <c r="I24" s="346" t="s">
        <v>200</v>
      </c>
      <c r="J24" s="347"/>
      <c r="K24" s="347"/>
      <c r="L24" s="347"/>
      <c r="M24" s="347"/>
      <c r="N24" s="175"/>
      <c r="R24" s="440" t="s">
        <v>200</v>
      </c>
      <c r="S24" s="404"/>
      <c r="T24" s="404"/>
      <c r="U24" s="404"/>
      <c r="V24" s="404" t="s">
        <v>105</v>
      </c>
      <c r="W24" s="404"/>
      <c r="X24" s="404"/>
      <c r="Z24" s="175"/>
      <c r="AA24" s="175"/>
      <c r="AG24" s="432" t="s">
        <v>151</v>
      </c>
      <c r="AH24" s="404"/>
      <c r="AI24" s="433"/>
      <c r="AJ24" s="433"/>
      <c r="AK24" s="296"/>
    </row>
    <row r="25" spans="2:37" ht="15" customHeight="1">
      <c r="B25" s="348" t="s">
        <v>39</v>
      </c>
      <c r="C25" s="349"/>
      <c r="D25" s="350">
        <f>'Water Charges'!D33</f>
        <v>64.319999999999993</v>
      </c>
      <c r="E25" s="350">
        <f>'Water Charges'!E33</f>
        <v>72.45</v>
      </c>
      <c r="F25" s="350">
        <f>'Water Charges'!F33</f>
        <v>74.790000000000006</v>
      </c>
      <c r="G25" s="349"/>
      <c r="H25" s="349"/>
      <c r="I25" s="342" t="s">
        <v>40</v>
      </c>
      <c r="J25" s="342"/>
      <c r="K25" s="351">
        <f>'Wastewater Charges'!E35</f>
        <v>41.11</v>
      </c>
      <c r="L25" s="351">
        <f>'Wastewater Charges'!F35</f>
        <v>47.39</v>
      </c>
      <c r="M25" s="351">
        <f>'Wastewater Charges'!G35</f>
        <v>50.66</v>
      </c>
      <c r="N25" s="182"/>
      <c r="O25" s="183"/>
      <c r="R25" s="402" t="s">
        <v>40</v>
      </c>
      <c r="S25" s="402"/>
      <c r="T25" s="456">
        <f>K25</f>
        <v>41.11</v>
      </c>
      <c r="U25" s="404"/>
      <c r="V25" s="405" t="s">
        <v>201</v>
      </c>
      <c r="W25" s="404"/>
      <c r="X25" s="404"/>
      <c r="Z25" s="155">
        <f>'Water Charges'!J33</f>
        <v>67.399999999999991</v>
      </c>
      <c r="AA25" s="155">
        <f>'Water Charges'!K33</f>
        <v>76.320000000000007</v>
      </c>
      <c r="AB25" s="155">
        <f>'Water Charges'!L33</f>
        <v>78.660000000000011</v>
      </c>
      <c r="AG25" s="434" t="str">
        <f>B25</f>
        <v>First 2 Mcf</v>
      </c>
      <c r="AH25" s="404"/>
      <c r="AI25" s="435">
        <f>D25</f>
        <v>64.319999999999993</v>
      </c>
      <c r="AJ25" s="435"/>
      <c r="AK25" s="296"/>
    </row>
    <row r="26" spans="2:37" ht="15" customHeight="1" thickBot="1">
      <c r="B26" s="342" t="s">
        <v>43</v>
      </c>
      <c r="C26" s="349"/>
      <c r="D26" s="350">
        <f>'Water Charges'!D34</f>
        <v>57.88</v>
      </c>
      <c r="E26" s="350">
        <f>'Water Charges'!E34</f>
        <v>64.760000000000005</v>
      </c>
      <c r="F26" s="350">
        <f>'Water Charges'!F34</f>
        <v>70.28</v>
      </c>
      <c r="G26" s="349"/>
      <c r="H26" s="349"/>
      <c r="I26" s="352" t="s">
        <v>137</v>
      </c>
      <c r="J26" s="352"/>
      <c r="K26" s="353">
        <f>'Wastewater Charges'!E36</f>
        <v>14.81</v>
      </c>
      <c r="L26" s="353">
        <f>'Wastewater Charges'!F36</f>
        <v>16.329999999999998</v>
      </c>
      <c r="M26" s="353">
        <f>'Wastewater Charges'!G36</f>
        <v>17.47</v>
      </c>
      <c r="N26" s="182"/>
      <c r="O26" s="183"/>
      <c r="R26" s="457" t="s">
        <v>137</v>
      </c>
      <c r="S26" s="457"/>
      <c r="T26" s="458">
        <f>K26</f>
        <v>14.81</v>
      </c>
      <c r="U26" s="404"/>
      <c r="V26" s="405" t="s">
        <v>202</v>
      </c>
      <c r="W26" s="404"/>
      <c r="X26" s="404"/>
      <c r="Z26" s="155">
        <f>'Water Charges'!J34</f>
        <v>60.96</v>
      </c>
      <c r="AA26" s="155">
        <f>'Water Charges'!K34</f>
        <v>68.63000000000001</v>
      </c>
      <c r="AB26" s="155">
        <f>'Water Charges'!L34</f>
        <v>74.150000000000006</v>
      </c>
      <c r="AG26" s="434" t="str">
        <f>B26</f>
        <v>Next 98 Mcf</v>
      </c>
      <c r="AH26" s="404"/>
      <c r="AI26" s="435">
        <f>D26</f>
        <v>57.88</v>
      </c>
      <c r="AJ26" s="435"/>
      <c r="AK26" s="296"/>
    </row>
    <row r="27" spans="2:37" ht="15" customHeight="1">
      <c r="B27" s="342" t="s">
        <v>152</v>
      </c>
      <c r="C27" s="349"/>
      <c r="D27" s="350">
        <f>'Water Charges'!D35</f>
        <v>44.84</v>
      </c>
      <c r="E27" s="350">
        <f>'Water Charges'!E35</f>
        <v>50.16</v>
      </c>
      <c r="F27" s="350">
        <f>'Water Charges'!F35</f>
        <v>54.97</v>
      </c>
      <c r="G27" s="349"/>
      <c r="H27" s="349"/>
      <c r="I27" s="349"/>
      <c r="J27" s="349"/>
      <c r="K27" s="349"/>
      <c r="L27" s="349"/>
      <c r="M27" s="349"/>
      <c r="N27" s="182"/>
      <c r="O27" s="183"/>
      <c r="R27" s="442"/>
      <c r="S27" s="442"/>
      <c r="T27" s="442"/>
      <c r="U27" s="404"/>
      <c r="V27" s="405" t="s">
        <v>203</v>
      </c>
      <c r="W27" s="404"/>
      <c r="X27" s="404"/>
      <c r="Z27" s="155">
        <f>'Water Charges'!J35</f>
        <v>47.92</v>
      </c>
      <c r="AA27" s="155">
        <f>'Water Charges'!K35</f>
        <v>54.029999999999994</v>
      </c>
      <c r="AB27" s="155">
        <f>'Water Charges'!L35</f>
        <v>58.839999999999996</v>
      </c>
      <c r="AG27" s="434" t="str">
        <f>B27</f>
        <v>Next 1,900 Mcf</v>
      </c>
      <c r="AH27" s="404"/>
      <c r="AI27" s="435">
        <f>D27</f>
        <v>44.84</v>
      </c>
      <c r="AJ27" s="435"/>
      <c r="AK27" s="296"/>
    </row>
    <row r="28" spans="2:37" ht="15" customHeight="1" thickBot="1">
      <c r="B28" s="352" t="s">
        <v>153</v>
      </c>
      <c r="C28" s="354"/>
      <c r="D28" s="355">
        <f>'Water Charges'!D36</f>
        <v>43.62</v>
      </c>
      <c r="E28" s="355">
        <f>'Water Charges'!E36</f>
        <v>50.16</v>
      </c>
      <c r="F28" s="355">
        <f>'Water Charges'!F36</f>
        <v>54.97</v>
      </c>
      <c r="G28" s="349"/>
      <c r="H28" s="349"/>
      <c r="I28" s="347"/>
      <c r="J28" s="347"/>
      <c r="K28" s="347"/>
      <c r="L28" s="347"/>
      <c r="M28" s="347"/>
      <c r="N28" s="182"/>
      <c r="O28" s="183"/>
      <c r="R28" s="439" t="s">
        <v>204</v>
      </c>
      <c r="S28" s="439"/>
      <c r="T28" s="439"/>
      <c r="U28" s="404"/>
      <c r="V28" s="405" t="s">
        <v>205</v>
      </c>
      <c r="W28" s="404"/>
      <c r="X28" s="404"/>
      <c r="Z28" s="156">
        <f>'Water Charges'!J36</f>
        <v>46.699999999999996</v>
      </c>
      <c r="AA28" s="156">
        <f>'Water Charges'!K36</f>
        <v>54.029999999999994</v>
      </c>
      <c r="AB28" s="156">
        <f>'Water Charges'!L36</f>
        <v>58.839999999999996</v>
      </c>
      <c r="AG28" s="436" t="str">
        <f>B28</f>
        <v>Over 2,000 Mcf</v>
      </c>
      <c r="AH28" s="401"/>
      <c r="AI28" s="401">
        <f>D28</f>
        <v>43.62</v>
      </c>
      <c r="AJ28" s="401"/>
      <c r="AK28" s="401"/>
    </row>
    <row r="29" spans="2:37">
      <c r="B29" s="356"/>
      <c r="C29" s="332"/>
      <c r="D29" s="332"/>
      <c r="E29" s="332"/>
      <c r="F29" s="332"/>
      <c r="G29" s="332"/>
      <c r="H29" s="332"/>
      <c r="I29" s="347"/>
      <c r="J29" s="347"/>
      <c r="K29" s="347"/>
      <c r="L29" s="347"/>
      <c r="M29" s="347"/>
      <c r="N29" s="175"/>
      <c r="R29" s="459" t="s">
        <v>144</v>
      </c>
      <c r="S29" s="394"/>
      <c r="T29" s="460">
        <f>+K31</f>
        <v>0.45</v>
      </c>
      <c r="U29" s="404"/>
      <c r="V29" s="405" t="s">
        <v>146</v>
      </c>
      <c r="W29" s="404"/>
      <c r="X29" s="404"/>
      <c r="AG29" s="434"/>
      <c r="AH29" s="404"/>
      <c r="AI29" s="404"/>
      <c r="AJ29" s="404"/>
      <c r="AK29" s="296"/>
    </row>
    <row r="30" spans="2:37" ht="15" thickBot="1">
      <c r="B30" s="342"/>
      <c r="C30" s="332"/>
      <c r="D30" s="332"/>
      <c r="E30" s="332"/>
      <c r="F30" s="332"/>
      <c r="G30" s="332"/>
      <c r="H30" s="332"/>
      <c r="I30" s="330" t="s">
        <v>204</v>
      </c>
      <c r="J30" s="330"/>
      <c r="K30" s="330"/>
      <c r="L30" s="330"/>
      <c r="M30" s="330"/>
      <c r="N30" s="175"/>
      <c r="R30" s="461" t="s">
        <v>145</v>
      </c>
      <c r="S30" s="462"/>
      <c r="T30" s="463">
        <f>+K32</f>
        <v>0.45800000000000002</v>
      </c>
      <c r="U30" s="404"/>
      <c r="V30" s="405" t="s">
        <v>147</v>
      </c>
      <c r="W30" s="404"/>
      <c r="X30" s="404"/>
      <c r="AG30" s="404" t="s">
        <v>105</v>
      </c>
      <c r="AH30" s="404"/>
      <c r="AI30" s="404"/>
      <c r="AJ30" s="404"/>
      <c r="AK30" s="296"/>
    </row>
    <row r="31" spans="2:37" ht="15" customHeight="1">
      <c r="B31" s="357"/>
      <c r="C31" s="357"/>
      <c r="D31" s="357"/>
      <c r="E31" s="357"/>
      <c r="F31" s="357"/>
      <c r="G31" s="358"/>
      <c r="H31" s="358"/>
      <c r="I31" s="348" t="s">
        <v>144</v>
      </c>
      <c r="J31" s="332"/>
      <c r="K31" s="359">
        <f>'Wastewater Charges'!E51</f>
        <v>0.45</v>
      </c>
      <c r="L31" s="359">
        <f>'Wastewater Charges'!F51</f>
        <v>0.51400000000000001</v>
      </c>
      <c r="M31" s="359">
        <f>'Wastewater Charges'!G51</f>
        <v>0.53700000000000003</v>
      </c>
      <c r="N31" s="185"/>
      <c r="O31" s="182"/>
      <c r="R31" s="157"/>
      <c r="S31" s="157"/>
      <c r="T31" s="157"/>
      <c r="U31" s="157"/>
      <c r="V31" s="157"/>
      <c r="W31" s="157"/>
      <c r="X31" s="157"/>
      <c r="AG31" s="405" t="s">
        <v>206</v>
      </c>
      <c r="AH31" s="404"/>
      <c r="AI31" s="404"/>
      <c r="AJ31" s="404"/>
      <c r="AK31" s="296"/>
    </row>
    <row r="32" spans="2:37" ht="15" customHeight="1" thickBot="1">
      <c r="B32" s="357"/>
      <c r="C32" s="357"/>
      <c r="D32" s="357"/>
      <c r="E32" s="357"/>
      <c r="F32" s="357"/>
      <c r="G32" s="358"/>
      <c r="H32" s="358"/>
      <c r="I32" s="360" t="s">
        <v>145</v>
      </c>
      <c r="J32" s="361"/>
      <c r="K32" s="362">
        <f>'Wastewater Charges'!E52</f>
        <v>0.45800000000000002</v>
      </c>
      <c r="L32" s="362">
        <f>'Wastewater Charges'!F52</f>
        <v>0.53500000000000003</v>
      </c>
      <c r="M32" s="362">
        <f>'Wastewater Charges'!G52</f>
        <v>0.55500000000000005</v>
      </c>
      <c r="N32" s="185"/>
      <c r="O32" s="182"/>
      <c r="R32" s="166"/>
      <c r="S32" s="157"/>
      <c r="T32" s="157"/>
      <c r="U32" s="157"/>
      <c r="V32" s="157"/>
      <c r="W32" s="157"/>
      <c r="X32" s="157"/>
      <c r="AG32" s="166"/>
      <c r="AH32" s="157"/>
      <c r="AI32" s="157"/>
      <c r="AJ32" s="157"/>
    </row>
    <row r="33" spans="2:36">
      <c r="B33" s="363" t="s">
        <v>146</v>
      </c>
      <c r="C33" s="357"/>
      <c r="D33" s="357"/>
      <c r="E33" s="357"/>
      <c r="F33" s="357"/>
      <c r="G33" s="358"/>
      <c r="H33" s="358"/>
      <c r="I33" s="358"/>
      <c r="J33" s="358"/>
      <c r="K33" s="358"/>
      <c r="L33" s="358"/>
      <c r="M33" s="358"/>
      <c r="N33" s="185"/>
      <c r="O33" s="182"/>
      <c r="R33" s="166"/>
      <c r="S33" s="184"/>
      <c r="T33" s="184"/>
      <c r="AG33" s="157"/>
      <c r="AH33" s="157"/>
      <c r="AI33" s="157"/>
      <c r="AJ33" s="157"/>
    </row>
    <row r="34" spans="2:36">
      <c r="B34" s="364" t="s">
        <v>207</v>
      </c>
      <c r="C34" s="364"/>
      <c r="D34" s="364"/>
      <c r="E34" s="364"/>
      <c r="F34" s="364"/>
      <c r="G34" s="349"/>
      <c r="H34" s="349"/>
      <c r="I34" s="365" t="s">
        <v>208</v>
      </c>
      <c r="J34" s="365"/>
      <c r="K34" s="365"/>
      <c r="L34" s="365"/>
      <c r="M34" s="365"/>
      <c r="N34" s="182"/>
      <c r="O34" s="182"/>
      <c r="R34" s="169" t="s">
        <v>208</v>
      </c>
      <c r="S34" s="169"/>
      <c r="T34" s="169"/>
      <c r="AH34" s="157"/>
      <c r="AI34" s="157"/>
      <c r="AJ34" s="157"/>
    </row>
    <row r="35" spans="2:36" ht="15" thickBot="1">
      <c r="B35" s="366" t="s">
        <v>40</v>
      </c>
      <c r="C35" s="366"/>
      <c r="D35" s="355">
        <f>'Water Charges'!D42</f>
        <v>3.08</v>
      </c>
      <c r="E35" s="355">
        <f>'Water Charges'!E42</f>
        <v>3.87</v>
      </c>
      <c r="F35" s="367"/>
      <c r="G35" s="368"/>
      <c r="H35" s="368"/>
      <c r="I35" s="369" t="s">
        <v>40</v>
      </c>
      <c r="J35" s="369"/>
      <c r="K35" s="355">
        <f>'Wastewater Charges'!E45</f>
        <v>4.4000000000000004</v>
      </c>
      <c r="L35" s="370">
        <f>'Wastewater Charges'!F45</f>
        <v>5.67</v>
      </c>
      <c r="M35" s="367"/>
      <c r="N35" s="160"/>
      <c r="R35" s="159" t="s">
        <v>40</v>
      </c>
      <c r="S35" s="159"/>
      <c r="T35" s="156">
        <v>1.1599999999999999</v>
      </c>
    </row>
    <row r="36" spans="2:36"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R36" s="157"/>
      <c r="S36" s="157"/>
      <c r="T36" s="157"/>
    </row>
    <row r="37" spans="2:36">
      <c r="B37" s="371"/>
      <c r="C37" s="347"/>
      <c r="D37" s="347"/>
      <c r="E37" s="347"/>
      <c r="F37" s="347"/>
      <c r="G37" s="347"/>
      <c r="H37" s="347"/>
      <c r="I37" s="371"/>
      <c r="J37" s="347"/>
      <c r="K37" s="347"/>
      <c r="L37" s="347"/>
      <c r="M37" s="347"/>
      <c r="R37" s="158"/>
      <c r="S37" s="157"/>
      <c r="T37" s="157"/>
    </row>
    <row r="38" spans="2:36">
      <c r="B38" s="344"/>
      <c r="C38" s="344"/>
      <c r="D38" s="344"/>
      <c r="E38" s="344"/>
      <c r="F38" s="344"/>
      <c r="G38" s="347"/>
      <c r="H38" s="347"/>
      <c r="I38" s="363"/>
      <c r="J38" s="347"/>
      <c r="K38" s="347"/>
      <c r="L38" s="347"/>
      <c r="M38" s="347"/>
      <c r="R38" s="166"/>
      <c r="S38" s="157"/>
      <c r="T38" s="157"/>
    </row>
    <row r="39" spans="2:36">
      <c r="B39" s="344" t="s">
        <v>178</v>
      </c>
      <c r="C39" s="344"/>
      <c r="D39" s="344" t="str">
        <f>Inputs!$C$4</f>
        <v>FY 2025</v>
      </c>
      <c r="E39" s="344" t="str">
        <f>Inputs!$D$4</f>
        <v>FY 2026</v>
      </c>
      <c r="F39" s="344" t="str">
        <f>Inputs!$E$4</f>
        <v>FY 2027</v>
      </c>
      <c r="G39" s="347"/>
      <c r="H39" s="347"/>
      <c r="I39" s="363"/>
      <c r="J39" s="347"/>
      <c r="K39" s="347"/>
      <c r="L39" s="347"/>
      <c r="M39" s="347"/>
      <c r="R39" s="166"/>
      <c r="S39" s="157"/>
      <c r="T39" s="157"/>
    </row>
    <row r="40" spans="2:36">
      <c r="B40" s="364" t="s">
        <v>209</v>
      </c>
      <c r="C40" s="364"/>
      <c r="D40" s="364"/>
      <c r="E40" s="364"/>
      <c r="F40" s="364"/>
      <c r="G40" s="347"/>
      <c r="H40" s="347"/>
      <c r="I40" s="363"/>
      <c r="J40" s="347"/>
      <c r="K40" s="347"/>
      <c r="L40" s="347"/>
      <c r="M40" s="347"/>
      <c r="R40" s="166"/>
      <c r="S40" s="157"/>
      <c r="T40" s="157"/>
    </row>
    <row r="41" spans="2:36">
      <c r="B41" s="331" t="s">
        <v>188</v>
      </c>
      <c r="C41" s="347"/>
      <c r="D41" s="347"/>
      <c r="E41" s="347"/>
      <c r="F41" s="347"/>
      <c r="G41" s="347"/>
      <c r="H41" s="347"/>
      <c r="I41" s="363"/>
      <c r="J41" s="347"/>
      <c r="K41" s="347"/>
      <c r="L41" s="347"/>
      <c r="M41" s="347"/>
      <c r="R41" s="166"/>
      <c r="S41" s="157"/>
      <c r="T41" s="157"/>
    </row>
    <row r="42" spans="2:36">
      <c r="B42" s="372" t="s">
        <v>161</v>
      </c>
      <c r="C42" s="349"/>
      <c r="D42" s="350">
        <f>'Water Charges'!D68</f>
        <v>28.06</v>
      </c>
      <c r="E42" s="350">
        <f>'Water Charges'!E68</f>
        <v>33.880000000000003</v>
      </c>
      <c r="F42" s="350">
        <f>'Water Charges'!F68</f>
        <v>39.380000000000003</v>
      </c>
      <c r="G42" s="347"/>
      <c r="H42" s="347"/>
      <c r="I42" s="363"/>
      <c r="J42" s="347"/>
      <c r="K42" s="347"/>
      <c r="L42" s="347"/>
      <c r="M42" s="347"/>
      <c r="R42" s="166"/>
      <c r="S42" s="157"/>
      <c r="T42" s="157"/>
    </row>
    <row r="43" spans="2:36">
      <c r="B43" s="372">
        <v>6</v>
      </c>
      <c r="C43" s="349"/>
      <c r="D43" s="350">
        <f>'Water Charges'!D69</f>
        <v>52.02</v>
      </c>
      <c r="E43" s="350">
        <f>'Water Charges'!E69</f>
        <v>63.64</v>
      </c>
      <c r="F43" s="350">
        <f>'Water Charges'!F69</f>
        <v>74.48</v>
      </c>
      <c r="G43" s="347"/>
      <c r="H43" s="347"/>
      <c r="I43" s="363"/>
      <c r="J43" s="347"/>
      <c r="K43" s="347"/>
      <c r="L43" s="347"/>
      <c r="M43" s="347"/>
      <c r="R43" s="166"/>
      <c r="S43" s="157"/>
      <c r="T43" s="157"/>
    </row>
    <row r="44" spans="2:36">
      <c r="B44" s="372">
        <v>8</v>
      </c>
      <c r="C44" s="349"/>
      <c r="D44" s="350">
        <f>'Water Charges'!D70</f>
        <v>78.31</v>
      </c>
      <c r="E44" s="350">
        <f>'Water Charges'!E70</f>
        <v>96.9</v>
      </c>
      <c r="F44" s="350">
        <f>'Water Charges'!F70</f>
        <v>114.06</v>
      </c>
      <c r="G44" s="347"/>
      <c r="H44" s="347"/>
      <c r="I44" s="363"/>
      <c r="J44" s="347"/>
      <c r="K44" s="347"/>
      <c r="L44" s="347"/>
      <c r="M44" s="347"/>
      <c r="R44" s="166"/>
      <c r="S44" s="157"/>
      <c r="T44" s="157"/>
    </row>
    <row r="45" spans="2:36">
      <c r="B45" s="372">
        <v>10</v>
      </c>
      <c r="C45" s="349"/>
      <c r="D45" s="350">
        <f>'Water Charges'!D71</f>
        <v>115.13</v>
      </c>
      <c r="E45" s="350">
        <f>'Water Charges'!E71</f>
        <v>141.86000000000001</v>
      </c>
      <c r="F45" s="350">
        <f>'Water Charges'!F71</f>
        <v>166.62</v>
      </c>
      <c r="G45" s="347"/>
      <c r="H45" s="347"/>
      <c r="I45" s="363"/>
      <c r="J45" s="347"/>
      <c r="K45" s="347"/>
      <c r="L45" s="347"/>
      <c r="M45" s="347"/>
      <c r="R45" s="166"/>
      <c r="S45" s="157"/>
      <c r="T45" s="157"/>
    </row>
    <row r="46" spans="2:36" ht="15" thickBot="1">
      <c r="B46" s="373">
        <v>12</v>
      </c>
      <c r="C46" s="354"/>
      <c r="D46" s="355">
        <f>'Water Charges'!D72</f>
        <v>182.34</v>
      </c>
      <c r="E46" s="355">
        <f>'Water Charges'!E72</f>
        <v>232.14</v>
      </c>
      <c r="F46" s="355">
        <f>'Water Charges'!F72</f>
        <v>277.14999999999998</v>
      </c>
      <c r="G46" s="347"/>
      <c r="H46" s="347"/>
      <c r="I46" s="363"/>
      <c r="J46" s="347"/>
      <c r="K46" s="347"/>
      <c r="L46" s="347"/>
      <c r="M46" s="347"/>
      <c r="R46" s="166"/>
      <c r="S46" s="157"/>
      <c r="T46" s="157"/>
    </row>
    <row r="47" spans="2:36">
      <c r="B47" s="342"/>
      <c r="C47" s="332"/>
      <c r="D47" s="332"/>
      <c r="E47" s="332"/>
      <c r="F47" s="332"/>
      <c r="G47" s="347"/>
      <c r="H47" s="347"/>
      <c r="I47" s="363"/>
      <c r="J47" s="347"/>
      <c r="K47" s="347"/>
      <c r="L47" s="347"/>
      <c r="M47" s="347"/>
      <c r="R47" s="166"/>
      <c r="S47" s="157"/>
      <c r="T47" s="157"/>
    </row>
    <row r="48" spans="2:36">
      <c r="B48" s="364" t="s">
        <v>210</v>
      </c>
      <c r="C48" s="364"/>
      <c r="D48" s="364"/>
      <c r="E48" s="364"/>
      <c r="F48" s="364"/>
      <c r="G48" s="347"/>
      <c r="H48" s="347"/>
      <c r="I48" s="363"/>
      <c r="J48" s="347"/>
      <c r="K48" s="347"/>
      <c r="L48" s="347"/>
      <c r="M48" s="347"/>
      <c r="R48" s="166"/>
      <c r="S48" s="157"/>
      <c r="T48" s="157"/>
    </row>
    <row r="49" spans="2:20">
      <c r="B49" s="347"/>
      <c r="C49" s="347"/>
      <c r="D49" s="347"/>
      <c r="E49" s="347"/>
      <c r="F49" s="347"/>
      <c r="G49" s="347"/>
      <c r="H49" s="347"/>
      <c r="I49" s="363"/>
      <c r="J49" s="347"/>
      <c r="K49" s="347"/>
      <c r="L49" s="347"/>
      <c r="M49" s="347"/>
      <c r="R49" s="166"/>
      <c r="S49" s="157"/>
      <c r="T49" s="157"/>
    </row>
    <row r="50" spans="2:20" ht="15" thickBot="1">
      <c r="B50" s="374" t="s">
        <v>164</v>
      </c>
      <c r="C50" s="374"/>
      <c r="D50" s="374">
        <f>'Water Charges'!D81</f>
        <v>8248000</v>
      </c>
      <c r="E50" s="374">
        <f>'Water Charges'!E81</f>
        <v>10786000</v>
      </c>
      <c r="F50" s="374">
        <f>'Water Charges'!F81</f>
        <v>13786000</v>
      </c>
      <c r="G50" s="347"/>
      <c r="H50" s="347"/>
      <c r="I50" s="363"/>
      <c r="J50" s="347"/>
      <c r="K50" s="347"/>
      <c r="L50" s="347"/>
      <c r="M50" s="347"/>
      <c r="R50" s="166"/>
      <c r="S50" s="157"/>
      <c r="T50" s="157"/>
    </row>
    <row r="51" spans="2:20">
      <c r="B51" s="375"/>
      <c r="C51" s="375"/>
      <c r="D51" s="375"/>
      <c r="E51" s="375"/>
      <c r="F51" s="375"/>
      <c r="G51" s="376"/>
      <c r="H51" s="376"/>
      <c r="I51" s="376"/>
      <c r="J51" s="376"/>
      <c r="K51" s="376"/>
      <c r="L51" s="376"/>
      <c r="M51" s="376"/>
      <c r="R51" s="186"/>
      <c r="S51" s="186"/>
      <c r="T51" s="186"/>
    </row>
    <row r="52" spans="2:20">
      <c r="B52" s="377" t="s">
        <v>211</v>
      </c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R52" s="187"/>
      <c r="S52" s="187"/>
      <c r="T52" s="187"/>
    </row>
    <row r="53" spans="2:20">
      <c r="B53" s="344"/>
      <c r="C53" s="344"/>
      <c r="D53" s="344"/>
      <c r="E53" s="344"/>
      <c r="F53" s="344"/>
      <c r="G53" s="347"/>
      <c r="H53" s="347"/>
      <c r="I53" s="344"/>
      <c r="J53" s="344"/>
      <c r="K53" s="344"/>
      <c r="L53" s="344"/>
      <c r="M53" s="344"/>
      <c r="R53" s="167"/>
      <c r="S53" s="167"/>
      <c r="T53" s="167"/>
    </row>
    <row r="54" spans="2:20">
      <c r="B54" s="344" t="s">
        <v>178</v>
      </c>
      <c r="C54" s="344"/>
      <c r="D54" s="344" t="str">
        <f>Inputs!$C$4</f>
        <v>FY 2025</v>
      </c>
      <c r="E54" s="344" t="str">
        <f>Inputs!$D$4</f>
        <v>FY 2026</v>
      </c>
      <c r="F54" s="344" t="str">
        <f>Inputs!$E$4</f>
        <v>FY 2027</v>
      </c>
      <c r="G54" s="347"/>
      <c r="H54" s="347"/>
      <c r="I54" s="344" t="s">
        <v>178</v>
      </c>
      <c r="J54" s="344"/>
      <c r="K54" s="344" t="str">
        <f>Inputs!$C$4</f>
        <v>FY 2025</v>
      </c>
      <c r="L54" s="344" t="str">
        <f>Inputs!$D$4</f>
        <v>FY 2026</v>
      </c>
      <c r="M54" s="344" t="str">
        <f>Inputs!$E$4</f>
        <v>FY 2027</v>
      </c>
      <c r="R54" s="167" t="s">
        <v>178</v>
      </c>
      <c r="S54" s="167"/>
      <c r="T54" s="167" t="s">
        <v>196</v>
      </c>
    </row>
    <row r="55" spans="2:20">
      <c r="B55" s="364" t="s">
        <v>169</v>
      </c>
      <c r="C55" s="364"/>
      <c r="D55" s="364"/>
      <c r="E55" s="364"/>
      <c r="F55" s="364"/>
      <c r="G55" s="347"/>
      <c r="H55" s="347"/>
      <c r="I55" s="378" t="s">
        <v>170</v>
      </c>
      <c r="J55" s="378"/>
      <c r="K55" s="378"/>
      <c r="L55" s="378"/>
      <c r="M55" s="378"/>
      <c r="R55" s="150" t="s">
        <v>170</v>
      </c>
      <c r="S55" s="150"/>
      <c r="T55" s="150"/>
    </row>
    <row r="56" spans="2:20">
      <c r="B56" s="331" t="s">
        <v>188</v>
      </c>
      <c r="C56" s="347"/>
      <c r="D56" s="347"/>
      <c r="E56" s="347"/>
      <c r="F56" s="347"/>
      <c r="G56" s="347"/>
      <c r="H56" s="347"/>
      <c r="I56" s="331" t="s">
        <v>188</v>
      </c>
      <c r="J56" s="347"/>
      <c r="K56" s="347"/>
      <c r="L56" s="347"/>
      <c r="M56" s="347"/>
      <c r="R56" s="153" t="s">
        <v>188</v>
      </c>
      <c r="S56" s="157"/>
      <c r="T56" s="157"/>
    </row>
    <row r="57" spans="2:20">
      <c r="B57" s="379" t="str">
        <f>'Water Charges'!B103</f>
        <v>3/4</v>
      </c>
      <c r="C57" s="347"/>
      <c r="D57" s="380">
        <f>'Water Charges'!D103</f>
        <v>9.27</v>
      </c>
      <c r="E57" s="380">
        <f>'Water Charges'!E103</f>
        <v>12.329999999999998</v>
      </c>
      <c r="F57" s="380">
        <f>'Water Charges'!F103</f>
        <v>14.16</v>
      </c>
      <c r="G57" s="347"/>
      <c r="H57" s="347"/>
      <c r="I57" s="379" t="str">
        <f>B57</f>
        <v>3/4</v>
      </c>
      <c r="J57" s="347"/>
      <c r="K57" s="380">
        <f>'Water Charges'!D109</f>
        <v>7.64</v>
      </c>
      <c r="L57" s="380">
        <f>'Water Charges'!E109</f>
        <v>8.2200000000000006</v>
      </c>
      <c r="M57" s="380">
        <f>'Water Charges'!F109</f>
        <v>8.84</v>
      </c>
      <c r="R57" s="161" t="s">
        <v>44</v>
      </c>
      <c r="S57" s="157"/>
      <c r="T57" s="162">
        <v>7.01</v>
      </c>
    </row>
    <row r="58" spans="2:20">
      <c r="B58" s="379">
        <f>'Water Charges'!B104</f>
        <v>1</v>
      </c>
      <c r="C58" s="347"/>
      <c r="D58" s="380">
        <f>'Water Charges'!D104</f>
        <v>10.76</v>
      </c>
      <c r="E58" s="380">
        <f>'Water Charges'!E104</f>
        <v>14.69</v>
      </c>
      <c r="F58" s="380">
        <f>'Water Charges'!F104</f>
        <v>16.63</v>
      </c>
      <c r="G58" s="347"/>
      <c r="H58" s="347"/>
      <c r="I58" s="379">
        <f>B58</f>
        <v>1</v>
      </c>
      <c r="J58" s="347"/>
      <c r="K58" s="380">
        <f>'Water Charges'!D110</f>
        <v>7.64</v>
      </c>
      <c r="L58" s="380">
        <f>'Water Charges'!E110</f>
        <v>8.2200000000000006</v>
      </c>
      <c r="M58" s="380">
        <f>'Water Charges'!F110</f>
        <v>8.84</v>
      </c>
      <c r="R58" s="161">
        <v>1</v>
      </c>
      <c r="S58" s="157"/>
      <c r="T58" s="162">
        <v>7.01</v>
      </c>
    </row>
    <row r="59" spans="2:20">
      <c r="B59" s="379" t="str">
        <f>'Water Charges'!B105</f>
        <v>1-1/2</v>
      </c>
      <c r="C59" s="347"/>
      <c r="D59" s="380">
        <f>'Water Charges'!D105</f>
        <v>13.86</v>
      </c>
      <c r="E59" s="380">
        <f>'Water Charges'!E105</f>
        <v>20</v>
      </c>
      <c r="F59" s="380">
        <f>'Water Charges'!F105</f>
        <v>22.18</v>
      </c>
      <c r="G59" s="347"/>
      <c r="H59" s="347"/>
      <c r="I59" s="379" t="str">
        <f>B59</f>
        <v>1-1/2</v>
      </c>
      <c r="J59" s="347"/>
      <c r="K59" s="380">
        <f>'Water Charges'!D112</f>
        <v>7.64</v>
      </c>
      <c r="L59" s="380">
        <f>'Water Charges'!E112</f>
        <v>8.2200000000000006</v>
      </c>
      <c r="M59" s="380">
        <f>'Water Charges'!F112</f>
        <v>8.84</v>
      </c>
      <c r="R59" s="161" t="s">
        <v>53</v>
      </c>
      <c r="S59" s="157"/>
      <c r="T59" s="162">
        <v>7.01</v>
      </c>
    </row>
    <row r="60" spans="2:20" ht="15" thickBot="1">
      <c r="B60" s="381">
        <f>'Water Charges'!B106</f>
        <v>2</v>
      </c>
      <c r="C60" s="382"/>
      <c r="D60" s="383">
        <f>'Water Charges'!D106</f>
        <v>18.32</v>
      </c>
      <c r="E60" s="383">
        <f>'Water Charges'!E106</f>
        <v>27.12</v>
      </c>
      <c r="F60" s="383">
        <f>'Water Charges'!F106</f>
        <v>29.6</v>
      </c>
      <c r="G60" s="347"/>
      <c r="H60" s="347"/>
      <c r="I60" s="381">
        <f>B60</f>
        <v>2</v>
      </c>
      <c r="J60" s="382"/>
      <c r="K60" s="383">
        <f>'Water Charges'!D113</f>
        <v>7.64</v>
      </c>
      <c r="L60" s="383">
        <f>'Water Charges'!E113</f>
        <v>8.2200000000000006</v>
      </c>
      <c r="M60" s="383">
        <f>'Water Charges'!F113</f>
        <v>8.84</v>
      </c>
      <c r="R60" s="163">
        <v>2</v>
      </c>
      <c r="S60" s="164"/>
      <c r="T60" s="165">
        <v>7.01</v>
      </c>
    </row>
    <row r="61" spans="2:20">
      <c r="B61" s="363" t="s">
        <v>212</v>
      </c>
      <c r="C61" s="347"/>
      <c r="D61" s="380"/>
      <c r="E61" s="380"/>
      <c r="F61" s="380"/>
      <c r="G61" s="347"/>
      <c r="H61" s="347"/>
      <c r="I61" s="363"/>
      <c r="J61" s="347"/>
      <c r="K61" s="347"/>
      <c r="L61" s="347"/>
      <c r="M61" s="347"/>
      <c r="R61" s="166"/>
      <c r="S61" s="157"/>
      <c r="T61" s="157"/>
    </row>
    <row r="62" spans="2:20">
      <c r="B62" s="363" t="s">
        <v>213</v>
      </c>
      <c r="C62" s="347"/>
      <c r="D62" s="380"/>
      <c r="E62" s="380"/>
      <c r="F62" s="380"/>
      <c r="G62" s="347"/>
      <c r="H62" s="347"/>
      <c r="I62" s="330" t="s">
        <v>187</v>
      </c>
      <c r="J62" s="330"/>
      <c r="K62" s="330"/>
      <c r="L62" s="330"/>
      <c r="M62" s="330"/>
    </row>
    <row r="63" spans="2:20">
      <c r="B63" s="363" t="s">
        <v>214</v>
      </c>
      <c r="C63" s="347"/>
      <c r="D63" s="380"/>
      <c r="E63" s="380"/>
      <c r="F63" s="380"/>
      <c r="G63" s="347"/>
      <c r="H63" s="347"/>
      <c r="I63" s="346" t="s">
        <v>189</v>
      </c>
      <c r="J63" s="347"/>
      <c r="K63" s="347"/>
      <c r="L63" s="347"/>
      <c r="M63" s="347"/>
    </row>
    <row r="64" spans="2:20" ht="15" customHeight="1">
      <c r="B64" s="363" t="s">
        <v>215</v>
      </c>
      <c r="C64" s="347"/>
      <c r="D64" s="380"/>
      <c r="E64" s="380"/>
      <c r="F64" s="380"/>
      <c r="G64" s="347"/>
      <c r="H64" s="347"/>
      <c r="I64" s="384" t="s">
        <v>127</v>
      </c>
      <c r="J64" s="347"/>
      <c r="K64" s="385">
        <f>'Wastewater Charges'!O15</f>
        <v>18.47</v>
      </c>
      <c r="L64" s="385">
        <f>'Wastewater Charges'!P15</f>
        <v>19.318201876441616</v>
      </c>
      <c r="M64" s="385">
        <f>'Wastewater Charges'!Q15</f>
        <v>21.27</v>
      </c>
    </row>
    <row r="65" spans="2:14" ht="5.15" customHeight="1">
      <c r="B65" s="363"/>
      <c r="C65" s="347"/>
      <c r="D65" s="380"/>
      <c r="E65" s="380"/>
      <c r="F65" s="380"/>
      <c r="G65" s="347"/>
      <c r="H65" s="347"/>
      <c r="I65" s="384"/>
      <c r="J65" s="347"/>
      <c r="K65" s="386"/>
      <c r="L65" s="386"/>
      <c r="M65" s="386"/>
    </row>
    <row r="66" spans="2:14">
      <c r="B66" s="363" t="s">
        <v>147</v>
      </c>
      <c r="C66" s="347"/>
      <c r="D66" s="380"/>
      <c r="E66" s="380"/>
      <c r="F66" s="380"/>
      <c r="G66" s="347"/>
      <c r="H66" s="347"/>
      <c r="I66" s="387" t="s">
        <v>190</v>
      </c>
      <c r="J66" s="347"/>
      <c r="K66" s="386"/>
      <c r="L66" s="386"/>
      <c r="M66" s="386"/>
    </row>
    <row r="67" spans="2:14" ht="15" customHeight="1" thickBot="1">
      <c r="B67" s="363"/>
      <c r="C67" s="347"/>
      <c r="D67" s="380"/>
      <c r="E67" s="380"/>
      <c r="F67" s="380"/>
      <c r="G67" s="347"/>
      <c r="H67" s="347"/>
      <c r="I67" s="388" t="s">
        <v>191</v>
      </c>
      <c r="J67" s="382"/>
      <c r="K67" s="389">
        <f>'Wastewater Charges'!O24</f>
        <v>1.94</v>
      </c>
      <c r="L67" s="389">
        <f>'Wastewater Charges'!P24</f>
        <v>2.0560392241002163</v>
      </c>
      <c r="M67" s="389">
        <f>'Wastewater Charges'!Q24</f>
        <v>2.2200000000000002</v>
      </c>
    </row>
    <row r="68" spans="2:14" ht="5.15" customHeight="1">
      <c r="B68" s="363"/>
      <c r="C68" s="347"/>
      <c r="D68" s="380"/>
      <c r="E68" s="380"/>
      <c r="F68" s="380"/>
      <c r="G68" s="347"/>
      <c r="H68" s="347"/>
      <c r="I68" s="363"/>
      <c r="J68" s="347"/>
      <c r="K68" s="380"/>
      <c r="L68" s="380"/>
      <c r="M68" s="380"/>
    </row>
    <row r="69" spans="2:14">
      <c r="B69" s="363"/>
      <c r="C69" s="347"/>
      <c r="D69" s="380"/>
      <c r="E69" s="380"/>
      <c r="F69" s="380"/>
      <c r="G69" s="347"/>
      <c r="H69" s="347"/>
      <c r="I69" s="330" t="s">
        <v>192</v>
      </c>
      <c r="J69" s="330"/>
      <c r="K69" s="330"/>
      <c r="L69" s="330"/>
      <c r="M69" s="330"/>
    </row>
    <row r="70" spans="2:14" ht="15" customHeight="1">
      <c r="B70" s="363"/>
      <c r="C70" s="347"/>
      <c r="D70" s="380"/>
      <c r="E70" s="380"/>
      <c r="F70" s="380"/>
      <c r="G70" s="347"/>
      <c r="H70" s="347"/>
      <c r="I70" s="346" t="s">
        <v>189</v>
      </c>
      <c r="J70" s="347"/>
      <c r="K70" s="347"/>
      <c r="L70" s="347"/>
      <c r="M70" s="347"/>
    </row>
    <row r="71" spans="2:14" ht="15" customHeight="1">
      <c r="B71" s="363"/>
      <c r="C71" s="347"/>
      <c r="D71" s="380"/>
      <c r="E71" s="380"/>
      <c r="F71" s="380"/>
      <c r="G71" s="347"/>
      <c r="H71" s="347"/>
      <c r="I71" s="384" t="s">
        <v>193</v>
      </c>
      <c r="J71" s="347" t="s">
        <v>194</v>
      </c>
      <c r="K71" s="390">
        <f>'Wastewater Charges'!W17</f>
        <v>0.86199999999999999</v>
      </c>
      <c r="L71" s="390">
        <f>'Wastewater Charges'!X17</f>
        <v>0.92735935837020189</v>
      </c>
      <c r="M71" s="390">
        <f>'Wastewater Charges'!Y17</f>
        <v>1.0209999999999999</v>
      </c>
    </row>
    <row r="72" spans="2:14" ht="15" customHeight="1">
      <c r="B72" s="363"/>
      <c r="C72" s="347"/>
      <c r="D72" s="380"/>
      <c r="E72" s="380"/>
      <c r="F72" s="380"/>
      <c r="G72" s="347"/>
      <c r="H72" s="347"/>
      <c r="I72" s="384" t="s">
        <v>195</v>
      </c>
      <c r="J72" s="347" t="s">
        <v>194</v>
      </c>
      <c r="K72" s="390">
        <f>'Wastewater Charges'!W18</f>
        <v>6.3090000000000002</v>
      </c>
      <c r="L72" s="390">
        <f>'Wastewater Charges'!X18</f>
        <v>6.5193577064177699</v>
      </c>
      <c r="M72" s="390">
        <f>'Wastewater Charges'!Y18</f>
        <v>7.1760000000000002</v>
      </c>
    </row>
    <row r="73" spans="2:14" ht="5.15" customHeight="1">
      <c r="B73" s="363"/>
      <c r="C73" s="347"/>
      <c r="D73" s="380"/>
      <c r="E73" s="380"/>
      <c r="F73" s="380"/>
      <c r="G73" s="347"/>
      <c r="H73" s="347"/>
      <c r="I73" s="384"/>
      <c r="J73" s="347"/>
      <c r="K73" s="386"/>
      <c r="L73" s="386"/>
      <c r="M73" s="386"/>
    </row>
    <row r="74" spans="2:14" ht="15" customHeight="1">
      <c r="B74" s="363"/>
      <c r="C74" s="347"/>
      <c r="D74" s="380"/>
      <c r="E74" s="380"/>
      <c r="F74" s="380"/>
      <c r="G74" s="347"/>
      <c r="H74" s="347"/>
      <c r="I74" s="387" t="s">
        <v>190</v>
      </c>
      <c r="J74" s="347"/>
      <c r="K74" s="386"/>
      <c r="L74" s="386"/>
      <c r="M74" s="386"/>
    </row>
    <row r="75" spans="2:14" ht="15" customHeight="1" thickBot="1">
      <c r="B75" s="363"/>
      <c r="C75" s="347"/>
      <c r="D75" s="380"/>
      <c r="E75" s="380"/>
      <c r="F75" s="380"/>
      <c r="G75" s="347"/>
      <c r="H75" s="347"/>
      <c r="I75" s="388" t="s">
        <v>191</v>
      </c>
      <c r="J75" s="382"/>
      <c r="K75" s="389">
        <f>'Wastewater Charges'!W27</f>
        <v>2.52</v>
      </c>
      <c r="L75" s="389">
        <f>'Wastewater Charges'!X27</f>
        <v>2.6728509913302814</v>
      </c>
      <c r="M75" s="389">
        <f>'Wastewater Charges'!Y27</f>
        <v>2.89</v>
      </c>
    </row>
    <row r="76" spans="2:14" ht="5.15" customHeight="1">
      <c r="B76" s="363"/>
      <c r="C76" s="347"/>
      <c r="D76" s="380"/>
      <c r="E76" s="380"/>
      <c r="F76" s="380"/>
      <c r="G76" s="347"/>
      <c r="H76" s="347"/>
      <c r="I76" s="363"/>
      <c r="J76" s="347"/>
      <c r="K76" s="347"/>
      <c r="L76" s="347"/>
      <c r="M76" s="347"/>
    </row>
    <row r="77" spans="2:14">
      <c r="B77" s="347" t="s">
        <v>105</v>
      </c>
      <c r="C77" s="347"/>
      <c r="D77" s="391"/>
      <c r="E77" s="391"/>
      <c r="F77" s="391"/>
      <c r="G77" s="392"/>
      <c r="H77" s="392"/>
      <c r="I77" s="392"/>
      <c r="J77" s="392"/>
      <c r="K77" s="392"/>
      <c r="L77" s="392"/>
      <c r="M77" s="392"/>
      <c r="N77" s="188"/>
    </row>
    <row r="78" spans="2:14">
      <c r="B78" s="363" t="s">
        <v>216</v>
      </c>
      <c r="C78" s="347"/>
      <c r="D78" s="391"/>
      <c r="E78" s="391"/>
      <c r="F78" s="391"/>
      <c r="G78" s="392"/>
      <c r="H78" s="392"/>
      <c r="I78" s="392"/>
      <c r="J78" s="392"/>
      <c r="K78" s="392"/>
      <c r="L78" s="392"/>
      <c r="M78" s="392"/>
      <c r="N78" s="188"/>
    </row>
    <row r="79" spans="2:14">
      <c r="B79" s="363" t="s">
        <v>201</v>
      </c>
      <c r="C79" s="347"/>
      <c r="D79" s="391"/>
      <c r="E79" s="391"/>
      <c r="F79" s="391"/>
      <c r="G79" s="392"/>
      <c r="H79" s="392"/>
      <c r="I79" s="392"/>
      <c r="J79" s="392"/>
      <c r="K79" s="392"/>
      <c r="L79" s="392"/>
      <c r="M79" s="392"/>
      <c r="N79" s="188"/>
    </row>
    <row r="80" spans="2:14">
      <c r="B80" s="363" t="s">
        <v>217</v>
      </c>
      <c r="C80" s="347"/>
      <c r="D80" s="391"/>
      <c r="E80" s="391"/>
      <c r="F80" s="391"/>
      <c r="G80" s="392"/>
      <c r="H80" s="392"/>
      <c r="I80" s="392"/>
      <c r="J80" s="392"/>
      <c r="K80" s="392"/>
      <c r="L80" s="392"/>
      <c r="M80" s="392"/>
      <c r="N80" s="188"/>
    </row>
    <row r="81" spans="1:18">
      <c r="B81" s="363" t="s">
        <v>205</v>
      </c>
      <c r="C81" s="347"/>
      <c r="D81" s="391"/>
      <c r="E81" s="391"/>
      <c r="F81" s="391"/>
      <c r="G81" s="392"/>
      <c r="H81" s="392"/>
      <c r="I81" s="392"/>
      <c r="J81" s="392"/>
      <c r="K81" s="392"/>
      <c r="L81" s="392"/>
      <c r="M81" s="392"/>
      <c r="N81" s="188"/>
    </row>
    <row r="82" spans="1:18" ht="5.15" customHeight="1">
      <c r="B82" s="407"/>
      <c r="C82" s="404"/>
      <c r="D82" s="408"/>
      <c r="E82" s="408"/>
      <c r="F82" s="408"/>
      <c r="G82" s="409"/>
      <c r="H82" s="409"/>
      <c r="I82" s="409"/>
      <c r="J82" s="409"/>
      <c r="K82" s="409"/>
      <c r="L82" s="409"/>
      <c r="M82" s="409"/>
      <c r="N82" s="188"/>
    </row>
    <row r="83" spans="1:18" hidden="1">
      <c r="B83" s="405" t="s">
        <v>146</v>
      </c>
      <c r="C83" s="404"/>
      <c r="D83" s="404"/>
      <c r="E83" s="404"/>
      <c r="F83" s="404"/>
      <c r="G83" s="404"/>
      <c r="H83" s="404"/>
      <c r="I83" s="405" t="s">
        <v>212</v>
      </c>
      <c r="J83" s="404"/>
      <c r="K83" s="404"/>
      <c r="L83" s="404"/>
      <c r="M83" s="404"/>
    </row>
    <row r="84" spans="1:18" hidden="1">
      <c r="B84" s="405"/>
      <c r="C84" s="404"/>
      <c r="D84" s="410"/>
      <c r="E84" s="410"/>
      <c r="F84" s="410"/>
      <c r="G84" s="410"/>
      <c r="H84" s="410"/>
      <c r="I84" s="405" t="s">
        <v>213</v>
      </c>
      <c r="J84" s="410"/>
      <c r="K84" s="410"/>
      <c r="L84" s="410"/>
      <c r="M84" s="410"/>
      <c r="N84" s="190"/>
    </row>
    <row r="85" spans="1:18" hidden="1">
      <c r="B85" s="405"/>
      <c r="C85" s="404"/>
      <c r="D85" s="410"/>
      <c r="E85" s="410"/>
      <c r="F85" s="410"/>
      <c r="G85" s="410"/>
      <c r="H85" s="410"/>
      <c r="I85" s="405" t="s">
        <v>214</v>
      </c>
      <c r="J85" s="410"/>
      <c r="K85" s="410"/>
      <c r="L85" s="410"/>
      <c r="M85" s="410"/>
      <c r="N85" s="190"/>
    </row>
    <row r="86" spans="1:18" hidden="1">
      <c r="B86" s="405"/>
      <c r="C86" s="404"/>
      <c r="D86" s="410"/>
      <c r="E86" s="410"/>
      <c r="F86" s="410"/>
      <c r="G86" s="410"/>
      <c r="H86" s="410"/>
      <c r="I86" s="405" t="s">
        <v>215</v>
      </c>
      <c r="J86" s="410"/>
      <c r="K86" s="410"/>
      <c r="L86" s="410"/>
      <c r="M86" s="410"/>
      <c r="N86" s="190"/>
    </row>
    <row r="87" spans="1:18" hidden="1">
      <c r="B87" s="405"/>
      <c r="C87" s="404"/>
      <c r="D87" s="410"/>
      <c r="E87" s="410"/>
      <c r="F87" s="410"/>
      <c r="G87" s="410"/>
      <c r="H87" s="410"/>
      <c r="I87" s="405" t="s">
        <v>147</v>
      </c>
      <c r="J87" s="410"/>
      <c r="K87" s="410"/>
      <c r="L87" s="410"/>
      <c r="M87" s="410"/>
      <c r="N87" s="190"/>
    </row>
    <row r="88" spans="1:18" hidden="1">
      <c r="B88" s="404"/>
      <c r="C88" s="404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190"/>
    </row>
    <row r="89" spans="1:18">
      <c r="D89" s="190"/>
      <c r="E89" s="190"/>
      <c r="F89" s="190"/>
      <c r="G89" s="189"/>
      <c r="H89" s="189"/>
      <c r="I89" s="190"/>
      <c r="J89" s="190"/>
      <c r="K89" s="190"/>
      <c r="L89" s="190"/>
      <c r="M89" s="190"/>
      <c r="N89" s="190"/>
    </row>
    <row r="91" spans="1:18">
      <c r="A91" s="191"/>
    </row>
    <row r="92" spans="1:18">
      <c r="B92" s="192"/>
      <c r="E92" s="182"/>
      <c r="F92" s="182"/>
      <c r="G92" s="154"/>
      <c r="H92" s="154"/>
      <c r="I92" s="182"/>
      <c r="J92" s="182"/>
      <c r="K92" s="182"/>
      <c r="L92" s="182"/>
      <c r="M92" s="182"/>
      <c r="N92" s="182"/>
      <c r="Q92" s="193"/>
      <c r="R92" s="182"/>
    </row>
    <row r="93" spans="1:18">
      <c r="B93" s="192"/>
      <c r="D93" s="190"/>
      <c r="E93" s="182"/>
      <c r="F93" s="182"/>
      <c r="G93" s="154"/>
      <c r="H93" s="154"/>
      <c r="I93" s="182"/>
      <c r="J93" s="182"/>
      <c r="K93" s="182"/>
      <c r="L93" s="182"/>
      <c r="M93" s="182"/>
      <c r="N93" s="182"/>
      <c r="Q93" s="193"/>
      <c r="R93" s="182"/>
    </row>
    <row r="94" spans="1:18">
      <c r="B94" s="192"/>
      <c r="E94" s="182"/>
      <c r="F94" s="182"/>
      <c r="G94" s="154"/>
      <c r="H94" s="154"/>
      <c r="I94" s="182"/>
      <c r="J94" s="182"/>
      <c r="K94" s="182"/>
      <c r="L94" s="182"/>
      <c r="M94" s="182"/>
      <c r="N94" s="182"/>
      <c r="Q94" s="193"/>
      <c r="R94" s="182"/>
    </row>
    <row r="95" spans="1:18">
      <c r="B95" s="192"/>
      <c r="Q95" s="193"/>
      <c r="R95" s="182"/>
    </row>
    <row r="96" spans="1:18">
      <c r="B96" s="192"/>
      <c r="Q96" s="193"/>
      <c r="R96" s="182"/>
    </row>
    <row r="99" spans="1:14">
      <c r="A99" s="191"/>
    </row>
    <row r="100" spans="1:14">
      <c r="A100" s="191"/>
      <c r="E100" s="193"/>
      <c r="F100" s="193"/>
      <c r="G100" s="194"/>
      <c r="H100" s="194"/>
      <c r="I100" s="193"/>
      <c r="J100" s="193"/>
      <c r="K100" s="193"/>
      <c r="L100" s="193"/>
      <c r="M100" s="193"/>
      <c r="N100" s="193"/>
    </row>
    <row r="101" spans="1:14">
      <c r="A101" s="191"/>
      <c r="E101" s="193"/>
      <c r="F101" s="193"/>
      <c r="G101" s="194"/>
      <c r="H101" s="194"/>
      <c r="I101" s="193"/>
      <c r="J101" s="193"/>
      <c r="K101" s="193"/>
      <c r="L101" s="193"/>
      <c r="M101" s="193"/>
      <c r="N101" s="193"/>
    </row>
    <row r="102" spans="1:14">
      <c r="A102" s="191"/>
      <c r="E102" s="182"/>
      <c r="F102" s="182"/>
      <c r="G102" s="154"/>
      <c r="H102" s="154"/>
      <c r="I102" s="182"/>
      <c r="J102" s="182"/>
      <c r="K102" s="182"/>
      <c r="L102" s="182"/>
      <c r="M102" s="182"/>
      <c r="N102" s="182"/>
    </row>
    <row r="103" spans="1:14">
      <c r="A103" s="191"/>
      <c r="E103" s="195"/>
      <c r="F103" s="195"/>
      <c r="G103" s="196"/>
      <c r="H103" s="196"/>
      <c r="I103" s="197"/>
      <c r="J103" s="197"/>
      <c r="K103" s="197"/>
      <c r="L103" s="197"/>
      <c r="M103" s="197"/>
      <c r="N103" s="197"/>
    </row>
    <row r="104" spans="1:14">
      <c r="A104" s="191"/>
      <c r="E104" s="182"/>
      <c r="F104" s="182"/>
      <c r="G104" s="154"/>
      <c r="H104" s="154"/>
      <c r="I104" s="182"/>
      <c r="J104" s="182"/>
      <c r="K104" s="182"/>
      <c r="L104" s="182"/>
      <c r="M104" s="182"/>
      <c r="N104" s="182"/>
    </row>
  </sheetData>
  <mergeCells count="2">
    <mergeCell ref="B2:E2"/>
    <mergeCell ref="P1:T1"/>
  </mergeCells>
  <hyperlinks>
    <hyperlink ref="A1" location="TOC!A1" display="TOC!A1" xr:uid="{00000000-0004-0000-0800-000000000000}"/>
  </hyperlinks>
  <printOptions horizontalCentered="1"/>
  <pageMargins left="0.7" right="0.7" top="0.75" bottom="0.75" header="0.3" footer="0.3"/>
  <pageSetup scale="65" fitToWidth="0" orientation="portrait" r:id="rId1"/>
  <ignoredErrors>
    <ignoredError sqref="B11:B12 R12 AG1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FFFF00"/>
    <pageSetUpPr fitToPage="1"/>
  </sheetPr>
  <dimension ref="A1:AA45"/>
  <sheetViews>
    <sheetView zoomScaleNormal="100" workbookViewId="0"/>
  </sheetViews>
  <sheetFormatPr defaultRowHeight="14"/>
  <cols>
    <col min="2" max="7" width="15.7265625" customWidth="1"/>
    <col min="8" max="8" width="18.81640625" customWidth="1"/>
    <col min="9" max="9" width="15.1796875" customWidth="1"/>
    <col min="10" max="10" width="9.26953125" customWidth="1"/>
    <col min="11" max="13" width="9.1796875" hidden="1" customWidth="1"/>
    <col min="14" max="14" width="6.453125" hidden="1" customWidth="1"/>
    <col min="15" max="27" width="0" hidden="1" customWidth="1"/>
  </cols>
  <sheetData>
    <row r="1" spans="1:27" ht="14.5" thickBot="1">
      <c r="A1" s="239" t="s">
        <v>1</v>
      </c>
    </row>
    <row r="2" spans="1:27" ht="15.5">
      <c r="B2" s="231" t="s">
        <v>218</v>
      </c>
      <c r="C2" s="231"/>
      <c r="D2" s="231"/>
      <c r="E2" s="231"/>
      <c r="F2" s="231"/>
      <c r="G2" s="231"/>
      <c r="H2" s="231"/>
      <c r="I2" s="238"/>
    </row>
    <row r="3" spans="1:27" ht="15.5" hidden="1">
      <c r="B3" s="231"/>
      <c r="C3" s="231"/>
      <c r="D3" s="231"/>
      <c r="E3" s="231"/>
      <c r="F3" s="231"/>
      <c r="G3" s="231"/>
      <c r="H3" s="231"/>
      <c r="I3" s="238"/>
    </row>
    <row r="4" spans="1:27" ht="15.5">
      <c r="B4" s="231" t="s">
        <v>219</v>
      </c>
      <c r="C4" s="231"/>
      <c r="D4" s="231"/>
      <c r="E4" s="231"/>
      <c r="F4" s="231"/>
      <c r="G4" s="231"/>
      <c r="H4" s="231"/>
      <c r="I4" s="238"/>
    </row>
    <row r="5" spans="1:27" ht="15.5">
      <c r="B5" s="231" t="s">
        <v>220</v>
      </c>
      <c r="C5" s="231"/>
      <c r="D5" s="231"/>
      <c r="E5" s="231"/>
      <c r="F5" s="231"/>
      <c r="G5" s="231"/>
      <c r="H5" s="231"/>
      <c r="I5" s="238"/>
    </row>
    <row r="6" spans="1:27" ht="15.5">
      <c r="B6" s="231" t="s">
        <v>221</v>
      </c>
      <c r="C6" s="231"/>
      <c r="D6" s="231"/>
      <c r="E6" s="231"/>
      <c r="F6" s="231"/>
      <c r="G6" s="231"/>
      <c r="H6" s="231"/>
      <c r="I6" s="238"/>
    </row>
    <row r="7" spans="1:27" ht="14.5">
      <c r="B7" s="298"/>
      <c r="C7" s="298"/>
      <c r="D7" s="298"/>
      <c r="E7" s="299"/>
      <c r="F7" s="298"/>
      <c r="G7" s="298"/>
      <c r="H7" s="298"/>
      <c r="I7" s="238"/>
    </row>
    <row r="8" spans="1:27" ht="14.5">
      <c r="B8" s="232">
        <v>-1</v>
      </c>
      <c r="C8" s="232">
        <v>-2</v>
      </c>
      <c r="D8" s="232">
        <v>-3</v>
      </c>
      <c r="E8" s="232">
        <v>-4</v>
      </c>
      <c r="F8" s="232">
        <v>-5</v>
      </c>
      <c r="G8" s="232">
        <v>-5</v>
      </c>
      <c r="H8" s="232">
        <v>-5</v>
      </c>
      <c r="I8" s="238"/>
    </row>
    <row r="9" spans="1:27" ht="16">
      <c r="B9" s="236"/>
      <c r="C9" s="236"/>
      <c r="D9" s="236" t="str">
        <f>Inputs!$C$4</f>
        <v>FY 2025</v>
      </c>
      <c r="E9" s="234" t="str">
        <f>Inputs!$D$4</f>
        <v>FY 2026</v>
      </c>
      <c r="F9" s="234"/>
      <c r="G9" s="234" t="str">
        <f>Inputs!$E$4</f>
        <v>FY 2027</v>
      </c>
      <c r="H9" s="234"/>
      <c r="I9" s="238"/>
    </row>
    <row r="10" spans="1:27" ht="5.15" hidden="1" customHeight="1">
      <c r="B10" s="317"/>
      <c r="C10" s="317"/>
      <c r="D10" s="317"/>
      <c r="E10" s="317"/>
      <c r="F10" s="317"/>
      <c r="G10" s="317"/>
      <c r="H10" s="317"/>
      <c r="I10" s="238"/>
    </row>
    <row r="11" spans="1:27" ht="14.5">
      <c r="B11" s="232"/>
      <c r="C11" s="232"/>
      <c r="D11" s="232"/>
      <c r="E11" s="232"/>
      <c r="F11" s="232"/>
      <c r="G11" s="232"/>
      <c r="H11" s="232"/>
      <c r="I11" s="238"/>
      <c r="K11" s="279" t="str">
        <f>D9</f>
        <v>FY 2025</v>
      </c>
      <c r="L11" s="279"/>
      <c r="M11" s="279"/>
      <c r="N11" s="279"/>
      <c r="O11" s="275"/>
      <c r="P11" s="275"/>
      <c r="Q11" s="279" t="str">
        <f>E9</f>
        <v>FY 2026</v>
      </c>
      <c r="R11" s="279"/>
      <c r="S11" s="279"/>
      <c r="T11" s="279"/>
      <c r="U11" s="275"/>
      <c r="W11" s="134" t="str">
        <f>G9</f>
        <v>FY 2027</v>
      </c>
      <c r="X11" s="134"/>
      <c r="Y11" s="134"/>
      <c r="Z11" s="134"/>
    </row>
    <row r="12" spans="1:27" ht="14.5">
      <c r="B12" s="232" t="s">
        <v>222</v>
      </c>
      <c r="C12" s="232" t="s">
        <v>122</v>
      </c>
      <c r="D12" s="232" t="s">
        <v>175</v>
      </c>
      <c r="E12" s="232" t="s">
        <v>176</v>
      </c>
      <c r="F12" s="232" t="s">
        <v>223</v>
      </c>
      <c r="G12" s="232" t="s">
        <v>176</v>
      </c>
      <c r="H12" s="232" t="s">
        <v>223</v>
      </c>
      <c r="I12" s="238"/>
      <c r="K12" s="279" t="s">
        <v>224</v>
      </c>
      <c r="L12" s="279"/>
      <c r="M12" s="279"/>
      <c r="N12" s="279"/>
      <c r="O12" s="275"/>
      <c r="P12" s="275"/>
      <c r="Q12" s="279" t="s">
        <v>224</v>
      </c>
      <c r="R12" s="279"/>
      <c r="S12" s="279"/>
      <c r="T12" s="279"/>
      <c r="U12" s="275"/>
      <c r="W12" s="134" t="s">
        <v>224</v>
      </c>
      <c r="X12" s="134"/>
      <c r="Y12" s="134"/>
      <c r="Z12" s="134"/>
    </row>
    <row r="13" spans="1:27" ht="16">
      <c r="B13" s="236" t="s">
        <v>225</v>
      </c>
      <c r="C13" s="236" t="s">
        <v>226</v>
      </c>
      <c r="D13" s="236" t="s">
        <v>227</v>
      </c>
      <c r="E13" s="236" t="s">
        <v>227</v>
      </c>
      <c r="F13" s="236" t="s">
        <v>228</v>
      </c>
      <c r="G13" s="236" t="s">
        <v>227</v>
      </c>
      <c r="H13" s="236" t="str">
        <f>"of "&amp;TEXT($E$9,"0")&amp;""</f>
        <v>of FY 2026</v>
      </c>
      <c r="I13" s="238"/>
      <c r="K13" s="280" t="s">
        <v>173</v>
      </c>
      <c r="L13" s="280" t="s">
        <v>229</v>
      </c>
      <c r="M13" s="280" t="s">
        <v>230</v>
      </c>
      <c r="N13" s="280" t="s">
        <v>231</v>
      </c>
      <c r="O13" s="280" t="s">
        <v>232</v>
      </c>
      <c r="P13" s="275"/>
      <c r="Q13" s="280" t="s">
        <v>173</v>
      </c>
      <c r="R13" s="280" t="s">
        <v>229</v>
      </c>
      <c r="S13" s="280" t="s">
        <v>230</v>
      </c>
      <c r="T13" s="280" t="s">
        <v>231</v>
      </c>
      <c r="U13" s="280" t="s">
        <v>232</v>
      </c>
      <c r="W13" s="123" t="s">
        <v>173</v>
      </c>
      <c r="X13" s="123" t="s">
        <v>229</v>
      </c>
      <c r="Y13" s="123" t="s">
        <v>230</v>
      </c>
      <c r="Z13" s="123" t="s">
        <v>231</v>
      </c>
      <c r="AA13" s="123" t="s">
        <v>232</v>
      </c>
    </row>
    <row r="14" spans="1:27" ht="14.5">
      <c r="B14" s="232" t="s">
        <v>125</v>
      </c>
      <c r="C14" s="232" t="s">
        <v>233</v>
      </c>
      <c r="D14" s="232" t="s">
        <v>126</v>
      </c>
      <c r="E14" s="232" t="s">
        <v>126</v>
      </c>
      <c r="F14" s="232" t="s">
        <v>234</v>
      </c>
      <c r="G14" s="232" t="s">
        <v>126</v>
      </c>
      <c r="H14" s="232" t="s">
        <v>234</v>
      </c>
      <c r="I14" s="238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</row>
    <row r="15" spans="1:27" ht="3.65" customHeight="1" thickBot="1">
      <c r="B15" s="300"/>
      <c r="C15" s="300"/>
      <c r="D15" s="300"/>
      <c r="E15" s="300"/>
      <c r="F15" s="300"/>
      <c r="G15" s="300"/>
      <c r="H15" s="300"/>
      <c r="I15" s="238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</row>
    <row r="16" spans="1:27" ht="15.5" thickTop="1" thickBot="1">
      <c r="B16" s="219" t="str">
        <f>+'Typical Bills WATER'!B14</f>
        <v>5/8</v>
      </c>
      <c r="C16" s="301">
        <f>+'Typical Bills WATER'!C14</f>
        <v>0</v>
      </c>
      <c r="D16" s="301">
        <f>+'Typical Bills WATER'!D14+'Typical Bills SANITARY'!D14+'Typical Res Bills SW'!D14</f>
        <v>33.22</v>
      </c>
      <c r="E16" s="301">
        <f>+'Typical Bills WATER'!E14+'Typical Bills SANITARY'!E14+'Typical Res Bills SW'!E14</f>
        <v>35.674241100541835</v>
      </c>
      <c r="F16" s="220">
        <f t="shared" ref="F16:F27" si="0">(+E16/D16-1)*100</f>
        <v>7.3878419643041315</v>
      </c>
      <c r="G16" s="301">
        <f>+'Typical Bills WATER'!G14+'Typical Bills SANITARY'!G14+'Typical Res Bills SW'!G14</f>
        <v>38.64</v>
      </c>
      <c r="H16" s="220">
        <f>(+G16/E16-1)*100</f>
        <v>8.3134463634409794</v>
      </c>
      <c r="I16" s="238"/>
      <c r="K16" s="276"/>
      <c r="L16" s="277"/>
      <c r="M16" s="277"/>
      <c r="N16" s="277"/>
      <c r="O16" s="275"/>
      <c r="P16" s="275"/>
      <c r="Q16" s="275"/>
      <c r="R16" s="275"/>
      <c r="S16" s="275"/>
      <c r="T16" s="275"/>
      <c r="U16" s="275"/>
    </row>
    <row r="17" spans="2:27" ht="15.5" thickTop="1" thickBot="1">
      <c r="B17" s="247" t="str">
        <f>+'Typical Bills WATER'!B15</f>
        <v>5/8</v>
      </c>
      <c r="C17" s="302">
        <f>+'Typical Bills WATER'!C15</f>
        <v>0.2</v>
      </c>
      <c r="D17" s="302">
        <f>+'Typical Bills WATER'!D15+'Typical Bills SANITARY'!D15+'Typical Res Bills SW'!D15</f>
        <v>55.8</v>
      </c>
      <c r="E17" s="302">
        <f>+'Typical Bills WATER'!E15+'Typical Bills SANITARY'!E15+'Typical Res Bills SW'!E15</f>
        <v>61.544241100541839</v>
      </c>
      <c r="F17" s="303">
        <f t="shared" si="0"/>
        <v>10.294338889859933</v>
      </c>
      <c r="G17" s="302">
        <f>+'Typical Bills WATER'!G15+'Typical Bills SANITARY'!G15+'Typical Res Bills SW'!G15</f>
        <v>65.64</v>
      </c>
      <c r="H17" s="303">
        <f t="shared" ref="H17:H27" si="1">(+G17/E17-1)*100</f>
        <v>6.6549831896815848</v>
      </c>
      <c r="I17" s="238"/>
      <c r="K17" s="276">
        <f>ROUND(+'Typical Bills WATER'!D15,2)</f>
        <v>18.649999999999999</v>
      </c>
      <c r="L17" s="277">
        <f>ROUND(+'Typical Bills SANITARY'!D15,2)</f>
        <v>16.739999999999998</v>
      </c>
      <c r="M17" s="277">
        <f>+'Typical Res Bills SW'!D15</f>
        <v>20.41</v>
      </c>
      <c r="N17" s="277">
        <f>+K17+L17+M17</f>
        <v>55.8</v>
      </c>
      <c r="O17" s="275"/>
      <c r="P17" s="275"/>
      <c r="Q17" s="276">
        <f>ROUND(+'Typical Bills WATER'!E15,2)</f>
        <v>21.34</v>
      </c>
      <c r="R17" s="277">
        <f>ROUND(+'Typical Bills SANITARY'!E15,2)</f>
        <v>18.829999999999998</v>
      </c>
      <c r="S17" s="277">
        <f>+'Typical Res Bills SW'!E15</f>
        <v>21.374241100541834</v>
      </c>
      <c r="T17" s="277">
        <f>+Q17+R17+S17</f>
        <v>61.544241100541839</v>
      </c>
      <c r="U17" s="275"/>
      <c r="W17" s="128">
        <f>ROUND(+'Typical Bills WATER'!G15,2)</f>
        <v>22.04</v>
      </c>
      <c r="X17" s="21">
        <f>ROUND(+'Typical Bills SANITARY'!G15,2)</f>
        <v>20.11</v>
      </c>
      <c r="Y17" s="21">
        <f>+'Typical Res Bills SW'!G15</f>
        <v>23.49</v>
      </c>
      <c r="Z17" s="21">
        <f>+W17+X17+Y17</f>
        <v>65.64</v>
      </c>
    </row>
    <row r="18" spans="2:27" ht="15.5" thickTop="1" thickBot="1">
      <c r="B18" s="249" t="str">
        <f>+'Typical Bills WATER'!B16</f>
        <v>5/8</v>
      </c>
      <c r="C18" s="304">
        <f>+'Typical Bills WATER'!C16</f>
        <v>0.3</v>
      </c>
      <c r="D18" s="304">
        <f>+'Typical Bills WATER'!D16+'Typical Bills SANITARY'!D16+'Typical Res Bills SW'!D16</f>
        <v>67.09</v>
      </c>
      <c r="E18" s="304">
        <f>+'Typical Bills WATER'!E16+'Typical Bills SANITARY'!E16+'Typical Res Bills SW'!E16</f>
        <v>74.494241100541828</v>
      </c>
      <c r="F18" s="305">
        <f t="shared" si="0"/>
        <v>11.036281264781378</v>
      </c>
      <c r="G18" s="304">
        <f>+'Typical Bills WATER'!G16+'Typical Bills SANITARY'!G16+'Typical Res Bills SW'!G16</f>
        <v>79.14</v>
      </c>
      <c r="H18" s="306">
        <f t="shared" si="1"/>
        <v>6.2364000637149752</v>
      </c>
      <c r="I18" s="411" t="s">
        <v>235</v>
      </c>
      <c r="K18" s="276">
        <f>ROUND(+'Typical Bills WATER'!D16,2)</f>
        <v>25.39</v>
      </c>
      <c r="L18" s="277">
        <f>ROUND(+'Typical Bills SANITARY'!D16,2)</f>
        <v>21.29</v>
      </c>
      <c r="M18" s="277">
        <f>+'Typical Res Bills SW'!D16</f>
        <v>20.41</v>
      </c>
      <c r="N18" s="277">
        <f>+K18+L18+M18</f>
        <v>67.09</v>
      </c>
      <c r="O18" s="278">
        <f>N18-ROUND(N18*0.25,2)</f>
        <v>50.320000000000007</v>
      </c>
      <c r="P18" s="275"/>
      <c r="Q18" s="276">
        <f>ROUND(+'Typical Bills WATER'!E16,2)</f>
        <v>28.98</v>
      </c>
      <c r="R18" s="277">
        <f>ROUND(+'Typical Bills SANITARY'!E16,2)</f>
        <v>24.14</v>
      </c>
      <c r="S18" s="277">
        <f>+'Typical Res Bills SW'!E16</f>
        <v>21.374241100541834</v>
      </c>
      <c r="T18" s="277">
        <f>+Q18+R18+S18</f>
        <v>74.494241100541842</v>
      </c>
      <c r="U18" s="275">
        <f>T18-ROUND(T18*0.25,2)</f>
        <v>55.874241100541838</v>
      </c>
      <c r="V18" s="199"/>
      <c r="W18" s="128">
        <f>ROUND(+'Typical Bills WATER'!G16,2)</f>
        <v>29.91</v>
      </c>
      <c r="X18" s="21">
        <f>ROUND(+'Typical Bills SANITARY'!G16,2)</f>
        <v>25.74</v>
      </c>
      <c r="Y18" s="21">
        <f>+'Typical Res Bills SW'!G16</f>
        <v>23.49</v>
      </c>
      <c r="Z18" s="21">
        <f>+W18+X18+Y18</f>
        <v>79.14</v>
      </c>
      <c r="AA18">
        <f>Z18-ROUND(Z18*0.25,2)</f>
        <v>59.35</v>
      </c>
    </row>
    <row r="19" spans="2:27" ht="15.5" thickTop="1" thickBot="1">
      <c r="B19" s="307" t="str">
        <f>+'Typical Bills WATER'!B17</f>
        <v>5/8</v>
      </c>
      <c r="C19" s="308">
        <f>+'Typical Bills WATER'!C17</f>
        <v>0.4</v>
      </c>
      <c r="D19" s="308">
        <f>+'Typical Bills WATER'!D17+'Typical Bills SANITARY'!D17+'Typical Res Bills SW'!D17</f>
        <v>78.38</v>
      </c>
      <c r="E19" s="308">
        <f>+'Typical Bills WATER'!E17+'Typical Bills SANITARY'!E17+'Typical Res Bills SW'!E17</f>
        <v>87.424241100541835</v>
      </c>
      <c r="F19" s="309">
        <f t="shared" si="0"/>
        <v>11.538965425544578</v>
      </c>
      <c r="G19" s="308">
        <f>+'Typical Bills WATER'!G17+'Typical Bills SANITARY'!G17+'Typical Res Bills SW'!G17</f>
        <v>92.63</v>
      </c>
      <c r="H19" s="309">
        <f t="shared" si="1"/>
        <v>5.9545943252413247</v>
      </c>
      <c r="I19" s="411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</row>
    <row r="20" spans="2:27" ht="15.5" thickTop="1" thickBot="1">
      <c r="B20" s="249" t="str">
        <f>+'Typical Bills WATER'!B18</f>
        <v>5/8</v>
      </c>
      <c r="C20" s="304">
        <f>+'Typical Bills WATER'!C18</f>
        <v>0.43</v>
      </c>
      <c r="D20" s="304">
        <f>+'Typical Bills WATER'!D18+'Typical Bills SANITARY'!D18+'Typical Res Bills SW'!D18</f>
        <v>81.77</v>
      </c>
      <c r="E20" s="304">
        <f>+'Typical Bills WATER'!E18+'Typical Bills SANITARY'!E18+'Typical Res Bills SW'!E18</f>
        <v>91.314241100541835</v>
      </c>
      <c r="F20" s="305">
        <f t="shared" si="0"/>
        <v>11.672057112072686</v>
      </c>
      <c r="G20" s="304">
        <f>+'Typical Bills WATER'!G18+'Typical Bills SANITARY'!G18+'Typical Res Bills SW'!G18</f>
        <v>96.679999999999993</v>
      </c>
      <c r="H20" s="306">
        <f t="shared" si="1"/>
        <v>5.8761468471825395</v>
      </c>
      <c r="I20" s="411" t="s">
        <v>236</v>
      </c>
      <c r="J20" s="21"/>
      <c r="K20" s="276">
        <f>ROUND(+'Typical Bills WATER'!D18,2)</f>
        <v>34.15</v>
      </c>
      <c r="L20" s="277">
        <f>ROUND(+'Typical Bills SANITARY'!D18,2)</f>
        <v>27.21</v>
      </c>
      <c r="M20" s="277">
        <f>+'Typical Res Bills SW'!D18</f>
        <v>20.41</v>
      </c>
      <c r="N20" s="277">
        <f>+K20+L20+M20</f>
        <v>81.77</v>
      </c>
      <c r="O20" s="275"/>
      <c r="P20" s="275"/>
      <c r="Q20" s="276">
        <f>ROUND(+'Typical Bills WATER'!E18,2)</f>
        <v>38.9</v>
      </c>
      <c r="R20" s="277">
        <f>ROUND(+'Typical Bills SANITARY'!E18,2)</f>
        <v>31.04</v>
      </c>
      <c r="S20" s="277">
        <f>+'Typical Res Bills SW'!E18</f>
        <v>21.374241100541834</v>
      </c>
      <c r="T20" s="277">
        <f>+Q20+R20+S20</f>
        <v>91.314241100541835</v>
      </c>
      <c r="U20" s="275"/>
      <c r="W20" s="128">
        <f>ROUND(+'Typical Bills WATER'!G18,2)</f>
        <v>40.130000000000003</v>
      </c>
      <c r="X20" s="21">
        <f>ROUND(+'Typical Bills SANITARY'!G18,2)</f>
        <v>33.06</v>
      </c>
      <c r="Y20" s="21">
        <f>+'Typical Res Bills SW'!G18</f>
        <v>23.49</v>
      </c>
      <c r="Z20" s="21">
        <f>+W20+X20+Y20</f>
        <v>96.679999999999993</v>
      </c>
    </row>
    <row r="21" spans="2:27" ht="15.5" thickTop="1" thickBot="1">
      <c r="B21" s="248" t="str">
        <f>+'Typical Bills WATER'!B19</f>
        <v>5/8</v>
      </c>
      <c r="C21" s="310">
        <f>+'Typical Bills WATER'!C19</f>
        <v>0.5</v>
      </c>
      <c r="D21" s="310">
        <f>+'Typical Bills WATER'!D19+'Typical Bills SANITARY'!D19+'Typical Res Bills SW'!D19</f>
        <v>89.68</v>
      </c>
      <c r="E21" s="310">
        <f>+'Typical Bills WATER'!E19+'Typical Bills SANITARY'!E19+'Typical Res Bills SW'!E19</f>
        <v>100.36424110054183</v>
      </c>
      <c r="F21" s="311">
        <f>(+E21/D21-1)*100</f>
        <v>11.913738961353504</v>
      </c>
      <c r="G21" s="310">
        <f>+'Typical Bills WATER'!G19+'Typical Bills SANITARY'!G19+'Typical Res Bills SW'!G19</f>
        <v>106.14</v>
      </c>
      <c r="H21" s="311">
        <f t="shared" si="1"/>
        <v>5.7547975614862468</v>
      </c>
      <c r="I21" s="411"/>
      <c r="J21" s="21"/>
      <c r="K21" s="276"/>
      <c r="L21" s="277"/>
      <c r="M21" s="277"/>
      <c r="N21" s="277"/>
      <c r="O21" s="275"/>
      <c r="P21" s="275"/>
      <c r="Q21" s="276"/>
      <c r="R21" s="277"/>
      <c r="S21" s="277"/>
      <c r="T21" s="277"/>
      <c r="U21" s="275"/>
      <c r="W21" s="128"/>
      <c r="X21" s="21"/>
      <c r="Y21" s="21"/>
      <c r="Z21" s="21"/>
    </row>
    <row r="22" spans="2:27" ht="15.5" thickTop="1" thickBot="1">
      <c r="B22" s="248" t="str">
        <f>+'Typical Bills WATER'!B21</f>
        <v>5/8</v>
      </c>
      <c r="C22" s="310">
        <f>+'Typical Bills WATER'!C21</f>
        <v>0.6</v>
      </c>
      <c r="D22" s="310">
        <f>+'Typical Bills WATER'!D21+'Typical Bills SANITARY'!D21+'Typical Res Bills SW'!D20</f>
        <v>100.97</v>
      </c>
      <c r="E22" s="310">
        <f>+'Typical Bills WATER'!E21+'Typical Bills SANITARY'!E21+'Typical Res Bills SW'!E20</f>
        <v>113.30424110054184</v>
      </c>
      <c r="F22" s="311">
        <f t="shared" si="0"/>
        <v>12.215748341628064</v>
      </c>
      <c r="G22" s="310">
        <f>+'Typical Bills WATER'!G21+'Typical Bills SANITARY'!G21+'Typical Res Bills SW'!G20</f>
        <v>119.64</v>
      </c>
      <c r="H22" s="311">
        <f t="shared" si="1"/>
        <v>5.5918108959717161</v>
      </c>
      <c r="I22" s="238"/>
      <c r="K22" s="276">
        <f>ROUND(+'Typical Bills WATER'!D21,2)</f>
        <v>45.61</v>
      </c>
      <c r="L22" s="277">
        <f>ROUND(+'Typical Bills SANITARY'!D21,2)</f>
        <v>34.950000000000003</v>
      </c>
      <c r="M22" s="277">
        <f>+'Typical Res Bills SW'!D20</f>
        <v>20.41</v>
      </c>
      <c r="N22" s="277">
        <f>+K22+L22+M22</f>
        <v>100.97</v>
      </c>
      <c r="O22" s="275"/>
      <c r="P22" s="275"/>
      <c r="Q22" s="276">
        <f>ROUND(+'Typical Bills WATER'!E21,2)</f>
        <v>51.87</v>
      </c>
      <c r="R22" s="277">
        <f>ROUND(+'Typical Bills SANITARY'!E21,2)</f>
        <v>40.06</v>
      </c>
      <c r="S22" s="277">
        <f>+'Typical Res Bills SW'!E20</f>
        <v>21.374241100541834</v>
      </c>
      <c r="T22" s="277">
        <f>+Q22+R22+S22</f>
        <v>113.30424110054184</v>
      </c>
      <c r="U22" s="275"/>
      <c r="W22" s="128">
        <f>ROUND(+'Typical Bills WATER'!G21,2)</f>
        <v>53.51</v>
      </c>
      <c r="X22" s="21">
        <f>ROUND(+'Typical Bills SANITARY'!G21,2)</f>
        <v>42.64</v>
      </c>
      <c r="Y22" s="21">
        <f>+'Typical Res Bills SW'!G20</f>
        <v>23.49</v>
      </c>
      <c r="Z22" s="21">
        <f>+W22+X22+Y22</f>
        <v>119.64</v>
      </c>
    </row>
    <row r="23" spans="2:27" ht="15" thickTop="1" thickBot="1">
      <c r="B23" s="219" t="str">
        <f>+'Typical Bills WATER'!B22</f>
        <v>5/8</v>
      </c>
      <c r="C23" s="301">
        <f>+'Typical Bills WATER'!C22</f>
        <v>0.7</v>
      </c>
      <c r="D23" s="301">
        <f>+'Typical Bills WATER'!D22+'Typical Bills SANITARY'!D22+'Typical Res Bills SW'!D21</f>
        <v>112.25999999999999</v>
      </c>
      <c r="E23" s="301">
        <f>+'Typical Bills WATER'!E22+'Typical Bills SANITARY'!E22+'Typical Res Bills SW'!E21</f>
        <v>126.23424110054184</v>
      </c>
      <c r="F23" s="220">
        <f t="shared" si="0"/>
        <v>12.448103599271199</v>
      </c>
      <c r="G23" s="301">
        <f>+'Typical Bills WATER'!G22+'Typical Bills SANITARY'!G22+'Typical Res Bills SW'!G21</f>
        <v>133.13</v>
      </c>
      <c r="H23" s="220">
        <f t="shared" si="1"/>
        <v>5.4626691136566485</v>
      </c>
      <c r="I23" s="238"/>
    </row>
    <row r="24" spans="2:27" ht="15.5" thickTop="1" thickBot="1">
      <c r="B24" s="219" t="str">
        <f>+'Typical Bills WATER'!B23</f>
        <v>5/8</v>
      </c>
      <c r="C24" s="301">
        <f>+'Typical Bills WATER'!C23</f>
        <v>0.8</v>
      </c>
      <c r="D24" s="301">
        <f>+'Typical Bills WATER'!D23+'Typical Bills SANITARY'!D23+'Typical Res Bills SW'!D22</f>
        <v>123.55</v>
      </c>
      <c r="E24" s="301">
        <f>+'Typical Bills WATER'!E23+'Typical Bills SANITARY'!E23+'Typical Res Bills SW'!E22</f>
        <v>139.18424110054184</v>
      </c>
      <c r="F24" s="220">
        <f t="shared" si="0"/>
        <v>12.65418138449359</v>
      </c>
      <c r="G24" s="301">
        <f>+'Typical Bills WATER'!G23+'Typical Bills SANITARY'!G23+'Typical Res Bills SW'!G22</f>
        <v>146.63</v>
      </c>
      <c r="H24" s="220">
        <f t="shared" si="1"/>
        <v>5.3495703540745065</v>
      </c>
      <c r="I24" s="238"/>
      <c r="N24" s="277"/>
      <c r="O24" s="320"/>
      <c r="P24" s="21"/>
    </row>
    <row r="25" spans="2:27" ht="15" thickTop="1" thickBot="1">
      <c r="B25" s="219" t="str">
        <f>+'Typical Bills WATER'!B24</f>
        <v>5/8</v>
      </c>
      <c r="C25" s="301">
        <f>+'Typical Bills WATER'!C24</f>
        <v>1.7</v>
      </c>
      <c r="D25" s="301">
        <f>+'Typical Bills WATER'!D24+'Typical Bills SANITARY'!D24+'Typical Res Bills SW'!D23</f>
        <v>225.17</v>
      </c>
      <c r="E25" s="301">
        <f>+'Typical Bills WATER'!E24+'Typical Bills SANITARY'!E24+'Typical Res Bills SW'!E23</f>
        <v>255.61424110054185</v>
      </c>
      <c r="F25" s="220">
        <f t="shared" si="0"/>
        <v>13.520558289533181</v>
      </c>
      <c r="G25" s="301">
        <f>+'Typical Bills WATER'!G24+'Typical Bills SANITARY'!G24+'Typical Res Bills SW'!G23</f>
        <v>268.12</v>
      </c>
      <c r="H25" s="220">
        <f t="shared" si="1"/>
        <v>4.8924343360584599</v>
      </c>
      <c r="I25" s="238"/>
    </row>
    <row r="26" spans="2:27" ht="15.5" thickTop="1" thickBot="1">
      <c r="B26" s="219" t="str">
        <f>+'Typical Bills WATER'!B25</f>
        <v>5/8</v>
      </c>
      <c r="C26" s="301">
        <f>+'Typical Bills WATER'!C25</f>
        <v>2.7</v>
      </c>
      <c r="D26" s="301">
        <f>+'Typical Bills WATER'!D25+'Typical Bills SANITARY'!D25+'Typical Res Bills SW'!D24</f>
        <v>333.57</v>
      </c>
      <c r="E26" s="301">
        <f>+'Typical Bills WATER'!E25+'Typical Bills SANITARY'!E25+'Typical Res Bills SW'!E24</f>
        <v>379.61424110054185</v>
      </c>
      <c r="F26" s="220">
        <f t="shared" si="0"/>
        <v>13.803471865138306</v>
      </c>
      <c r="G26" s="301">
        <f>+'Typical Bills WATER'!G25+'Typical Bills SANITARY'!G25+'Typical Res Bills SW'!G24</f>
        <v>399.96000000000004</v>
      </c>
      <c r="H26" s="220">
        <f t="shared" si="1"/>
        <v>5.3595878912428896</v>
      </c>
      <c r="I26" s="238"/>
      <c r="N26" s="277"/>
      <c r="O26" s="320"/>
      <c r="P26" s="21"/>
    </row>
    <row r="27" spans="2:27" ht="15" thickTop="1" thickBot="1">
      <c r="B27" s="219" t="str">
        <f>+'Typical Bills WATER'!B26</f>
        <v>5/8</v>
      </c>
      <c r="C27" s="301">
        <f>+'Typical Bills WATER'!C26</f>
        <v>3.3</v>
      </c>
      <c r="D27" s="301">
        <f>+'Typical Bills WATER'!D26+'Typical Bills SANITARY'!D26+'Typical Res Bills SW'!D25</f>
        <v>397.45</v>
      </c>
      <c r="E27" s="301">
        <f>+'Typical Bills WATER'!E26+'Typical Bills SANITARY'!E26+'Typical Res Bills SW'!E25</f>
        <v>452.63424110054183</v>
      </c>
      <c r="F27" s="220">
        <f t="shared" si="0"/>
        <v>13.884574437172436</v>
      </c>
      <c r="G27" s="301">
        <f>+'Typical Bills WATER'!G26+'Typical Bills SANITARY'!G26+'Typical Res Bills SW'!G25</f>
        <v>478.25</v>
      </c>
      <c r="H27" s="220">
        <f t="shared" si="1"/>
        <v>5.6592622858526065</v>
      </c>
      <c r="I27" s="238"/>
    </row>
    <row r="28" spans="2:27" ht="14.5" thickTop="1">
      <c r="B28" s="312"/>
      <c r="C28" s="313"/>
      <c r="D28" s="314"/>
      <c r="E28" s="314"/>
      <c r="F28" s="300"/>
      <c r="G28" s="300"/>
      <c r="H28" s="300"/>
      <c r="I28" s="238"/>
      <c r="L28" s="21"/>
    </row>
    <row r="29" spans="2:27">
      <c r="B29" s="315" t="s">
        <v>237</v>
      </c>
      <c r="C29" s="313"/>
      <c r="D29" s="314"/>
      <c r="E29" s="314"/>
      <c r="F29" s="300"/>
      <c r="G29" s="300"/>
      <c r="H29" s="300"/>
      <c r="I29" s="238"/>
      <c r="L29" s="21"/>
    </row>
    <row r="30" spans="2:27">
      <c r="B30" s="316" t="str">
        <f>"FY 2025 figures reflect the existing base and current TAP-R rates, of $"&amp;FIXED('Water Charges'!$D$42,2,TRUE)&amp;"/Mcf for water and $"&amp;FIXED('Wastewater Charges'!$E$45,2,TRUE)&amp;"/Mcf for sewer. "</f>
        <v xml:space="preserve">FY 2025 figures reflect the existing base and current TAP-R rates, of $3.08/Mcf for water and $4.40/Mcf for sewer. </v>
      </c>
      <c r="C30" s="300"/>
      <c r="D30" s="300"/>
      <c r="E30" s="300"/>
      <c r="F30" s="300"/>
      <c r="G30" s="300"/>
      <c r="H30" s="300"/>
      <c r="I30" s="238"/>
    </row>
    <row r="31" spans="2:27">
      <c r="B31" s="316" t="str">
        <f>"FY 2026 and FY 2027 figures reflect the proposed base and TAP-R rates, of $"&amp;FIXED('Water Charges'!$E$42,2,TRUE)&amp;"/Mcf for water and $"&amp;FIXED('Wastewater Charges'!$F$45,2,TRUE)&amp;"/Mcf for sewer."</f>
        <v>FY 2026 and FY 2027 figures reflect the proposed base and TAP-R rates, of $3.87/Mcf for water and $5.67/Mcf for sewer.</v>
      </c>
      <c r="C31" s="300"/>
      <c r="D31" s="300"/>
      <c r="E31" s="300"/>
      <c r="F31" s="300"/>
      <c r="G31" s="300"/>
      <c r="H31" s="300"/>
      <c r="I31" s="238"/>
    </row>
    <row r="32" spans="2:27">
      <c r="B32" s="316" t="s">
        <v>285</v>
      </c>
      <c r="C32" s="300"/>
      <c r="D32" s="300"/>
      <c r="E32" s="300"/>
      <c r="F32" s="300"/>
      <c r="G32" s="300"/>
      <c r="H32" s="300"/>
      <c r="I32" s="238"/>
    </row>
    <row r="33" spans="2:9">
      <c r="B33" s="316" t="s">
        <v>238</v>
      </c>
      <c r="C33" s="300"/>
      <c r="D33" s="300"/>
      <c r="E33" s="300"/>
      <c r="F33" s="300"/>
      <c r="G33" s="300"/>
      <c r="H33" s="300"/>
      <c r="I33" s="238"/>
    </row>
    <row r="34" spans="2:9">
      <c r="B34" s="316"/>
      <c r="C34" s="300"/>
      <c r="D34" s="300"/>
      <c r="E34" s="300"/>
      <c r="F34" s="300"/>
      <c r="G34" s="300"/>
      <c r="H34" s="300"/>
      <c r="I34" s="464"/>
    </row>
    <row r="35" spans="2:9">
      <c r="B35" s="300" t="s">
        <v>239</v>
      </c>
      <c r="C35" s="300"/>
      <c r="D35" s="300"/>
      <c r="E35" s="300"/>
      <c r="F35" s="300"/>
      <c r="G35" s="300"/>
      <c r="H35" s="300"/>
      <c r="I35" s="238"/>
    </row>
    <row r="36" spans="2:9">
      <c r="B36" s="300" t="str">
        <f>"on their total bill. The associated "&amp;TEXT($D$9,"0")&amp;", "&amp;TEXT($E$9,"0")&amp;", and "&amp;TEXT($G$9,"0")&amp;" bills would be $"&amp;FIXED($O$18,2,TRUE)&amp;", $"&amp;TEXT($U$18,"0.00")&amp;", and $"&amp;TEXT($AA$18,"0.00")&amp;", respectively. "</f>
        <v xml:space="preserve">on their total bill. The associated FY 2025, FY 2026, and FY 2027 bills would be $50.32, $55.87, and $59.35, respectively. </v>
      </c>
      <c r="C36" s="300"/>
      <c r="D36" s="300"/>
      <c r="E36" s="300"/>
      <c r="F36" s="300"/>
      <c r="G36" s="300"/>
      <c r="H36" s="300"/>
      <c r="I36" s="238"/>
    </row>
    <row r="37" spans="2:9">
      <c r="B37" s="316"/>
      <c r="C37" s="300"/>
      <c r="D37" s="300"/>
      <c r="E37" s="300"/>
      <c r="F37" s="300"/>
      <c r="G37" s="300"/>
      <c r="H37" s="300"/>
      <c r="I37" s="238"/>
    </row>
    <row r="38" spans="2:9">
      <c r="B38" s="300" t="s">
        <v>146</v>
      </c>
      <c r="C38" s="300"/>
      <c r="D38" s="300"/>
      <c r="E38" s="300"/>
      <c r="F38" s="300"/>
      <c r="G38" s="300"/>
      <c r="H38" s="300"/>
      <c r="I38" s="238"/>
    </row>
    <row r="39" spans="2:9">
      <c r="B39" s="149"/>
      <c r="C39" s="3"/>
      <c r="D39" s="3"/>
      <c r="E39" s="3"/>
      <c r="F39" s="3"/>
      <c r="G39" s="3"/>
      <c r="H39" s="3"/>
    </row>
    <row r="40" spans="2:9">
      <c r="B40" s="149"/>
      <c r="C40" s="3"/>
      <c r="D40" s="3"/>
      <c r="E40" s="3"/>
      <c r="F40" s="3"/>
      <c r="G40" s="3"/>
      <c r="H40" s="3"/>
    </row>
    <row r="41" spans="2:9">
      <c r="B41" s="149"/>
      <c r="C41" s="3"/>
      <c r="D41" s="3"/>
      <c r="E41" s="3"/>
      <c r="F41" s="3"/>
      <c r="G41" s="3"/>
      <c r="H41" s="3"/>
    </row>
    <row r="42" spans="2:9">
      <c r="B42" s="3"/>
      <c r="C42" s="3"/>
      <c r="D42" s="229"/>
      <c r="E42" s="3"/>
      <c r="F42" s="3"/>
      <c r="G42" s="3"/>
      <c r="H42" s="3"/>
    </row>
    <row r="43" spans="2:9" ht="15" hidden="1" thickTop="1" thickBot="1">
      <c r="D43" s="229">
        <f>+'2025 Bill Detail'!L15</f>
        <v>81.77</v>
      </c>
      <c r="E43" s="229">
        <f>+'2026 Bill Detail'!L15</f>
        <v>91.314241100541835</v>
      </c>
      <c r="F43" s="220">
        <f>(+E43/D43-1)*100</f>
        <v>11.672057112072686</v>
      </c>
      <c r="G43" s="268"/>
      <c r="H43" s="268"/>
    </row>
    <row r="44" spans="2:9" ht="15" hidden="1" thickTop="1" thickBot="1">
      <c r="D44" s="229">
        <f>+'2025 Bill Detail'!X15</f>
        <v>67.089999999999989</v>
      </c>
      <c r="E44" s="229">
        <f>+'2026 Bill Detail'!X15</f>
        <v>74.494241100541842</v>
      </c>
      <c r="F44" s="220">
        <f>(+E44/D44-1)*100</f>
        <v>11.036281264781422</v>
      </c>
      <c r="G44" s="268"/>
      <c r="H44" s="268"/>
    </row>
    <row r="45" spans="2:9" ht="15" hidden="1" thickTop="1" thickBot="1">
      <c r="D45" s="229">
        <f>+'2025 Bill Detail'!X18</f>
        <v>50.319999999999993</v>
      </c>
      <c r="E45" s="229">
        <f>+'2026 Bill Detail'!X18</f>
        <v>55.874241100541838</v>
      </c>
      <c r="F45" s="220">
        <f>(+E45/D45-1)*100</f>
        <v>11.037840024924183</v>
      </c>
      <c r="G45" s="268"/>
      <c r="H45" s="268"/>
    </row>
  </sheetData>
  <conditionalFormatting sqref="E19 E24:F24">
    <cfRule type="cellIs" dxfId="21" priority="14" operator="lessThan">
      <formula>0</formula>
    </cfRule>
  </conditionalFormatting>
  <conditionalFormatting sqref="H24">
    <cfRule type="cellIs" dxfId="20" priority="2" operator="lessThan">
      <formula>0</formula>
    </cfRule>
  </conditionalFormatting>
  <conditionalFormatting sqref="G19 G24">
    <cfRule type="cellIs" dxfId="19" priority="1" operator="lessThan">
      <formula>0</formula>
    </cfRule>
  </conditionalFormatting>
  <hyperlinks>
    <hyperlink ref="A1" location="TOC!A1" display="TOC!A1" xr:uid="{00000000-0004-0000-0900-000000000000}"/>
  </hyperlinks>
  <printOptions horizontalCentered="1"/>
  <pageMargins left="1" right="0.25" top="1" bottom="0.5" header="0.3" footer="0.3"/>
  <pageSetup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0A5761-76B3-4E03-B922-9CDCC293A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6138D3-B397-4CB5-B3C2-5A1288A7EB9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AB7448-5CBB-475A-BF61-9599B74385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9613a8-d12d-4524-84d0-4c9d658e173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74a816c8-2012-4a06-9eee-7fac2e12fc01"/>
    <ds:schemaRef ds:uri="1ecad1bf-37b2-4fe5-8d43-af4e731dea56"/>
  </ds:schemaRefs>
</ds:datastoreItem>
</file>

<file path=customXml/itemProps4.xml><?xml version="1.0" encoding="utf-8"?>
<ds:datastoreItem xmlns:ds="http://schemas.openxmlformats.org/officeDocument/2006/customXml" ds:itemID="{906D9D81-BA5E-4AE5-8BDB-47EDD363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Summary</vt:lpstr>
      <vt:lpstr>2025 Bill Detail</vt:lpstr>
      <vt:lpstr>2026 Bill Detail</vt:lpstr>
      <vt:lpstr>2027 Bill Detail</vt:lpstr>
      <vt:lpstr>Press Release</vt:lpstr>
      <vt:lpstr>Water Charges</vt:lpstr>
      <vt:lpstr>Wastewater Charges</vt:lpstr>
      <vt:lpstr>Service Charge Summary</vt:lpstr>
      <vt:lpstr>Typical Res Bills TOTAL</vt:lpstr>
      <vt:lpstr>Typ Non Res Bill TOTAL PARCEL</vt:lpstr>
      <vt:lpstr>Typical Bills WATER</vt:lpstr>
      <vt:lpstr>Typical Bills SANITARY</vt:lpstr>
      <vt:lpstr>Typical Res Bills SW</vt:lpstr>
      <vt:lpstr>Typical Non-Res Bills SW</vt:lpstr>
      <vt:lpstr>Inputs</vt:lpstr>
      <vt:lpstr>REPORT Typical Res Bills TOTAL </vt:lpstr>
      <vt:lpstr>REPORT Typ Non Res Bill TOTAL</vt:lpstr>
      <vt:lpstr>'Press Release'!Print_Area</vt:lpstr>
      <vt:lpstr>'REPORT Typ Non Res Bill TOTAL'!Print_Area</vt:lpstr>
      <vt:lpstr>'REPORT Typical Res Bills TOTAL '!Print_Area</vt:lpstr>
      <vt:lpstr>'Service Charge Summary'!Print_Area</vt:lpstr>
      <vt:lpstr>'Typ Non Res Bill TOTAL PARCEL'!Print_Area</vt:lpstr>
      <vt:lpstr>'Typical Non-Res Bills SW'!Print_Area</vt:lpstr>
      <vt:lpstr>'Typical Res Bills TOTAL'!Print_Area</vt:lpstr>
      <vt:lpstr>'Wastewater Charges'!Print_Area</vt:lpstr>
      <vt:lpstr>'Water Charges'!Print_Area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jag70316</dc:creator>
  <cp:keywords/>
  <dc:description/>
  <cp:lastModifiedBy>Jagt, Dave A.</cp:lastModifiedBy>
  <cp:revision/>
  <cp:lastPrinted>2025-02-05T16:28:02Z</cp:lastPrinted>
  <dcterms:created xsi:type="dcterms:W3CDTF">2012-01-31T17:48:44Z</dcterms:created>
  <dcterms:modified xsi:type="dcterms:W3CDTF">2025-03-05T22:48:13Z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display_urn:schemas-microsoft-com:office:office#Editor">
    <vt:lpwstr>Term -Kester, Megan M</vt:lpwstr>
  </property>
  <property fmtid="{D5CDD505-2E9C-101B-9397-08002B2CF9AE}" pid="4" name="display_urn:schemas-microsoft-com:office:office#Author">
    <vt:lpwstr>Term -Kester, Megan M</vt:lpwstr>
  </property>
  <property fmtid="{D5CDD505-2E9C-101B-9397-08002B2CF9AE}" pid="5" name="MediaServiceImageTags">
    <vt:lpwstr/>
  </property>
</Properties>
</file>