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29e39f5313cc976b/Exeter1/103822-2 PWD 2024 TAP-R/My Testimony/Testimony Schedules/"/>
    </mc:Choice>
  </mc:AlternateContent>
  <xr:revisionPtr revIDLastSave="196" documentId="14_{00F4250F-840E-4DD4-8ABD-A63A7404F112}" xr6:coauthVersionLast="47" xr6:coauthVersionMax="47" xr10:uidLastSave="{CCB2976B-8A99-42ED-B974-C77C616F2ED4}"/>
  <bookViews>
    <workbookView xWindow="-23148" yWindow="-1668" windowWidth="23256" windowHeight="12456" activeTab="3" xr2:uid="{CFF120ED-CF7C-4640-A0A5-22F09521EE4F}"/>
  </bookViews>
  <sheets>
    <sheet name="Cover" sheetId="27" r:id="rId1"/>
    <sheet name="Table of Contents" sheetId="26" r:id="rId2"/>
    <sheet name="TRR_Summary" sheetId="16" r:id="rId3"/>
    <sheet name="TRR_Projections" sheetId="23" r:id="rId4"/>
    <sheet name="Data Source" sheetId="17" r:id="rId5"/>
    <sheet name="DR_1" sheetId="24" r:id="rId6"/>
    <sheet name="DR_2" sheetId="25" r:id="rId7"/>
    <sheet name="DR_3A Participants" sheetId="20" r:id="rId8"/>
    <sheet name="DR_4" sheetId="21" r:id="rId9"/>
    <sheet name="051018 Model_Applications" sheetId="28" state="hidden" r:id="rId10"/>
    <sheet name="051018 Model_Assumptions" sheetId="29" state="hidden" r:id="rId11"/>
    <sheet name="051018 Model_Model" sheetId="30" state="hidden" r:id="rId12"/>
    <sheet name="051018 Model_Cost Estimates" sheetId="31" state="hidden" r:id="rId13"/>
  </sheets>
  <definedNames>
    <definedName name="_xlnm.Print_Area" localSheetId="0">Cover!$A$1:$I$11</definedName>
    <definedName name="_xlnm.Print_Area" localSheetId="4">'Data Source'!$A$1:$K$7</definedName>
    <definedName name="_xlnm.Print_Area" localSheetId="5">DR_1!$AA$1:$AL$20</definedName>
    <definedName name="_xlnm.Print_Area" localSheetId="6">DR_2!$AA$1:$AL$20</definedName>
    <definedName name="_xlnm.Print_Area" localSheetId="7">'DR_3A Participants'!$Z$1:$AK$12</definedName>
    <definedName name="_xlnm.Print_Area" localSheetId="8">DR_4!$Z$1:$AK$16</definedName>
    <definedName name="_xlnm.Print_Area" localSheetId="1">'Table of Contents'!$A$1:$B$9</definedName>
    <definedName name="_xlnm.Print_Area" localSheetId="3">TRR_Projections!$A$1:$BE$14</definedName>
    <definedName name="_xlnm.Print_Titles" localSheetId="5">DR_1!$A:$B</definedName>
    <definedName name="_xlnm.Print_Titles" localSheetId="6">DR_2!$A:$B</definedName>
    <definedName name="_xlnm.Print_Titles" localSheetId="7">'DR_3A Participants'!$A:$A</definedName>
    <definedName name="_xlnm.Print_Titles" localSheetId="8">DR_4!$A:$A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9" i="23" l="1"/>
  <c r="AT19" i="23"/>
  <c r="AU19" i="23"/>
  <c r="AV19" i="23"/>
  <c r="AW19" i="23"/>
  <c r="AX19" i="23"/>
  <c r="AY19" i="23"/>
  <c r="AZ19" i="23"/>
  <c r="BA19" i="23"/>
  <c r="BB19" i="23"/>
  <c r="BC19" i="23"/>
  <c r="BD19" i="23"/>
  <c r="BE19" i="23"/>
  <c r="AQ19" i="23"/>
  <c r="AR19" i="23" s="1"/>
  <c r="AP19" i="23"/>
  <c r="AO19" i="23"/>
  <c r="AN19" i="23"/>
  <c r="AM19" i="23"/>
  <c r="AL19" i="23"/>
  <c r="BE21" i="23" l="1"/>
  <c r="BE25" i="23" s="1"/>
  <c r="BE28" i="23" s="1"/>
  <c r="BD21" i="23"/>
  <c r="BD25" i="23" s="1"/>
  <c r="BD28" i="23" s="1"/>
  <c r="BC21" i="23"/>
  <c r="BC25" i="23" s="1"/>
  <c r="BC28" i="23" s="1"/>
  <c r="BB21" i="23"/>
  <c r="BB25" i="23" s="1"/>
  <c r="BB28" i="23" s="1"/>
  <c r="BA21" i="23"/>
  <c r="BA25" i="23" s="1"/>
  <c r="BA28" i="23" s="1"/>
  <c r="AZ21" i="23"/>
  <c r="AZ25" i="23" s="1"/>
  <c r="AZ28" i="23" s="1"/>
  <c r="AY21" i="23"/>
  <c r="AY25" i="23" s="1"/>
  <c r="AY28" i="23" s="1"/>
  <c r="AX21" i="23"/>
  <c r="AX25" i="23" s="1"/>
  <c r="AX28" i="23" s="1"/>
  <c r="AW21" i="23"/>
  <c r="AW25" i="23" s="1"/>
  <c r="AW28" i="23" s="1"/>
  <c r="AV21" i="23"/>
  <c r="AV25" i="23" s="1"/>
  <c r="AV28" i="23" s="1"/>
  <c r="AU21" i="23"/>
  <c r="AU25" i="23" s="1"/>
  <c r="AU28" i="23" s="1"/>
  <c r="AT21" i="23"/>
  <c r="AT25" i="23" s="1"/>
  <c r="AT28" i="23" s="1"/>
  <c r="AS21" i="23"/>
  <c r="AS25" i="23" s="1"/>
  <c r="AS28" i="23" s="1"/>
  <c r="AR21" i="23"/>
  <c r="AR25" i="23" s="1"/>
  <c r="AR28" i="23" s="1"/>
  <c r="AQ21" i="23"/>
  <c r="AQ25" i="23" s="1"/>
  <c r="AQ28" i="23" s="1"/>
  <c r="AP21" i="23"/>
  <c r="AP25" i="23" s="1"/>
  <c r="AP28" i="23" s="1"/>
  <c r="AO21" i="23"/>
  <c r="AO25" i="23" s="1"/>
  <c r="AO28" i="23" s="1"/>
  <c r="AN21" i="23"/>
  <c r="AN25" i="23" s="1"/>
  <c r="AN28" i="23" s="1"/>
  <c r="AM21" i="23"/>
  <c r="AM25" i="23" s="1"/>
  <c r="AM28" i="23" s="1"/>
  <c r="AL21" i="23"/>
  <c r="AL25" i="23" s="1"/>
  <c r="AL28" i="23" s="1"/>
  <c r="AK21" i="23"/>
  <c r="AK18" i="23"/>
  <c r="AL18" i="23" s="1"/>
  <c r="AM18" i="23" l="1"/>
  <c r="AK24" i="23"/>
  <c r="AK25" i="23"/>
  <c r="AN18" i="23" l="1"/>
  <c r="AK28" i="23"/>
  <c r="AK29" i="23" s="1"/>
  <c r="AK26" i="23"/>
  <c r="AO18" i="23" l="1"/>
  <c r="AP18" i="23" l="1"/>
  <c r="AQ18" i="23" l="1"/>
  <c r="AR18" i="23" l="1"/>
  <c r="AR16" i="23"/>
  <c r="AS18" i="23" l="1"/>
  <c r="AS16" i="23"/>
  <c r="AT16" i="23" l="1"/>
  <c r="AT18" i="23" s="1"/>
  <c r="AU16" i="23" l="1"/>
  <c r="AU18" i="23" s="1"/>
  <c r="AV16" i="23" l="1"/>
  <c r="AV18" i="23" s="1"/>
  <c r="AW16" i="23" l="1"/>
  <c r="AW18" i="23" s="1"/>
  <c r="AX16" i="23" l="1"/>
  <c r="AX18" i="23" s="1"/>
  <c r="AY16" i="23" l="1"/>
  <c r="AY18" i="23" s="1"/>
  <c r="AZ16" i="23" l="1"/>
  <c r="AZ18" i="23" s="1"/>
  <c r="BA16" i="23" l="1"/>
  <c r="BA18" i="23" s="1"/>
  <c r="BB16" i="23" l="1"/>
  <c r="BB18" i="23" s="1"/>
  <c r="BC16" i="23" l="1"/>
  <c r="BC18" i="23" s="1"/>
  <c r="BD16" i="23" l="1"/>
  <c r="BD18" i="23" s="1"/>
  <c r="BE16" i="23" l="1"/>
  <c r="BE18" i="23" s="1"/>
  <c r="A1" i="24" l="1"/>
  <c r="A1" i="20"/>
  <c r="AK5" i="23" l="1"/>
  <c r="AL16" i="24" l="1"/>
  <c r="AL15" i="24"/>
  <c r="AL14" i="24"/>
  <c r="AL3" i="24"/>
  <c r="AL4" i="24" s="1"/>
  <c r="AL13" i="24" s="1"/>
  <c r="AL2" i="24"/>
  <c r="B12" i="16" l="1"/>
  <c r="N15" i="24"/>
  <c r="N3" i="24" l="1"/>
  <c r="N2" i="24" s="1"/>
  <c r="O3" i="24"/>
  <c r="O2" i="24" s="1"/>
  <c r="P3" i="24"/>
  <c r="P2" i="24" s="1"/>
  <c r="C4" i="24"/>
  <c r="D4" i="24"/>
  <c r="E4" i="24"/>
  <c r="F4" i="24"/>
  <c r="G4" i="24"/>
  <c r="H4" i="24"/>
  <c r="I4" i="24"/>
  <c r="J4" i="24"/>
  <c r="K4" i="24"/>
  <c r="L4" i="24"/>
  <c r="M4" i="24"/>
  <c r="AA14" i="24"/>
  <c r="AB14" i="24"/>
  <c r="AC14" i="24"/>
  <c r="AD14" i="24"/>
  <c r="AE14" i="24"/>
  <c r="AF14" i="24"/>
  <c r="AG14" i="24"/>
  <c r="AH14" i="24"/>
  <c r="AI14" i="24"/>
  <c r="AJ14" i="24"/>
  <c r="AK14" i="24"/>
  <c r="AA15" i="24"/>
  <c r="AB15" i="24"/>
  <c r="AC15" i="24"/>
  <c r="AD15" i="24"/>
  <c r="AE15" i="24"/>
  <c r="AF15" i="24"/>
  <c r="AG15" i="24"/>
  <c r="AH15" i="24"/>
  <c r="AI15" i="24"/>
  <c r="AJ15" i="24"/>
  <c r="AK15" i="24"/>
  <c r="AA16" i="24"/>
  <c r="AB16" i="24"/>
  <c r="AC16" i="24"/>
  <c r="AD16" i="24"/>
  <c r="AE16" i="24"/>
  <c r="AF16" i="24"/>
  <c r="AG16" i="24"/>
  <c r="AH16" i="24"/>
  <c r="AI16" i="24"/>
  <c r="AJ16" i="24"/>
  <c r="AK16" i="24"/>
  <c r="Q3" i="24" l="1"/>
  <c r="R3" i="24" s="1"/>
  <c r="S3" i="24" s="1"/>
  <c r="T3" i="24" s="1"/>
  <c r="U3" i="24" s="1"/>
  <c r="V3" i="24" s="1"/>
  <c r="P4" i="24"/>
  <c r="O4" i="24"/>
  <c r="Q2" i="24"/>
  <c r="R2" i="24" s="1"/>
  <c r="N4" i="24"/>
  <c r="S2" i="24" l="1"/>
  <c r="R4" i="24"/>
  <c r="Q4" i="24"/>
  <c r="W3" i="24"/>
  <c r="X3" i="24" l="1"/>
  <c r="S4" i="24"/>
  <c r="T2" i="24"/>
  <c r="U2" i="24" l="1"/>
  <c r="T4" i="24"/>
  <c r="Y3" i="24"/>
  <c r="Z3" i="24" l="1"/>
  <c r="U4" i="24"/>
  <c r="V2" i="24"/>
  <c r="V4" i="24" l="1"/>
  <c r="W2" i="24"/>
  <c r="AA3" i="24"/>
  <c r="W4" i="24" l="1"/>
  <c r="X2" i="24"/>
  <c r="AB3" i="24"/>
  <c r="X4" i="24" l="1"/>
  <c r="Y2" i="24"/>
  <c r="AC3" i="24"/>
  <c r="AD3" i="24" l="1"/>
  <c r="Y4" i="24"/>
  <c r="Z2" i="24"/>
  <c r="Z4" i="24" l="1"/>
  <c r="AA2" i="24"/>
  <c r="AE3" i="24"/>
  <c r="AF3" i="24" l="1"/>
  <c r="AA4" i="24"/>
  <c r="AA13" i="24" s="1"/>
  <c r="AB2" i="24"/>
  <c r="AB4" i="24" l="1"/>
  <c r="AB13" i="24" s="1"/>
  <c r="AC2" i="24"/>
  <c r="AG3" i="24"/>
  <c r="AC4" i="24" l="1"/>
  <c r="AC13" i="24" s="1"/>
  <c r="AD2" i="24"/>
  <c r="AH3" i="24"/>
  <c r="AI3" i="24" l="1"/>
  <c r="AD4" i="24"/>
  <c r="AD13" i="24" s="1"/>
  <c r="AE2" i="24"/>
  <c r="AE4" i="24" l="1"/>
  <c r="AE13" i="24" s="1"/>
  <c r="AF2" i="24"/>
  <c r="AJ3" i="24"/>
  <c r="AK3" i="24" l="1"/>
  <c r="AF4" i="24"/>
  <c r="AF13" i="24" s="1"/>
  <c r="AG2" i="24"/>
  <c r="AG4" i="24" l="1"/>
  <c r="AG13" i="24" s="1"/>
  <c r="AH2" i="24"/>
  <c r="AH4" i="24" l="1"/>
  <c r="AH13" i="24" s="1"/>
  <c r="AI2" i="24"/>
  <c r="AI4" i="24" l="1"/>
  <c r="AI13" i="24" s="1"/>
  <c r="AJ2" i="24"/>
  <c r="AJ4" i="24" l="1"/>
  <c r="AJ13" i="24" s="1"/>
  <c r="AK2" i="24"/>
  <c r="AK4" i="24" s="1"/>
  <c r="AK13" i="24" s="1"/>
  <c r="Z16" i="24" l="1"/>
  <c r="Z15" i="24"/>
  <c r="Z14" i="24"/>
  <c r="AL16" i="25"/>
  <c r="AL15" i="25"/>
  <c r="AL14" i="25"/>
  <c r="AK9" i="21"/>
  <c r="AJ9" i="21"/>
  <c r="AI9" i="21"/>
  <c r="AH9" i="21"/>
  <c r="AG9" i="21"/>
  <c r="AF9" i="21"/>
  <c r="AE9" i="21"/>
  <c r="AD9" i="21"/>
  <c r="AC9" i="21"/>
  <c r="AB9" i="21"/>
  <c r="AA9" i="21"/>
  <c r="Z9" i="21"/>
  <c r="Y9" i="21"/>
  <c r="AK9" i="20"/>
  <c r="AK16" i="25"/>
  <c r="AK15" i="25"/>
  <c r="AK14" i="25"/>
  <c r="AJ16" i="25"/>
  <c r="AI16" i="25"/>
  <c r="AH16" i="25"/>
  <c r="AG16" i="25"/>
  <c r="AF16" i="25"/>
  <c r="AE16" i="25"/>
  <c r="AD16" i="25"/>
  <c r="AC16" i="25"/>
  <c r="AB16" i="25"/>
  <c r="AA16" i="25"/>
  <c r="Z16" i="25"/>
  <c r="AJ15" i="25"/>
  <c r="AI15" i="25"/>
  <c r="AH15" i="25"/>
  <c r="AG15" i="25"/>
  <c r="AF15" i="25"/>
  <c r="AE15" i="25"/>
  <c r="AD15" i="25"/>
  <c r="AC15" i="25"/>
  <c r="AB15" i="25"/>
  <c r="AA15" i="25"/>
  <c r="Z15" i="25"/>
  <c r="AJ14" i="25"/>
  <c r="AI14" i="25"/>
  <c r="AH14" i="25"/>
  <c r="AG14" i="25"/>
  <c r="AF14" i="25"/>
  <c r="AE14" i="25"/>
  <c r="AD14" i="25"/>
  <c r="AC14" i="25"/>
  <c r="AB14" i="25"/>
  <c r="AA14" i="25"/>
  <c r="Z14" i="25"/>
  <c r="AJ9" i="20"/>
  <c r="AI9" i="20"/>
  <c r="AH9" i="20"/>
  <c r="AG9" i="20"/>
  <c r="AF9" i="20"/>
  <c r="AE9" i="20"/>
  <c r="AD9" i="20"/>
  <c r="AC9" i="20"/>
  <c r="AB9" i="20"/>
  <c r="AA9" i="20"/>
  <c r="Z9" i="20"/>
  <c r="Y9" i="20"/>
  <c r="BE6" i="23"/>
  <c r="BE8" i="23" s="1"/>
  <c r="BE10" i="23" s="1"/>
  <c r="BD6" i="23"/>
  <c r="BD8" i="23" s="1"/>
  <c r="BD10" i="23" s="1"/>
  <c r="BC6" i="23"/>
  <c r="BC8" i="23" s="1"/>
  <c r="BC10" i="23" s="1"/>
  <c r="BB6" i="23"/>
  <c r="BB8" i="23" s="1"/>
  <c r="BB10" i="23" s="1"/>
  <c r="BA6" i="23"/>
  <c r="BA8" i="23" s="1"/>
  <c r="BA10" i="23" s="1"/>
  <c r="AZ6" i="23"/>
  <c r="AZ8" i="23" s="1"/>
  <c r="AZ10" i="23" s="1"/>
  <c r="AY6" i="23"/>
  <c r="AY8" i="23" s="1"/>
  <c r="AY10" i="23" s="1"/>
  <c r="AX6" i="23"/>
  <c r="AX8" i="23" s="1"/>
  <c r="AX10" i="23" s="1"/>
  <c r="AW6" i="23"/>
  <c r="AW8" i="23" s="1"/>
  <c r="AW10" i="23" s="1"/>
  <c r="AV6" i="23"/>
  <c r="AV8" i="23" s="1"/>
  <c r="AV10" i="23" s="1"/>
  <c r="AU6" i="23"/>
  <c r="AU8" i="23" s="1"/>
  <c r="AU10" i="23" s="1"/>
  <c r="AT6" i="23"/>
  <c r="AT8" i="23" s="1"/>
  <c r="AT10" i="23" s="1"/>
  <c r="AS6" i="23"/>
  <c r="AS8" i="23" s="1"/>
  <c r="AS10" i="23" s="1"/>
  <c r="AR6" i="23"/>
  <c r="AR8" i="23" s="1"/>
  <c r="AR10" i="23" s="1"/>
  <c r="AQ6" i="23"/>
  <c r="AQ8" i="23" s="1"/>
  <c r="AQ10" i="23" s="1"/>
  <c r="AP6" i="23"/>
  <c r="AP8" i="23" s="1"/>
  <c r="AP10" i="23" s="1"/>
  <c r="AO6" i="23"/>
  <c r="AO8" i="23" s="1"/>
  <c r="AO10" i="23" s="1"/>
  <c r="AN6" i="23"/>
  <c r="AN8" i="23" s="1"/>
  <c r="AN10" i="23" s="1"/>
  <c r="AM6" i="23"/>
  <c r="AM8" i="23" s="1"/>
  <c r="AM10" i="23" s="1"/>
  <c r="AL6" i="23"/>
  <c r="AL8" i="23" s="1"/>
  <c r="AL10" i="23" s="1"/>
  <c r="AK6" i="23"/>
  <c r="AK8" i="23" l="1"/>
  <c r="AK7" i="23"/>
  <c r="Z13" i="24"/>
  <c r="AK10" i="23" l="1"/>
  <c r="AK11" i="23" s="1"/>
  <c r="AK9" i="23"/>
  <c r="B10" i="16"/>
  <c r="AL1" i="23" s="1"/>
  <c r="T9" i="21"/>
  <c r="U9" i="21"/>
  <c r="V9" i="21"/>
  <c r="W9" i="21"/>
  <c r="X9" i="21"/>
  <c r="T9" i="20"/>
  <c r="U9" i="20"/>
  <c r="V9" i="20"/>
  <c r="W9" i="20"/>
  <c r="X9" i="20"/>
  <c r="U14" i="24"/>
  <c r="V14" i="24"/>
  <c r="W14" i="24"/>
  <c r="X14" i="24"/>
  <c r="Y14" i="24"/>
  <c r="U15" i="24"/>
  <c r="V15" i="24"/>
  <c r="W15" i="24"/>
  <c r="X15" i="24"/>
  <c r="Y15" i="24"/>
  <c r="U16" i="24"/>
  <c r="V16" i="24"/>
  <c r="W16" i="24"/>
  <c r="X16" i="24"/>
  <c r="Y16" i="24"/>
  <c r="U14" i="25"/>
  <c r="V14" i="25"/>
  <c r="W14" i="25"/>
  <c r="X14" i="25"/>
  <c r="Y14" i="25"/>
  <c r="U15" i="25"/>
  <c r="V15" i="25"/>
  <c r="W15" i="25"/>
  <c r="X15" i="25"/>
  <c r="Y15" i="25"/>
  <c r="U16" i="25"/>
  <c r="V16" i="25"/>
  <c r="W16" i="25"/>
  <c r="X16" i="25"/>
  <c r="Y16" i="25"/>
  <c r="AF6" i="23"/>
  <c r="B11" i="16"/>
  <c r="AQ1" i="23" l="1"/>
  <c r="C1" i="23"/>
  <c r="AO1" i="23"/>
  <c r="S1" i="23"/>
  <c r="B1" i="23"/>
  <c r="R1" i="23"/>
  <c r="Q1" i="23"/>
  <c r="BD1" i="23"/>
  <c r="AF1" i="23"/>
  <c r="L1" i="23"/>
  <c r="AV1" i="23"/>
  <c r="AA1" i="23"/>
  <c r="AP1" i="23"/>
  <c r="AB1" i="23"/>
  <c r="G1" i="23"/>
  <c r="AT1" i="23"/>
  <c r="Y1" i="23"/>
  <c r="E1" i="23"/>
  <c r="AR1" i="23"/>
  <c r="D1" i="23"/>
  <c r="W1" i="23"/>
  <c r="AK1" i="23"/>
  <c r="AJ1" i="23"/>
  <c r="BC1" i="23"/>
  <c r="O1" i="23"/>
  <c r="BB1" i="23"/>
  <c r="BA1" i="23"/>
  <c r="M1" i="23"/>
  <c r="AZ1" i="23"/>
  <c r="AX1" i="23"/>
  <c r="AD1" i="23"/>
  <c r="J1" i="23"/>
  <c r="H1" i="23"/>
  <c r="AU1" i="23"/>
  <c r="U13" i="24"/>
  <c r="D12" i="16"/>
  <c r="B13" i="16" s="1"/>
  <c r="AM1" i="23" s="1"/>
  <c r="B6" i="23"/>
  <c r="B8" i="23" s="1"/>
  <c r="C6" i="23"/>
  <c r="C8" i="23" s="1"/>
  <c r="K9" i="21"/>
  <c r="L9" i="21"/>
  <c r="M9" i="21"/>
  <c r="N9" i="21"/>
  <c r="O9" i="21"/>
  <c r="P9" i="21"/>
  <c r="Q9" i="21"/>
  <c r="R9" i="21"/>
  <c r="S9" i="21"/>
  <c r="M3" i="21"/>
  <c r="K4" i="21"/>
  <c r="L4" i="21"/>
  <c r="J4" i="21"/>
  <c r="K9" i="20"/>
  <c r="L9" i="20"/>
  <c r="M9" i="20"/>
  <c r="N9" i="20"/>
  <c r="O9" i="20"/>
  <c r="P9" i="20"/>
  <c r="Q9" i="20"/>
  <c r="R9" i="20"/>
  <c r="S9" i="20"/>
  <c r="K4" i="20"/>
  <c r="L4" i="20"/>
  <c r="L4" i="25"/>
  <c r="L13" i="25" s="1"/>
  <c r="M4" i="25"/>
  <c r="M13" i="25" s="1"/>
  <c r="L14" i="25"/>
  <c r="M14" i="25"/>
  <c r="L15" i="25"/>
  <c r="M15" i="25"/>
  <c r="L16" i="25"/>
  <c r="M16" i="25"/>
  <c r="C14" i="25"/>
  <c r="G14" i="25"/>
  <c r="K14" i="25"/>
  <c r="I15" i="25"/>
  <c r="C16" i="25"/>
  <c r="E16" i="25"/>
  <c r="F16" i="25"/>
  <c r="G16" i="25"/>
  <c r="I16" i="25"/>
  <c r="K16" i="25"/>
  <c r="A1" i="21"/>
  <c r="A1" i="25"/>
  <c r="M3" i="20"/>
  <c r="M2" i="20" s="1"/>
  <c r="N3" i="25"/>
  <c r="O3" i="25" s="1"/>
  <c r="P3" i="25" s="1"/>
  <c r="N13" i="24"/>
  <c r="F14" i="24"/>
  <c r="J14" i="24"/>
  <c r="G15" i="24"/>
  <c r="H15" i="24"/>
  <c r="I15" i="24"/>
  <c r="M15" i="24"/>
  <c r="F15" i="24"/>
  <c r="J15" i="24"/>
  <c r="J16" i="24"/>
  <c r="K16" i="24"/>
  <c r="G14" i="24"/>
  <c r="K14" i="24"/>
  <c r="K15" i="24"/>
  <c r="E16" i="24"/>
  <c r="I16" i="24"/>
  <c r="M16" i="24"/>
  <c r="AH6" i="23"/>
  <c r="AH8" i="23" s="1"/>
  <c r="AJ6" i="23"/>
  <c r="AJ8" i="23" s="1"/>
  <c r="AI6" i="23"/>
  <c r="AI8" i="23" s="1"/>
  <c r="F9" i="21"/>
  <c r="G9" i="21"/>
  <c r="H9" i="21"/>
  <c r="I9" i="21"/>
  <c r="J9" i="21"/>
  <c r="B9" i="21"/>
  <c r="C9" i="21"/>
  <c r="D9" i="21"/>
  <c r="F4" i="21"/>
  <c r="G4" i="21"/>
  <c r="H4" i="21"/>
  <c r="I4" i="21"/>
  <c r="F9" i="20"/>
  <c r="G9" i="20"/>
  <c r="H9" i="20"/>
  <c r="I9" i="20"/>
  <c r="J9" i="20"/>
  <c r="F4" i="20"/>
  <c r="G4" i="20"/>
  <c r="H4" i="20"/>
  <c r="I4" i="20"/>
  <c r="J4" i="20"/>
  <c r="H14" i="25"/>
  <c r="I14" i="25"/>
  <c r="J14" i="25"/>
  <c r="G15" i="25"/>
  <c r="H15" i="25"/>
  <c r="J15" i="25"/>
  <c r="K15" i="25"/>
  <c r="H16" i="25"/>
  <c r="J16" i="25"/>
  <c r="G4" i="25"/>
  <c r="G13" i="25" s="1"/>
  <c r="H4" i="25"/>
  <c r="H13" i="25" s="1"/>
  <c r="I4" i="25"/>
  <c r="I13" i="25" s="1"/>
  <c r="J4" i="25"/>
  <c r="J13" i="25" s="1"/>
  <c r="K4" i="25"/>
  <c r="K13" i="25" s="1"/>
  <c r="E15" i="25"/>
  <c r="F15" i="25"/>
  <c r="D16" i="25"/>
  <c r="I14" i="24"/>
  <c r="L14" i="24"/>
  <c r="M14" i="24"/>
  <c r="L15" i="24"/>
  <c r="L16" i="24"/>
  <c r="I13" i="24"/>
  <c r="J13" i="24"/>
  <c r="K13" i="24"/>
  <c r="L13" i="24"/>
  <c r="M13" i="24"/>
  <c r="H14" i="24"/>
  <c r="H16" i="24"/>
  <c r="D15" i="24"/>
  <c r="B4" i="21"/>
  <c r="C4" i="21"/>
  <c r="D4" i="21"/>
  <c r="E4" i="21"/>
  <c r="E15" i="24"/>
  <c r="F16" i="24"/>
  <c r="B4" i="20"/>
  <c r="C4" i="20"/>
  <c r="D4" i="20"/>
  <c r="E4" i="20"/>
  <c r="B9" i="20"/>
  <c r="C9" i="20"/>
  <c r="D9" i="20"/>
  <c r="E9" i="20"/>
  <c r="D14" i="24"/>
  <c r="E14" i="24"/>
  <c r="D16" i="24"/>
  <c r="G16" i="24"/>
  <c r="C13" i="24"/>
  <c r="D13" i="24"/>
  <c r="E13" i="24"/>
  <c r="F13" i="24"/>
  <c r="G13" i="24"/>
  <c r="H13" i="24"/>
  <c r="C4" i="25"/>
  <c r="D4" i="25"/>
  <c r="D13" i="25" s="1"/>
  <c r="E4" i="25"/>
  <c r="E13" i="25" s="1"/>
  <c r="F4" i="25"/>
  <c r="F13" i="25" s="1"/>
  <c r="E9" i="21"/>
  <c r="D15" i="25"/>
  <c r="F14" i="25"/>
  <c r="E14" i="25"/>
  <c r="D14" i="25"/>
  <c r="B10" i="23" l="1"/>
  <c r="B11" i="23" s="1"/>
  <c r="B9" i="23"/>
  <c r="C10" i="23"/>
  <c r="C11" i="23" s="1"/>
  <c r="C9" i="23"/>
  <c r="AI10" i="23"/>
  <c r="AI11" i="23" s="1"/>
  <c r="AI9" i="23"/>
  <c r="AH10" i="23"/>
  <c r="AH11" i="23" s="1"/>
  <c r="AH9" i="23"/>
  <c r="AJ10" i="23"/>
  <c r="AJ11" i="23" s="1"/>
  <c r="AJ9" i="23"/>
  <c r="B7" i="23"/>
  <c r="C7" i="23"/>
  <c r="M4" i="20"/>
  <c r="L5" i="23"/>
  <c r="J5" i="23"/>
  <c r="M5" i="23"/>
  <c r="K5" i="23"/>
  <c r="G5" i="23"/>
  <c r="F5" i="23"/>
  <c r="I5" i="23"/>
  <c r="E5" i="23"/>
  <c r="H5" i="23"/>
  <c r="D5" i="23"/>
  <c r="C5" i="23"/>
  <c r="B5" i="23"/>
  <c r="C13" i="25"/>
  <c r="AG1" i="23"/>
  <c r="BE1" i="23"/>
  <c r="AH1" i="23"/>
  <c r="AC1" i="23"/>
  <c r="U1" i="23"/>
  <c r="AI1" i="23"/>
  <c r="AW1" i="23"/>
  <c r="V1" i="23"/>
  <c r="P1" i="23"/>
  <c r="K1" i="23"/>
  <c r="AS1" i="23"/>
  <c r="D13" i="16"/>
  <c r="I1" i="23"/>
  <c r="AE1" i="23"/>
  <c r="F1" i="23"/>
  <c r="T1" i="23"/>
  <c r="AY1" i="23"/>
  <c r="AN1" i="23"/>
  <c r="N1" i="23"/>
  <c r="Z1" i="23"/>
  <c r="X1" i="23"/>
  <c r="V13" i="24"/>
  <c r="M2" i="21"/>
  <c r="M4" i="21" s="1"/>
  <c r="N3" i="21"/>
  <c r="N3" i="20"/>
  <c r="N2" i="25"/>
  <c r="N4" i="25" s="1"/>
  <c r="C15" i="25"/>
  <c r="Q3" i="25"/>
  <c r="O2" i="25"/>
  <c r="T16" i="24"/>
  <c r="T14" i="24"/>
  <c r="S16" i="24"/>
  <c r="S14" i="24"/>
  <c r="T13" i="24"/>
  <c r="S13" i="24"/>
  <c r="N14" i="24"/>
  <c r="N16" i="24"/>
  <c r="O13" i="24"/>
  <c r="N13" i="25" l="1"/>
  <c r="W13" i="24"/>
  <c r="O3" i="21"/>
  <c r="N2" i="21"/>
  <c r="N4" i="21"/>
  <c r="O3" i="20"/>
  <c r="N2" i="20"/>
  <c r="O2" i="20" s="1"/>
  <c r="P2" i="25"/>
  <c r="Q2" i="25" s="1"/>
  <c r="Q4" i="25" s="1"/>
  <c r="Q13" i="25" s="1"/>
  <c r="O14" i="25"/>
  <c r="O16" i="25"/>
  <c r="N16" i="25"/>
  <c r="N14" i="25"/>
  <c r="O4" i="25"/>
  <c r="O13" i="25" s="1"/>
  <c r="R3" i="25"/>
  <c r="S15" i="24"/>
  <c r="T15" i="24"/>
  <c r="P14" i="24"/>
  <c r="P13" i="24"/>
  <c r="P16" i="24"/>
  <c r="O16" i="24"/>
  <c r="O14" i="24"/>
  <c r="P15" i="24"/>
  <c r="Q13" i="24"/>
  <c r="O15" i="24"/>
  <c r="C16" i="24"/>
  <c r="X13" i="24" l="1"/>
  <c r="P3" i="21"/>
  <c r="O2" i="21"/>
  <c r="O4" i="21" s="1"/>
  <c r="N4" i="20"/>
  <c r="O4" i="20"/>
  <c r="P3" i="20"/>
  <c r="Q14" i="25"/>
  <c r="Q16" i="25"/>
  <c r="N15" i="25"/>
  <c r="O15" i="25"/>
  <c r="P14" i="25"/>
  <c r="P16" i="25"/>
  <c r="P4" i="25"/>
  <c r="S3" i="25"/>
  <c r="R2" i="25"/>
  <c r="R4" i="25" s="1"/>
  <c r="Q14" i="24"/>
  <c r="Q16" i="24"/>
  <c r="C15" i="24"/>
  <c r="C14" i="24"/>
  <c r="O5" i="23" l="1"/>
  <c r="N5" i="23"/>
  <c r="R13" i="25"/>
  <c r="P13" i="25"/>
  <c r="Y13" i="24"/>
  <c r="Q3" i="21"/>
  <c r="P2" i="21"/>
  <c r="P4" i="21"/>
  <c r="P2" i="20"/>
  <c r="P4" i="20" s="1"/>
  <c r="Q3" i="20"/>
  <c r="R16" i="25"/>
  <c r="R14" i="25"/>
  <c r="P15" i="25"/>
  <c r="Q15" i="25"/>
  <c r="T3" i="25"/>
  <c r="U3" i="25" s="1"/>
  <c r="S2" i="25"/>
  <c r="S4" i="25" s="1"/>
  <c r="R14" i="24"/>
  <c r="R16" i="24"/>
  <c r="R13" i="24"/>
  <c r="Q15" i="24"/>
  <c r="A1" i="31"/>
  <c r="C13" i="30"/>
  <c r="C14" i="30" s="1"/>
  <c r="D3" i="31" s="1"/>
  <c r="E13" i="30"/>
  <c r="C7" i="29"/>
  <c r="G12" i="30" s="1"/>
  <c r="E12" i="30"/>
  <c r="D12" i="30"/>
  <c r="E11" i="30"/>
  <c r="D11" i="30"/>
  <c r="E10" i="30"/>
  <c r="D10" i="30"/>
  <c r="E9" i="30"/>
  <c r="D9" i="30"/>
  <c r="E8" i="30"/>
  <c r="D8" i="30"/>
  <c r="E7" i="30"/>
  <c r="D7" i="30"/>
  <c r="D6" i="30"/>
  <c r="D5" i="30"/>
  <c r="I7" i="29"/>
  <c r="I5" i="29"/>
  <c r="G8" i="30"/>
  <c r="D6" i="23"/>
  <c r="E6" i="23"/>
  <c r="F6" i="23"/>
  <c r="G6" i="23"/>
  <c r="H6" i="23"/>
  <c r="I6" i="23"/>
  <c r="V6" i="23"/>
  <c r="V8" i="23" s="1"/>
  <c r="V9" i="23" s="1"/>
  <c r="W6" i="23"/>
  <c r="W8" i="23" s="1"/>
  <c r="W9" i="23" s="1"/>
  <c r="X6" i="23"/>
  <c r="X8" i="23" s="1"/>
  <c r="X9" i="23" s="1"/>
  <c r="Y6" i="23"/>
  <c r="Y8" i="23" s="1"/>
  <c r="Y9" i="23" s="1"/>
  <c r="Z6" i="23"/>
  <c r="Z8" i="23" s="1"/>
  <c r="Z9" i="23" s="1"/>
  <c r="AA6" i="23"/>
  <c r="AA8" i="23" s="1"/>
  <c r="AA9" i="23" s="1"/>
  <c r="AB6" i="23"/>
  <c r="AB8" i="23" s="1"/>
  <c r="AB9" i="23" s="1"/>
  <c r="AC6" i="23"/>
  <c r="AC8" i="23" s="1"/>
  <c r="AC9" i="23" s="1"/>
  <c r="AD6" i="23"/>
  <c r="AD8" i="23" s="1"/>
  <c r="AD9" i="23" s="1"/>
  <c r="AE6" i="23"/>
  <c r="AE8" i="23" s="1"/>
  <c r="AE9" i="23" s="1"/>
  <c r="AF8" i="23"/>
  <c r="AF9" i="23" s="1"/>
  <c r="AG6" i="23"/>
  <c r="AG8" i="23" s="1"/>
  <c r="AG9" i="23" s="1"/>
  <c r="K6" i="23"/>
  <c r="L6" i="23"/>
  <c r="M6" i="23"/>
  <c r="N6" i="23"/>
  <c r="O6" i="23"/>
  <c r="O8" i="23" s="1"/>
  <c r="O9" i="23" s="1"/>
  <c r="P6" i="23"/>
  <c r="P8" i="23" s="1"/>
  <c r="Q6" i="23"/>
  <c r="Q8" i="23" s="1"/>
  <c r="R6" i="23"/>
  <c r="R8" i="23" s="1"/>
  <c r="R9" i="23" s="1"/>
  <c r="S6" i="23"/>
  <c r="S8" i="23" s="1"/>
  <c r="S9" i="23" s="1"/>
  <c r="T6" i="23"/>
  <c r="T8" i="23" s="1"/>
  <c r="T9" i="23" s="1"/>
  <c r="U6" i="23"/>
  <c r="U8" i="23" s="1"/>
  <c r="U9" i="23" s="1"/>
  <c r="J6" i="23"/>
  <c r="Q10" i="23" l="1"/>
  <c r="Q11" i="23" s="1"/>
  <c r="Q9" i="23"/>
  <c r="P10" i="23"/>
  <c r="P11" i="23" s="1"/>
  <c r="P9" i="23"/>
  <c r="AD10" i="23"/>
  <c r="AD11" i="23" s="1"/>
  <c r="AB10" i="23"/>
  <c r="AB11" i="23" s="1"/>
  <c r="AC10" i="23"/>
  <c r="AC11" i="23" s="1"/>
  <c r="Z10" i="23"/>
  <c r="Z11" i="23" s="1"/>
  <c r="Y10" i="23"/>
  <c r="Y11" i="23" s="1"/>
  <c r="X10" i="23"/>
  <c r="X11" i="23" s="1"/>
  <c r="W10" i="23"/>
  <c r="W11" i="23" s="1"/>
  <c r="S10" i="23"/>
  <c r="S11" i="23" s="1"/>
  <c r="V10" i="23"/>
  <c r="V11" i="23" s="1"/>
  <c r="R10" i="23"/>
  <c r="R11" i="23" s="1"/>
  <c r="I8" i="23"/>
  <c r="I9" i="23" s="1"/>
  <c r="I7" i="23"/>
  <c r="H8" i="23"/>
  <c r="H9" i="23" s="1"/>
  <c r="H7" i="23"/>
  <c r="G8" i="23"/>
  <c r="G9" i="23" s="1"/>
  <c r="G7" i="23"/>
  <c r="F8" i="23"/>
  <c r="F9" i="23" s="1"/>
  <c r="F7" i="23"/>
  <c r="N8" i="23"/>
  <c r="N9" i="23" s="1"/>
  <c r="N7" i="23"/>
  <c r="E8" i="23"/>
  <c r="E9" i="23" s="1"/>
  <c r="E7" i="23"/>
  <c r="M8" i="23"/>
  <c r="M9" i="23" s="1"/>
  <c r="M7" i="23"/>
  <c r="D8" i="23"/>
  <c r="D9" i="23" s="1"/>
  <c r="D7" i="23"/>
  <c r="L8" i="23"/>
  <c r="L9" i="23" s="1"/>
  <c r="L7" i="23"/>
  <c r="K8" i="23"/>
  <c r="K9" i="23" s="1"/>
  <c r="K7" i="23"/>
  <c r="AG10" i="23"/>
  <c r="AG11" i="23" s="1"/>
  <c r="O7" i="23"/>
  <c r="AA10" i="23"/>
  <c r="AA11" i="23" s="1"/>
  <c r="J8" i="23"/>
  <c r="J9" i="23" s="1"/>
  <c r="J7" i="23"/>
  <c r="U10" i="23"/>
  <c r="U11" i="23" s="1"/>
  <c r="T10" i="23"/>
  <c r="T11" i="23" s="1"/>
  <c r="AF10" i="23"/>
  <c r="AF11" i="23" s="1"/>
  <c r="AE10" i="23"/>
  <c r="AE11" i="23" s="1"/>
  <c r="P7" i="23"/>
  <c r="P5" i="23"/>
  <c r="S13" i="25"/>
  <c r="V3" i="25"/>
  <c r="O10" i="23"/>
  <c r="O11" i="23" s="1"/>
  <c r="R3" i="21"/>
  <c r="Q2" i="21"/>
  <c r="Q4" i="21" s="1"/>
  <c r="Q2" i="20"/>
  <c r="Q4" i="20" s="1"/>
  <c r="R3" i="20"/>
  <c r="S14" i="25"/>
  <c r="S16" i="25"/>
  <c r="T2" i="25"/>
  <c r="T4" i="25" s="1"/>
  <c r="T13" i="25" s="1"/>
  <c r="R15" i="25"/>
  <c r="R15" i="24"/>
  <c r="I9" i="29"/>
  <c r="C15" i="30"/>
  <c r="E14" i="30"/>
  <c r="M10" i="23" l="1"/>
  <c r="M11" i="23" s="1"/>
  <c r="D10" i="23"/>
  <c r="D11" i="23" s="1"/>
  <c r="E10" i="23"/>
  <c r="E11" i="23" s="1"/>
  <c r="F10" i="23"/>
  <c r="F11" i="23" s="1"/>
  <c r="G10" i="23"/>
  <c r="G11" i="23" s="1"/>
  <c r="J10" i="23"/>
  <c r="J11" i="23" s="1"/>
  <c r="K10" i="23"/>
  <c r="K11" i="23" s="1"/>
  <c r="H10" i="23"/>
  <c r="H11" i="23" s="1"/>
  <c r="L10" i="23"/>
  <c r="L11" i="23" s="1"/>
  <c r="N10" i="23"/>
  <c r="N11" i="23" s="1"/>
  <c r="I10" i="23"/>
  <c r="I11" i="23" s="1"/>
  <c r="Q7" i="23"/>
  <c r="Q5" i="23"/>
  <c r="W3" i="25"/>
  <c r="U2" i="25"/>
  <c r="U4" i="25" s="1"/>
  <c r="S3" i="21"/>
  <c r="R2" i="21"/>
  <c r="R4" i="21" s="1"/>
  <c r="R2" i="20"/>
  <c r="R4" i="20" s="1"/>
  <c r="S3" i="20"/>
  <c r="T3" i="20" s="1"/>
  <c r="S15" i="25"/>
  <c r="T14" i="25"/>
  <c r="T16" i="25"/>
  <c r="C16" i="30"/>
  <c r="E15" i="30"/>
  <c r="F14" i="30"/>
  <c r="B3" i="31"/>
  <c r="T3" i="21" l="1"/>
  <c r="R5" i="23"/>
  <c r="T2" i="20"/>
  <c r="T4" i="20" s="1"/>
  <c r="U3" i="20"/>
  <c r="U13" i="25"/>
  <c r="V2" i="25"/>
  <c r="V4" i="25" s="1"/>
  <c r="V13" i="25" s="1"/>
  <c r="X3" i="25"/>
  <c r="S2" i="21"/>
  <c r="S4" i="21" s="1"/>
  <c r="S2" i="20"/>
  <c r="S4" i="20" s="1"/>
  <c r="T15" i="25"/>
  <c r="E16" i="30"/>
  <c r="C17" i="30"/>
  <c r="T2" i="21" l="1"/>
  <c r="T4" i="21" s="1"/>
  <c r="U3" i="21"/>
  <c r="U2" i="20"/>
  <c r="U4" i="20" s="1"/>
  <c r="V3" i="20"/>
  <c r="Y3" i="25"/>
  <c r="W2" i="25"/>
  <c r="W4" i="25" s="1"/>
  <c r="E17" i="30"/>
  <c r="C18" i="30"/>
  <c r="V3" i="21" l="1"/>
  <c r="U2" i="21"/>
  <c r="U4" i="21" s="1"/>
  <c r="W3" i="20"/>
  <c r="X3" i="20" s="1"/>
  <c r="V2" i="20"/>
  <c r="W2" i="20" s="1"/>
  <c r="W4" i="20" s="1"/>
  <c r="W13" i="25"/>
  <c r="X2" i="25"/>
  <c r="X4" i="25" s="1"/>
  <c r="Z3" i="25"/>
  <c r="Y2" i="25"/>
  <c r="Y4" i="25"/>
  <c r="Y13" i="25" s="1"/>
  <c r="E18" i="30"/>
  <c r="C19" i="30"/>
  <c r="W3" i="21" l="1"/>
  <c r="X3" i="21" s="1"/>
  <c r="V2" i="21"/>
  <c r="W2" i="21" s="1"/>
  <c r="W4" i="21" s="1"/>
  <c r="V4" i="20"/>
  <c r="X2" i="20"/>
  <c r="Y3" i="20"/>
  <c r="X4" i="20"/>
  <c r="AA3" i="25"/>
  <c r="Z2" i="25"/>
  <c r="Z4" i="25" s="1"/>
  <c r="Z13" i="25" s="1"/>
  <c r="X13" i="25"/>
  <c r="E19" i="30"/>
  <c r="C20" i="30"/>
  <c r="V4" i="21" l="1"/>
  <c r="Y3" i="21"/>
  <c r="X2" i="21"/>
  <c r="X4" i="21" s="1"/>
  <c r="Y4" i="20"/>
  <c r="Z3" i="20"/>
  <c r="AA2" i="25"/>
  <c r="AB3" i="25"/>
  <c r="AA4" i="25"/>
  <c r="E20" i="30"/>
  <c r="C21" i="30"/>
  <c r="Y2" i="21" l="1"/>
  <c r="Y4" i="21" s="1"/>
  <c r="Z3" i="21"/>
  <c r="Z2" i="20"/>
  <c r="Z4" i="20" s="1"/>
  <c r="AA3" i="20"/>
  <c r="AA13" i="25"/>
  <c r="AC3" i="25"/>
  <c r="AB2" i="25"/>
  <c r="AB4" i="25" s="1"/>
  <c r="E21" i="30"/>
  <c r="C22" i="30"/>
  <c r="AA3" i="21" l="1"/>
  <c r="Z2" i="21"/>
  <c r="Z4" i="21" s="1"/>
  <c r="AA2" i="20"/>
  <c r="AA4" i="20"/>
  <c r="AB3" i="20"/>
  <c r="AB13" i="25"/>
  <c r="AD3" i="25"/>
  <c r="AC2" i="25"/>
  <c r="AC4" i="25" s="1"/>
  <c r="AC13" i="25" s="1"/>
  <c r="E22" i="30"/>
  <c r="C23" i="30"/>
  <c r="AA2" i="21" l="1"/>
  <c r="AA4" i="21" s="1"/>
  <c r="AB3" i="21"/>
  <c r="AB2" i="20"/>
  <c r="AC3" i="20"/>
  <c r="AB4" i="20"/>
  <c r="AE3" i="25"/>
  <c r="AD2" i="25"/>
  <c r="AD4" i="25" s="1"/>
  <c r="AD13" i="25" s="1"/>
  <c r="E23" i="30"/>
  <c r="C24" i="30"/>
  <c r="AC3" i="21" l="1"/>
  <c r="AB2" i="21"/>
  <c r="AB4" i="21" s="1"/>
  <c r="AC2" i="20"/>
  <c r="AD3" i="20"/>
  <c r="AC4" i="20"/>
  <c r="AE2" i="25"/>
  <c r="AE4" i="25" s="1"/>
  <c r="AE13" i="25" s="1"/>
  <c r="AF3" i="25"/>
  <c r="E24" i="30"/>
  <c r="C25" i="30"/>
  <c r="AD3" i="21" l="1"/>
  <c r="AC2" i="21"/>
  <c r="AC4" i="21" s="1"/>
  <c r="AD2" i="20"/>
  <c r="AD4" i="20"/>
  <c r="AE3" i="20"/>
  <c r="AF2" i="25"/>
  <c r="AF4" i="25"/>
  <c r="AF13" i="25" s="1"/>
  <c r="AG3" i="25"/>
  <c r="E25" i="30"/>
  <c r="C26" i="30"/>
  <c r="AD2" i="21" l="1"/>
  <c r="AE3" i="21"/>
  <c r="AD4" i="21"/>
  <c r="AF3" i="20"/>
  <c r="AE2" i="20"/>
  <c r="AE4" i="20" s="1"/>
  <c r="AG2" i="25"/>
  <c r="AG4" i="25"/>
  <c r="AG13" i="25" s="1"/>
  <c r="AH3" i="25"/>
  <c r="C27" i="30"/>
  <c r="D4" i="31"/>
  <c r="C4" i="31" s="1"/>
  <c r="E26" i="30"/>
  <c r="AF3" i="21" l="1"/>
  <c r="AE2" i="21"/>
  <c r="AE4" i="21" s="1"/>
  <c r="AG3" i="20"/>
  <c r="AF2" i="20"/>
  <c r="AF4" i="20" s="1"/>
  <c r="AI3" i="25"/>
  <c r="AH2" i="25"/>
  <c r="AH4" i="25" s="1"/>
  <c r="AH13" i="25" s="1"/>
  <c r="F26" i="30"/>
  <c r="B4" i="31"/>
  <c r="C28" i="30"/>
  <c r="E27" i="30"/>
  <c r="AF2" i="21" l="1"/>
  <c r="AF4" i="21" s="1"/>
  <c r="AG3" i="21"/>
  <c r="AH3" i="20"/>
  <c r="AG2" i="20"/>
  <c r="AG4" i="20"/>
  <c r="AI2" i="25"/>
  <c r="AI4" i="25" s="1"/>
  <c r="AI13" i="25" s="1"/>
  <c r="AJ3" i="25"/>
  <c r="C29" i="30"/>
  <c r="E28" i="30"/>
  <c r="AG4" i="21" l="1"/>
  <c r="AG2" i="21"/>
  <c r="AH3" i="21"/>
  <c r="AI3" i="20"/>
  <c r="AH2" i="20"/>
  <c r="AH4" i="20" s="1"/>
  <c r="AK3" i="25"/>
  <c r="AJ2" i="25"/>
  <c r="AJ4" i="25" s="1"/>
  <c r="AJ13" i="25" s="1"/>
  <c r="C30" i="30"/>
  <c r="E29" i="30"/>
  <c r="AI3" i="21" l="1"/>
  <c r="AH2" i="21"/>
  <c r="AH4" i="21" s="1"/>
  <c r="AJ3" i="20"/>
  <c r="AI2" i="20"/>
  <c r="AI4" i="20"/>
  <c r="AK2" i="25"/>
  <c r="AK4" i="25" s="1"/>
  <c r="AK13" i="25" s="1"/>
  <c r="AL3" i="25"/>
  <c r="C31" i="30"/>
  <c r="E30" i="30"/>
  <c r="AJ3" i="21" l="1"/>
  <c r="AI2" i="21"/>
  <c r="AI4" i="21" s="1"/>
  <c r="AK3" i="20"/>
  <c r="AJ2" i="20"/>
  <c r="AJ4" i="20" s="1"/>
  <c r="AL2" i="25"/>
  <c r="AL4" i="25" s="1"/>
  <c r="AL13" i="25" s="1"/>
  <c r="C32" i="30"/>
  <c r="E31" i="30"/>
  <c r="AJ2" i="21" l="1"/>
  <c r="AJ4" i="21" s="1"/>
  <c r="AK3" i="21"/>
  <c r="AK2" i="21" s="1"/>
  <c r="AK4" i="21" s="1"/>
  <c r="AK2" i="20"/>
  <c r="AK4" i="20" s="1"/>
  <c r="C33" i="30"/>
  <c r="E32" i="30"/>
  <c r="V7" i="23" l="1"/>
  <c r="AJ7" i="23"/>
  <c r="AD7" i="23"/>
  <c r="W7" i="23"/>
  <c r="R7" i="23"/>
  <c r="AE7" i="23"/>
  <c r="AI7" i="23"/>
  <c r="AB7" i="23"/>
  <c r="Y7" i="23"/>
  <c r="AG7" i="23"/>
  <c r="S7" i="23"/>
  <c r="AH7" i="23"/>
  <c r="U7" i="23"/>
  <c r="Z7" i="23"/>
  <c r="AC7" i="23"/>
  <c r="AF7" i="23"/>
  <c r="AA7" i="23"/>
  <c r="T7" i="23"/>
  <c r="X7" i="23"/>
  <c r="AC5" i="23"/>
  <c r="W5" i="23"/>
  <c r="AB5" i="23"/>
  <c r="AF5" i="23"/>
  <c r="AH5" i="23"/>
  <c r="AA5" i="23"/>
  <c r="X5" i="23"/>
  <c r="AD5" i="23"/>
  <c r="Y5" i="23"/>
  <c r="AG5" i="23"/>
  <c r="U5" i="23"/>
  <c r="V5" i="23"/>
  <c r="S5" i="23"/>
  <c r="AI5" i="23"/>
  <c r="Z5" i="23"/>
  <c r="AE5" i="23"/>
  <c r="T5" i="23"/>
  <c r="AJ5" i="23"/>
  <c r="C34" i="30"/>
  <c r="E33" i="30"/>
  <c r="E9" i="16" l="1"/>
  <c r="E10" i="16"/>
  <c r="AL5" i="23"/>
  <c r="F10" i="16"/>
  <c r="F9" i="16"/>
  <c r="C35" i="30"/>
  <c r="E34" i="30"/>
  <c r="AL20" i="23" l="1"/>
  <c r="AM5" i="23"/>
  <c r="C36" i="30"/>
  <c r="E35" i="30"/>
  <c r="AM20" i="23" l="1"/>
  <c r="AN5" i="23"/>
  <c r="C37" i="30"/>
  <c r="E36" i="30"/>
  <c r="AN20" i="23" l="1"/>
  <c r="C38" i="30"/>
  <c r="E37" i="30"/>
  <c r="D5" i="31" l="1"/>
  <c r="C5" i="31" s="1"/>
  <c r="C39" i="30"/>
  <c r="E38" i="30"/>
  <c r="E39" i="30" l="1"/>
  <c r="C40" i="30"/>
  <c r="B5" i="31"/>
  <c r="F38" i="30"/>
  <c r="E40" i="30" l="1"/>
  <c r="C41" i="30"/>
  <c r="E41" i="30" l="1"/>
  <c r="C42" i="30"/>
  <c r="E42" i="30" l="1"/>
  <c r="C43" i="30"/>
  <c r="E43" i="30" l="1"/>
  <c r="C44" i="30"/>
  <c r="E44" i="30" l="1"/>
  <c r="C45" i="30"/>
  <c r="E45" i="30" l="1"/>
  <c r="C46" i="30"/>
  <c r="E46" i="30" l="1"/>
  <c r="C47" i="30"/>
  <c r="E47" i="30" l="1"/>
  <c r="C48" i="30"/>
  <c r="E48" i="30" l="1"/>
  <c r="C49" i="30"/>
  <c r="E49" i="30" l="1"/>
  <c r="C50" i="30"/>
  <c r="C51" i="30" l="1"/>
  <c r="D6" i="31"/>
  <c r="C6" i="31" s="1"/>
  <c r="E50" i="30"/>
  <c r="F50" i="30" l="1"/>
  <c r="B6" i="31"/>
  <c r="C52" i="30"/>
  <c r="E51" i="30"/>
  <c r="C53" i="30" l="1"/>
  <c r="E52" i="30"/>
  <c r="C54" i="30" l="1"/>
  <c r="E53" i="30"/>
  <c r="C55" i="30" l="1"/>
  <c r="E54" i="30"/>
  <c r="C56" i="30" l="1"/>
  <c r="E55" i="30"/>
  <c r="C57" i="30" l="1"/>
  <c r="E56" i="30"/>
  <c r="C58" i="30" l="1"/>
  <c r="E57" i="30"/>
  <c r="C59" i="30" l="1"/>
  <c r="E58" i="30"/>
  <c r="C60" i="30" l="1"/>
  <c r="E59" i="30"/>
  <c r="C61" i="30" l="1"/>
  <c r="E60" i="30"/>
  <c r="C62" i="30" l="1"/>
  <c r="E61" i="30"/>
  <c r="D7" i="31" l="1"/>
  <c r="C7" i="31" s="1"/>
  <c r="E62" i="30"/>
  <c r="B7" i="31" s="1"/>
  <c r="I10" i="16" l="1"/>
  <c r="G10" i="16"/>
  <c r="H10" i="16"/>
  <c r="I9" i="16"/>
  <c r="H9" i="16"/>
  <c r="B5" i="16" s="1"/>
  <c r="AL9" i="23" s="1"/>
  <c r="G9" i="16"/>
  <c r="B4" i="16" s="1"/>
  <c r="AL29" i="23" l="1"/>
  <c r="AL26" i="23"/>
  <c r="AN29" i="23"/>
  <c r="AM29" i="23"/>
  <c r="AN26" i="23"/>
  <c r="AM26" i="23"/>
  <c r="BE22" i="23" l="1"/>
  <c r="AW22" i="23"/>
  <c r="AO22" i="23"/>
  <c r="BD22" i="23"/>
  <c r="AV22" i="23"/>
  <c r="AN22" i="23"/>
  <c r="BC22" i="23"/>
  <c r="BB22" i="23"/>
  <c r="AT22" i="23"/>
  <c r="AL22" i="23"/>
  <c r="BA22" i="23"/>
  <c r="AS22" i="23"/>
  <c r="AZ22" i="23"/>
  <c r="AR22" i="23"/>
  <c r="AY22" i="23"/>
  <c r="AQ22" i="23"/>
  <c r="AX22" i="23"/>
  <c r="AP22" i="23"/>
  <c r="AU22" i="23"/>
  <c r="AM22" i="23"/>
  <c r="AL7" i="23"/>
  <c r="AL11" i="23"/>
  <c r="AM9" i="23"/>
  <c r="AM11" i="23" l="1"/>
  <c r="AM7" i="23"/>
  <c r="AN11" i="23"/>
  <c r="AN7" i="23"/>
  <c r="AN9" i="23"/>
  <c r="AO5" i="23"/>
  <c r="AO20" i="23" l="1"/>
  <c r="AO11" i="23"/>
  <c r="AO9" i="23"/>
  <c r="AP5" i="23"/>
  <c r="AO7" i="23"/>
  <c r="AO26" i="23" l="1"/>
  <c r="AO29" i="23"/>
  <c r="AP20" i="23"/>
  <c r="AP9" i="23"/>
  <c r="AP11" i="23"/>
  <c r="AP7" i="23"/>
  <c r="AQ5" i="23"/>
  <c r="AP26" i="23" l="1"/>
  <c r="AP29" i="23"/>
  <c r="AQ20" i="23"/>
  <c r="AQ7" i="23"/>
  <c r="AQ11" i="23"/>
  <c r="AQ9" i="23"/>
  <c r="AR3" i="23"/>
  <c r="AR5" i="23" s="1"/>
  <c r="AQ29" i="23" l="1"/>
  <c r="AQ26" i="23"/>
  <c r="AR20" i="23"/>
  <c r="AR11" i="23"/>
  <c r="AS3" i="23"/>
  <c r="AS5" i="23" s="1"/>
  <c r="AR7" i="23"/>
  <c r="AR9" i="23"/>
  <c r="AS12" i="23" l="1"/>
  <c r="AR26" i="23"/>
  <c r="AR29" i="23"/>
  <c r="F11" i="16"/>
  <c r="AS20" i="23"/>
  <c r="AT3" i="23"/>
  <c r="AT5" i="23" s="1"/>
  <c r="AS11" i="23"/>
  <c r="I11" i="16" s="1"/>
  <c r="AS9" i="23"/>
  <c r="AS7" i="23"/>
  <c r="AS29" i="23" l="1"/>
  <c r="AS26" i="23"/>
  <c r="E11" i="16"/>
  <c r="F12" i="16"/>
  <c r="E12" i="16"/>
  <c r="I12" i="16"/>
  <c r="H12" i="16"/>
  <c r="H11" i="16"/>
  <c r="AT7" i="23"/>
  <c r="AT9" i="23"/>
  <c r="AU3" i="23"/>
  <c r="AU5" i="23" s="1"/>
  <c r="AT11" i="23"/>
  <c r="AU20" i="23" l="1"/>
  <c r="AT20" i="23"/>
  <c r="AU9" i="23"/>
  <c r="AU7" i="23"/>
  <c r="AV3" i="23"/>
  <c r="AV5" i="23" s="1"/>
  <c r="AU11" i="23"/>
  <c r="AT29" i="23" l="1"/>
  <c r="AT26" i="23"/>
  <c r="AU29" i="23"/>
  <c r="AU26" i="23"/>
  <c r="AV20" i="23"/>
  <c r="AV7" i="23"/>
  <c r="AV9" i="23"/>
  <c r="AW3" i="23"/>
  <c r="AW5" i="23" s="1"/>
  <c r="AV11" i="23"/>
  <c r="AV29" i="23" l="1"/>
  <c r="AV26" i="23"/>
  <c r="AW20" i="23"/>
  <c r="AW7" i="23"/>
  <c r="AX3" i="23"/>
  <c r="AX5" i="23" s="1"/>
  <c r="AW9" i="23"/>
  <c r="AW11" i="23"/>
  <c r="AW26" i="23" l="1"/>
  <c r="AW29" i="23"/>
  <c r="AX20" i="23"/>
  <c r="AX9" i="23"/>
  <c r="AY3" i="23"/>
  <c r="AY5" i="23" s="1"/>
  <c r="AX7" i="23"/>
  <c r="AX11" i="23"/>
  <c r="AX26" i="23" l="1"/>
  <c r="AX29" i="23"/>
  <c r="AY20" i="23"/>
  <c r="AY11" i="23"/>
  <c r="AY9" i="23"/>
  <c r="AY7" i="23"/>
  <c r="AZ3" i="23"/>
  <c r="AZ5" i="23" s="1"/>
  <c r="AY26" i="23" l="1"/>
  <c r="AY29" i="23"/>
  <c r="AZ20" i="23"/>
  <c r="AZ11" i="23"/>
  <c r="AZ7" i="23"/>
  <c r="AZ9" i="23"/>
  <c r="BA3" i="23"/>
  <c r="BA5" i="23" s="1"/>
  <c r="AZ26" i="23" l="1"/>
  <c r="AZ29" i="23"/>
  <c r="BA20" i="23"/>
  <c r="BB3" i="23"/>
  <c r="BB5" i="23" s="1"/>
  <c r="BA9" i="23"/>
  <c r="BA11" i="23"/>
  <c r="BA7" i="23"/>
  <c r="BA26" i="23" l="1"/>
  <c r="BA29" i="23"/>
  <c r="BB20" i="23"/>
  <c r="BB11" i="23"/>
  <c r="BB7" i="23"/>
  <c r="BB9" i="23"/>
  <c r="BC3" i="23"/>
  <c r="BC5" i="23" s="1"/>
  <c r="BB29" i="23" l="1"/>
  <c r="BB26" i="23"/>
  <c r="BC20" i="23"/>
  <c r="BC9" i="23"/>
  <c r="BC7" i="23"/>
  <c r="BC11" i="23"/>
  <c r="BD3" i="23"/>
  <c r="BD5" i="23" s="1"/>
  <c r="BC29" i="23" l="1"/>
  <c r="BC26" i="23"/>
  <c r="BD20" i="23"/>
  <c r="BD11" i="23"/>
  <c r="BD7" i="23"/>
  <c r="BE3" i="23"/>
  <c r="BE5" i="23" s="1"/>
  <c r="BD9" i="23"/>
  <c r="BD29" i="23" l="1"/>
  <c r="BD26" i="23"/>
  <c r="BE20" i="23"/>
  <c r="BE11" i="23"/>
  <c r="I13" i="16" s="1"/>
  <c r="BE9" i="23"/>
  <c r="H13" i="16" s="1"/>
  <c r="BE7" i="23"/>
  <c r="F13" i="16" l="1"/>
  <c r="E13" i="16"/>
  <c r="BE26" i="23"/>
  <c r="BE29" i="23"/>
  <c r="BG7" i="23"/>
  <c r="AL23" i="23" l="1"/>
  <c r="AL24" i="23" s="1"/>
  <c r="AM23" i="23"/>
  <c r="AM24" i="23" s="1"/>
  <c r="AN23" i="23"/>
  <c r="AN24" i="23" s="1"/>
  <c r="AO23" i="23"/>
  <c r="AO24" i="23" s="1"/>
  <c r="AP23" i="23"/>
  <c r="AP24" i="23" s="1"/>
  <c r="AQ23" i="23"/>
  <c r="AQ24" i="23" s="1"/>
  <c r="AR23" i="23"/>
  <c r="AR24" i="23" s="1"/>
  <c r="AS23" i="23"/>
  <c r="AS24" i="23" s="1"/>
  <c r="AU23" i="23"/>
  <c r="AU24" i="23" s="1"/>
  <c r="AT23" i="23"/>
  <c r="AT24" i="23" s="1"/>
  <c r="AV23" i="23"/>
  <c r="AV24" i="23" s="1"/>
  <c r="AW23" i="23"/>
  <c r="AW24" i="23" s="1"/>
  <c r="AX23" i="23"/>
  <c r="AX24" i="23" s="1"/>
  <c r="AY23" i="23"/>
  <c r="AY24" i="23" s="1"/>
  <c r="AZ23" i="23"/>
  <c r="AZ24" i="23" s="1"/>
  <c r="BA23" i="23"/>
  <c r="BA24" i="23" s="1"/>
  <c r="BB23" i="23"/>
  <c r="BB24" i="23" s="1"/>
  <c r="BC23" i="23"/>
  <c r="BC24" i="23" s="1"/>
  <c r="BD23" i="23"/>
  <c r="BD24" i="23" s="1"/>
  <c r="BE23" i="23"/>
  <c r="BE24" i="23" s="1"/>
  <c r="G13" i="16" l="1"/>
  <c r="BG24" i="23"/>
  <c r="G12" i="16"/>
  <c r="G11" i="16"/>
  <c r="BG26" i="23" l="1"/>
  <c r="BG28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 Davis</author>
  </authors>
  <commentList>
    <comment ref="C11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Jon Davis:</t>
        </r>
        <r>
          <rPr>
            <sz val="9"/>
            <color indexed="81"/>
            <rFont val="Tahoma"/>
            <family val="2"/>
          </rPr>
          <t xml:space="preserve">
9157 of 10865 at time of analysis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 Davis</author>
  </authors>
  <commentList>
    <comment ref="F4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Jon Davis:</t>
        </r>
        <r>
          <rPr>
            <sz val="9"/>
            <color indexed="81"/>
            <rFont val="Tahoma"/>
            <family val="2"/>
          </rPr>
          <t xml:space="preserve">
Actual average discount as of time of analysis</t>
        </r>
      </text>
    </comment>
  </commentList>
</comments>
</file>

<file path=xl/sharedStrings.xml><?xml version="1.0" encoding="utf-8"?>
<sst xmlns="http://schemas.openxmlformats.org/spreadsheetml/2006/main" count="277" uniqueCount="143">
  <si>
    <t>For:</t>
  </si>
  <si>
    <t>Philadelphia Water Department</t>
  </si>
  <si>
    <t>By:</t>
  </si>
  <si>
    <t>Sheet Name</t>
  </si>
  <si>
    <t>Description</t>
  </si>
  <si>
    <t>Table of Contents</t>
  </si>
  <si>
    <t>List of each sheet in the workbook</t>
  </si>
  <si>
    <t>TRR_Summary</t>
  </si>
  <si>
    <t>Summary of assumptions and results by period of major variables requested of Raftelis</t>
  </si>
  <si>
    <t>TRR_Projections</t>
  </si>
  <si>
    <t>Results by month of major variables requested of Raftelis</t>
  </si>
  <si>
    <t>Data Source</t>
  </si>
  <si>
    <t>Description of data source for reports DR-1, DR-2, DR-3A Participants, and DR-4</t>
  </si>
  <si>
    <t>DR_1</t>
  </si>
  <si>
    <t xml:space="preserve">Water Monthly Retail Billed Volume </t>
  </si>
  <si>
    <t>DR_2</t>
  </si>
  <si>
    <t>Sewer Monthly Retail Billed Volume</t>
  </si>
  <si>
    <t>DR_3A Participants</t>
  </si>
  <si>
    <t>Monthly Number of TAP Participants</t>
  </si>
  <si>
    <t>DR_4</t>
  </si>
  <si>
    <t>Monthly Total TAP Discount Amount</t>
  </si>
  <si>
    <t>Data Type</t>
  </si>
  <si>
    <t>Actual</t>
  </si>
  <si>
    <t>Projected</t>
  </si>
  <si>
    <t>Projected Increase in Participants</t>
  </si>
  <si>
    <t>Participants</t>
  </si>
  <si>
    <t>Total Participants</t>
  </si>
  <si>
    <t>Discount</t>
  </si>
  <si>
    <t>Total Discounts</t>
  </si>
  <si>
    <t>Water Consumption</t>
  </si>
  <si>
    <t>Total TAP Water Consumption (CCF)</t>
  </si>
  <si>
    <t>Sewer Consumption</t>
  </si>
  <si>
    <t>Total TAP Sewer Consumption (CCF)</t>
  </si>
  <si>
    <t>Assumptions used to develop the Results below</t>
  </si>
  <si>
    <t>Assumption or scenario type</t>
  </si>
  <si>
    <t>Scenario</t>
  </si>
  <si>
    <t>TAP Subscription Projection</t>
  </si>
  <si>
    <t>Increasing</t>
  </si>
  <si>
    <t>due to prequalification efforts and recertification change</t>
  </si>
  <si>
    <t>Monthly Cost per TAP Participant*</t>
  </si>
  <si>
    <t>and projected to be flat over time</t>
  </si>
  <si>
    <t>Monthly Consumption per TAP Participant*</t>
  </si>
  <si>
    <t>CF and projected to be flat over time</t>
  </si>
  <si>
    <t>*Per Participant Data (based on Reconciled Period and Most Recent Period - Actual Data)</t>
  </si>
  <si>
    <t>Average Monthly Number of TAP Participants</t>
  </si>
  <si>
    <t>Total Number of TAP Participants</t>
  </si>
  <si>
    <t>Total TAP Discount</t>
  </si>
  <si>
    <t>Reconciled Period - Actual</t>
  </si>
  <si>
    <t>to</t>
  </si>
  <si>
    <t>Most Recent Period - Actual</t>
  </si>
  <si>
    <t>Most Recent Period - Projected</t>
  </si>
  <si>
    <t>Most Recent Period - Entire</t>
  </si>
  <si>
    <t>Next Rate Period</t>
  </si>
  <si>
    <t>Data aquired for months</t>
  </si>
  <si>
    <t>January 2021</t>
  </si>
  <si>
    <t>through</t>
  </si>
  <si>
    <t>Customer Group</t>
  </si>
  <si>
    <t>Discount Group</t>
  </si>
  <si>
    <t>TAP</t>
  </si>
  <si>
    <t>All Groups</t>
  </si>
  <si>
    <t>Non-TAP</t>
  </si>
  <si>
    <t>Senior Discount*</t>
  </si>
  <si>
    <t>PHA Discount</t>
  </si>
  <si>
    <t>Non-PHA Discount (Other discount)</t>
  </si>
  <si>
    <t>No Additional Discount</t>
  </si>
  <si>
    <t>PWD (not subject to reconciliation)</t>
  </si>
  <si>
    <t>PWD</t>
  </si>
  <si>
    <t>Water Billed Volume Subtotals, by Customer Group</t>
  </si>
  <si>
    <t>Sewer Billed Volume Subtotals, by Customer Group</t>
  </si>
  <si>
    <t>Customer Type</t>
  </si>
  <si>
    <t>PHA</t>
  </si>
  <si>
    <t>Non-PHA</t>
  </si>
  <si>
    <t>No Discount</t>
  </si>
  <si>
    <t>All</t>
  </si>
  <si>
    <t xml:space="preserve">*Senior Citizen Discount figures represent only those Senior Citizen Discount customers enrolled in TAP. </t>
  </si>
  <si>
    <t>Senior Citizen Discount customers not enrolled in TAP are not counted among TAP Participants.</t>
  </si>
  <si>
    <t>Senior Discount</t>
  </si>
  <si>
    <t>Section 1) Activity on Applications Submitted between 11/5/2017 and 11/11/2017</t>
  </si>
  <si>
    <t>Total Submitted:</t>
  </si>
  <si>
    <t>Pending -&gt; In Progress</t>
  </si>
  <si>
    <t>In Progress</t>
  </si>
  <si>
    <t>Of Applications Submitted between 11/5/2017 and 11/11/2017, Status as of 11/11/2017 is:</t>
  </si>
  <si>
    <t>In Progress:</t>
  </si>
  <si>
    <t>Section 2) Status Changes between 11/5/2017 and 11/11/2017 on Applications Submitted before 11/5/2017</t>
  </si>
  <si>
    <t>Incomplete -&gt; In Progress</t>
  </si>
  <si>
    <t>Exception -&gt; In Progress</t>
  </si>
  <si>
    <t>Incomplete:</t>
  </si>
  <si>
    <t>In Progress -&gt; Incomplete</t>
  </si>
  <si>
    <t>Denied:</t>
  </si>
  <si>
    <t>In Progress -&gt; Denied</t>
  </si>
  <si>
    <t>Incomplete -&gt; Denied</t>
  </si>
  <si>
    <t>Exception:</t>
  </si>
  <si>
    <t>In Progress -&gt; Exception</t>
  </si>
  <si>
    <t>Approved:</t>
  </si>
  <si>
    <t>In Progress -&gt; Approved</t>
  </si>
  <si>
    <t>Active:</t>
  </si>
  <si>
    <t>In Progress -&gt; Active</t>
  </si>
  <si>
    <t>Incomplete -&gt; Active</t>
  </si>
  <si>
    <t>Approved -&gt; Active</t>
  </si>
  <si>
    <t>Closed:</t>
  </si>
  <si>
    <t>Active -&gt; Closed</t>
  </si>
  <si>
    <t>Section 3) Applications Submitted Since 7/1/2017 in Each Status as of 11/11/2017</t>
  </si>
  <si>
    <t>Of All Applications, Status as of 11/11/2017 is:</t>
  </si>
  <si>
    <t>Expired:</t>
  </si>
  <si>
    <t>WRBCC Recertification</t>
  </si>
  <si>
    <t>In Progress Applications</t>
  </si>
  <si>
    <t>Mass Mailing Data Date</t>
  </si>
  <si>
    <t>Count</t>
  </si>
  <si>
    <t>% of Decided Applications Approved</t>
  </si>
  <si>
    <t>Number of Outstanding Applications</t>
  </si>
  <si>
    <t>Assumptions</t>
  </si>
  <si>
    <t>Expected to be Approved</t>
  </si>
  <si>
    <t>WRBCC &lt;=150%</t>
  </si>
  <si>
    <t>Recert upon Plan Expiration (est)</t>
  </si>
  <si>
    <t>To be decided by</t>
  </si>
  <si>
    <t>Back on WRBCC AND &lt;=150% (est)</t>
  </si>
  <si>
    <t>Recert after Moratorium (est)</t>
  </si>
  <si>
    <t>(no longer eligible for WRBCC)</t>
  </si>
  <si>
    <t>PROJECTED SUBSCRIPTION 1 (4-YR RAMP)</t>
  </si>
  <si>
    <t>No. of TAP Bills</t>
  </si>
  <si>
    <t>Projected Increase</t>
  </si>
  <si>
    <t>Cost</t>
  </si>
  <si>
    <t>Discount per Bill</t>
  </si>
  <si>
    <t>WRBCC Additions</t>
  </si>
  <si>
    <t>Year</t>
  </si>
  <si>
    <t>Est. Cost</t>
  </si>
  <si>
    <t>Annual Growth Rate</t>
  </si>
  <si>
    <t>Enrollment at end</t>
  </si>
  <si>
    <t>FY2018</t>
  </si>
  <si>
    <t>FY2019</t>
  </si>
  <si>
    <t>FY2020</t>
  </si>
  <si>
    <t>FY2021</t>
  </si>
  <si>
    <t>FY2022</t>
  </si>
  <si>
    <t>Data in DR_1, DR_2, DR_3A Participants, and DR_4 are from reports run on a static copy of basis2 captured on</t>
  </si>
  <si>
    <t>December 2023</t>
  </si>
  <si>
    <t>2024 TAP Reconcilable Rider Reports and Projection Model</t>
  </si>
  <si>
    <t xml:space="preserve">*Senior Citizen Discount figures represent only those Senior Citizen Discount customers not enrolled in TAP. </t>
  </si>
  <si>
    <t>Senior Citizen Discount customers enrolled in TAP are included in the TAP Customer Group.</t>
  </si>
  <si>
    <t>Total Participants as of December 31, 2023</t>
  </si>
  <si>
    <t xml:space="preserve">Total Participants </t>
  </si>
  <si>
    <t>Post December 2023 Projected Increase</t>
  </si>
  <si>
    <t>Discounts to Participants as of 12/31/2023</t>
  </si>
  <si>
    <t>Discounts to Increase in Participants Post 12/31/2023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</si>
</sst>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\$* #,##0.00_);_(\$* \(#,##0.00\);_(\$* &quot;-&quot;??_);_(@_)"/>
    <numFmt numFmtId="167" formatCode="[$-409]mmm\ yyyy"/>
    <numFmt numFmtId="168" formatCode="&quot;$&quot;#,##0"/>
    <numFmt numFmtId="169" formatCode="[$-409]mmm\-yy;@"/>
    <numFmt numFmtId="170" formatCode="[$-409]mmmm\ yyyy;@"/>
    <numFmt numFmtId="172" formatCode="&quot;$&quot;#,##0.0000_);[Red]\(&quot;$&quot;#,##0.0000\)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A9A9A9"/>
      <name val="Calibri"/>
      <family val="2"/>
    </font>
    <font>
      <b/>
      <sz val="11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color theme="1"/>
      <name val="Calibri Light"/>
      <family val="2"/>
    </font>
    <font>
      <strike/>
      <sz val="11"/>
      <color theme="1"/>
      <name val="Calibri"/>
      <family val="2"/>
      <scheme val="minor"/>
    </font>
    <font>
      <strike/>
      <sz val="11"/>
      <color theme="8" tint="-0.499984740745262"/>
      <name val="Calibri"/>
      <family val="2"/>
      <scheme val="minor"/>
    </font>
    <font>
      <b/>
      <strike/>
      <sz val="11"/>
      <color rgb="FFFFFFFF"/>
      <name val="Calibri"/>
      <family val="2"/>
    </font>
    <font>
      <b/>
      <strike/>
      <sz val="11"/>
      <name val="Calibri"/>
      <family val="2"/>
    </font>
    <font>
      <strike/>
      <sz val="11"/>
      <name val="Calibri"/>
      <family val="2"/>
    </font>
    <font>
      <b/>
      <strike/>
      <sz val="11"/>
      <color theme="1"/>
      <name val="Calibri Light"/>
      <family val="2"/>
    </font>
    <font>
      <strike/>
      <sz val="1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176D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2176D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8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theme="8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rgb="FF2176D2"/>
      </left>
      <right/>
      <top style="thin">
        <color rgb="FF2176D2"/>
      </top>
      <bottom/>
      <diagonal/>
    </border>
    <border>
      <left/>
      <right/>
      <top style="thin">
        <color rgb="FF2176D2"/>
      </top>
      <bottom/>
      <diagonal/>
    </border>
    <border>
      <left style="thin">
        <color rgb="FF2176D2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rgb="FF2176D2"/>
      </left>
      <right/>
      <top/>
      <bottom/>
      <diagonal/>
    </border>
    <border>
      <left style="thin">
        <color rgb="FF2176D2"/>
      </left>
      <right/>
      <top/>
      <bottom style="thin">
        <color rgb="FF2176D2"/>
      </bottom>
      <diagonal/>
    </border>
    <border>
      <left/>
      <right/>
      <top/>
      <bottom style="thin">
        <color rgb="FF2176D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23" fillId="0" borderId="0"/>
    <xf numFmtId="0" fontId="20" fillId="0" borderId="0"/>
    <xf numFmtId="0" fontId="4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0" borderId="0"/>
  </cellStyleXfs>
  <cellXfs count="204">
    <xf numFmtId="0" fontId="0" fillId="0" borderId="0" xfId="0"/>
    <xf numFmtId="164" fontId="0" fillId="0" borderId="0" xfId="42" applyNumberFormat="1" applyFont="1"/>
    <xf numFmtId="0" fontId="18" fillId="0" borderId="0" xfId="0" applyFont="1"/>
    <xf numFmtId="10" fontId="19" fillId="33" borderId="10" xfId="44" applyNumberFormat="1" applyFont="1" applyFill="1" applyBorder="1"/>
    <xf numFmtId="0" fontId="14" fillId="0" borderId="0" xfId="0" applyFont="1"/>
    <xf numFmtId="0" fontId="0" fillId="0" borderId="11" xfId="0" applyBorder="1"/>
    <xf numFmtId="0" fontId="24" fillId="0" borderId="0" xfId="0" applyFont="1" applyAlignment="1">
      <alignment horizontal="justify" vertical="center"/>
    </xf>
    <xf numFmtId="0" fontId="0" fillId="36" borderId="0" xfId="0" applyFill="1"/>
    <xf numFmtId="0" fontId="25" fillId="36" borderId="0" xfId="0" applyFont="1" applyFill="1"/>
    <xf numFmtId="0" fontId="0" fillId="36" borderId="0" xfId="0" applyFill="1" applyAlignment="1">
      <alignment horizontal="right"/>
    </xf>
    <xf numFmtId="0" fontId="14" fillId="36" borderId="0" xfId="0" applyFont="1" applyFill="1"/>
    <xf numFmtId="14" fontId="14" fillId="36" borderId="0" xfId="0" applyNumberFormat="1" applyFont="1" applyFill="1"/>
    <xf numFmtId="0" fontId="14" fillId="0" borderId="11" xfId="0" applyFont="1" applyBorder="1"/>
    <xf numFmtId="0" fontId="26" fillId="0" borderId="0" xfId="0" applyFont="1"/>
    <xf numFmtId="3" fontId="0" fillId="0" borderId="11" xfId="0" applyNumberFormat="1" applyBorder="1"/>
    <xf numFmtId="0" fontId="20" fillId="0" borderId="0" xfId="45"/>
    <xf numFmtId="164" fontId="20" fillId="0" borderId="0" xfId="42" applyNumberFormat="1" applyFont="1"/>
    <xf numFmtId="0" fontId="27" fillId="0" borderId="0" xfId="45" applyFont="1" applyAlignment="1">
      <alignment indent="1"/>
    </xf>
    <xf numFmtId="164" fontId="27" fillId="0" borderId="0" xfId="42" applyNumberFormat="1" applyFont="1"/>
    <xf numFmtId="0" fontId="28" fillId="0" borderId="13" xfId="0" applyFont="1" applyBorder="1" applyAlignment="1">
      <alignment horizontal="center"/>
    </xf>
    <xf numFmtId="0" fontId="29" fillId="37" borderId="13" xfId="0" applyFont="1" applyFill="1" applyBorder="1"/>
    <xf numFmtId="164" fontId="29" fillId="37" borderId="13" xfId="42" applyNumberFormat="1" applyFont="1" applyFill="1" applyBorder="1"/>
    <xf numFmtId="0" fontId="0" fillId="0" borderId="0" xfId="0" applyAlignment="1">
      <alignment horizontal="right"/>
    </xf>
    <xf numFmtId="9" fontId="30" fillId="0" borderId="14" xfId="44" applyFont="1" applyFill="1" applyBorder="1"/>
    <xf numFmtId="0" fontId="29" fillId="0" borderId="15" xfId="0" applyFont="1" applyBorder="1"/>
    <xf numFmtId="164" fontId="29" fillId="0" borderId="15" xfId="42" applyNumberFormat="1" applyFont="1" applyBorder="1"/>
    <xf numFmtId="164" fontId="31" fillId="0" borderId="0" xfId="42" applyNumberFormat="1" applyFont="1"/>
    <xf numFmtId="164" fontId="30" fillId="0" borderId="14" xfId="42" applyNumberFormat="1" applyFont="1" applyFill="1" applyBorder="1"/>
    <xf numFmtId="0" fontId="18" fillId="0" borderId="0" xfId="0" applyFont="1" applyAlignment="1">
      <alignment horizontal="center"/>
    </xf>
    <xf numFmtId="0" fontId="0" fillId="0" borderId="0" xfId="0" quotePrefix="1" applyAlignment="1">
      <alignment horizontal="right"/>
    </xf>
    <xf numFmtId="9" fontId="29" fillId="33" borderId="10" xfId="0" applyNumberFormat="1" applyFont="1" applyFill="1" applyBorder="1"/>
    <xf numFmtId="0" fontId="29" fillId="33" borderId="10" xfId="42" applyNumberFormat="1" applyFont="1" applyFill="1" applyBorder="1"/>
    <xf numFmtId="9" fontId="0" fillId="0" borderId="0" xfId="0" applyNumberFormat="1"/>
    <xf numFmtId="164" fontId="32" fillId="0" borderId="0" xfId="42" applyNumberFormat="1" applyFont="1"/>
    <xf numFmtId="164" fontId="0" fillId="0" borderId="0" xfId="42" applyNumberFormat="1" applyFont="1" applyAlignment="1">
      <alignment horizontal="center" wrapText="1"/>
    </xf>
    <xf numFmtId="10" fontId="0" fillId="0" borderId="0" xfId="44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164" fontId="16" fillId="0" borderId="0" xfId="42" applyNumberFormat="1" applyFont="1"/>
    <xf numFmtId="10" fontId="0" fillId="0" borderId="0" xfId="44" applyNumberFormat="1" applyFont="1"/>
    <xf numFmtId="44" fontId="16" fillId="0" borderId="0" xfId="43" applyFont="1"/>
    <xf numFmtId="44" fontId="30" fillId="0" borderId="14" xfId="43" applyFont="1" applyFill="1" applyBorder="1"/>
    <xf numFmtId="43" fontId="0" fillId="0" borderId="0" xfId="42" applyFont="1"/>
    <xf numFmtId="10" fontId="30" fillId="0" borderId="14" xfId="44" applyNumberFormat="1" applyFont="1" applyFill="1" applyBorder="1"/>
    <xf numFmtId="44" fontId="35" fillId="0" borderId="0" xfId="43" applyFont="1"/>
    <xf numFmtId="43" fontId="36" fillId="0" borderId="0" xfId="42" applyFont="1"/>
    <xf numFmtId="43" fontId="0" fillId="0" borderId="0" xfId="42" applyFont="1" applyFill="1"/>
    <xf numFmtId="10" fontId="30" fillId="0" borderId="19" xfId="44" applyNumberFormat="1" applyFont="1" applyFill="1" applyBorder="1"/>
    <xf numFmtId="164" fontId="35" fillId="0" borderId="0" xfId="42" applyNumberFormat="1" applyFont="1" applyBorder="1"/>
    <xf numFmtId="0" fontId="0" fillId="0" borderId="18" xfId="0" applyBorder="1"/>
    <xf numFmtId="164" fontId="35" fillId="0" borderId="18" xfId="42" applyNumberFormat="1" applyFont="1" applyBorder="1"/>
    <xf numFmtId="10" fontId="19" fillId="33" borderId="20" xfId="44" applyNumberFormat="1" applyFont="1" applyFill="1" applyBorder="1"/>
    <xf numFmtId="44" fontId="35" fillId="0" borderId="18" xfId="43" applyFont="1" applyBorder="1"/>
    <xf numFmtId="168" fontId="36" fillId="0" borderId="0" xfId="42" applyNumberFormat="1" applyFont="1"/>
    <xf numFmtId="164" fontId="35" fillId="0" borderId="0" xfId="42" applyNumberFormat="1" applyFont="1"/>
    <xf numFmtId="10" fontId="19" fillId="33" borderId="17" xfId="44" applyNumberFormat="1" applyFont="1" applyFill="1" applyBorder="1"/>
    <xf numFmtId="0" fontId="0" fillId="38" borderId="0" xfId="0" applyFill="1"/>
    <xf numFmtId="164" fontId="35" fillId="38" borderId="0" xfId="42" applyNumberFormat="1" applyFont="1" applyFill="1"/>
    <xf numFmtId="164" fontId="28" fillId="0" borderId="13" xfId="42" applyNumberFormat="1" applyFont="1" applyBorder="1" applyAlignment="1">
      <alignment horizontal="center"/>
    </xf>
    <xf numFmtId="164" fontId="28" fillId="0" borderId="13" xfId="42" applyNumberFormat="1" applyFont="1" applyBorder="1" applyAlignment="1">
      <alignment horizontal="center" wrapText="1"/>
    </xf>
    <xf numFmtId="165" fontId="29" fillId="37" borderId="13" xfId="43" applyNumberFormat="1" applyFont="1" applyFill="1" applyBorder="1"/>
    <xf numFmtId="0" fontId="29" fillId="0" borderId="0" xfId="0" applyFont="1"/>
    <xf numFmtId="165" fontId="29" fillId="0" borderId="0" xfId="43" applyNumberFormat="1" applyFont="1"/>
    <xf numFmtId="9" fontId="29" fillId="0" borderId="0" xfId="44" applyFont="1"/>
    <xf numFmtId="164" fontId="29" fillId="0" borderId="0" xfId="42" applyNumberFormat="1" applyFont="1"/>
    <xf numFmtId="0" fontId="29" fillId="37" borderId="0" xfId="0" applyFont="1" applyFill="1"/>
    <xf numFmtId="165" fontId="29" fillId="37" borderId="0" xfId="43" applyNumberFormat="1" applyFont="1" applyFill="1"/>
    <xf numFmtId="9" fontId="29" fillId="37" borderId="0" xfId="44" applyFont="1" applyFill="1"/>
    <xf numFmtId="164" fontId="29" fillId="37" borderId="0" xfId="42" applyNumberFormat="1" applyFont="1" applyFill="1"/>
    <xf numFmtId="165" fontId="14" fillId="0" borderId="0" xfId="43" applyNumberFormat="1" applyFont="1"/>
    <xf numFmtId="9" fontId="14" fillId="0" borderId="0" xfId="44" applyFont="1"/>
    <xf numFmtId="164" fontId="14" fillId="0" borderId="0" xfId="42" applyNumberFormat="1" applyFont="1"/>
    <xf numFmtId="0" fontId="21" fillId="34" borderId="0" xfId="0" applyFont="1" applyFill="1"/>
    <xf numFmtId="166" fontId="0" fillId="0" borderId="0" xfId="0" applyNumberFormat="1"/>
    <xf numFmtId="0" fontId="20" fillId="0" borderId="0" xfId="0" applyFont="1"/>
    <xf numFmtId="164" fontId="0" fillId="0" borderId="0" xfId="0" applyNumberFormat="1"/>
    <xf numFmtId="0" fontId="21" fillId="34" borderId="11" xfId="0" applyFont="1" applyFill="1" applyBorder="1"/>
    <xf numFmtId="164" fontId="21" fillId="34" borderId="11" xfId="0" applyNumberFormat="1" applyFont="1" applyFill="1" applyBorder="1"/>
    <xf numFmtId="3" fontId="0" fillId="0" borderId="0" xfId="0" applyNumberFormat="1"/>
    <xf numFmtId="0" fontId="21" fillId="34" borderId="11" xfId="0" applyFont="1" applyFill="1" applyBorder="1" applyAlignment="1">
      <alignment horizontal="center"/>
    </xf>
    <xf numFmtId="0" fontId="18" fillId="0" borderId="22" xfId="0" applyFont="1" applyBorder="1"/>
    <xf numFmtId="164" fontId="16" fillId="0" borderId="0" xfId="42" applyNumberFormat="1" applyFont="1" applyBorder="1"/>
    <xf numFmtId="164" fontId="0" fillId="0" borderId="0" xfId="42" applyNumberFormat="1" applyFont="1" applyBorder="1"/>
    <xf numFmtId="164" fontId="16" fillId="0" borderId="28" xfId="42" applyNumberFormat="1" applyFont="1" applyBorder="1"/>
    <xf numFmtId="0" fontId="26" fillId="0" borderId="11" xfId="0" applyFont="1" applyBorder="1"/>
    <xf numFmtId="3" fontId="21" fillId="34" borderId="11" xfId="0" applyNumberFormat="1" applyFont="1" applyFill="1" applyBorder="1" applyAlignment="1">
      <alignment wrapText="1"/>
    </xf>
    <xf numFmtId="0" fontId="21" fillId="34" borderId="21" xfId="0" applyFont="1" applyFill="1" applyBorder="1" applyAlignment="1">
      <alignment horizontal="left"/>
    </xf>
    <xf numFmtId="0" fontId="21" fillId="34" borderId="18" xfId="0" applyFont="1" applyFill="1" applyBorder="1" applyAlignment="1">
      <alignment horizontal="left"/>
    </xf>
    <xf numFmtId="169" fontId="21" fillId="34" borderId="0" xfId="0" applyNumberFormat="1" applyFont="1" applyFill="1" applyAlignment="1">
      <alignment wrapText="1"/>
    </xf>
    <xf numFmtId="164" fontId="23" fillId="0" borderId="0" xfId="46" applyNumberFormat="1"/>
    <xf numFmtId="166" fontId="20" fillId="0" borderId="0" xfId="46" applyNumberFormat="1" applyFont="1"/>
    <xf numFmtId="0" fontId="37" fillId="0" borderId="27" xfId="0" applyFont="1" applyBorder="1"/>
    <xf numFmtId="0" fontId="38" fillId="0" borderId="25" xfId="0" applyFont="1" applyBorder="1"/>
    <xf numFmtId="0" fontId="39" fillId="0" borderId="25" xfId="0" applyFont="1" applyBorder="1"/>
    <xf numFmtId="0" fontId="40" fillId="0" borderId="25" xfId="0" applyFont="1" applyBorder="1"/>
    <xf numFmtId="164" fontId="26" fillId="0" borderId="11" xfId="42" applyNumberFormat="1" applyFont="1" applyBorder="1"/>
    <xf numFmtId="0" fontId="0" fillId="41" borderId="0" xfId="0" applyFill="1"/>
    <xf numFmtId="0" fontId="16" fillId="0" borderId="24" xfId="0" applyFont="1" applyBorder="1" applyAlignment="1">
      <alignment horizontal="center" vertical="center" wrapText="1"/>
    </xf>
    <xf numFmtId="17" fontId="0" fillId="0" borderId="0" xfId="0" quotePrefix="1" applyNumberFormat="1"/>
    <xf numFmtId="0" fontId="16" fillId="0" borderId="23" xfId="0" applyFont="1" applyBorder="1" applyAlignment="1">
      <alignment horizontal="center" vertical="center" wrapText="1"/>
    </xf>
    <xf numFmtId="0" fontId="16" fillId="0" borderId="18" xfId="0" applyFont="1" applyBorder="1"/>
    <xf numFmtId="0" fontId="38" fillId="0" borderId="0" xfId="0" applyFont="1"/>
    <xf numFmtId="0" fontId="37" fillId="0" borderId="28" xfId="0" applyFont="1" applyBorder="1"/>
    <xf numFmtId="0" fontId="0" fillId="0" borderId="0" xfId="0" quotePrefix="1"/>
    <xf numFmtId="0" fontId="16" fillId="0" borderId="23" xfId="0" applyFont="1" applyBorder="1" applyAlignment="1">
      <alignment horizontal="center" wrapText="1"/>
    </xf>
    <xf numFmtId="164" fontId="0" fillId="0" borderId="0" xfId="42" applyNumberFormat="1" applyFont="1" applyFill="1" applyBorder="1"/>
    <xf numFmtId="0" fontId="0" fillId="0" borderId="33" xfId="0" applyBorder="1"/>
    <xf numFmtId="0" fontId="0" fillId="0" borderId="34" xfId="0" applyBorder="1"/>
    <xf numFmtId="10" fontId="19" fillId="33" borderId="35" xfId="44" applyNumberFormat="1" applyFont="1" applyFill="1" applyBorder="1"/>
    <xf numFmtId="0" fontId="21" fillId="34" borderId="36" xfId="46" applyFont="1" applyFill="1" applyBorder="1" applyAlignment="1">
      <alignment horizontal="left"/>
    </xf>
    <xf numFmtId="0" fontId="22" fillId="0" borderId="36" xfId="46" applyFont="1" applyBorder="1" applyAlignment="1">
      <alignment horizontal="right"/>
    </xf>
    <xf numFmtId="0" fontId="22" fillId="0" borderId="37" xfId="46" applyFont="1" applyBorder="1" applyAlignment="1">
      <alignment horizontal="right"/>
    </xf>
    <xf numFmtId="3" fontId="0" fillId="0" borderId="38" xfId="0" applyNumberFormat="1" applyBorder="1"/>
    <xf numFmtId="164" fontId="0" fillId="0" borderId="38" xfId="42" applyNumberFormat="1" applyFont="1" applyFill="1" applyBorder="1"/>
    <xf numFmtId="0" fontId="39" fillId="0" borderId="0" xfId="0" applyFont="1"/>
    <xf numFmtId="0" fontId="40" fillId="0" borderId="0" xfId="0" applyFont="1"/>
    <xf numFmtId="170" fontId="40" fillId="0" borderId="0" xfId="0" quotePrefix="1" applyNumberFormat="1" applyFont="1"/>
    <xf numFmtId="170" fontId="38" fillId="0" borderId="0" xfId="0" applyNumberFormat="1" applyFont="1"/>
    <xf numFmtId="170" fontId="37" fillId="0" borderId="28" xfId="0" quotePrefix="1" applyNumberFormat="1" applyFont="1" applyBorder="1"/>
    <xf numFmtId="0" fontId="17" fillId="0" borderId="0" xfId="0" applyFont="1" applyAlignment="1">
      <alignment vertical="center" wrapText="1"/>
    </xf>
    <xf numFmtId="165" fontId="16" fillId="0" borderId="0" xfId="43" applyNumberFormat="1" applyFont="1" applyBorder="1"/>
    <xf numFmtId="165" fontId="0" fillId="0" borderId="0" xfId="43" applyNumberFormat="1" applyFont="1" applyBorder="1"/>
    <xf numFmtId="165" fontId="16" fillId="0" borderId="28" xfId="43" applyNumberFormat="1" applyFont="1" applyBorder="1"/>
    <xf numFmtId="164" fontId="16" fillId="0" borderId="28" xfId="42" applyNumberFormat="1" applyFont="1" applyFill="1" applyBorder="1"/>
    <xf numFmtId="170" fontId="39" fillId="33" borderId="0" xfId="0" quotePrefix="1" applyNumberFormat="1" applyFont="1" applyFill="1"/>
    <xf numFmtId="170" fontId="40" fillId="33" borderId="0" xfId="0" quotePrefix="1" applyNumberFormat="1" applyFont="1" applyFill="1"/>
    <xf numFmtId="0" fontId="13" fillId="0" borderId="0" xfId="0" applyFont="1"/>
    <xf numFmtId="0" fontId="13" fillId="42" borderId="0" xfId="0" applyFont="1" applyFill="1"/>
    <xf numFmtId="0" fontId="13" fillId="40" borderId="0" xfId="0" applyFont="1" applyFill="1"/>
    <xf numFmtId="0" fontId="13" fillId="39" borderId="0" xfId="0" applyFont="1" applyFill="1"/>
    <xf numFmtId="167" fontId="21" fillId="34" borderId="0" xfId="47" applyNumberFormat="1" applyFont="1" applyFill="1" applyAlignment="1">
      <alignment horizontal="center"/>
    </xf>
    <xf numFmtId="164" fontId="20" fillId="0" borderId="0" xfId="47" applyNumberFormat="1"/>
    <xf numFmtId="166" fontId="20" fillId="0" borderId="0" xfId="47" applyNumberFormat="1"/>
    <xf numFmtId="3" fontId="43" fillId="0" borderId="0" xfId="0" applyNumberFormat="1" applyFont="1"/>
    <xf numFmtId="0" fontId="0" fillId="0" borderId="0" xfId="0" applyAlignment="1">
      <alignment horizontal="left" vertical="center" indent="3"/>
    </xf>
    <xf numFmtId="2" fontId="0" fillId="0" borderId="0" xfId="0" applyNumberFormat="1"/>
    <xf numFmtId="167" fontId="0" fillId="0" borderId="0" xfId="0" applyNumberFormat="1"/>
    <xf numFmtId="164" fontId="44" fillId="0" borderId="0" xfId="51" applyNumberFormat="1"/>
    <xf numFmtId="166" fontId="44" fillId="0" borderId="18" xfId="51" applyNumberFormat="1" applyBorder="1"/>
    <xf numFmtId="166" fontId="44" fillId="0" borderId="0" xfId="51" applyNumberFormat="1"/>
    <xf numFmtId="164" fontId="16" fillId="0" borderId="39" xfId="42" applyNumberFormat="1" applyFont="1" applyBorder="1"/>
    <xf numFmtId="164" fontId="16" fillId="0" borderId="26" xfId="42" applyNumberFormat="1" applyFont="1" applyBorder="1"/>
    <xf numFmtId="164" fontId="16" fillId="0" borderId="29" xfId="42" applyNumberFormat="1" applyFont="1" applyFill="1" applyBorder="1"/>
    <xf numFmtId="0" fontId="0" fillId="0" borderId="26" xfId="0" applyBorder="1"/>
    <xf numFmtId="0" fontId="26" fillId="35" borderId="0" xfId="0" applyFont="1" applyFill="1" applyAlignment="1">
      <alignment horizontal="center"/>
    </xf>
    <xf numFmtId="0" fontId="0" fillId="0" borderId="0" xfId="43" applyNumberFormat="1" applyFont="1" applyBorder="1" applyAlignment="1">
      <alignment wrapText="1"/>
    </xf>
    <xf numFmtId="0" fontId="0" fillId="0" borderId="0" xfId="0" applyAlignment="1">
      <alignment wrapText="1"/>
    </xf>
    <xf numFmtId="0" fontId="0" fillId="0" borderId="28" xfId="0" applyBorder="1"/>
    <xf numFmtId="0" fontId="0" fillId="0" borderId="29" xfId="0" applyBorder="1"/>
    <xf numFmtId="0" fontId="0" fillId="0" borderId="40" xfId="0" applyBorder="1"/>
    <xf numFmtId="0" fontId="0" fillId="0" borderId="41" xfId="0" applyBorder="1"/>
    <xf numFmtId="0" fontId="16" fillId="0" borderId="25" xfId="0" applyFont="1" applyBorder="1"/>
    <xf numFmtId="0" fontId="0" fillId="0" borderId="25" xfId="0" applyBorder="1"/>
    <xf numFmtId="0" fontId="41" fillId="0" borderId="25" xfId="0" applyFont="1" applyBorder="1" applyAlignment="1">
      <alignment horizontal="left" indent="1"/>
    </xf>
    <xf numFmtId="0" fontId="0" fillId="0" borderId="27" xfId="0" applyBorder="1"/>
    <xf numFmtId="0" fontId="16" fillId="0" borderId="18" xfId="0" applyFont="1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44" fontId="45" fillId="43" borderId="42" xfId="43" applyFont="1" applyFill="1" applyBorder="1" applyAlignment="1">
      <alignment horizontal="right"/>
    </xf>
    <xf numFmtId="41" fontId="45" fillId="43" borderId="42" xfId="43" applyNumberFormat="1" applyFont="1" applyFill="1" applyBorder="1"/>
    <xf numFmtId="165" fontId="45" fillId="43" borderId="42" xfId="43" applyNumberFormat="1" applyFont="1" applyFill="1" applyBorder="1" applyAlignment="1">
      <alignment horizontal="right"/>
    </xf>
    <xf numFmtId="164" fontId="45" fillId="0" borderId="0" xfId="42" applyNumberFormat="1" applyFont="1" applyFill="1"/>
    <xf numFmtId="164" fontId="0" fillId="38" borderId="0" xfId="42" applyNumberFormat="1" applyFont="1" applyFill="1" applyBorder="1"/>
    <xf numFmtId="165" fontId="0" fillId="0" borderId="0" xfId="0" applyNumberFormat="1"/>
    <xf numFmtId="0" fontId="46" fillId="0" borderId="33" xfId="0" applyFont="1" applyBorder="1"/>
    <xf numFmtId="0" fontId="46" fillId="0" borderId="34" xfId="0" applyFont="1" applyBorder="1"/>
    <xf numFmtId="0" fontId="46" fillId="0" borderId="0" xfId="0" applyFont="1"/>
    <xf numFmtId="10" fontId="47" fillId="33" borderId="35" xfId="44" applyNumberFormat="1" applyFont="1" applyFill="1" applyBorder="1"/>
    <xf numFmtId="10" fontId="47" fillId="33" borderId="10" xfId="44" applyNumberFormat="1" applyFont="1" applyFill="1" applyBorder="1"/>
    <xf numFmtId="10" fontId="47" fillId="33" borderId="31" xfId="44" applyNumberFormat="1" applyFont="1" applyFill="1" applyBorder="1"/>
    <xf numFmtId="10" fontId="47" fillId="33" borderId="12" xfId="44" applyNumberFormat="1" applyFont="1" applyFill="1" applyBorder="1"/>
    <xf numFmtId="10" fontId="47" fillId="33" borderId="32" xfId="44" applyNumberFormat="1" applyFont="1" applyFill="1" applyBorder="1"/>
    <xf numFmtId="0" fontId="48" fillId="34" borderId="36" xfId="46" applyFont="1" applyFill="1" applyBorder="1" applyAlignment="1">
      <alignment horizontal="left"/>
    </xf>
    <xf numFmtId="167" fontId="48" fillId="34" borderId="0" xfId="46" applyNumberFormat="1" applyFont="1" applyFill="1" applyAlignment="1">
      <alignment horizontal="center"/>
    </xf>
    <xf numFmtId="167" fontId="48" fillId="34" borderId="0" xfId="47" applyNumberFormat="1" applyFont="1" applyFill="1" applyAlignment="1">
      <alignment horizontal="center"/>
    </xf>
    <xf numFmtId="0" fontId="46" fillId="0" borderId="0" xfId="0" applyFont="1" applyAlignment="1">
      <alignment horizontal="center"/>
    </xf>
    <xf numFmtId="0" fontId="49" fillId="0" borderId="36" xfId="46" applyFont="1" applyBorder="1" applyAlignment="1">
      <alignment horizontal="right"/>
    </xf>
    <xf numFmtId="164" fontId="50" fillId="0" borderId="0" xfId="46" applyNumberFormat="1" applyFont="1"/>
    <xf numFmtId="164" fontId="50" fillId="0" borderId="0" xfId="47" applyNumberFormat="1" applyFont="1"/>
    <xf numFmtId="164" fontId="51" fillId="0" borderId="0" xfId="42" applyNumberFormat="1" applyFont="1" applyFill="1"/>
    <xf numFmtId="164" fontId="46" fillId="0" borderId="0" xfId="0" applyNumberFormat="1" applyFont="1"/>
    <xf numFmtId="166" fontId="50" fillId="0" borderId="0" xfId="46" applyNumberFormat="1" applyFont="1"/>
    <xf numFmtId="166" fontId="50" fillId="0" borderId="0" xfId="47" applyNumberFormat="1" applyFont="1"/>
    <xf numFmtId="0" fontId="52" fillId="0" borderId="0" xfId="0" applyFont="1"/>
    <xf numFmtId="165" fontId="51" fillId="43" borderId="42" xfId="43" applyNumberFormat="1" applyFont="1" applyFill="1" applyBorder="1" applyAlignment="1">
      <alignment horizontal="right"/>
    </xf>
    <xf numFmtId="3" fontId="46" fillId="0" borderId="0" xfId="0" applyNumberFormat="1" applyFont="1"/>
    <xf numFmtId="164" fontId="46" fillId="0" borderId="0" xfId="42" applyNumberFormat="1" applyFont="1" applyFill="1" applyBorder="1"/>
    <xf numFmtId="0" fontId="49" fillId="0" borderId="37" xfId="46" applyFont="1" applyBorder="1" applyAlignment="1">
      <alignment horizontal="right"/>
    </xf>
    <xf numFmtId="3" fontId="46" fillId="0" borderId="38" xfId="0" applyNumberFormat="1" applyFont="1" applyBorder="1"/>
    <xf numFmtId="164" fontId="46" fillId="0" borderId="38" xfId="42" applyNumberFormat="1" applyFont="1" applyFill="1" applyBorder="1"/>
    <xf numFmtId="0" fontId="21" fillId="34" borderId="21" xfId="0" applyFont="1" applyFill="1" applyBorder="1" applyAlignment="1">
      <alignment horizontal="left"/>
    </xf>
    <xf numFmtId="0" fontId="21" fillId="34" borderId="18" xfId="0" applyFont="1" applyFill="1" applyBorder="1" applyAlignment="1">
      <alignment horizontal="left"/>
    </xf>
    <xf numFmtId="0" fontId="21" fillId="41" borderId="30" xfId="0" applyFont="1" applyFill="1" applyBorder="1" applyAlignment="1">
      <alignment horizontal="left"/>
    </xf>
    <xf numFmtId="0" fontId="21" fillId="41" borderId="0" xfId="0" applyFont="1" applyFill="1" applyAlignment="1">
      <alignment horizontal="left"/>
    </xf>
    <xf numFmtId="0" fontId="0" fillId="0" borderId="0" xfId="0" applyAlignment="1">
      <alignment horizontal="left" wrapText="1"/>
    </xf>
    <xf numFmtId="0" fontId="21" fillId="34" borderId="30" xfId="0" applyFont="1" applyFill="1" applyBorder="1" applyAlignment="1">
      <alignment horizontal="left"/>
    </xf>
    <xf numFmtId="0" fontId="21" fillId="34" borderId="0" xfId="0" applyFont="1" applyFill="1" applyAlignment="1">
      <alignment horizontal="left"/>
    </xf>
    <xf numFmtId="0" fontId="21" fillId="34" borderId="0" xfId="45" applyFont="1" applyFill="1" applyAlignment="1">
      <alignment wrapText="1"/>
    </xf>
    <xf numFmtId="0" fontId="20" fillId="0" borderId="0" xfId="45" applyAlignment="1">
      <alignment wrapText="1"/>
    </xf>
    <xf numFmtId="0" fontId="22" fillId="0" borderId="0" xfId="45" applyFont="1"/>
    <xf numFmtId="0" fontId="20" fillId="0" borderId="0" xfId="45"/>
    <xf numFmtId="0" fontId="16" fillId="0" borderId="0" xfId="0" applyFont="1" applyAlignment="1">
      <alignment horizontal="center" vertical="center"/>
    </xf>
    <xf numFmtId="9" fontId="29" fillId="33" borderId="16" xfId="0" applyNumberFormat="1" applyFont="1" applyFill="1" applyBorder="1" applyAlignment="1">
      <alignment horizontal="right" vertical="center"/>
    </xf>
    <xf numFmtId="9" fontId="29" fillId="33" borderId="17" xfId="0" applyNumberFormat="1" applyFont="1" applyFill="1" applyBorder="1" applyAlignment="1">
      <alignment horizontal="right" vertical="center"/>
    </xf>
    <xf numFmtId="164" fontId="0" fillId="0" borderId="18" xfId="42" applyNumberFormat="1" applyFont="1" applyBorder="1" applyAlignment="1">
      <alignment horizontal="center"/>
    </xf>
    <xf numFmtId="172" fontId="0" fillId="0" borderId="0" xfId="0" applyNumberFormat="1"/>
  </cellXfs>
  <cellStyles count="5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omma 2" xfId="49" xr:uid="{2335FF84-5FBA-4EBD-9BC9-92E447EAE98C}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 xr:uid="{00000000-0005-0000-0000-000027000000}"/>
    <cellStyle name="Normal 3" xfId="46" xr:uid="{00000000-0005-0000-0000-000028000000}"/>
    <cellStyle name="Normal 3 2" xfId="47" xr:uid="{F78064FE-9DE0-4D69-A761-6B9ACF6F9114}"/>
    <cellStyle name="Normal 4" xfId="48" xr:uid="{A03FED56-F493-4B0C-AF80-656EEB9227B0}"/>
    <cellStyle name="Normal 5" xfId="51" xr:uid="{21D17166-2F59-4DCA-9433-A28EEF4E3FC3}"/>
    <cellStyle name="Note" xfId="15" builtinId="10" customBuiltin="1"/>
    <cellStyle name="Output" xfId="10" builtinId="21" customBuiltin="1"/>
    <cellStyle name="Percent" xfId="44" builtinId="5"/>
    <cellStyle name="Percent 2" xfId="50" xr:uid="{35628409-E516-4CCF-B950-2E253DEDD82F}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theme="7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colors>
    <mruColors>
      <color rgb="FF217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37950</xdr:colOff>
      <xdr:row>3</xdr:row>
      <xdr:rowOff>143574</xdr:rowOff>
    </xdr:from>
    <xdr:to>
      <xdr:col>5</xdr:col>
      <xdr:colOff>510820</xdr:colOff>
      <xdr:row>6</xdr:row>
      <xdr:rowOff>68543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59719D-27CC-4367-A3F0-CD2D00ADF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829" y="837752"/>
          <a:ext cx="3139471" cy="470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2:B11"/>
  <sheetViews>
    <sheetView workbookViewId="0"/>
  </sheetViews>
  <sheetFormatPr defaultColWidth="9.109375" defaultRowHeight="14.4" x14ac:dyDescent="0.3"/>
  <cols>
    <col min="1" max="1" width="9.109375" style="7"/>
    <col min="2" max="2" width="9.6640625" style="7" bestFit="1" customWidth="1"/>
    <col min="3" max="16384" width="9.109375" style="7"/>
  </cols>
  <sheetData>
    <row r="2" spans="1:2" x14ac:dyDescent="0.3">
      <c r="B2" s="7" t="s">
        <v>135</v>
      </c>
    </row>
    <row r="3" spans="1:2" ht="26.4" customHeight="1" x14ac:dyDescent="0.55000000000000004">
      <c r="A3" s="9" t="s">
        <v>0</v>
      </c>
      <c r="B3" s="8" t="s">
        <v>1</v>
      </c>
    </row>
    <row r="4" spans="1:2" x14ac:dyDescent="0.3">
      <c r="A4" s="9"/>
    </row>
    <row r="5" spans="1:2" x14ac:dyDescent="0.3">
      <c r="A5" s="9" t="s">
        <v>2</v>
      </c>
    </row>
    <row r="9" spans="1:2" x14ac:dyDescent="0.3">
      <c r="B9" s="10"/>
    </row>
    <row r="10" spans="1:2" x14ac:dyDescent="0.3">
      <c r="B10" s="10"/>
    </row>
    <row r="11" spans="1:2" x14ac:dyDescent="0.3">
      <c r="B11" s="11"/>
    </row>
  </sheetData>
  <pageMargins left="0.7" right="0.7" top="0.75" bottom="0.75" header="0.3" footer="0.3"/>
  <pageSetup orientation="landscape" r:id="rId1"/>
  <headerFooter>
    <oddHeader>&amp;L2024 TAP Reconcilable Rider Reports and Projection Model: &amp;A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1"/>
  <sheetViews>
    <sheetView workbookViewId="0">
      <selection sqref="A1:B1"/>
    </sheetView>
  </sheetViews>
  <sheetFormatPr defaultColWidth="9.109375" defaultRowHeight="14.4" x14ac:dyDescent="0.3"/>
  <cols>
    <col min="1" max="1" width="42.44140625" style="15" customWidth="1"/>
    <col min="2" max="2" width="14" style="16" customWidth="1"/>
    <col min="3" max="16384" width="9.109375" style="15"/>
  </cols>
  <sheetData>
    <row r="1" spans="1:2" ht="30" customHeight="1" x14ac:dyDescent="0.3">
      <c r="A1" s="195" t="s">
        <v>77</v>
      </c>
      <c r="B1" s="196"/>
    </row>
    <row r="2" spans="1:2" x14ac:dyDescent="0.3">
      <c r="A2" s="15" t="s">
        <v>78</v>
      </c>
      <c r="B2" s="16">
        <v>279</v>
      </c>
    </row>
    <row r="3" spans="1:2" x14ac:dyDescent="0.3">
      <c r="A3" s="17" t="s">
        <v>79</v>
      </c>
      <c r="B3" s="18">
        <v>253</v>
      </c>
    </row>
    <row r="4" spans="1:2" x14ac:dyDescent="0.3">
      <c r="A4" s="17" t="s">
        <v>80</v>
      </c>
      <c r="B4" s="18">
        <v>26</v>
      </c>
    </row>
    <row r="6" spans="1:2" x14ac:dyDescent="0.3">
      <c r="A6" s="197" t="s">
        <v>81</v>
      </c>
      <c r="B6" s="198"/>
    </row>
    <row r="7" spans="1:2" x14ac:dyDescent="0.3">
      <c r="A7" s="15" t="s">
        <v>82</v>
      </c>
      <c r="B7" s="16">
        <v>279</v>
      </c>
    </row>
    <row r="9" spans="1:2" ht="30" customHeight="1" x14ac:dyDescent="0.3">
      <c r="A9" s="195" t="s">
        <v>83</v>
      </c>
      <c r="B9" s="196"/>
    </row>
    <row r="10" spans="1:2" x14ac:dyDescent="0.3">
      <c r="A10" s="15" t="s">
        <v>82</v>
      </c>
      <c r="B10" s="16">
        <v>84</v>
      </c>
    </row>
    <row r="11" spans="1:2" x14ac:dyDescent="0.3">
      <c r="A11" s="17" t="s">
        <v>84</v>
      </c>
      <c r="B11" s="18">
        <v>73</v>
      </c>
    </row>
    <row r="12" spans="1:2" x14ac:dyDescent="0.3">
      <c r="A12" s="17" t="s">
        <v>85</v>
      </c>
      <c r="B12" s="18">
        <v>11</v>
      </c>
    </row>
    <row r="13" spans="1:2" x14ac:dyDescent="0.3">
      <c r="A13" s="15" t="s">
        <v>86</v>
      </c>
      <c r="B13" s="16">
        <v>237</v>
      </c>
    </row>
    <row r="14" spans="1:2" x14ac:dyDescent="0.3">
      <c r="A14" s="17" t="s">
        <v>87</v>
      </c>
      <c r="B14" s="18">
        <v>237</v>
      </c>
    </row>
    <row r="15" spans="1:2" x14ac:dyDescent="0.3">
      <c r="A15" s="15" t="s">
        <v>88</v>
      </c>
      <c r="B15" s="16">
        <v>95</v>
      </c>
    </row>
    <row r="16" spans="1:2" x14ac:dyDescent="0.3">
      <c r="A16" s="17" t="s">
        <v>89</v>
      </c>
      <c r="B16" s="18">
        <v>58</v>
      </c>
    </row>
    <row r="17" spans="1:2" x14ac:dyDescent="0.3">
      <c r="A17" s="17" t="s">
        <v>90</v>
      </c>
      <c r="B17" s="18">
        <v>37</v>
      </c>
    </row>
    <row r="18" spans="1:2" x14ac:dyDescent="0.3">
      <c r="A18" s="15" t="s">
        <v>91</v>
      </c>
      <c r="B18" s="16">
        <v>21</v>
      </c>
    </row>
    <row r="19" spans="1:2" x14ac:dyDescent="0.3">
      <c r="A19" s="17" t="s">
        <v>92</v>
      </c>
      <c r="B19" s="18">
        <v>21</v>
      </c>
    </row>
    <row r="20" spans="1:2" x14ac:dyDescent="0.3">
      <c r="A20" s="15" t="s">
        <v>93</v>
      </c>
      <c r="B20" s="16">
        <v>222</v>
      </c>
    </row>
    <row r="21" spans="1:2" x14ac:dyDescent="0.3">
      <c r="A21" s="17" t="s">
        <v>94</v>
      </c>
      <c r="B21" s="18">
        <v>222</v>
      </c>
    </row>
    <row r="22" spans="1:2" x14ac:dyDescent="0.3">
      <c r="A22" s="15" t="s">
        <v>95</v>
      </c>
      <c r="B22" s="16">
        <v>123</v>
      </c>
    </row>
    <row r="23" spans="1:2" x14ac:dyDescent="0.3">
      <c r="A23" s="17" t="s">
        <v>96</v>
      </c>
      <c r="B23" s="18">
        <v>48</v>
      </c>
    </row>
    <row r="24" spans="1:2" x14ac:dyDescent="0.3">
      <c r="A24" s="17" t="s">
        <v>97</v>
      </c>
      <c r="B24" s="18">
        <v>1</v>
      </c>
    </row>
    <row r="25" spans="1:2" x14ac:dyDescent="0.3">
      <c r="A25" s="17" t="s">
        <v>98</v>
      </c>
      <c r="B25" s="18">
        <v>74</v>
      </c>
    </row>
    <row r="26" spans="1:2" x14ac:dyDescent="0.3">
      <c r="A26" s="15" t="s">
        <v>99</v>
      </c>
      <c r="B26" s="16">
        <v>2</v>
      </c>
    </row>
    <row r="27" spans="1:2" x14ac:dyDescent="0.3">
      <c r="A27" s="17" t="s">
        <v>100</v>
      </c>
      <c r="B27" s="18">
        <v>2</v>
      </c>
    </row>
    <row r="30" spans="1:2" ht="30.75" customHeight="1" x14ac:dyDescent="0.3">
      <c r="A30" s="195" t="s">
        <v>101</v>
      </c>
      <c r="B30" s="196"/>
    </row>
    <row r="31" spans="1:2" x14ac:dyDescent="0.3">
      <c r="A31" s="15" t="s">
        <v>78</v>
      </c>
      <c r="B31" s="16">
        <v>10621</v>
      </c>
    </row>
    <row r="33" spans="1:2" x14ac:dyDescent="0.3">
      <c r="A33" s="197" t="s">
        <v>102</v>
      </c>
      <c r="B33" s="198"/>
    </row>
    <row r="34" spans="1:2" x14ac:dyDescent="0.3">
      <c r="A34" s="15" t="s">
        <v>82</v>
      </c>
      <c r="B34" s="16">
        <v>6004</v>
      </c>
    </row>
    <row r="35" spans="1:2" x14ac:dyDescent="0.3">
      <c r="A35" s="15" t="s">
        <v>86</v>
      </c>
      <c r="B35" s="16">
        <v>1501</v>
      </c>
    </row>
    <row r="36" spans="1:2" x14ac:dyDescent="0.3">
      <c r="A36" s="15" t="s">
        <v>103</v>
      </c>
      <c r="B36" s="16">
        <v>9</v>
      </c>
    </row>
    <row r="37" spans="1:2" x14ac:dyDescent="0.3">
      <c r="A37" s="15" t="s">
        <v>88</v>
      </c>
      <c r="B37" s="16">
        <v>313</v>
      </c>
    </row>
    <row r="38" spans="1:2" x14ac:dyDescent="0.3">
      <c r="A38" s="15" t="s">
        <v>91</v>
      </c>
      <c r="B38" s="16">
        <v>155</v>
      </c>
    </row>
    <row r="39" spans="1:2" x14ac:dyDescent="0.3">
      <c r="A39" s="15" t="s">
        <v>93</v>
      </c>
      <c r="B39" s="16">
        <v>362</v>
      </c>
    </row>
    <row r="40" spans="1:2" x14ac:dyDescent="0.3">
      <c r="A40" s="15" t="s">
        <v>95</v>
      </c>
      <c r="B40" s="16">
        <v>2272</v>
      </c>
    </row>
    <row r="41" spans="1:2" x14ac:dyDescent="0.3">
      <c r="A41" s="15" t="s">
        <v>99</v>
      </c>
      <c r="B41" s="16">
        <v>5</v>
      </c>
    </row>
  </sheetData>
  <mergeCells count="5">
    <mergeCell ref="A1:B1"/>
    <mergeCell ref="A6:B6"/>
    <mergeCell ref="A9:B9"/>
    <mergeCell ref="A30:B30"/>
    <mergeCell ref="A33:B3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18"/>
  <sheetViews>
    <sheetView workbookViewId="0"/>
  </sheetViews>
  <sheetFormatPr defaultColWidth="8.88671875" defaultRowHeight="14.4" x14ac:dyDescent="0.3"/>
  <cols>
    <col min="1" max="1" width="2.88671875" customWidth="1"/>
    <col min="2" max="2" width="26.44140625" bestFit="1" customWidth="1"/>
    <col min="3" max="3" width="9.44140625" bestFit="1" customWidth="1"/>
    <col min="8" max="8" width="14.109375" customWidth="1"/>
    <col min="9" max="9" width="11.44140625" bestFit="1" customWidth="1"/>
  </cols>
  <sheetData>
    <row r="2" spans="2:9" x14ac:dyDescent="0.3">
      <c r="B2" s="199" t="s">
        <v>104</v>
      </c>
      <c r="C2" s="199"/>
    </row>
    <row r="3" spans="2:9" x14ac:dyDescent="0.3">
      <c r="H3" s="199" t="s">
        <v>105</v>
      </c>
      <c r="I3" s="199"/>
    </row>
    <row r="4" spans="2:9" x14ac:dyDescent="0.3">
      <c r="B4" s="19" t="s">
        <v>106</v>
      </c>
      <c r="C4" s="19" t="s">
        <v>107</v>
      </c>
    </row>
    <row r="5" spans="2:9" x14ac:dyDescent="0.3">
      <c r="B5" s="20">
        <v>20171105</v>
      </c>
      <c r="C5" s="21">
        <v>1182</v>
      </c>
      <c r="H5" s="22" t="s">
        <v>108</v>
      </c>
      <c r="I5" s="23">
        <f>SUM('051018 Model_Applications'!B39:B40)/SUM('051018 Model_Applications'!B35,'051018 Model_Applications'!B37,'051018 Model_Applications'!B39,'051018 Model_Applications'!B40)</f>
        <v>0.59217625899280579</v>
      </c>
    </row>
    <row r="6" spans="2:9" x14ac:dyDescent="0.3">
      <c r="B6" s="24">
        <v>20171023</v>
      </c>
      <c r="C6" s="25">
        <v>1116</v>
      </c>
    </row>
    <row r="7" spans="2:9" x14ac:dyDescent="0.3">
      <c r="C7" s="26">
        <f>SUM(C5:C6)</f>
        <v>2298</v>
      </c>
      <c r="H7" s="22" t="s">
        <v>109</v>
      </c>
      <c r="I7" s="27">
        <f>'051018 Model_Applications'!B34+'051018 Model_Applications'!B38</f>
        <v>6159</v>
      </c>
    </row>
    <row r="9" spans="2:9" x14ac:dyDescent="0.3">
      <c r="C9" s="28" t="s">
        <v>110</v>
      </c>
      <c r="H9" s="22" t="s">
        <v>111</v>
      </c>
      <c r="I9" s="27">
        <f>ROUND(I7*I5,0)</f>
        <v>3647</v>
      </c>
    </row>
    <row r="10" spans="2:9" ht="4.6500000000000004" customHeight="1" x14ac:dyDescent="0.3">
      <c r="C10" s="2"/>
    </row>
    <row r="11" spans="2:9" x14ac:dyDescent="0.3">
      <c r="B11" s="29" t="s">
        <v>112</v>
      </c>
      <c r="C11" s="30">
        <v>0.84279797514956278</v>
      </c>
    </row>
    <row r="12" spans="2:9" ht="4.6500000000000004" customHeight="1" x14ac:dyDescent="0.3">
      <c r="B12" s="22"/>
    </row>
    <row r="13" spans="2:9" x14ac:dyDescent="0.3">
      <c r="B13" s="22" t="s">
        <v>113</v>
      </c>
      <c r="C13" s="30">
        <v>0.3</v>
      </c>
      <c r="H13" s="22" t="s">
        <v>114</v>
      </c>
      <c r="I13" s="31">
        <v>201801</v>
      </c>
    </row>
    <row r="14" spans="2:9" ht="4.6500000000000004" customHeight="1" x14ac:dyDescent="0.3">
      <c r="B14" s="22"/>
      <c r="C14" s="32"/>
    </row>
    <row r="15" spans="2:9" x14ac:dyDescent="0.3">
      <c r="B15" s="22" t="s">
        <v>115</v>
      </c>
      <c r="C15" s="30">
        <v>0.02</v>
      </c>
      <c r="H15" s="22"/>
      <c r="I15" s="33"/>
    </row>
    <row r="16" spans="2:9" ht="4.6500000000000004" customHeight="1" x14ac:dyDescent="0.3">
      <c r="B16" s="22"/>
    </row>
    <row r="17" spans="2:3" x14ac:dyDescent="0.3">
      <c r="B17" s="22" t="s">
        <v>116</v>
      </c>
      <c r="C17" s="200">
        <v>0.6</v>
      </c>
    </row>
    <row r="18" spans="2:3" x14ac:dyDescent="0.3">
      <c r="B18" s="22" t="s">
        <v>117</v>
      </c>
      <c r="C18" s="201"/>
    </row>
  </sheetData>
  <mergeCells count="3">
    <mergeCell ref="B2:C2"/>
    <mergeCell ref="H3:I3"/>
    <mergeCell ref="C17:C18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G62"/>
  <sheetViews>
    <sheetView workbookViewId="0"/>
  </sheetViews>
  <sheetFormatPr defaultColWidth="8.88671875" defaultRowHeight="14.4" x14ac:dyDescent="0.3"/>
  <cols>
    <col min="1" max="1" width="2.88671875" customWidth="1"/>
    <col min="3" max="3" width="12.33203125" style="1" customWidth="1"/>
    <col min="4" max="4" width="9.44140625" style="38" customWidth="1"/>
    <col min="5" max="5" width="14.33203125" customWidth="1"/>
    <col min="6" max="6" width="15" customWidth="1"/>
    <col min="7" max="7" width="9.44140625" customWidth="1"/>
  </cols>
  <sheetData>
    <row r="1" spans="2:7" x14ac:dyDescent="0.3">
      <c r="C1" s="202" t="s">
        <v>118</v>
      </c>
      <c r="D1" s="202"/>
      <c r="E1" s="202"/>
      <c r="F1" s="202"/>
      <c r="G1" s="202"/>
    </row>
    <row r="2" spans="2:7" ht="28.8" x14ac:dyDescent="0.3">
      <c r="C2" s="34" t="s">
        <v>119</v>
      </c>
      <c r="D2" s="35" t="s">
        <v>120</v>
      </c>
      <c r="E2" s="36" t="s">
        <v>121</v>
      </c>
      <c r="F2" s="36" t="s">
        <v>122</v>
      </c>
      <c r="G2" s="36" t="s">
        <v>123</v>
      </c>
    </row>
    <row r="3" spans="2:7" x14ac:dyDescent="0.3">
      <c r="B3">
        <v>201707</v>
      </c>
      <c r="C3" s="37">
        <v>0</v>
      </c>
      <c r="E3" s="39">
        <v>0</v>
      </c>
      <c r="F3" s="1"/>
      <c r="G3" s="1"/>
    </row>
    <row r="4" spans="2:7" x14ac:dyDescent="0.3">
      <c r="B4">
        <v>201708</v>
      </c>
      <c r="C4" s="37">
        <v>765</v>
      </c>
      <c r="E4" s="39">
        <v>41654.159999999974</v>
      </c>
      <c r="F4" s="40">
        <v>54.61</v>
      </c>
      <c r="G4" s="41"/>
    </row>
    <row r="5" spans="2:7" x14ac:dyDescent="0.3">
      <c r="B5">
        <v>201709</v>
      </c>
      <c r="C5" s="37">
        <v>1434</v>
      </c>
      <c r="D5" s="42">
        <f>(C5-C4)/C4</f>
        <v>0.87450980392156863</v>
      </c>
      <c r="E5" s="39">
        <v>92609.250000000102</v>
      </c>
      <c r="G5" s="41"/>
    </row>
    <row r="6" spans="2:7" x14ac:dyDescent="0.3">
      <c r="B6">
        <v>201710</v>
      </c>
      <c r="C6" s="37">
        <v>1992</v>
      </c>
      <c r="D6" s="42">
        <f t="shared" ref="D6:D12" si="0">(C6-C5)/C5</f>
        <v>0.38912133891213391</v>
      </c>
      <c r="E6" s="39">
        <v>112973.10000000002</v>
      </c>
      <c r="G6" s="41"/>
    </row>
    <row r="7" spans="2:7" x14ac:dyDescent="0.3">
      <c r="B7">
        <v>201711</v>
      </c>
      <c r="C7" s="37">
        <v>2615</v>
      </c>
      <c r="D7" s="42">
        <f t="shared" si="0"/>
        <v>0.31275100401606426</v>
      </c>
      <c r="E7" s="43">
        <f t="shared" ref="E7:E62" si="1">C7*F$4</f>
        <v>142805.15</v>
      </c>
      <c r="F7" s="44"/>
      <c r="G7" s="45"/>
    </row>
    <row r="8" spans="2:7" x14ac:dyDescent="0.3">
      <c r="B8">
        <v>201712</v>
      </c>
      <c r="C8" s="37">
        <v>3900</v>
      </c>
      <c r="D8" s="42">
        <f t="shared" si="0"/>
        <v>0.491395793499044</v>
      </c>
      <c r="E8" s="43">
        <f t="shared" si="1"/>
        <v>212979</v>
      </c>
      <c r="F8" s="44"/>
      <c r="G8" s="27">
        <f>'051018 Model_Assumptions'!C13*'051018 Model_Assumptions'!C11*(1-'051018 Model_Assumptions'!C15)*'051018 Model_Assumptions'!C7</f>
        <v>569.40442558674636</v>
      </c>
    </row>
    <row r="9" spans="2:7" x14ac:dyDescent="0.3">
      <c r="B9">
        <v>201801</v>
      </c>
      <c r="C9" s="37">
        <v>5206</v>
      </c>
      <c r="D9" s="42">
        <f t="shared" si="0"/>
        <v>0.33487179487179486</v>
      </c>
      <c r="E9" s="43">
        <f t="shared" si="1"/>
        <v>284299.65999999997</v>
      </c>
      <c r="F9" s="44"/>
      <c r="G9" s="45"/>
    </row>
    <row r="10" spans="2:7" x14ac:dyDescent="0.3">
      <c r="B10">
        <v>201802</v>
      </c>
      <c r="C10" s="37">
        <v>6150</v>
      </c>
      <c r="D10" s="42">
        <f t="shared" si="0"/>
        <v>0.18132923549750288</v>
      </c>
      <c r="E10" s="43">
        <f t="shared" si="1"/>
        <v>335851.5</v>
      </c>
      <c r="F10" s="44"/>
      <c r="G10" s="45"/>
    </row>
    <row r="11" spans="2:7" x14ac:dyDescent="0.3">
      <c r="B11">
        <v>201803</v>
      </c>
      <c r="C11" s="37">
        <v>7197</v>
      </c>
      <c r="D11" s="42">
        <f t="shared" si="0"/>
        <v>0.1702439024390244</v>
      </c>
      <c r="E11" s="43">
        <f t="shared" si="1"/>
        <v>393028.17</v>
      </c>
      <c r="F11" s="44"/>
      <c r="G11" s="45"/>
    </row>
    <row r="12" spans="2:7" x14ac:dyDescent="0.3">
      <c r="B12">
        <v>201804</v>
      </c>
      <c r="C12" s="37">
        <v>8081</v>
      </c>
      <c r="D12" s="46">
        <f t="shared" si="0"/>
        <v>0.12282895650965681</v>
      </c>
      <c r="E12" s="43">
        <f t="shared" si="1"/>
        <v>441303.41</v>
      </c>
      <c r="F12" s="44"/>
      <c r="G12" s="27">
        <f>'051018 Model_Assumptions'!C17*'051018 Model_Assumptions'!C11*'051018 Model_Assumptions'!C7</f>
        <v>1162.049848136217</v>
      </c>
    </row>
    <row r="13" spans="2:7" x14ac:dyDescent="0.3">
      <c r="B13">
        <v>201805</v>
      </c>
      <c r="C13" s="47">
        <f>C12*(1+D13)</f>
        <v>9293.15</v>
      </c>
      <c r="D13" s="3">
        <v>0.15</v>
      </c>
      <c r="E13" s="43">
        <f t="shared" si="1"/>
        <v>507498.9215</v>
      </c>
      <c r="F13" s="44"/>
      <c r="G13" s="45"/>
    </row>
    <row r="14" spans="2:7" x14ac:dyDescent="0.3">
      <c r="B14" s="48">
        <v>201806</v>
      </c>
      <c r="C14" s="49">
        <f>C13*(1+D14)</f>
        <v>10687.122499999999</v>
      </c>
      <c r="D14" s="50">
        <v>0.15</v>
      </c>
      <c r="E14" s="51">
        <f t="shared" si="1"/>
        <v>583623.75972500001</v>
      </c>
      <c r="F14" s="52">
        <f>SUM(E3:E14)</f>
        <v>3148626.0812250003</v>
      </c>
      <c r="G14" s="45"/>
    </row>
    <row r="15" spans="2:7" x14ac:dyDescent="0.3">
      <c r="B15">
        <v>201807</v>
      </c>
      <c r="C15" s="53">
        <f t="shared" ref="C15:C62" si="2">C14*(1+D15)</f>
        <v>11221.478625</v>
      </c>
      <c r="D15" s="54">
        <v>0.05</v>
      </c>
      <c r="E15" s="43">
        <f t="shared" si="1"/>
        <v>612804.94771124993</v>
      </c>
      <c r="F15" s="52"/>
      <c r="G15" s="45"/>
    </row>
    <row r="16" spans="2:7" x14ac:dyDescent="0.3">
      <c r="B16">
        <v>201808</v>
      </c>
      <c r="C16" s="53">
        <f t="shared" si="2"/>
        <v>11782.552556250001</v>
      </c>
      <c r="D16" s="3">
        <v>0.05</v>
      </c>
      <c r="E16" s="43">
        <f t="shared" si="1"/>
        <v>643445.19509681256</v>
      </c>
      <c r="F16" s="52"/>
      <c r="G16" s="45"/>
    </row>
    <row r="17" spans="2:7" x14ac:dyDescent="0.3">
      <c r="B17">
        <v>201809</v>
      </c>
      <c r="C17" s="53">
        <f t="shared" si="2"/>
        <v>12371.680184062501</v>
      </c>
      <c r="D17" s="3">
        <v>0.05</v>
      </c>
      <c r="E17" s="43">
        <f t="shared" si="1"/>
        <v>675617.45485165319</v>
      </c>
      <c r="F17" s="52"/>
      <c r="G17" s="45"/>
    </row>
    <row r="18" spans="2:7" x14ac:dyDescent="0.3">
      <c r="B18">
        <v>201810</v>
      </c>
      <c r="C18" s="53">
        <f t="shared" si="2"/>
        <v>12990.264193265626</v>
      </c>
      <c r="D18" s="3">
        <v>0.05</v>
      </c>
      <c r="E18" s="43">
        <f t="shared" si="1"/>
        <v>709398.32759423589</v>
      </c>
      <c r="F18" s="52"/>
      <c r="G18" s="45"/>
    </row>
    <row r="19" spans="2:7" x14ac:dyDescent="0.3">
      <c r="B19">
        <v>201811</v>
      </c>
      <c r="C19" s="53">
        <f t="shared" si="2"/>
        <v>13250.069477130939</v>
      </c>
      <c r="D19" s="3">
        <v>0.02</v>
      </c>
      <c r="E19" s="43">
        <f t="shared" si="1"/>
        <v>723586.29414612055</v>
      </c>
      <c r="F19" s="52"/>
      <c r="G19" s="41"/>
    </row>
    <row r="20" spans="2:7" x14ac:dyDescent="0.3">
      <c r="B20">
        <v>201812</v>
      </c>
      <c r="C20" s="53">
        <f t="shared" si="2"/>
        <v>13515.070866673557</v>
      </c>
      <c r="D20" s="3">
        <v>0.02</v>
      </c>
      <c r="E20" s="43">
        <f t="shared" si="1"/>
        <v>738058.02002904296</v>
      </c>
      <c r="F20" s="52"/>
      <c r="G20" s="41"/>
    </row>
    <row r="21" spans="2:7" x14ac:dyDescent="0.3">
      <c r="B21">
        <v>201901</v>
      </c>
      <c r="C21" s="53">
        <f t="shared" si="2"/>
        <v>13785.37228400703</v>
      </c>
      <c r="D21" s="3">
        <v>0.02</v>
      </c>
      <c r="E21" s="43">
        <f t="shared" si="1"/>
        <v>752819.18042962393</v>
      </c>
      <c r="F21" s="52"/>
      <c r="G21" s="1"/>
    </row>
    <row r="22" spans="2:7" x14ac:dyDescent="0.3">
      <c r="B22">
        <v>201902</v>
      </c>
      <c r="C22" s="53">
        <f t="shared" si="2"/>
        <v>14061.07972968717</v>
      </c>
      <c r="D22" s="3">
        <v>0.02</v>
      </c>
      <c r="E22" s="43">
        <f t="shared" si="1"/>
        <v>767875.56403821637</v>
      </c>
      <c r="F22" s="52"/>
      <c r="G22" s="1"/>
    </row>
    <row r="23" spans="2:7" x14ac:dyDescent="0.3">
      <c r="B23">
        <v>201903</v>
      </c>
      <c r="C23" s="53">
        <f t="shared" si="2"/>
        <v>14342.301324280914</v>
      </c>
      <c r="D23" s="3">
        <v>0.02</v>
      </c>
      <c r="E23" s="43">
        <f t="shared" si="1"/>
        <v>783233.07531898073</v>
      </c>
      <c r="F23" s="52"/>
      <c r="G23" s="1"/>
    </row>
    <row r="24" spans="2:7" x14ac:dyDescent="0.3">
      <c r="B24">
        <v>201904</v>
      </c>
      <c r="C24" s="53">
        <f t="shared" si="2"/>
        <v>14915.993377252151</v>
      </c>
      <c r="D24" s="3">
        <v>0.04</v>
      </c>
      <c r="E24" s="43">
        <f t="shared" si="1"/>
        <v>814562.39833173994</v>
      </c>
      <c r="F24" s="52"/>
      <c r="G24" s="1"/>
    </row>
    <row r="25" spans="2:7" x14ac:dyDescent="0.3">
      <c r="B25">
        <v>201905</v>
      </c>
      <c r="C25" s="53">
        <f t="shared" si="2"/>
        <v>15512.633112342237</v>
      </c>
      <c r="D25" s="3">
        <v>0.04</v>
      </c>
      <c r="E25" s="43">
        <f t="shared" si="1"/>
        <v>847144.89426500956</v>
      </c>
      <c r="F25" s="52"/>
      <c r="G25" s="1"/>
    </row>
    <row r="26" spans="2:7" x14ac:dyDescent="0.3">
      <c r="B26">
        <v>201906</v>
      </c>
      <c r="C26" s="53">
        <f t="shared" si="2"/>
        <v>16133.138436835927</v>
      </c>
      <c r="D26" s="3">
        <v>0.04</v>
      </c>
      <c r="E26" s="43">
        <f t="shared" si="1"/>
        <v>881030.69003560999</v>
      </c>
      <c r="F26" s="52">
        <f>SUM(E15:E26)</f>
        <v>8949576.0418482944</v>
      </c>
      <c r="G26" s="1"/>
    </row>
    <row r="27" spans="2:7" x14ac:dyDescent="0.3">
      <c r="B27">
        <v>201907</v>
      </c>
      <c r="C27" s="53">
        <f t="shared" si="2"/>
        <v>16617.132589941004</v>
      </c>
      <c r="D27" s="3">
        <v>0.03</v>
      </c>
      <c r="E27" s="43">
        <f t="shared" si="1"/>
        <v>907461.61073667824</v>
      </c>
      <c r="F27" s="52"/>
    </row>
    <row r="28" spans="2:7" x14ac:dyDescent="0.3">
      <c r="B28">
        <v>201908</v>
      </c>
      <c r="C28" s="53">
        <f t="shared" si="2"/>
        <v>17115.646567639236</v>
      </c>
      <c r="D28" s="3">
        <v>0.03</v>
      </c>
      <c r="E28" s="43">
        <f t="shared" si="1"/>
        <v>934685.45905877871</v>
      </c>
      <c r="F28" s="52"/>
    </row>
    <row r="29" spans="2:7" x14ac:dyDescent="0.3">
      <c r="B29">
        <v>201909</v>
      </c>
      <c r="C29" s="53">
        <f t="shared" si="2"/>
        <v>17629.115964668414</v>
      </c>
      <c r="D29" s="3">
        <v>0.03</v>
      </c>
      <c r="E29" s="43">
        <f t="shared" si="1"/>
        <v>962726.02283054206</v>
      </c>
      <c r="F29" s="52"/>
    </row>
    <row r="30" spans="2:7" x14ac:dyDescent="0.3">
      <c r="B30">
        <v>201910</v>
      </c>
      <c r="C30" s="53">
        <f t="shared" si="2"/>
        <v>18157.989443608465</v>
      </c>
      <c r="D30" s="3">
        <v>0.03</v>
      </c>
      <c r="E30" s="43">
        <f t="shared" si="1"/>
        <v>991607.80351545825</v>
      </c>
      <c r="F30" s="52"/>
    </row>
    <row r="31" spans="2:7" x14ac:dyDescent="0.3">
      <c r="B31">
        <v>201911</v>
      </c>
      <c r="C31" s="53">
        <f t="shared" si="2"/>
        <v>18521.149232480635</v>
      </c>
      <c r="D31" s="3">
        <v>0.02</v>
      </c>
      <c r="E31" s="43">
        <f t="shared" si="1"/>
        <v>1011439.9595857675</v>
      </c>
      <c r="F31" s="52"/>
    </row>
    <row r="32" spans="2:7" x14ac:dyDescent="0.3">
      <c r="B32">
        <v>201912</v>
      </c>
      <c r="C32" s="53">
        <f t="shared" si="2"/>
        <v>18891.572217130248</v>
      </c>
      <c r="D32" s="3">
        <v>0.02</v>
      </c>
      <c r="E32" s="43">
        <f t="shared" si="1"/>
        <v>1031668.7587774828</v>
      </c>
      <c r="F32" s="52"/>
    </row>
    <row r="33" spans="2:6" x14ac:dyDescent="0.3">
      <c r="B33">
        <v>202001</v>
      </c>
      <c r="C33" s="53">
        <f t="shared" si="2"/>
        <v>19269.403661472854</v>
      </c>
      <c r="D33" s="3">
        <v>0.02</v>
      </c>
      <c r="E33" s="43">
        <f t="shared" si="1"/>
        <v>1052302.1339530325</v>
      </c>
      <c r="F33" s="52"/>
    </row>
    <row r="34" spans="2:6" x14ac:dyDescent="0.3">
      <c r="B34">
        <v>202002</v>
      </c>
      <c r="C34" s="53">
        <f t="shared" si="2"/>
        <v>19654.79173470231</v>
      </c>
      <c r="D34" s="3">
        <v>0.02</v>
      </c>
      <c r="E34" s="43">
        <f t="shared" si="1"/>
        <v>1073348.1766320933</v>
      </c>
      <c r="F34" s="52"/>
    </row>
    <row r="35" spans="2:6" x14ac:dyDescent="0.3">
      <c r="B35">
        <v>202003</v>
      </c>
      <c r="C35" s="53">
        <f t="shared" si="2"/>
        <v>20047.887569396356</v>
      </c>
      <c r="D35" s="3">
        <v>0.02</v>
      </c>
      <c r="E35" s="43">
        <f t="shared" si="1"/>
        <v>1094815.140164735</v>
      </c>
      <c r="F35" s="52"/>
    </row>
    <row r="36" spans="2:6" x14ac:dyDescent="0.3">
      <c r="B36">
        <v>202004</v>
      </c>
      <c r="C36" s="53">
        <f t="shared" si="2"/>
        <v>20649.324196478246</v>
      </c>
      <c r="D36" s="3">
        <v>0.03</v>
      </c>
      <c r="E36" s="43">
        <f t="shared" si="1"/>
        <v>1127659.5943696771</v>
      </c>
      <c r="F36" s="52"/>
    </row>
    <row r="37" spans="2:6" x14ac:dyDescent="0.3">
      <c r="B37">
        <v>202005</v>
      </c>
      <c r="C37" s="53">
        <f t="shared" si="2"/>
        <v>21268.803922372594</v>
      </c>
      <c r="D37" s="3">
        <v>0.03</v>
      </c>
      <c r="E37" s="43">
        <f t="shared" si="1"/>
        <v>1161489.3822007673</v>
      </c>
      <c r="F37" s="52"/>
    </row>
    <row r="38" spans="2:6" x14ac:dyDescent="0.3">
      <c r="B38">
        <v>202006</v>
      </c>
      <c r="C38" s="53">
        <f t="shared" si="2"/>
        <v>21906.868040043773</v>
      </c>
      <c r="D38" s="3">
        <v>0.03</v>
      </c>
      <c r="E38" s="43">
        <f t="shared" si="1"/>
        <v>1196334.0636667905</v>
      </c>
      <c r="F38" s="52">
        <f>SUM(E27:E38)</f>
        <v>12545538.105491802</v>
      </c>
    </row>
    <row r="39" spans="2:6" x14ac:dyDescent="0.3">
      <c r="B39">
        <v>202007</v>
      </c>
      <c r="C39" s="53">
        <f t="shared" si="2"/>
        <v>22345.00540084465</v>
      </c>
      <c r="D39" s="3">
        <v>0.02</v>
      </c>
      <c r="E39" s="43">
        <f t="shared" si="1"/>
        <v>1220260.7449401263</v>
      </c>
      <c r="F39" s="52"/>
    </row>
    <row r="40" spans="2:6" x14ac:dyDescent="0.3">
      <c r="B40">
        <v>202008</v>
      </c>
      <c r="C40" s="53">
        <f t="shared" si="2"/>
        <v>22791.905508861542</v>
      </c>
      <c r="D40" s="3">
        <v>0.02</v>
      </c>
      <c r="E40" s="43">
        <f t="shared" si="1"/>
        <v>1244665.9598389289</v>
      </c>
      <c r="F40" s="52"/>
    </row>
    <row r="41" spans="2:6" x14ac:dyDescent="0.3">
      <c r="B41">
        <v>202009</v>
      </c>
      <c r="C41" s="53">
        <f t="shared" si="2"/>
        <v>23247.743619038774</v>
      </c>
      <c r="D41" s="3">
        <v>0.02</v>
      </c>
      <c r="E41" s="43">
        <f t="shared" si="1"/>
        <v>1269559.2790357075</v>
      </c>
      <c r="F41" s="52"/>
    </row>
    <row r="42" spans="2:6" x14ac:dyDescent="0.3">
      <c r="B42">
        <v>202010</v>
      </c>
      <c r="C42" s="53">
        <f t="shared" si="2"/>
        <v>23712.698491419549</v>
      </c>
      <c r="D42" s="3">
        <v>0.02</v>
      </c>
      <c r="E42" s="43">
        <f t="shared" si="1"/>
        <v>1294950.4646164216</v>
      </c>
      <c r="F42" s="52"/>
    </row>
    <row r="43" spans="2:6" x14ac:dyDescent="0.3">
      <c r="B43">
        <v>202011</v>
      </c>
      <c r="C43" s="53">
        <f t="shared" si="2"/>
        <v>23712.698491419549</v>
      </c>
      <c r="D43" s="3">
        <v>0</v>
      </c>
      <c r="E43" s="43">
        <f t="shared" si="1"/>
        <v>1294950.4646164216</v>
      </c>
      <c r="F43" s="52"/>
    </row>
    <row r="44" spans="2:6" x14ac:dyDescent="0.3">
      <c r="B44">
        <v>202012</v>
      </c>
      <c r="C44" s="53">
        <f t="shared" si="2"/>
        <v>23712.698491419549</v>
      </c>
      <c r="D44" s="3">
        <v>0</v>
      </c>
      <c r="E44" s="43">
        <f t="shared" si="1"/>
        <v>1294950.4646164216</v>
      </c>
      <c r="F44" s="52"/>
    </row>
    <row r="45" spans="2:6" x14ac:dyDescent="0.3">
      <c r="B45">
        <v>202101</v>
      </c>
      <c r="C45" s="53">
        <f t="shared" si="2"/>
        <v>23712.698491419549</v>
      </c>
      <c r="D45" s="3">
        <v>0</v>
      </c>
      <c r="E45" s="43">
        <f t="shared" si="1"/>
        <v>1294950.4646164216</v>
      </c>
      <c r="F45" s="52"/>
    </row>
    <row r="46" spans="2:6" x14ac:dyDescent="0.3">
      <c r="B46">
        <v>202102</v>
      </c>
      <c r="C46" s="53">
        <f t="shared" si="2"/>
        <v>23712.698491419549</v>
      </c>
      <c r="D46" s="3">
        <v>0</v>
      </c>
      <c r="E46" s="43">
        <f t="shared" si="1"/>
        <v>1294950.4646164216</v>
      </c>
      <c r="F46" s="52"/>
    </row>
    <row r="47" spans="2:6" x14ac:dyDescent="0.3">
      <c r="B47">
        <v>202103</v>
      </c>
      <c r="C47" s="53">
        <f t="shared" si="2"/>
        <v>23712.698491419549</v>
      </c>
      <c r="D47" s="3">
        <v>0</v>
      </c>
      <c r="E47" s="43">
        <f t="shared" si="1"/>
        <v>1294950.4646164216</v>
      </c>
      <c r="F47" s="52"/>
    </row>
    <row r="48" spans="2:6" x14ac:dyDescent="0.3">
      <c r="B48">
        <v>202104</v>
      </c>
      <c r="C48" s="53">
        <f t="shared" si="2"/>
        <v>24186.95246124794</v>
      </c>
      <c r="D48" s="3">
        <v>0.02</v>
      </c>
      <c r="E48" s="43">
        <f t="shared" si="1"/>
        <v>1320849.4739087499</v>
      </c>
      <c r="F48" s="52"/>
    </row>
    <row r="49" spans="2:6" x14ac:dyDescent="0.3">
      <c r="B49">
        <v>202105</v>
      </c>
      <c r="C49" s="53">
        <f t="shared" si="2"/>
        <v>24670.691510472898</v>
      </c>
      <c r="D49" s="3">
        <v>0.02</v>
      </c>
      <c r="E49" s="43">
        <f t="shared" si="1"/>
        <v>1347266.4633869249</v>
      </c>
      <c r="F49" s="52"/>
    </row>
    <row r="50" spans="2:6" x14ac:dyDescent="0.3">
      <c r="B50" s="55">
        <v>202106</v>
      </c>
      <c r="C50" s="56">
        <f t="shared" si="2"/>
        <v>25164.105340682356</v>
      </c>
      <c r="D50" s="3">
        <v>0.02</v>
      </c>
      <c r="E50" s="43">
        <f t="shared" si="1"/>
        <v>1374211.7926546633</v>
      </c>
      <c r="F50" s="52">
        <f>SUM(E39:E50)</f>
        <v>15546516.501463631</v>
      </c>
    </row>
    <row r="51" spans="2:6" x14ac:dyDescent="0.3">
      <c r="B51">
        <v>202107</v>
      </c>
      <c r="C51" s="53">
        <f t="shared" si="2"/>
        <v>25164.105340682356</v>
      </c>
      <c r="D51" s="3">
        <v>0</v>
      </c>
      <c r="E51" s="43">
        <f t="shared" si="1"/>
        <v>1374211.7926546633</v>
      </c>
      <c r="F51" s="52"/>
    </row>
    <row r="52" spans="2:6" x14ac:dyDescent="0.3">
      <c r="B52">
        <v>202108</v>
      </c>
      <c r="C52" s="53">
        <f t="shared" si="2"/>
        <v>25164.105340682356</v>
      </c>
      <c r="D52" s="3">
        <v>0</v>
      </c>
      <c r="E52" s="43">
        <f t="shared" si="1"/>
        <v>1374211.7926546633</v>
      </c>
      <c r="F52" s="52"/>
    </row>
    <row r="53" spans="2:6" x14ac:dyDescent="0.3">
      <c r="B53">
        <v>202109</v>
      </c>
      <c r="C53" s="53">
        <f t="shared" si="2"/>
        <v>25164.105340682356</v>
      </c>
      <c r="D53" s="3">
        <v>0</v>
      </c>
      <c r="E53" s="43">
        <f t="shared" si="1"/>
        <v>1374211.7926546633</v>
      </c>
      <c r="F53" s="52"/>
    </row>
    <row r="54" spans="2:6" x14ac:dyDescent="0.3">
      <c r="B54">
        <v>202110</v>
      </c>
      <c r="C54" s="53">
        <f t="shared" si="2"/>
        <v>25164.105340682356</v>
      </c>
      <c r="D54" s="3">
        <v>0</v>
      </c>
      <c r="E54" s="43">
        <f t="shared" si="1"/>
        <v>1374211.7926546633</v>
      </c>
      <c r="F54" s="52"/>
    </row>
    <row r="55" spans="2:6" x14ac:dyDescent="0.3">
      <c r="B55">
        <v>202111</v>
      </c>
      <c r="C55" s="53">
        <f t="shared" si="2"/>
        <v>25164.105340682356</v>
      </c>
      <c r="D55" s="3">
        <v>0</v>
      </c>
      <c r="E55" s="43">
        <f t="shared" si="1"/>
        <v>1374211.7926546633</v>
      </c>
      <c r="F55" s="52"/>
    </row>
    <row r="56" spans="2:6" x14ac:dyDescent="0.3">
      <c r="B56">
        <v>202112</v>
      </c>
      <c r="C56" s="53">
        <f t="shared" si="2"/>
        <v>25164.105340682356</v>
      </c>
      <c r="D56" s="3">
        <v>0</v>
      </c>
      <c r="E56" s="43">
        <f t="shared" si="1"/>
        <v>1374211.7926546633</v>
      </c>
      <c r="F56" s="52"/>
    </row>
    <row r="57" spans="2:6" x14ac:dyDescent="0.3">
      <c r="B57">
        <v>202201</v>
      </c>
      <c r="C57" s="53">
        <f t="shared" si="2"/>
        <v>25164.105340682356</v>
      </c>
      <c r="D57" s="3">
        <v>0</v>
      </c>
      <c r="E57" s="43">
        <f t="shared" si="1"/>
        <v>1374211.7926546633</v>
      </c>
      <c r="F57" s="52"/>
    </row>
    <row r="58" spans="2:6" x14ac:dyDescent="0.3">
      <c r="B58">
        <v>202202</v>
      </c>
      <c r="C58" s="53">
        <f t="shared" si="2"/>
        <v>25164.105340682356</v>
      </c>
      <c r="D58" s="3">
        <v>0</v>
      </c>
      <c r="E58" s="43">
        <f t="shared" si="1"/>
        <v>1374211.7926546633</v>
      </c>
      <c r="F58" s="52"/>
    </row>
    <row r="59" spans="2:6" x14ac:dyDescent="0.3">
      <c r="B59">
        <v>202203</v>
      </c>
      <c r="C59" s="53">
        <f t="shared" si="2"/>
        <v>25164.105340682356</v>
      </c>
      <c r="D59" s="3">
        <v>0</v>
      </c>
      <c r="E59" s="43">
        <f t="shared" si="1"/>
        <v>1374211.7926546633</v>
      </c>
      <c r="F59" s="52"/>
    </row>
    <row r="60" spans="2:6" x14ac:dyDescent="0.3">
      <c r="B60">
        <v>202204</v>
      </c>
      <c r="C60" s="53">
        <f t="shared" si="2"/>
        <v>25164.105340682356</v>
      </c>
      <c r="D60" s="3">
        <v>0</v>
      </c>
      <c r="E60" s="43">
        <f t="shared" si="1"/>
        <v>1374211.7926546633</v>
      </c>
      <c r="F60" s="52"/>
    </row>
    <row r="61" spans="2:6" x14ac:dyDescent="0.3">
      <c r="B61">
        <v>202205</v>
      </c>
      <c r="C61" s="53">
        <f t="shared" si="2"/>
        <v>25164.105340682356</v>
      </c>
      <c r="D61" s="3">
        <v>0</v>
      </c>
      <c r="E61" s="43">
        <f t="shared" si="1"/>
        <v>1374211.7926546633</v>
      </c>
      <c r="F61" s="52"/>
    </row>
    <row r="62" spans="2:6" x14ac:dyDescent="0.3">
      <c r="B62">
        <v>202206</v>
      </c>
      <c r="C62" s="53">
        <f t="shared" si="2"/>
        <v>25164.105340682356</v>
      </c>
      <c r="D62" s="3">
        <v>0</v>
      </c>
      <c r="E62" s="43">
        <f t="shared" si="1"/>
        <v>1374211.7926546633</v>
      </c>
      <c r="F62" s="52"/>
    </row>
  </sheetData>
  <mergeCells count="1">
    <mergeCell ref="C1:G1"/>
  </mergeCells>
  <pageMargins left="0.7" right="0.7" top="0.75" bottom="0.75" header="0.3" footer="0.3"/>
  <pageSetup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7"/>
  <sheetViews>
    <sheetView workbookViewId="0"/>
  </sheetViews>
  <sheetFormatPr defaultColWidth="8.88671875" defaultRowHeight="14.4" x14ac:dyDescent="0.3"/>
  <cols>
    <col min="2" max="2" width="12.44140625" bestFit="1" customWidth="1"/>
    <col min="3" max="3" width="12.44140625" customWidth="1"/>
    <col min="4" max="4" width="14.109375" style="1" customWidth="1"/>
  </cols>
  <sheetData>
    <row r="1" spans="1:4" x14ac:dyDescent="0.3">
      <c r="A1" t="str">
        <f>'051018 Model_Model'!C1</f>
        <v>PROJECTED SUBSCRIPTION 1 (4-YR RAMP)</v>
      </c>
    </row>
    <row r="2" spans="1:4" ht="28.8" x14ac:dyDescent="0.3">
      <c r="A2" s="19" t="s">
        <v>124</v>
      </c>
      <c r="B2" s="57" t="s">
        <v>125</v>
      </c>
      <c r="C2" s="58" t="s">
        <v>126</v>
      </c>
      <c r="D2" s="58" t="s">
        <v>127</v>
      </c>
    </row>
    <row r="3" spans="1:4" x14ac:dyDescent="0.3">
      <c r="A3" s="20" t="s">
        <v>128</v>
      </c>
      <c r="B3" s="59">
        <f>SUM('051018 Model_Model'!E3:E14)</f>
        <v>3148626.0812250003</v>
      </c>
      <c r="C3" s="59"/>
      <c r="D3" s="21">
        <f>'051018 Model_Model'!C14</f>
        <v>10687.122499999999</v>
      </c>
    </row>
    <row r="4" spans="1:4" x14ac:dyDescent="0.3">
      <c r="A4" s="60" t="s">
        <v>129</v>
      </c>
      <c r="B4" s="61">
        <f>SUM('051018 Model_Model'!E15:E26)</f>
        <v>8949576.0418482944</v>
      </c>
      <c r="C4" s="62">
        <f>(D4-D3)/D3</f>
        <v>0.5095867420660638</v>
      </c>
      <c r="D4" s="63">
        <f>'051018 Model_Model'!C26</f>
        <v>16133.138436835927</v>
      </c>
    </row>
    <row r="5" spans="1:4" x14ac:dyDescent="0.3">
      <c r="A5" s="64" t="s">
        <v>130</v>
      </c>
      <c r="B5" s="65">
        <f>SUM('051018 Model_Model'!E27:E38)</f>
        <v>12545538.105491802</v>
      </c>
      <c r="C5" s="66">
        <f>(D5-D4)/D4</f>
        <v>0.3578801251729794</v>
      </c>
      <c r="D5" s="67">
        <f>'051018 Model_Model'!C38</f>
        <v>21906.868040043773</v>
      </c>
    </row>
    <row r="6" spans="1:4" x14ac:dyDescent="0.3">
      <c r="A6" s="4" t="s">
        <v>131</v>
      </c>
      <c r="B6" s="68">
        <f>SUM('051018 Model_Model'!E39:E50)</f>
        <v>15546516.501463631</v>
      </c>
      <c r="C6" s="69">
        <f>(D6-D5)/D5</f>
        <v>0.14868566764927998</v>
      </c>
      <c r="D6" s="70">
        <f>'051018 Model_Model'!C50</f>
        <v>25164.105340682356</v>
      </c>
    </row>
    <row r="7" spans="1:4" x14ac:dyDescent="0.3">
      <c r="A7" s="64" t="s">
        <v>132</v>
      </c>
      <c r="B7" s="65">
        <f>SUM('051018 Model_Model'!E51:E62)</f>
        <v>16490541.51185596</v>
      </c>
      <c r="C7" s="66">
        <f>(D7-D6)/D6</f>
        <v>0</v>
      </c>
      <c r="D7" s="67">
        <f>'051018 Model_Model'!C62</f>
        <v>25164.105340682356</v>
      </c>
    </row>
  </sheetData>
  <pageMargins left="0.7" right="0.7" top="0.75" bottom="0.75" header="0.3" footer="0.3"/>
  <pageSetup scale="72" orientation="landscape" r:id="rId1"/>
  <headerFooter>
    <oddHeader>&amp;CTAP Lost Revenue Projection
Revised Baseline</oddHeader>
    <oddFooter>&amp;CDraft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B9"/>
  <sheetViews>
    <sheetView workbookViewId="0"/>
  </sheetViews>
  <sheetFormatPr defaultColWidth="8.88671875" defaultRowHeight="14.4" x14ac:dyDescent="0.3"/>
  <cols>
    <col min="1" max="1" width="30.109375" customWidth="1"/>
    <col min="2" max="2" width="82.6640625" customWidth="1"/>
  </cols>
  <sheetData>
    <row r="1" spans="1:2" x14ac:dyDescent="0.3">
      <c r="A1" s="2" t="s">
        <v>3</v>
      </c>
      <c r="B1" s="2" t="s">
        <v>4</v>
      </c>
    </row>
    <row r="2" spans="1:2" x14ac:dyDescent="0.3">
      <c r="A2" t="s">
        <v>5</v>
      </c>
      <c r="B2" t="s">
        <v>6</v>
      </c>
    </row>
    <row r="3" spans="1:2" x14ac:dyDescent="0.3">
      <c r="A3" t="s">
        <v>7</v>
      </c>
      <c r="B3" t="s">
        <v>8</v>
      </c>
    </row>
    <row r="4" spans="1:2" x14ac:dyDescent="0.3">
      <c r="A4" t="s">
        <v>9</v>
      </c>
      <c r="B4" t="s">
        <v>10</v>
      </c>
    </row>
    <row r="5" spans="1:2" x14ac:dyDescent="0.3">
      <c r="A5" t="s">
        <v>11</v>
      </c>
      <c r="B5" t="s">
        <v>12</v>
      </c>
    </row>
    <row r="6" spans="1:2" x14ac:dyDescent="0.3">
      <c r="A6" t="s">
        <v>13</v>
      </c>
      <c r="B6" s="6" t="s">
        <v>14</v>
      </c>
    </row>
    <row r="7" spans="1:2" x14ac:dyDescent="0.3">
      <c r="A7" t="s">
        <v>15</v>
      </c>
      <c r="B7" s="6" t="s">
        <v>16</v>
      </c>
    </row>
    <row r="8" spans="1:2" x14ac:dyDescent="0.3">
      <c r="A8" t="s">
        <v>17</v>
      </c>
      <c r="B8" s="6" t="s">
        <v>18</v>
      </c>
    </row>
    <row r="9" spans="1:2" x14ac:dyDescent="0.3">
      <c r="A9" t="s">
        <v>19</v>
      </c>
      <c r="B9" s="6" t="s">
        <v>20</v>
      </c>
    </row>
  </sheetData>
  <pageMargins left="0.7" right="0.7" top="0.75" bottom="0.75" header="0.3" footer="0.3"/>
  <pageSetup orientation="landscape" r:id="rId1"/>
  <headerFooter>
    <oddHeader xml:space="preserve">&amp;L2024 TAP Reconcilable Rider Reports and Projection Model: &amp;A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J26"/>
  <sheetViews>
    <sheetView workbookViewId="0">
      <selection activeCell="F11" sqref="F11"/>
    </sheetView>
  </sheetViews>
  <sheetFormatPr defaultColWidth="8.88671875" defaultRowHeight="14.4" x14ac:dyDescent="0.3"/>
  <cols>
    <col min="1" max="1" width="42.6640625" customWidth="1"/>
    <col min="2" max="2" width="17.33203125" customWidth="1"/>
    <col min="3" max="3" width="3.33203125" customWidth="1"/>
    <col min="4" max="4" width="15.109375" customWidth="1"/>
    <col min="5" max="6" width="16.33203125" customWidth="1"/>
    <col min="7" max="7" width="13.109375" customWidth="1"/>
    <col min="8" max="8" width="16.33203125" customWidth="1"/>
    <col min="9" max="9" width="17.44140625" customWidth="1"/>
    <col min="11" max="11" width="15.33203125" customWidth="1"/>
    <col min="12" max="12" width="11.88671875" bestFit="1" customWidth="1"/>
  </cols>
  <sheetData>
    <row r="1" spans="1:10" x14ac:dyDescent="0.3">
      <c r="A1" s="79" t="s">
        <v>33</v>
      </c>
      <c r="B1" s="148"/>
      <c r="C1" s="148"/>
      <c r="D1" s="148"/>
      <c r="E1" s="148"/>
      <c r="F1" s="148"/>
      <c r="G1" s="148"/>
      <c r="H1" s="148"/>
      <c r="I1" s="149"/>
    </row>
    <row r="2" spans="1:10" x14ac:dyDescent="0.3">
      <c r="A2" s="150" t="s">
        <v>34</v>
      </c>
      <c r="B2" s="48"/>
      <c r="C2" s="99" t="s">
        <v>35</v>
      </c>
      <c r="D2" s="48"/>
      <c r="E2" s="48"/>
      <c r="I2" s="142"/>
    </row>
    <row r="3" spans="1:10" ht="15" thickBot="1" x14ac:dyDescent="0.35">
      <c r="A3" s="151" t="s">
        <v>36</v>
      </c>
      <c r="B3" s="143" t="s">
        <v>37</v>
      </c>
      <c r="C3" t="s">
        <v>38</v>
      </c>
      <c r="I3" s="142"/>
    </row>
    <row r="4" spans="1:10" ht="14.25" customHeight="1" thickBot="1" x14ac:dyDescent="0.35">
      <c r="A4" s="151" t="s">
        <v>39</v>
      </c>
      <c r="B4" s="156" t="str">
        <f>(TEXT(SUM(TRR_Summary!G9:G10)/SUM(TRR_Summary!F9:F10),"$0.00"))</f>
        <v>$55.49</v>
      </c>
      <c r="C4" t="s">
        <v>40</v>
      </c>
      <c r="E4" s="144"/>
      <c r="I4" s="142"/>
    </row>
    <row r="5" spans="1:10" ht="14.25" customHeight="1" thickBot="1" x14ac:dyDescent="0.35">
      <c r="A5" s="151" t="s">
        <v>41</v>
      </c>
      <c r="B5" s="157">
        <f>(ROUND(SUM(TRR_Summary!H9:H10)/SUM(TRR_Summary!F9:F10)*100,0))</f>
        <v>726</v>
      </c>
      <c r="C5" t="s">
        <v>42</v>
      </c>
      <c r="E5" s="144"/>
      <c r="F5" s="145"/>
      <c r="I5" s="142"/>
    </row>
    <row r="6" spans="1:10" x14ac:dyDescent="0.3">
      <c r="A6" s="152" t="s">
        <v>43</v>
      </c>
      <c r="I6" s="142"/>
    </row>
    <row r="7" spans="1:10" ht="15" thickBot="1" x14ac:dyDescent="0.35">
      <c r="A7" s="153"/>
      <c r="B7" s="146"/>
      <c r="C7" s="146"/>
      <c r="D7" s="146"/>
      <c r="E7" s="146"/>
      <c r="F7" s="146"/>
      <c r="G7" s="146"/>
      <c r="H7" s="146"/>
      <c r="I7" s="147"/>
    </row>
    <row r="8" spans="1:10" ht="43.2" x14ac:dyDescent="0.3">
      <c r="A8" s="79"/>
      <c r="B8" s="103"/>
      <c r="C8" s="103"/>
      <c r="D8" s="103"/>
      <c r="E8" s="98" t="s">
        <v>44</v>
      </c>
      <c r="F8" s="98" t="s">
        <v>45</v>
      </c>
      <c r="G8" s="154" t="s">
        <v>46</v>
      </c>
      <c r="H8" s="154" t="s">
        <v>30</v>
      </c>
      <c r="I8" s="96" t="s">
        <v>32</v>
      </c>
      <c r="J8" s="4"/>
    </row>
    <row r="9" spans="1:10" x14ac:dyDescent="0.3">
      <c r="A9" s="92" t="s">
        <v>47</v>
      </c>
      <c r="B9" s="123">
        <v>44927</v>
      </c>
      <c r="C9" s="113" t="s">
        <v>48</v>
      </c>
      <c r="D9" s="123">
        <v>45139</v>
      </c>
      <c r="E9" s="80">
        <f>AVERAGEIFS(TRR_Projections!$5:$5,TRR_Projections!$4:$4,"&gt;="&amp;TRR_Summary!B9,TRR_Projections!$4:$4,"&lt;="&amp;TRR_Summary!D9)</f>
        <v>16634.5</v>
      </c>
      <c r="F9" s="80">
        <f>SUMIFS(TRR_Projections!$5:$5,TRR_Projections!$4:$4,"&gt;="&amp;TRR_Summary!B9,TRR_Projections!$4:$4,"&lt;="&amp;TRR_Summary!D9)</f>
        <v>133076</v>
      </c>
      <c r="G9" s="119">
        <f>SUMIFS(TRR_Projections!$7:$7,TRR_Projections!$4:$4,"&gt;="&amp;TRR_Summary!B9,TRR_Projections!$4:$4,"&lt;="&amp;TRR_Summary!D9)</f>
        <v>6992987.4800000004</v>
      </c>
      <c r="H9" s="80">
        <f>SUMIFS(TRR_Projections!$9:$9,TRR_Projections!$4:$4,"&gt;="&amp;TRR_Summary!B9,TRR_Projections!$4:$4,"&lt;="&amp;TRR_Summary!D9)</f>
        <v>960367</v>
      </c>
      <c r="I9" s="139">
        <f>SUMIFS(TRR_Projections!$11:$11,TRR_Projections!$4:$4,"&gt;="&amp;TRR_Summary!B9,TRR_Projections!$4:$4,"&lt;="&amp;TRR_Summary!D9)</f>
        <v>960224</v>
      </c>
      <c r="J9" s="4"/>
    </row>
    <row r="10" spans="1:10" x14ac:dyDescent="0.3">
      <c r="A10" s="93" t="s">
        <v>49</v>
      </c>
      <c r="B10" s="115">
        <f>EDATE(D9,1)</f>
        <v>45170</v>
      </c>
      <c r="C10" s="114" t="s">
        <v>48</v>
      </c>
      <c r="D10" s="124">
        <v>45291</v>
      </c>
      <c r="E10" s="81">
        <f>AVERAGEIFS(TRR_Projections!$5:$5,TRR_Projections!$4:$4,"&gt;="&amp;TRR_Summary!B10,TRR_Projections!$4:$4,"&lt;="&amp;TRR_Summary!D10)</f>
        <v>21005.25</v>
      </c>
      <c r="F10" s="81">
        <f>SUMIFS(TRR_Projections!$5:$5,TRR_Projections!$4:$4,"&gt;="&amp;TRR_Summary!B10,TRR_Projections!$4:$4,"&lt;="&amp;TRR_Summary!D10)</f>
        <v>84021</v>
      </c>
      <c r="G10" s="120">
        <f>SUMIFS(TRR_Projections!$7:$7,TRR_Projections!$4:$4,"&gt;="&amp;TRR_Summary!B10,TRR_Projections!$4:$4,"&lt;="&amp;TRR_Summary!D10)</f>
        <v>5054770.33</v>
      </c>
      <c r="H10" s="81">
        <f>SUMIFS(TRR_Projections!$9:$9,TRR_Projections!$4:$4,"&gt;="&amp;TRR_Summary!B10,TRR_Projections!$4:$4,"&lt;="&amp;TRR_Summary!D10)</f>
        <v>616554</v>
      </c>
      <c r="I10" s="140">
        <f>SUMIFS(TRR_Projections!$11:$11,TRR_Projections!$4:$4,"&gt;="&amp;TRR_Summary!B10,TRR_Projections!$4:$4,"&lt;="&amp;TRR_Summary!D10)</f>
        <v>616354</v>
      </c>
      <c r="J10" s="4"/>
    </row>
    <row r="11" spans="1:10" x14ac:dyDescent="0.3">
      <c r="A11" s="93" t="s">
        <v>50</v>
      </c>
      <c r="B11" s="115">
        <f>EDATE(D10,1)</f>
        <v>45322</v>
      </c>
      <c r="C11" s="114" t="s">
        <v>48</v>
      </c>
      <c r="D11" s="124">
        <v>45505</v>
      </c>
      <c r="E11" s="104">
        <f>AVERAGE(TRR_Projections!AL20:AS20)</f>
        <v>41516.357999999986</v>
      </c>
      <c r="F11" s="160">
        <f>SUM(TRR_Projections!AL20:AS20)</f>
        <v>332130.86399999988</v>
      </c>
      <c r="G11" s="120">
        <f>SUM(TRR_Projections!AL24:AS24)</f>
        <v>12945718.338446107</v>
      </c>
      <c r="H11" s="81">
        <f>SUMIFS(TRR_Projections!$9:$9,TRR_Projections!$4:$4,"&gt;="&amp;TRR_Summary!B11,TRR_Projections!$4:$4,"&lt;="&amp;TRR_Summary!D11)</f>
        <v>2312790.4667999996</v>
      </c>
      <c r="I11" s="140">
        <f>SUMIFS(TRR_Projections!$11:$11,TRR_Projections!$4:$4,"&gt;="&amp;TRR_Summary!B11,TRR_Projections!$4:$4,"&lt;="&amp;TRR_Summary!D11)</f>
        <v>2312790.4667999996</v>
      </c>
      <c r="J11" s="4"/>
    </row>
    <row r="12" spans="1:10" x14ac:dyDescent="0.3">
      <c r="A12" s="91" t="s">
        <v>51</v>
      </c>
      <c r="B12" s="116">
        <f>B10</f>
        <v>45170</v>
      </c>
      <c r="C12" s="100" t="s">
        <v>48</v>
      </c>
      <c r="D12" s="116">
        <f>D11</f>
        <v>45505</v>
      </c>
      <c r="E12" s="80">
        <f>AVERAGE(TRR_Projections!AH5,TRR_Projections!AI5,TRR_Projections!AJ5,TRR_Projections!AK5,TRR_Projections!AL20,TRR_Projections!AM20,TRR_Projections!AN20,TRR_Projections!AO20,TRR_Projections!AP20,TRR_Projections!AQ20,TRR_Projections!AR20,TRR_Projections!AS20)</f>
        <v>34679.321999999993</v>
      </c>
      <c r="F12" s="80">
        <f>SUM(TRR_Projections!AH5,TRR_Projections!AI5,TRR_Projections!AJ5,TRR_Projections!AK5,TRR_Projections!AL20,TRR_Projections!AM20,TRR_Projections!AN20,TRR_Projections!AO20,TRR_Projections!AP20,TRR_Projections!AQ20,TRR_Projections!AR20,TRR_Projections!AS20)</f>
        <v>416151.86399999988</v>
      </c>
      <c r="G12" s="119">
        <f>SUM(TRR_Projections!AH7,TRR_Projections!AI7,TRR_Projections!AJ7,TRR_Projections!AL24,TRR_Projections!AM24,TRR_Projections!AN24,TRR_Projections!AO24,TRR_Projections!AP24,TRR_Projections!AQ24,TRR_Projections!AR24,TRR_Projections!AS24)</f>
        <v>16657004.458446108</v>
      </c>
      <c r="H12" s="80">
        <f>SUMIFS(TRR_Projections!$9:$9,TRR_Projections!$4:$4,"&gt;="&amp;TRR_Summary!B12,TRR_Projections!$4:$4,"&lt;="&amp;TRR_Summary!D12)</f>
        <v>3088417.8911999995</v>
      </c>
      <c r="I12" s="140">
        <f>SUMIFS(TRR_Projections!$11:$11,TRR_Projections!$4:$4,"&gt;="&amp;TRR_Summary!B12,TRR_Projections!$4:$4,"&lt;="&amp;TRR_Summary!D12)</f>
        <v>3088217.8911999995</v>
      </c>
      <c r="J12" s="4"/>
    </row>
    <row r="13" spans="1:10" ht="15" thickBot="1" x14ac:dyDescent="0.35">
      <c r="A13" s="90" t="s">
        <v>52</v>
      </c>
      <c r="B13" s="117">
        <f>EDATE(D12,1)</f>
        <v>45536</v>
      </c>
      <c r="C13" s="101" t="s">
        <v>48</v>
      </c>
      <c r="D13" s="117">
        <f>EDATE(B13,11)</f>
        <v>45870</v>
      </c>
      <c r="E13" s="82">
        <f>AVERAGE(TRR_Projections!AT20:BE20)</f>
        <v>54260.132999999994</v>
      </c>
      <c r="F13" s="82">
        <f>SUM(TRR_Projections!AT20:BE20)</f>
        <v>651121.5959999999</v>
      </c>
      <c r="G13" s="121">
        <f>SUM(TRR_Projections!AT24:BE24)</f>
        <v>22615699.528282378</v>
      </c>
      <c r="H13" s="122">
        <f>SUMIFS(TRR_Projections!$9:$9,TRR_Projections!$4:$4,"&gt;="&amp;TRR_Summary!B13,TRR_Projections!$4:$4,"&lt;="&amp;TRR_Summary!D13)</f>
        <v>4876467.076799999</v>
      </c>
      <c r="I13" s="141">
        <f>SUMIFS(TRR_Projections!$11:$11,TRR_Projections!$4:$4,"&gt;="&amp;TRR_Summary!B13,TRR_Projections!$4:$4,"&lt;="&amp;TRR_Summary!D13)</f>
        <v>4876467.076799999</v>
      </c>
      <c r="J13" s="4"/>
    </row>
    <row r="14" spans="1:10" x14ac:dyDescent="0.3">
      <c r="J14" s="4"/>
    </row>
    <row r="15" spans="1:10" x14ac:dyDescent="0.3">
      <c r="A15" s="4"/>
    </row>
    <row r="16" spans="1:10" x14ac:dyDescent="0.3">
      <c r="A16" s="4"/>
    </row>
    <row r="17" spans="1:6" x14ac:dyDescent="0.3">
      <c r="A17" s="4"/>
      <c r="D17" s="118"/>
      <c r="E17" s="118"/>
      <c r="F17" s="118"/>
    </row>
    <row r="18" spans="1:6" x14ac:dyDescent="0.3">
      <c r="A18" s="4"/>
    </row>
    <row r="19" spans="1:6" x14ac:dyDescent="0.3">
      <c r="A19" s="4"/>
    </row>
    <row r="20" spans="1:6" x14ac:dyDescent="0.3">
      <c r="A20" s="4"/>
    </row>
    <row r="21" spans="1:6" x14ac:dyDescent="0.3">
      <c r="A21" s="4"/>
    </row>
    <row r="22" spans="1:6" x14ac:dyDescent="0.3">
      <c r="A22" s="4"/>
    </row>
    <row r="23" spans="1:6" x14ac:dyDescent="0.3">
      <c r="A23" s="4"/>
    </row>
    <row r="24" spans="1:6" x14ac:dyDescent="0.3">
      <c r="A24" s="4"/>
    </row>
    <row r="25" spans="1:6" x14ac:dyDescent="0.3">
      <c r="A25" s="4"/>
    </row>
    <row r="26" spans="1:6" x14ac:dyDescent="0.3">
      <c r="A26" s="4"/>
    </row>
  </sheetData>
  <dataValidations disablePrompts="1" count="1">
    <dataValidation allowBlank="1" showDropDown="1" showInputMessage="1" showErrorMessage="1" promptTitle="Rate of increase" sqref="B3" xr:uid="{00000000-0002-0000-0300-000002000000}"/>
  </dataValidations>
  <pageMargins left="0.7" right="0.7" top="0.75" bottom="0.75" header="0.3" footer="0.3"/>
  <pageSetup scale="77" orientation="landscape" r:id="rId1"/>
  <headerFooter>
    <oddHeader>&amp;L2024 TAP Reconcilable Rider Reports and Projection Model: 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BG41"/>
  <sheetViews>
    <sheetView tabSelected="1" topLeftCell="AV7" zoomScale="118" zoomScaleNormal="118" workbookViewId="0">
      <selection activeCell="AU19" sqref="AU19"/>
    </sheetView>
  </sheetViews>
  <sheetFormatPr defaultColWidth="8.88671875" defaultRowHeight="14.4" x14ac:dyDescent="0.3"/>
  <cols>
    <col min="1" max="1" width="36" customWidth="1"/>
    <col min="2" max="25" width="14.77734375" hidden="1" customWidth="1"/>
    <col min="26" max="26" width="16" hidden="1" customWidth="1"/>
    <col min="27" max="33" width="14.77734375" hidden="1" customWidth="1"/>
    <col min="34" max="34" width="16.88671875" hidden="1" customWidth="1"/>
    <col min="35" max="36" width="14.77734375" hidden="1" customWidth="1"/>
    <col min="37" max="57" width="14.77734375" customWidth="1"/>
    <col min="59" max="59" width="15.6640625" customWidth="1"/>
  </cols>
  <sheetData>
    <row r="1" spans="1:59" s="125" customFormat="1" x14ac:dyDescent="0.3">
      <c r="B1" s="125" t="str">
        <f>IF(B4=TRR_Summary!$B9,"Reconciled Period",IF(B4=TRR_Summary!$B10,"Most Recent Period",IF(B4=TRR_Summary!$B13,"Next Rate Period","")))</f>
        <v/>
      </c>
      <c r="C1" s="125" t="str">
        <f>IF(C4=TRR_Summary!$B9,"Reconciled Period",IF(C4=TRR_Summary!$B10,"Most Recent Period",IF(C4=TRR_Summary!$B13,"Next Rate Period","")))</f>
        <v/>
      </c>
      <c r="D1" s="125" t="str">
        <f>IF(D4=TRR_Summary!$B9,"Reconciled Period",IF(D4=TRR_Summary!$B10,"Most Recent Period",IF(D4=TRR_Summary!$B13,"Next Rate Period","")))</f>
        <v/>
      </c>
      <c r="E1" s="125" t="str">
        <f>IF(E4=TRR_Summary!$B9,"Reconciled Period",IF(E4=TRR_Summary!$B10,"Most Recent Period",IF(E4=TRR_Summary!$B13,"Next Rate Period","")))</f>
        <v/>
      </c>
      <c r="F1" s="125" t="str">
        <f>IF(F4=TRR_Summary!$B9,"Reconciled Period",IF(F4=TRR_Summary!$B10,"Most Recent Period",IF(F4=TRR_Summary!$B13,"Next Rate Period","")))</f>
        <v/>
      </c>
      <c r="G1" s="125" t="str">
        <f>IF(G4=TRR_Summary!$B9,"Reconciled Period",IF(G4=TRR_Summary!$B10,"Most Recent Period",IF(G4=TRR_Summary!$B13,"Next Rate Period","")))</f>
        <v/>
      </c>
      <c r="H1" s="125" t="str">
        <f>IF(H4=TRR_Summary!$B9,"Reconciled Period",IF(H4=TRR_Summary!$B10,"Most Recent Period",IF(H4=TRR_Summary!$B13,"Next Rate Period","")))</f>
        <v/>
      </c>
      <c r="I1" s="125" t="str">
        <f>IF(I4=TRR_Summary!$B9,"Reconciled Period",IF(I4=TRR_Summary!$B10,"Most Recent Period",IF(I4=TRR_Summary!$B13,"Next Rate Period","")))</f>
        <v/>
      </c>
      <c r="J1" s="125" t="str">
        <f>IF(J4=TRR_Summary!$B9,"Reconciled Period",IF(J4=TRR_Summary!$B10,"Most Recent Period",IF(J4=TRR_Summary!$B13,"Next Rate Period","")))</f>
        <v/>
      </c>
      <c r="K1" s="125" t="str">
        <f>IF(K4=TRR_Summary!$B9,"Reconciled Period",IF(K4=TRR_Summary!$B10,"Most Recent Period",IF(K4=TRR_Summary!$B13,"Next Rate Period","")))</f>
        <v/>
      </c>
      <c r="L1" s="125" t="str">
        <f>IF(L4=TRR_Summary!$B9,"Reconciled Period",IF(L4=TRR_Summary!$B10,"Most Recent Period",IF(L4=TRR_Summary!$B13,"Next Rate Period","")))</f>
        <v/>
      </c>
      <c r="M1" s="125" t="str">
        <f>IF(M4=TRR_Summary!$B9,"Reconciled Period",IF(M4=TRR_Summary!$B10,"Most Recent Period",IF(M4=TRR_Summary!$B13,"Next Rate Period","")))</f>
        <v/>
      </c>
      <c r="N1" s="125" t="str">
        <f>IF(N4=TRR_Summary!$B9,"Reconciled Period",IF(N4=TRR_Summary!$B10,"Most Recent Period",IF(N4=TRR_Summary!$B13,"Next Rate Period","")))</f>
        <v/>
      </c>
      <c r="O1" s="125" t="str">
        <f>IF(O4=TRR_Summary!$B9,"Reconciled Period",IF(O4=TRR_Summary!$B10,"Most Recent Period",IF(O4=TRR_Summary!$B13,"Next Rate Period","")))</f>
        <v/>
      </c>
      <c r="P1" s="125" t="str">
        <f>IF(P4=TRR_Summary!$B9,"Reconciled Period",IF(P4=TRR_Summary!$B10,"Most Recent Period",IF(P4=TRR_Summary!$B13,"Next Rate Period","")))</f>
        <v/>
      </c>
      <c r="Q1" s="125" t="str">
        <f>IF(Q4=TRR_Summary!$B9,"Reconciled Period",IF(Q4=TRR_Summary!$B10,"Most Recent Period",IF(Q4=TRR_Summary!$B13,"Next Rate Period","")))</f>
        <v/>
      </c>
      <c r="R1" s="125" t="str">
        <f>IF(R4=TRR_Summary!$B9,"Reconciled Period",IF(R4=TRR_Summary!$B10,"Most Recent Period",IF(R4=TRR_Summary!$B13,"Next Rate Period","")))</f>
        <v/>
      </c>
      <c r="S1" s="125" t="str">
        <f>IF(S4=TRR_Summary!$B9,"Reconciled Period",IF(S4=TRR_Summary!$B10,"Most Recent Period",IF(S4=TRR_Summary!$B13,"Next Rate Period","")))</f>
        <v/>
      </c>
      <c r="T1" s="125" t="str">
        <f>IF(T4=TRR_Summary!$B9,"Reconciled Period",IF(T4=TRR_Summary!$B10,"Most Recent Period",IF(T4=TRR_Summary!$B13,"Next Rate Period","")))</f>
        <v/>
      </c>
      <c r="U1" s="125" t="str">
        <f>IF(U4=TRR_Summary!$B9,"Reconciled Period",IF(U4=TRR_Summary!$B10,"Most Recent Period",IF(U4=TRR_Summary!$B13,"Next Rate Period","")))</f>
        <v/>
      </c>
      <c r="V1" s="125" t="str">
        <f>IF(V4=TRR_Summary!$B9,"Reconciled Period",IF(V4=TRR_Summary!$B10,"Most Recent Period",IF(V4=TRR_Summary!$B13,"Next Rate Period","")))</f>
        <v/>
      </c>
      <c r="W1" s="125" t="str">
        <f>IF(W4=TRR_Summary!$B9,"Reconciled Period",IF(W4=TRR_Summary!$B10,"Most Recent Period",IF(W4=TRR_Summary!$B13,"Next Rate Period","")))</f>
        <v/>
      </c>
      <c r="X1" s="125" t="str">
        <f>IF(X4=TRR_Summary!$B9,"Reconciled Period",IF(X4=TRR_Summary!$B10,"Most Recent Period",IF(X4=TRR_Summary!$B13,"Next Rate Period","")))</f>
        <v/>
      </c>
      <c r="Y1" s="125" t="str">
        <f>IF(Y4=TRR_Summary!$B9,"Reconciled Period",IF(Y4=TRR_Summary!$B10,"Most Recent Period",IF(Y4=TRR_Summary!$B13,"Next Rate Period","")))</f>
        <v/>
      </c>
      <c r="Z1" s="126" t="str">
        <f>IF(Z4=TRR_Summary!$B9,"Reconciled Period",IF(Z4=TRR_Summary!$B10,"Most Recent Period",IF(Z4=TRR_Summary!$B13,"Next Rate Period","")))</f>
        <v>Reconciled Period</v>
      </c>
      <c r="AA1" s="126" t="str">
        <f>IF(AA4=TRR_Summary!$B9,"Reconciled Period",IF(AA4=TRR_Summary!$B10,"Most Recent Period",IF(AA4=TRR_Summary!$B13,"Next Rate Period","")))</f>
        <v/>
      </c>
      <c r="AB1" s="126" t="str">
        <f>IF(AB4=TRR_Summary!$B9,"Reconciled Period",IF(AB4=TRR_Summary!$B10,"Most Recent Period",IF(AB4=TRR_Summary!$B13,"Next Rate Period","")))</f>
        <v/>
      </c>
      <c r="AC1" s="126" t="str">
        <f>IF(AC4=TRR_Summary!$B9,"Reconciled Period",IF(AC4=TRR_Summary!$B10,"Most Recent Period",IF(AC4=TRR_Summary!$B13,"Next Rate Period","")))</f>
        <v/>
      </c>
      <c r="AD1" s="126" t="str">
        <f>IF(AD4=TRR_Summary!$B9,"Reconciled Period",IF(AD4=TRR_Summary!$B10,"Most Recent Period",IF(AD4=TRR_Summary!$B13,"Next Rate Period","")))</f>
        <v/>
      </c>
      <c r="AE1" s="126" t="str">
        <f>IF(AE4=TRR_Summary!$B9,"Reconciled Period",IF(AE4=TRR_Summary!$B10,"Most Recent Period",IF(AE4=TRR_Summary!$B13,"Next Rate Period","")))</f>
        <v/>
      </c>
      <c r="AF1" s="126" t="str">
        <f>IF(AF4=TRR_Summary!$B9,"Reconciled Period",IF(AF4=TRR_Summary!$B10,"Most Recent Period",IF(AF4=TRR_Summary!$B13,"Next Rate Period","")))</f>
        <v/>
      </c>
      <c r="AG1" s="126" t="str">
        <f>IF(AG4=TRR_Summary!$B9,"Reconciled Period",IF(AG4=TRR_Summary!$B10,"Most Recent Period",IF(AG4=TRR_Summary!$B13,"Next Rate Period","")))</f>
        <v/>
      </c>
      <c r="AH1" s="127" t="str">
        <f>IF(AH4=TRR_Summary!$B9,"Reconciled Period",IF(AH4=TRR_Summary!$B10,"Most Recent Period",IF(AH4=TRR_Summary!$B13,"Next Rate Period","")))</f>
        <v>Most Recent Period</v>
      </c>
      <c r="AI1" s="127" t="str">
        <f>IF(AI4=TRR_Summary!$B9,"Reconciled Period",IF(AI4=TRR_Summary!$B10,"Most Recent Period",IF(AI4=TRR_Summary!$B13,"Next Rate Period","")))</f>
        <v/>
      </c>
      <c r="AJ1" s="127" t="str">
        <f>IF(AJ4=TRR_Summary!$B9,"Reconciled Period",IF(AJ4=TRR_Summary!$B10,"Most Recent Period",IF(AJ4=TRR_Summary!$B13,"Next Rate Period","")))</f>
        <v/>
      </c>
      <c r="AK1" s="127" t="str">
        <f>IF(AK4=TRR_Summary!$B9,"Reconciled Period",IF(AK4=TRR_Summary!$B10,"Most Recent Period",IF(AK4=TRR_Summary!$B13,"Next Rate Period","")))</f>
        <v/>
      </c>
      <c r="AL1" s="127" t="str">
        <f>IF(AL4=TRR_Summary!$B9,"Reconciled Period",IF(AL4=TRR_Summary!$B10,"Most Recent Period",IF(AL4=TRR_Summary!$B13,"Next Rate Period","")))</f>
        <v/>
      </c>
      <c r="AM1" s="127" t="str">
        <f>IF(AM4=TRR_Summary!$B9,"Reconciled Period",IF(AM4=TRR_Summary!$B10,"Most Recent Period",IF(AM4=TRR_Summary!$B13,"Next Rate Period","")))</f>
        <v/>
      </c>
      <c r="AN1" s="127" t="str">
        <f>IF(AN4=TRR_Summary!$B9,"Reconciled Period",IF(AN4=TRR_Summary!$B10,"Most Recent Period",IF(AN4=TRR_Summary!$B13,"Next Rate Period","")))</f>
        <v/>
      </c>
      <c r="AO1" s="127" t="str">
        <f>IF(AO4=TRR_Summary!$B9,"Reconciled Period",IF(AO4=TRR_Summary!$B10,"Most Recent Period",IF(AO4=TRR_Summary!$B13,"Next Rate Period","")))</f>
        <v/>
      </c>
      <c r="AP1" s="127" t="str">
        <f>IF(AP4=TRR_Summary!$B9,"Reconciled Period",IF(AP4=TRR_Summary!$B10,"Most Recent Period",IF(AP4=TRR_Summary!$B13,"Next Rate Period","")))</f>
        <v/>
      </c>
      <c r="AQ1" s="127" t="str">
        <f>IF(AQ4=TRR_Summary!$B9,"Reconciled Period",IF(AQ4=TRR_Summary!$B10,"Most Recent Period",IF(AQ4=TRR_Summary!$B13,"Next Rate Period","")))</f>
        <v/>
      </c>
      <c r="AR1" s="127" t="str">
        <f>IF(AR4=TRR_Summary!$B9,"Reconciled Period",IF(AR4=TRR_Summary!$B10,"Most Recent Period",IF(AR4=TRR_Summary!$B13,"Next Rate Period","")))</f>
        <v/>
      </c>
      <c r="AS1" s="127" t="str">
        <f>IF(AS4=TRR_Summary!$B9,"Reconciled Period",IF(AS4=TRR_Summary!$B10,"Most Recent Period",IF(AS4=TRR_Summary!$B13,"Next Rate Period","")))</f>
        <v/>
      </c>
      <c r="AT1" s="128" t="str">
        <f>IF(AT4=TRR_Summary!$B9,"Reconciled Period",IF(AT4=TRR_Summary!$B10,"Most Recent Period",IF(AT4=TRR_Summary!$B13,"Next Rate Period","")))</f>
        <v>Next Rate Period</v>
      </c>
      <c r="AU1" s="128" t="str">
        <f>IF(AU4=TRR_Summary!$B9,"Reconciled Period",IF(AU4=TRR_Summary!$B10,"Most Recent Period",IF(AU4=TRR_Summary!$B13,"Next Rate Period","")))</f>
        <v/>
      </c>
      <c r="AV1" s="128" t="str">
        <f>IF(AV4=TRR_Summary!$B9,"Reconciled Period",IF(AV4=TRR_Summary!$B10,"Most Recent Period",IF(AV4=TRR_Summary!$B13,"Next Rate Period","")))</f>
        <v/>
      </c>
      <c r="AW1" s="128" t="str">
        <f>IF(AW4=TRR_Summary!$B9,"Reconciled Period",IF(AW4=TRR_Summary!$B10,"Most Recent Period",IF(AW4=TRR_Summary!$B13,"Next Rate Period","")))</f>
        <v/>
      </c>
      <c r="AX1" s="128" t="str">
        <f>IF(AX4=TRR_Summary!$B9,"Reconciled Period",IF(AX4=TRR_Summary!$B10,"Most Recent Period",IF(AX4=TRR_Summary!$B13,"Next Rate Period","")))</f>
        <v/>
      </c>
      <c r="AY1" s="128" t="str">
        <f>IF(AY4=TRR_Summary!$B9,"Reconciled Period",IF(AY4=TRR_Summary!$B10,"Most Recent Period",IF(AY4=TRR_Summary!$B13,"Next Rate Period","")))</f>
        <v/>
      </c>
      <c r="AZ1" s="128" t="str">
        <f>IF(AZ4=TRR_Summary!$B9,"Reconciled Period",IF(AZ4=TRR_Summary!$B10,"Most Recent Period",IF(AZ4=TRR_Summary!$B13,"Next Rate Period","")))</f>
        <v/>
      </c>
      <c r="BA1" s="128" t="str">
        <f>IF(BA4=TRR_Summary!$B9,"Reconciled Period",IF(BA4=TRR_Summary!$B10,"Most Recent Period",IF(BA4=TRR_Summary!$B13,"Next Rate Period","")))</f>
        <v/>
      </c>
      <c r="BB1" s="128" t="str">
        <f>IF(BB4=TRR_Summary!$B9,"Reconciled Period",IF(BB4=TRR_Summary!$B10,"Most Recent Period",IF(BB4=TRR_Summary!$B13,"Next Rate Period","")))</f>
        <v/>
      </c>
      <c r="BC1" s="128" t="str">
        <f>IF(BC4=TRR_Summary!$B9,"Reconciled Period",IF(BC4=TRR_Summary!$B10,"Most Recent Period",IF(BC4=TRR_Summary!$B13,"Next Rate Period","")))</f>
        <v/>
      </c>
      <c r="BD1" s="128" t="str">
        <f>IF(BD4=TRR_Summary!$B9,"Reconciled Period",IF(BD4=TRR_Summary!$B10,"Most Recent Period",IF(BD4=TRR_Summary!$B13,"Next Rate Period","")))</f>
        <v/>
      </c>
      <c r="BE1" s="128" t="str">
        <f>IF(BE4=TRR_Summary!$B9,"Reconciled Period",IF(BE4=TRR_Summary!$B10,"Most Recent Period",IF(BE4=TRR_Summary!$B13,"Next Rate Period","")))</f>
        <v/>
      </c>
    </row>
    <row r="2" spans="1:59" s="164" customFormat="1" x14ac:dyDescent="0.3">
      <c r="A2" s="162" t="s">
        <v>21</v>
      </c>
      <c r="B2" s="163" t="s">
        <v>22</v>
      </c>
      <c r="C2" s="163" t="s">
        <v>22</v>
      </c>
      <c r="D2" s="163" t="s">
        <v>22</v>
      </c>
      <c r="E2" s="163" t="s">
        <v>22</v>
      </c>
      <c r="F2" s="163" t="s">
        <v>22</v>
      </c>
      <c r="G2" s="163" t="s">
        <v>22</v>
      </c>
      <c r="H2" s="163" t="s">
        <v>22</v>
      </c>
      <c r="I2" s="163" t="s">
        <v>22</v>
      </c>
      <c r="J2" s="163" t="s">
        <v>22</v>
      </c>
      <c r="K2" s="163" t="s">
        <v>22</v>
      </c>
      <c r="L2" s="163" t="s">
        <v>22</v>
      </c>
      <c r="M2" s="163" t="s">
        <v>22</v>
      </c>
      <c r="N2" s="163" t="s">
        <v>22</v>
      </c>
      <c r="O2" s="163" t="s">
        <v>22</v>
      </c>
      <c r="P2" s="163" t="s">
        <v>22</v>
      </c>
      <c r="Q2" s="163" t="s">
        <v>22</v>
      </c>
      <c r="R2" s="163" t="s">
        <v>22</v>
      </c>
      <c r="S2" s="163" t="s">
        <v>22</v>
      </c>
      <c r="T2" s="163" t="s">
        <v>22</v>
      </c>
      <c r="U2" s="163" t="s">
        <v>22</v>
      </c>
      <c r="V2" s="163" t="s">
        <v>22</v>
      </c>
      <c r="W2" s="163" t="s">
        <v>22</v>
      </c>
      <c r="X2" s="163" t="s">
        <v>22</v>
      </c>
      <c r="Y2" s="163" t="s">
        <v>22</v>
      </c>
      <c r="Z2" s="163" t="s">
        <v>22</v>
      </c>
      <c r="AA2" s="163" t="s">
        <v>22</v>
      </c>
      <c r="AB2" s="163" t="s">
        <v>22</v>
      </c>
      <c r="AC2" s="163" t="s">
        <v>22</v>
      </c>
      <c r="AD2" s="163" t="s">
        <v>22</v>
      </c>
      <c r="AE2" s="163" t="s">
        <v>22</v>
      </c>
      <c r="AF2" s="163" t="s">
        <v>22</v>
      </c>
      <c r="AG2" s="163" t="s">
        <v>22</v>
      </c>
      <c r="AH2" s="163" t="s">
        <v>22</v>
      </c>
      <c r="AI2" s="163" t="s">
        <v>22</v>
      </c>
      <c r="AJ2" s="163" t="s">
        <v>22</v>
      </c>
      <c r="AK2" s="163" t="s">
        <v>22</v>
      </c>
      <c r="AL2" s="163" t="s">
        <v>23</v>
      </c>
      <c r="AM2" s="163" t="s">
        <v>23</v>
      </c>
      <c r="AN2" s="163" t="s">
        <v>23</v>
      </c>
      <c r="AO2" s="163" t="s">
        <v>23</v>
      </c>
      <c r="AP2" s="163" t="s">
        <v>23</v>
      </c>
      <c r="AQ2" s="163" t="s">
        <v>23</v>
      </c>
      <c r="AR2" s="163" t="s">
        <v>23</v>
      </c>
      <c r="AS2" s="163" t="s">
        <v>23</v>
      </c>
      <c r="AT2" s="163" t="s">
        <v>23</v>
      </c>
      <c r="AU2" s="163" t="s">
        <v>23</v>
      </c>
      <c r="AV2" s="163" t="s">
        <v>23</v>
      </c>
      <c r="AW2" s="163" t="s">
        <v>23</v>
      </c>
      <c r="AX2" s="163" t="s">
        <v>23</v>
      </c>
      <c r="AY2" s="163" t="s">
        <v>23</v>
      </c>
      <c r="AZ2" s="163" t="s">
        <v>23</v>
      </c>
      <c r="BA2" s="163" t="s">
        <v>23</v>
      </c>
      <c r="BB2" s="163" t="s">
        <v>23</v>
      </c>
      <c r="BC2" s="163" t="s">
        <v>23</v>
      </c>
      <c r="BD2" s="163" t="s">
        <v>23</v>
      </c>
      <c r="BE2" s="163" t="s">
        <v>23</v>
      </c>
    </row>
    <row r="3" spans="1:59" s="164" customFormat="1" x14ac:dyDescent="0.3">
      <c r="A3" s="165" t="s">
        <v>24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7"/>
      <c r="P3" s="166"/>
      <c r="Q3" s="166"/>
      <c r="R3" s="166"/>
      <c r="S3" s="166"/>
      <c r="T3" s="168"/>
      <c r="U3" s="169"/>
      <c r="V3" s="167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9"/>
      <c r="AH3" s="169"/>
      <c r="AI3" s="169"/>
      <c r="AJ3" s="166"/>
      <c r="AK3" s="166"/>
      <c r="AL3" s="166">
        <v>0.01</v>
      </c>
      <c r="AM3" s="166">
        <v>0.10268842870273936</v>
      </c>
      <c r="AN3" s="166">
        <v>0.24833470883169281</v>
      </c>
      <c r="AO3" s="166">
        <v>0.39786558376496223</v>
      </c>
      <c r="AP3" s="166">
        <v>0.28462363505178012</v>
      </c>
      <c r="AQ3" s="166">
        <v>3.347800093572964E-2</v>
      </c>
      <c r="AR3" s="166">
        <f t="shared" ref="AR3:BE3" si="0">IF(AQ5&gt;=$AQ$34,0,IF((AQ5+$AQ$28)&gt;$AQ$34,($AQ$34-AQ5)/AQ5,$AQ$28/AQ5))</f>
        <v>0</v>
      </c>
      <c r="AS3" s="166">
        <f t="shared" si="0"/>
        <v>0</v>
      </c>
      <c r="AT3" s="166">
        <f t="shared" si="0"/>
        <v>0</v>
      </c>
      <c r="AU3" s="166">
        <f t="shared" si="0"/>
        <v>0</v>
      </c>
      <c r="AV3" s="166">
        <f t="shared" si="0"/>
        <v>0</v>
      </c>
      <c r="AW3" s="166">
        <f t="shared" si="0"/>
        <v>0</v>
      </c>
      <c r="AX3" s="166">
        <f t="shared" si="0"/>
        <v>0</v>
      </c>
      <c r="AY3" s="166">
        <f t="shared" si="0"/>
        <v>0</v>
      </c>
      <c r="AZ3" s="166">
        <f t="shared" si="0"/>
        <v>0</v>
      </c>
      <c r="BA3" s="166">
        <f t="shared" si="0"/>
        <v>0</v>
      </c>
      <c r="BB3" s="166">
        <f t="shared" si="0"/>
        <v>0</v>
      </c>
      <c r="BC3" s="166">
        <f t="shared" si="0"/>
        <v>0</v>
      </c>
      <c r="BD3" s="166">
        <f t="shared" si="0"/>
        <v>0</v>
      </c>
      <c r="BE3" s="166">
        <f t="shared" si="0"/>
        <v>0</v>
      </c>
    </row>
    <row r="4" spans="1:59" s="173" customFormat="1" x14ac:dyDescent="0.3">
      <c r="A4" s="170" t="s">
        <v>25</v>
      </c>
      <c r="B4" s="171">
        <v>44197</v>
      </c>
      <c r="C4" s="171">
        <v>44228</v>
      </c>
      <c r="D4" s="171">
        <v>44256</v>
      </c>
      <c r="E4" s="171">
        <v>44287</v>
      </c>
      <c r="F4" s="171">
        <v>44317</v>
      </c>
      <c r="G4" s="171">
        <v>44348</v>
      </c>
      <c r="H4" s="171">
        <v>44378</v>
      </c>
      <c r="I4" s="171">
        <v>44409</v>
      </c>
      <c r="J4" s="171">
        <v>44440</v>
      </c>
      <c r="K4" s="171">
        <v>44470</v>
      </c>
      <c r="L4" s="171">
        <v>44501</v>
      </c>
      <c r="M4" s="171">
        <v>44531</v>
      </c>
      <c r="N4" s="171">
        <v>44562</v>
      </c>
      <c r="O4" s="171">
        <v>44593</v>
      </c>
      <c r="P4" s="171">
        <v>44621</v>
      </c>
      <c r="Q4" s="171">
        <v>44652</v>
      </c>
      <c r="R4" s="171">
        <v>44682</v>
      </c>
      <c r="S4" s="171">
        <v>44713</v>
      </c>
      <c r="T4" s="171">
        <v>44743</v>
      </c>
      <c r="U4" s="171">
        <v>44774</v>
      </c>
      <c r="V4" s="171">
        <v>44805</v>
      </c>
      <c r="W4" s="171">
        <v>44835</v>
      </c>
      <c r="X4" s="171">
        <v>44866</v>
      </c>
      <c r="Y4" s="171">
        <v>44896</v>
      </c>
      <c r="Z4" s="171">
        <v>44927</v>
      </c>
      <c r="AA4" s="171">
        <v>44958</v>
      </c>
      <c r="AB4" s="171">
        <v>44986</v>
      </c>
      <c r="AC4" s="171">
        <v>45017</v>
      </c>
      <c r="AD4" s="171">
        <v>45047</v>
      </c>
      <c r="AE4" s="171">
        <v>45078</v>
      </c>
      <c r="AF4" s="171">
        <v>45108</v>
      </c>
      <c r="AG4" s="171">
        <v>45139</v>
      </c>
      <c r="AH4" s="171">
        <v>45170</v>
      </c>
      <c r="AI4" s="171">
        <v>45200</v>
      </c>
      <c r="AJ4" s="171">
        <v>45231</v>
      </c>
      <c r="AK4" s="172">
        <v>45261</v>
      </c>
      <c r="AL4" s="172">
        <v>45292</v>
      </c>
      <c r="AM4" s="172">
        <v>45323</v>
      </c>
      <c r="AN4" s="172">
        <v>45352</v>
      </c>
      <c r="AO4" s="172">
        <v>45383</v>
      </c>
      <c r="AP4" s="172">
        <v>45413</v>
      </c>
      <c r="AQ4" s="172">
        <v>45444</v>
      </c>
      <c r="AR4" s="172">
        <v>45474</v>
      </c>
      <c r="AS4" s="172">
        <v>45505</v>
      </c>
      <c r="AT4" s="172">
        <v>45536</v>
      </c>
      <c r="AU4" s="172">
        <v>45566</v>
      </c>
      <c r="AV4" s="172">
        <v>45597</v>
      </c>
      <c r="AW4" s="172">
        <v>45627</v>
      </c>
      <c r="AX4" s="172">
        <v>45658</v>
      </c>
      <c r="AY4" s="172">
        <v>45689</v>
      </c>
      <c r="AZ4" s="172">
        <v>45717</v>
      </c>
      <c r="BA4" s="172">
        <v>45748</v>
      </c>
      <c r="BB4" s="172">
        <v>45778</v>
      </c>
      <c r="BC4" s="172">
        <v>45809</v>
      </c>
      <c r="BD4" s="172">
        <v>45839</v>
      </c>
      <c r="BE4" s="172">
        <v>45870</v>
      </c>
    </row>
    <row r="5" spans="1:59" s="164" customFormat="1" x14ac:dyDescent="0.3">
      <c r="A5" s="174" t="s">
        <v>26</v>
      </c>
      <c r="B5" s="175">
        <f>HLOOKUP(_xlfn.CONCAT(TEXT(B4,"MMMM YYYYY"), " Participants"),'DR_3A Participants'!$B$4:$AK$9,6,FALSE)</f>
        <v>15417</v>
      </c>
      <c r="C5" s="175">
        <f>HLOOKUP(_xlfn.CONCAT(TEXT(C4,"MMMM YYYYY"), " Participants"),'DR_3A Participants'!$B$4:$AK$9,6,FALSE)</f>
        <v>15769</v>
      </c>
      <c r="D5" s="175">
        <f>HLOOKUP(_xlfn.CONCAT(TEXT(D4,"MMMM YYYYY"), " Participants"),'DR_3A Participants'!$B$4:$AK$9,6,FALSE)</f>
        <v>16624</v>
      </c>
      <c r="E5" s="175">
        <f>HLOOKUP(_xlfn.CONCAT(TEXT(E4,"MMMM YYYYY"), " Participants"),'DR_3A Participants'!$B$4:$AK$9,6,FALSE)</f>
        <v>16689</v>
      </c>
      <c r="F5" s="175">
        <f>HLOOKUP(_xlfn.CONCAT(TEXT(F4,"MMMM YYYYY"), " Participants"),'DR_3A Participants'!$B$4:$AK$9,6,FALSE)</f>
        <v>16712</v>
      </c>
      <c r="G5" s="175">
        <f>HLOOKUP(_xlfn.CONCAT(TEXT(G4,"MMMM YYYYY"), " Participants"),'DR_3A Participants'!$B$4:$AK$9,6,FALSE)</f>
        <v>16671</v>
      </c>
      <c r="H5" s="175">
        <f>HLOOKUP(_xlfn.CONCAT(TEXT(H4,"MMMM YYYYY"), " Participants"),'DR_3A Participants'!$B$4:$AK$9,6,FALSE)</f>
        <v>16705</v>
      </c>
      <c r="I5" s="175">
        <f>HLOOKUP(_xlfn.CONCAT(TEXT(I4,"MMMM YYYYY"), " Participants"),'DR_3A Participants'!$B$4:$AK$9,6,FALSE)</f>
        <v>16641</v>
      </c>
      <c r="J5" s="175">
        <f>HLOOKUP(_xlfn.CONCAT(TEXT(J4,"MMMM YYYYY"), " Participants"),'DR_3A Participants'!$B$4:$AK$9,6,FALSE)</f>
        <v>15791</v>
      </c>
      <c r="K5" s="175">
        <f>HLOOKUP(_xlfn.CONCAT(TEXT(K4,"MMMM YYYYY"), " Participants"),'DR_3A Participants'!$B$4:$AK$9,6,FALSE)</f>
        <v>16927</v>
      </c>
      <c r="L5" s="175">
        <f>HLOOKUP(_xlfn.CONCAT(TEXT(L4,"MMMM YYYYY"), " Participants"),'DR_3A Participants'!$B$4:$AK$9,6,FALSE)</f>
        <v>16961</v>
      </c>
      <c r="M5" s="175">
        <f>HLOOKUP(_xlfn.CONCAT(TEXT(M4,"MMMM YYYYY"), " Participants"),'DR_3A Participants'!$B$4:$AK$9,6,FALSE)</f>
        <v>17066</v>
      </c>
      <c r="N5" s="175">
        <f>HLOOKUP(_xlfn.CONCAT(TEXT(N4,"MMMM YYYYY"), " Participants"),'DR_3A Participants'!$B$4:$AK$9,6,FALSE)</f>
        <v>15169</v>
      </c>
      <c r="O5" s="175">
        <f>HLOOKUP(_xlfn.CONCAT(TEXT(O4,"MMMM YYYYY"), " Participants"),'DR_3A Participants'!$B$4:$AK$9,6,FALSE)</f>
        <v>13274</v>
      </c>
      <c r="P5" s="175">
        <f>HLOOKUP(_xlfn.CONCAT(TEXT(P4,"MMMM YYYYY"), " Participants"),'DR_3A Participants'!$B$4:$AK$9,6,FALSE)</f>
        <v>12794</v>
      </c>
      <c r="Q5" s="175">
        <f>HLOOKUP(_xlfn.CONCAT(TEXT(Q4,"MMMM YYYYY"), " Participants"),'DR_3A Participants'!$B$4:$AK$9,6,FALSE)</f>
        <v>10904</v>
      </c>
      <c r="R5" s="175">
        <f>HLOOKUP(_xlfn.CONCAT(TEXT(R4,"MMMM YYYYY"), " Participants"),'DR_3A Participants'!$B$4:$AK$9,6,FALSE)</f>
        <v>10092</v>
      </c>
      <c r="S5" s="175">
        <f>HLOOKUP(_xlfn.CONCAT(TEXT(S4,"MMMM YYYYY"), " Participants"),'DR_3A Participants'!$B$4:$AK$9,6,FALSE)</f>
        <v>10027</v>
      </c>
      <c r="T5" s="175">
        <f>HLOOKUP(_xlfn.CONCAT(TEXT(T4,"MMMM YYYYY"), " Participants"),'DR_3A Participants'!$B$4:$AK$9,6,FALSE)</f>
        <v>10896</v>
      </c>
      <c r="U5" s="175">
        <f>HLOOKUP(_xlfn.CONCAT(TEXT(U4,"MMMM YYYYY"), " Participants"),'DR_3A Participants'!$B$4:$AK$9,6,FALSE)</f>
        <v>12011</v>
      </c>
      <c r="V5" s="175">
        <f>HLOOKUP(_xlfn.CONCAT(TEXT(V4,"MMMM YYYYY"), " Participants"),'DR_3A Participants'!$B$4:$AK$9,6,FALSE)</f>
        <v>13081</v>
      </c>
      <c r="W5" s="175">
        <f>HLOOKUP(_xlfn.CONCAT(TEXT(W4,"MMMM YYYYY"), " Participants"),'DR_3A Participants'!$B$4:$AK$9,6,FALSE)</f>
        <v>13708</v>
      </c>
      <c r="X5" s="175">
        <f>HLOOKUP(_xlfn.CONCAT(TEXT(X4,"MMMM YYYYY"), " Participants"),'DR_3A Participants'!$B$4:$AK$9,6,FALSE)</f>
        <v>14243</v>
      </c>
      <c r="Y5" s="175">
        <f>HLOOKUP(_xlfn.CONCAT(TEXT(Y4,"MMMM YYYYY"), " Participants"),'DR_3A Participants'!$B$4:$AK$9,6,FALSE)</f>
        <v>14633</v>
      </c>
      <c r="Z5" s="175">
        <f>HLOOKUP(_xlfn.CONCAT(TEXT(Z4,"MMMM YYYYY"), " Participants"),'DR_3A Participants'!$B$4:$AK$9,6,FALSE)</f>
        <v>14980</v>
      </c>
      <c r="AA5" s="175">
        <f>HLOOKUP(_xlfn.CONCAT(TEXT(AA4,"MMMM YYYYY"), " Participants"),'DR_3A Participants'!$B$4:$AK$9,6,FALSE)</f>
        <v>13996</v>
      </c>
      <c r="AB5" s="175">
        <f>HLOOKUP(_xlfn.CONCAT(TEXT(AB4,"MMMM YYYYY"), " Participants"),'DR_3A Participants'!$B$4:$AK$9,6,FALSE)</f>
        <v>15609</v>
      </c>
      <c r="AC5" s="175">
        <f>HLOOKUP(_xlfn.CONCAT(TEXT(AC4,"MMMM YYYYY"), " Participants"),'DR_3A Participants'!$B$4:$AK$9,6,FALSE)</f>
        <v>14848</v>
      </c>
      <c r="AD5" s="175">
        <f>HLOOKUP(_xlfn.CONCAT(TEXT(AD4,"MMMM YYYYY"), " Participants"),'DR_3A Participants'!$B$4:$AK$9,6,FALSE)</f>
        <v>16391</v>
      </c>
      <c r="AE5" s="175">
        <f>HLOOKUP(_xlfn.CONCAT(TEXT(AE4,"MMMM YYYYY"), " Participants"),'DR_3A Participants'!$B$4:$AK$9,6,FALSE)</f>
        <v>18489</v>
      </c>
      <c r="AF5" s="175">
        <f>HLOOKUP(_xlfn.CONCAT(TEXT(AF4,"MMMM YYYYY"), " Participants"),'DR_3A Participants'!$B$4:$AK$9,6,FALSE)</f>
        <v>19084</v>
      </c>
      <c r="AG5" s="175">
        <f>HLOOKUP(_xlfn.CONCAT(TEXT(AG4,"MMMM YYYYY"), " Participants"),'DR_3A Participants'!$B$4:$AK$9,6,FALSE)</f>
        <v>19679</v>
      </c>
      <c r="AH5" s="175">
        <f>HLOOKUP(_xlfn.CONCAT(TEXT(AH4,"MMMM YYYYY"), " Participants"),'DR_3A Participants'!$B$4:$AK$9,6,FALSE)</f>
        <v>20177</v>
      </c>
      <c r="AI5" s="175">
        <f>HLOOKUP(_xlfn.CONCAT(TEXT(AI4,"MMMM YYYYY"), " Participants"),'DR_3A Participants'!$B$4:$AK$9,6,FALSE)</f>
        <v>20809</v>
      </c>
      <c r="AJ5" s="175">
        <f>HLOOKUP(_xlfn.CONCAT(TEXT(AJ4,"MMMM YYYYY"), " Participants"),'DR_3A Participants'!$B$4:$AK$9,6,FALSE)</f>
        <v>21341</v>
      </c>
      <c r="AK5" s="175">
        <f>HLOOKUP(_xlfn.CONCAT(TEXT(AK4,"MMMM YYYYY"), " Participants"),'DR_3A Participants'!$B$4:$AK$9,6,FALSE)</f>
        <v>21694</v>
      </c>
      <c r="AL5" s="176">
        <f t="shared" ref="AL5:BE5" si="1">AK5*(1+AL3)</f>
        <v>21910.94</v>
      </c>
      <c r="AM5" s="176">
        <f t="shared" ref="AM5" si="2">AL5*(1+AM3)</f>
        <v>24160.94</v>
      </c>
      <c r="AN5" s="176">
        <f t="shared" ref="AN5" si="3">AM5*(1+AN3)</f>
        <v>30160.939999999995</v>
      </c>
      <c r="AO5" s="176">
        <f t="shared" si="1"/>
        <v>42160.939999999995</v>
      </c>
      <c r="AP5" s="176">
        <f t="shared" si="1"/>
        <v>54160.939999999995</v>
      </c>
      <c r="AQ5" s="176">
        <f t="shared" si="1"/>
        <v>55974.139999999992</v>
      </c>
      <c r="AR5" s="176">
        <f t="shared" si="1"/>
        <v>55974.139999999992</v>
      </c>
      <c r="AS5" s="176">
        <f t="shared" si="1"/>
        <v>55974.139999999992</v>
      </c>
      <c r="AT5" s="177">
        <f t="shared" si="1"/>
        <v>55974.139999999992</v>
      </c>
      <c r="AU5" s="176">
        <f t="shared" si="1"/>
        <v>55974.139999999992</v>
      </c>
      <c r="AV5" s="176">
        <f t="shared" si="1"/>
        <v>55974.139999999992</v>
      </c>
      <c r="AW5" s="176">
        <f t="shared" si="1"/>
        <v>55974.139999999992</v>
      </c>
      <c r="AX5" s="176">
        <f t="shared" si="1"/>
        <v>55974.139999999992</v>
      </c>
      <c r="AY5" s="176">
        <f t="shared" si="1"/>
        <v>55974.139999999992</v>
      </c>
      <c r="AZ5" s="176">
        <f t="shared" si="1"/>
        <v>55974.139999999992</v>
      </c>
      <c r="BA5" s="176">
        <f t="shared" si="1"/>
        <v>55974.139999999992</v>
      </c>
      <c r="BB5" s="176">
        <f t="shared" si="1"/>
        <v>55974.139999999992</v>
      </c>
      <c r="BC5" s="176">
        <f t="shared" si="1"/>
        <v>55974.139999999992</v>
      </c>
      <c r="BD5" s="176">
        <f t="shared" si="1"/>
        <v>55974.139999999992</v>
      </c>
      <c r="BE5" s="176">
        <f t="shared" si="1"/>
        <v>55974.139999999992</v>
      </c>
      <c r="BF5" s="178"/>
    </row>
    <row r="6" spans="1:59" s="173" customFormat="1" ht="15" thickBot="1" x14ac:dyDescent="0.35">
      <c r="A6" s="170" t="s">
        <v>27</v>
      </c>
      <c r="B6" s="171">
        <f t="shared" ref="B6:I6" si="4">B4</f>
        <v>44197</v>
      </c>
      <c r="C6" s="171">
        <f t="shared" si="4"/>
        <v>44228</v>
      </c>
      <c r="D6" s="171">
        <f t="shared" si="4"/>
        <v>44256</v>
      </c>
      <c r="E6" s="171">
        <f t="shared" si="4"/>
        <v>44287</v>
      </c>
      <c r="F6" s="171">
        <f t="shared" si="4"/>
        <v>44317</v>
      </c>
      <c r="G6" s="171">
        <f t="shared" si="4"/>
        <v>44348</v>
      </c>
      <c r="H6" s="171">
        <f t="shared" si="4"/>
        <v>44378</v>
      </c>
      <c r="I6" s="171">
        <f t="shared" si="4"/>
        <v>44409</v>
      </c>
      <c r="J6" s="171">
        <f t="shared" ref="J6:AG6" si="5">J4</f>
        <v>44440</v>
      </c>
      <c r="K6" s="171">
        <f t="shared" si="5"/>
        <v>44470</v>
      </c>
      <c r="L6" s="171">
        <f t="shared" si="5"/>
        <v>44501</v>
      </c>
      <c r="M6" s="171">
        <f t="shared" si="5"/>
        <v>44531</v>
      </c>
      <c r="N6" s="171">
        <f t="shared" si="5"/>
        <v>44562</v>
      </c>
      <c r="O6" s="171">
        <f>O4</f>
        <v>44593</v>
      </c>
      <c r="P6" s="171">
        <f t="shared" si="5"/>
        <v>44621</v>
      </c>
      <c r="Q6" s="171">
        <f t="shared" si="5"/>
        <v>44652</v>
      </c>
      <c r="R6" s="171">
        <f t="shared" si="5"/>
        <v>44682</v>
      </c>
      <c r="S6" s="171">
        <f t="shared" si="5"/>
        <v>44713</v>
      </c>
      <c r="T6" s="171">
        <f t="shared" si="5"/>
        <v>44743</v>
      </c>
      <c r="U6" s="171">
        <f t="shared" si="5"/>
        <v>44774</v>
      </c>
      <c r="V6" s="171">
        <f t="shared" si="5"/>
        <v>44805</v>
      </c>
      <c r="W6" s="171">
        <f t="shared" si="5"/>
        <v>44835</v>
      </c>
      <c r="X6" s="171">
        <f t="shared" si="5"/>
        <v>44866</v>
      </c>
      <c r="Y6" s="171">
        <f t="shared" si="5"/>
        <v>44896</v>
      </c>
      <c r="Z6" s="171">
        <f t="shared" si="5"/>
        <v>44927</v>
      </c>
      <c r="AA6" s="171">
        <f t="shared" si="5"/>
        <v>44958</v>
      </c>
      <c r="AB6" s="171">
        <f t="shared" si="5"/>
        <v>44986</v>
      </c>
      <c r="AC6" s="171">
        <f t="shared" si="5"/>
        <v>45017</v>
      </c>
      <c r="AD6" s="171">
        <f t="shared" si="5"/>
        <v>45047</v>
      </c>
      <c r="AE6" s="171">
        <f t="shared" si="5"/>
        <v>45078</v>
      </c>
      <c r="AF6" s="171">
        <f t="shared" si="5"/>
        <v>45108</v>
      </c>
      <c r="AG6" s="171">
        <f t="shared" si="5"/>
        <v>45139</v>
      </c>
      <c r="AH6" s="171">
        <f t="shared" ref="AH6:BE6" si="6">AH4</f>
        <v>45170</v>
      </c>
      <c r="AI6" s="171">
        <f t="shared" si="6"/>
        <v>45200</v>
      </c>
      <c r="AJ6" s="171">
        <f t="shared" si="6"/>
        <v>45231</v>
      </c>
      <c r="AK6" s="172">
        <f t="shared" si="6"/>
        <v>45261</v>
      </c>
      <c r="AL6" s="172">
        <f t="shared" si="6"/>
        <v>45292</v>
      </c>
      <c r="AM6" s="172">
        <f t="shared" si="6"/>
        <v>45323</v>
      </c>
      <c r="AN6" s="172">
        <f t="shared" si="6"/>
        <v>45352</v>
      </c>
      <c r="AO6" s="172">
        <f t="shared" si="6"/>
        <v>45383</v>
      </c>
      <c r="AP6" s="172">
        <f t="shared" si="6"/>
        <v>45413</v>
      </c>
      <c r="AQ6" s="172">
        <f t="shared" si="6"/>
        <v>45444</v>
      </c>
      <c r="AR6" s="172">
        <f t="shared" si="6"/>
        <v>45474</v>
      </c>
      <c r="AS6" s="172">
        <f t="shared" si="6"/>
        <v>45505</v>
      </c>
      <c r="AT6" s="172">
        <f t="shared" si="6"/>
        <v>45536</v>
      </c>
      <c r="AU6" s="172">
        <f t="shared" si="6"/>
        <v>45566</v>
      </c>
      <c r="AV6" s="172">
        <f t="shared" si="6"/>
        <v>45597</v>
      </c>
      <c r="AW6" s="172">
        <f t="shared" si="6"/>
        <v>45627</v>
      </c>
      <c r="AX6" s="172">
        <f t="shared" si="6"/>
        <v>45658</v>
      </c>
      <c r="AY6" s="172">
        <f t="shared" si="6"/>
        <v>45689</v>
      </c>
      <c r="AZ6" s="172">
        <f t="shared" si="6"/>
        <v>45717</v>
      </c>
      <c r="BA6" s="172">
        <f t="shared" si="6"/>
        <v>45748</v>
      </c>
      <c r="BB6" s="172">
        <f t="shared" si="6"/>
        <v>45778</v>
      </c>
      <c r="BC6" s="172">
        <f t="shared" si="6"/>
        <v>45809</v>
      </c>
      <c r="BD6" s="172">
        <f t="shared" si="6"/>
        <v>45839</v>
      </c>
      <c r="BE6" s="172">
        <f t="shared" si="6"/>
        <v>45870</v>
      </c>
    </row>
    <row r="7" spans="1:59" s="181" customFormat="1" ht="15" thickBot="1" x14ac:dyDescent="0.35">
      <c r="A7" s="174" t="s">
        <v>28</v>
      </c>
      <c r="B7" s="179">
        <f>HLOOKUP(_xlfn.CONCAT(TEXT(B6,"MMMM YYYYY"), " Discount"),DR_4!$B$4:$AK$9,6,FALSE)</f>
        <v>750061.41</v>
      </c>
      <c r="C7" s="179">
        <f>HLOOKUP(_xlfn.CONCAT(TEXT(C6,"MMMM YYYYY"), " Discount"),DR_4!$B$4:$AK$9,6,FALSE)</f>
        <v>739366.8</v>
      </c>
      <c r="D7" s="179">
        <f>HLOOKUP(_xlfn.CONCAT(TEXT(D6,"MMMM YYYYY"), " Discount"),DR_4!$B$4:$AK$9,6,FALSE)</f>
        <v>751041.71000000008</v>
      </c>
      <c r="E7" s="179">
        <f>HLOOKUP(_xlfn.CONCAT(TEXT(E6,"MMMM YYYYY"), " Discount"),DR_4!$B$4:$AK$9,6,FALSE)</f>
        <v>810103.17999999993</v>
      </c>
      <c r="F7" s="179">
        <f>HLOOKUP(_xlfn.CONCAT(TEXT(F6,"MMMM YYYYY"), " Discount"),DR_4!$B$4:$AK$9,6,FALSE)</f>
        <v>699187.19999999995</v>
      </c>
      <c r="G7" s="179">
        <f>HLOOKUP(_xlfn.CONCAT(TEXT(G6,"MMMM YYYYY"), " Discount"),DR_4!$B$4:$AK$9,6,FALSE)</f>
        <v>746974.97</v>
      </c>
      <c r="H7" s="179">
        <f>HLOOKUP(_xlfn.CONCAT(TEXT(H6,"MMMM YYYYY"), " Discount"),DR_4!$B$4:$AK$9,6,FALSE)</f>
        <v>829543.55</v>
      </c>
      <c r="I7" s="179">
        <f>HLOOKUP(_xlfn.CONCAT(TEXT(I6,"MMMM YYYYY"), " Discount"),DR_4!$B$4:$AK$9,6,FALSE)</f>
        <v>807468.5</v>
      </c>
      <c r="J7" s="179">
        <f>HLOOKUP(_xlfn.CONCAT(TEXT(J6,"MMMM YYYYY"), " Discount"),DR_4!$B$4:$AK$9,6,FALSE)</f>
        <v>830101.04999999993</v>
      </c>
      <c r="K7" s="179">
        <f>HLOOKUP(_xlfn.CONCAT(TEXT(K6,"MMMM YYYYY"), " Discount"),DR_4!$B$4:$AK$9,6,FALSE)</f>
        <v>929722.91</v>
      </c>
      <c r="L7" s="179">
        <f>HLOOKUP(_xlfn.CONCAT(TEXT(L6,"MMMM YYYYY"), " Discount"),DR_4!$B$4:$AK$9,6,FALSE)</f>
        <v>828924.8</v>
      </c>
      <c r="M7" s="179">
        <f>HLOOKUP(_xlfn.CONCAT(TEXT(M6,"MMMM YYYYY"), " Discount"),DR_4!$B$4:$AK$9,6,FALSE)</f>
        <v>814548.37</v>
      </c>
      <c r="N7" s="179">
        <f>HLOOKUP(_xlfn.CONCAT(TEXT(N6,"MMMM YYYYY"), " Discount"),DR_4!$B$4:$AK$9,6,FALSE)</f>
        <v>783316.94</v>
      </c>
      <c r="O7" s="179">
        <f>HLOOKUP(_xlfn.CONCAT(TEXT(O6,"MMMM YYYYY"), " Discount"),DR_4!$B$4:$AK$9,6,FALSE)</f>
        <v>620300.61</v>
      </c>
      <c r="P7" s="179">
        <f>HLOOKUP(_xlfn.CONCAT(TEXT(P6,"MMMM YYYYY"), " Discount"),DR_4!$B$4:$AK$9,6,FALSE)</f>
        <v>603770.18999999994</v>
      </c>
      <c r="Q7" s="179">
        <f>HLOOKUP(_xlfn.CONCAT(TEXT(Q6,"MMMM YYYYY"), " Discount"),DR_4!$B$4:$AK$9,6,FALSE)</f>
        <v>493730.68</v>
      </c>
      <c r="R7" s="179">
        <f>HLOOKUP(_xlfn.CONCAT(TEXT(R6,"MMMM YYYYY"), " Discount"),DR_4!$B$4:$AK$9,6,FALSE)</f>
        <v>460173.97</v>
      </c>
      <c r="S7" s="179">
        <f>HLOOKUP(_xlfn.CONCAT(TEXT(S6,"MMMM YYYYY"), " Discount"),DR_4!$B$4:$AK$9,6,FALSE)</f>
        <v>481007.6</v>
      </c>
      <c r="T7" s="179">
        <f>HLOOKUP(_xlfn.CONCAT(TEXT(T6,"MMMM YYYYY"), " Discount"),DR_4!$B$4:$AK$9,6,FALSE)</f>
        <v>544665.68999999994</v>
      </c>
      <c r="U7" s="179">
        <f>HLOOKUP(_xlfn.CONCAT(TEXT(U6,"MMMM YYYYY"), " Discount"),DR_4!$B$4:$AK$9,6,FALSE)</f>
        <v>584643.42000000004</v>
      </c>
      <c r="V7" s="179">
        <f>HLOOKUP(_xlfn.CONCAT(TEXT(V6,"MMMM YYYYY"), " Discount"),DR_4!$B$4:$AK$9,6,FALSE)</f>
        <v>779812.1</v>
      </c>
      <c r="W7" s="179">
        <f>HLOOKUP(_xlfn.CONCAT(TEXT(W6,"MMMM YYYYY"), " Discount"),DR_4!$B$4:$AK$9,6,FALSE)</f>
        <v>753092.5</v>
      </c>
      <c r="X7" s="179">
        <f>HLOOKUP(_xlfn.CONCAT(TEXT(X6,"MMMM YYYYY"), " Discount"),DR_4!$B$4:$AK$9,6,FALSE)</f>
        <v>729002.19</v>
      </c>
      <c r="Y7" s="179">
        <f>HLOOKUP(_xlfn.CONCAT(TEXT(Y6,"MMMM YYYYY"), " Discount"),DR_4!$B$4:$AK$9,6,FALSE)</f>
        <v>781726.6100000001</v>
      </c>
      <c r="Z7" s="179">
        <f>HLOOKUP(_xlfn.CONCAT(TEXT(Z6,"MMMM YYYYY"), " Discount"),DR_4!$B$4:$AK$9,6,FALSE)</f>
        <v>874629.5</v>
      </c>
      <c r="AA7" s="179">
        <f>HLOOKUP(_xlfn.CONCAT(TEXT(AA6,"MMMM YYYYY"), " Discount"),DR_4!$B$4:$AK$9,6,FALSE)</f>
        <v>698340.42999999993</v>
      </c>
      <c r="AB7" s="179">
        <f>HLOOKUP(_xlfn.CONCAT(TEXT(AB6,"MMMM YYYYY"), " Discount"),DR_4!$B$4:$AK$9,6,FALSE)</f>
        <v>857502.97</v>
      </c>
      <c r="AC7" s="179">
        <f>HLOOKUP(_xlfn.CONCAT(TEXT(AC6,"MMMM YYYYY"), " Discount"),DR_4!$B$4:$AK$9,6,FALSE)</f>
        <v>721143.21</v>
      </c>
      <c r="AD7" s="179">
        <f>HLOOKUP(_xlfn.CONCAT(TEXT(AD6,"MMMM YYYYY"), " Discount"),DR_4!$B$4:$AK$9,6,FALSE)</f>
        <v>758915.37</v>
      </c>
      <c r="AE7" s="179">
        <f>HLOOKUP(_xlfn.CONCAT(TEXT(AE6,"MMMM YYYYY"), " Discount"),DR_4!$B$4:$AK$9,6,FALSE)</f>
        <v>981261.94000000006</v>
      </c>
      <c r="AF7" s="179">
        <f>HLOOKUP(_xlfn.CONCAT(TEXT(AF6,"MMMM YYYYY"), " Discount"),DR_4!$B$4:$AK$9,6,FALSE)</f>
        <v>1068904.6600000001</v>
      </c>
      <c r="AG7" s="179">
        <f>HLOOKUP(_xlfn.CONCAT(TEXT(AG6,"MMMM YYYYY"), " Discount"),DR_4!$B$4:$AK$9,6,FALSE)</f>
        <v>1032289.3999999999</v>
      </c>
      <c r="AH7" s="179">
        <f>HLOOKUP(_xlfn.CONCAT(TEXT(AH6,"MMMM YYYYY"), " Discount"),DR_4!$B$4:$AK$9,6,FALSE)</f>
        <v>1238813.6199999999</v>
      </c>
      <c r="AI7" s="179">
        <f>HLOOKUP(_xlfn.CONCAT(TEXT(AI6,"MMMM YYYYY"), " Discount"),DR_4!$B$4:$AK$9,6,FALSE)</f>
        <v>1197429.9099999999</v>
      </c>
      <c r="AJ7" s="179">
        <f>HLOOKUP(_xlfn.CONCAT(TEXT(AJ6,"MMMM YYYYY"), " Discount"),DR_4!$B$4:$AK$9,6,FALSE)</f>
        <v>1275042.5899999999</v>
      </c>
      <c r="AK7" s="179">
        <f>HLOOKUP(_xlfn.CONCAT(TEXT(AK6,"MMMM YYYYY"), " Discount"),DR_4!$B$4:$AK$9,6,FALSE)</f>
        <v>1343484.21</v>
      </c>
      <c r="AL7" s="180">
        <f>TRR_Summary!$B$4*AL5</f>
        <v>1215838.0606</v>
      </c>
      <c r="AM7" s="180">
        <f>TRR_Summary!$B$4*AM5</f>
        <v>1340690.5606</v>
      </c>
      <c r="AN7" s="180">
        <f>TRR_Summary!$B$4*AN5</f>
        <v>1673630.5605999997</v>
      </c>
      <c r="AO7" s="180">
        <f>TRR_Summary!$B$4*AO5</f>
        <v>2339510.5606</v>
      </c>
      <c r="AP7" s="180">
        <f>TRR_Summary!$B$4*AP5</f>
        <v>3005390.5606</v>
      </c>
      <c r="AQ7" s="180">
        <f>TRR_Summary!$B$4*AQ5</f>
        <v>3106005.0285999998</v>
      </c>
      <c r="AR7" s="180">
        <f>TRR_Summary!$B$4*AR5</f>
        <v>3106005.0285999998</v>
      </c>
      <c r="AS7" s="180">
        <f>TRR_Summary!$B$4*AS5</f>
        <v>3106005.0285999998</v>
      </c>
      <c r="AT7" s="180">
        <f>TRR_Summary!$B$4*AT5</f>
        <v>3106005.0285999998</v>
      </c>
      <c r="AU7" s="180">
        <f>TRR_Summary!$B$4*AU5</f>
        <v>3106005.0285999998</v>
      </c>
      <c r="AV7" s="180">
        <f>TRR_Summary!$B$4*AV5</f>
        <v>3106005.0285999998</v>
      </c>
      <c r="AW7" s="180">
        <f>TRR_Summary!$B$4*AW5</f>
        <v>3106005.0285999998</v>
      </c>
      <c r="AX7" s="180">
        <f>TRR_Summary!$B$4*AX5</f>
        <v>3106005.0285999998</v>
      </c>
      <c r="AY7" s="180">
        <f>TRR_Summary!$B$4*AY5</f>
        <v>3106005.0285999998</v>
      </c>
      <c r="AZ7" s="180">
        <f>TRR_Summary!$B$4*AZ5</f>
        <v>3106005.0285999998</v>
      </c>
      <c r="BA7" s="180">
        <f>TRR_Summary!$B$4*BA5</f>
        <v>3106005.0285999998</v>
      </c>
      <c r="BB7" s="180">
        <f>TRR_Summary!$B$4*BB5</f>
        <v>3106005.0285999998</v>
      </c>
      <c r="BC7" s="180">
        <f>TRR_Summary!$B$4*BC5</f>
        <v>3106005.0285999998</v>
      </c>
      <c r="BD7" s="180">
        <f>TRR_Summary!$B$4*BD5</f>
        <v>3106005.0285999998</v>
      </c>
      <c r="BE7" s="180">
        <f>TRR_Summary!$B$4*BE5</f>
        <v>3106005.0285999998</v>
      </c>
      <c r="BG7" s="182">
        <f>SUM(AT7:BE7)</f>
        <v>37272060.343199998</v>
      </c>
    </row>
    <row r="8" spans="1:59" s="173" customFormat="1" x14ac:dyDescent="0.3">
      <c r="A8" s="170" t="s">
        <v>29</v>
      </c>
      <c r="B8" s="171">
        <f t="shared" ref="B8:I8" si="7">B6</f>
        <v>44197</v>
      </c>
      <c r="C8" s="171">
        <f t="shared" si="7"/>
        <v>44228</v>
      </c>
      <c r="D8" s="171">
        <f t="shared" si="7"/>
        <v>44256</v>
      </c>
      <c r="E8" s="171">
        <f t="shared" si="7"/>
        <v>44287</v>
      </c>
      <c r="F8" s="171">
        <f t="shared" si="7"/>
        <v>44317</v>
      </c>
      <c r="G8" s="171">
        <f t="shared" si="7"/>
        <v>44348</v>
      </c>
      <c r="H8" s="171">
        <f t="shared" si="7"/>
        <v>44378</v>
      </c>
      <c r="I8" s="171">
        <f t="shared" si="7"/>
        <v>44409</v>
      </c>
      <c r="J8" s="171">
        <f t="shared" ref="J8:AG8" si="8">J6</f>
        <v>44440</v>
      </c>
      <c r="K8" s="171">
        <f t="shared" si="8"/>
        <v>44470</v>
      </c>
      <c r="L8" s="171">
        <f t="shared" si="8"/>
        <v>44501</v>
      </c>
      <c r="M8" s="171">
        <f t="shared" si="8"/>
        <v>44531</v>
      </c>
      <c r="N8" s="171">
        <f t="shared" si="8"/>
        <v>44562</v>
      </c>
      <c r="O8" s="171">
        <f>O6</f>
        <v>44593</v>
      </c>
      <c r="P8" s="171">
        <f t="shared" si="8"/>
        <v>44621</v>
      </c>
      <c r="Q8" s="171">
        <f t="shared" si="8"/>
        <v>44652</v>
      </c>
      <c r="R8" s="171">
        <f t="shared" si="8"/>
        <v>44682</v>
      </c>
      <c r="S8" s="171">
        <f t="shared" si="8"/>
        <v>44713</v>
      </c>
      <c r="T8" s="171">
        <f t="shared" si="8"/>
        <v>44743</v>
      </c>
      <c r="U8" s="171">
        <f t="shared" si="8"/>
        <v>44774</v>
      </c>
      <c r="V8" s="171">
        <f t="shared" si="8"/>
        <v>44805</v>
      </c>
      <c r="W8" s="171">
        <f t="shared" si="8"/>
        <v>44835</v>
      </c>
      <c r="X8" s="171">
        <f t="shared" si="8"/>
        <v>44866</v>
      </c>
      <c r="Y8" s="171">
        <f t="shared" si="8"/>
        <v>44896</v>
      </c>
      <c r="Z8" s="171">
        <f t="shared" si="8"/>
        <v>44927</v>
      </c>
      <c r="AA8" s="171">
        <f t="shared" si="8"/>
        <v>44958</v>
      </c>
      <c r="AB8" s="171">
        <f t="shared" si="8"/>
        <v>44986</v>
      </c>
      <c r="AC8" s="171">
        <f t="shared" si="8"/>
        <v>45017</v>
      </c>
      <c r="AD8" s="171">
        <f t="shared" si="8"/>
        <v>45047</v>
      </c>
      <c r="AE8" s="171">
        <f t="shared" si="8"/>
        <v>45078</v>
      </c>
      <c r="AF8" s="171">
        <f t="shared" si="8"/>
        <v>45108</v>
      </c>
      <c r="AG8" s="171">
        <f t="shared" si="8"/>
        <v>45139</v>
      </c>
      <c r="AH8" s="171">
        <f t="shared" ref="AH8:BE8" si="9">AH6</f>
        <v>45170</v>
      </c>
      <c r="AI8" s="171">
        <f t="shared" si="9"/>
        <v>45200</v>
      </c>
      <c r="AJ8" s="171">
        <f t="shared" si="9"/>
        <v>45231</v>
      </c>
      <c r="AK8" s="172">
        <f t="shared" si="9"/>
        <v>45261</v>
      </c>
      <c r="AL8" s="172">
        <f t="shared" si="9"/>
        <v>45292</v>
      </c>
      <c r="AM8" s="172">
        <f t="shared" si="9"/>
        <v>45323</v>
      </c>
      <c r="AN8" s="172">
        <f t="shared" si="9"/>
        <v>45352</v>
      </c>
      <c r="AO8" s="172">
        <f t="shared" si="9"/>
        <v>45383</v>
      </c>
      <c r="AP8" s="172">
        <f t="shared" si="9"/>
        <v>45413</v>
      </c>
      <c r="AQ8" s="172">
        <f t="shared" si="9"/>
        <v>45444</v>
      </c>
      <c r="AR8" s="172">
        <f t="shared" si="9"/>
        <v>45474</v>
      </c>
      <c r="AS8" s="172">
        <f t="shared" si="9"/>
        <v>45505</v>
      </c>
      <c r="AT8" s="172">
        <f t="shared" si="9"/>
        <v>45536</v>
      </c>
      <c r="AU8" s="172">
        <f t="shared" si="9"/>
        <v>45566</v>
      </c>
      <c r="AV8" s="172">
        <f t="shared" si="9"/>
        <v>45597</v>
      </c>
      <c r="AW8" s="172">
        <f t="shared" si="9"/>
        <v>45627</v>
      </c>
      <c r="AX8" s="172">
        <f t="shared" si="9"/>
        <v>45658</v>
      </c>
      <c r="AY8" s="172">
        <f t="shared" si="9"/>
        <v>45689</v>
      </c>
      <c r="AZ8" s="172">
        <f t="shared" si="9"/>
        <v>45717</v>
      </c>
      <c r="BA8" s="172">
        <f t="shared" si="9"/>
        <v>45748</v>
      </c>
      <c r="BB8" s="172">
        <f t="shared" si="9"/>
        <v>45778</v>
      </c>
      <c r="BC8" s="172">
        <f t="shared" si="9"/>
        <v>45809</v>
      </c>
      <c r="BD8" s="172">
        <f t="shared" si="9"/>
        <v>45839</v>
      </c>
      <c r="BE8" s="172">
        <f t="shared" si="9"/>
        <v>45870</v>
      </c>
    </row>
    <row r="9" spans="1:59" s="164" customFormat="1" x14ac:dyDescent="0.3">
      <c r="A9" s="174" t="s">
        <v>30</v>
      </c>
      <c r="B9" s="183">
        <f>HLOOKUP(_xlfn.CONCAT(TEXT(B8,"MMMM YYYYY"), " Water Billed Volume (CCF)"),DR_1!$B$4:$AL$14,11,FALSE)</f>
        <v>118043</v>
      </c>
      <c r="C9" s="183">
        <f>HLOOKUP(_xlfn.CONCAT(TEXT(C8,"MMMM YYYYY"), " Water Billed Volume (CCF)"),DR_1!$B$4:$AL$14,11,FALSE)</f>
        <v>116270</v>
      </c>
      <c r="D9" s="183">
        <f>HLOOKUP(_xlfn.CONCAT(TEXT(D8,"MMMM YYYYY"), " Water Billed Volume (CCF)"),DR_1!$B$4:$AL$14,11,FALSE)</f>
        <v>118776</v>
      </c>
      <c r="E9" s="183">
        <f>HLOOKUP(_xlfn.CONCAT(TEXT(E8,"MMMM YYYYY"), " Water Billed Volume (CCF)"),DR_1!$B$4:$AL$14,11,FALSE)</f>
        <v>127463</v>
      </c>
      <c r="F9" s="183">
        <f>HLOOKUP(_xlfn.CONCAT(TEXT(F8,"MMMM YYYYY"), " Water Billed Volume (CCF)"),DR_1!$B$4:$AL$14,11,FALSE)</f>
        <v>110885</v>
      </c>
      <c r="G9" s="183">
        <f>HLOOKUP(_xlfn.CONCAT(TEXT(G8,"MMMM YYYYY"), " Water Billed Volume (CCF)"),DR_1!$B$4:$AL$14,11,FALSE)</f>
        <v>117002</v>
      </c>
      <c r="H9" s="183">
        <f>HLOOKUP(_xlfn.CONCAT(TEXT(H8,"MMMM YYYYY"), " Water Billed Volume (CCF)"),DR_1!$B$4:$AL$14,11,FALSE)</f>
        <v>129912</v>
      </c>
      <c r="I9" s="183">
        <f>HLOOKUP(_xlfn.CONCAT(TEXT(I8,"MMMM YYYYY"), " Water Billed Volume (CCF)"),DR_1!$B$4:$AL$14,11,FALSE)</f>
        <v>126798</v>
      </c>
      <c r="J9" s="183">
        <f>HLOOKUP(_xlfn.CONCAT(TEXT(J8,"MMMM YYYYY"), " Water Billed Volume (CCF)"),DR_1!$B$4:$AL$14,11,FALSE)</f>
        <v>126778</v>
      </c>
      <c r="K9" s="183">
        <f>HLOOKUP(_xlfn.CONCAT(TEXT(K8,"MMMM YYYYY"), " Water Billed Volume (CCF)"),DR_1!$B$4:$AL$14,11,FALSE)</f>
        <v>136693</v>
      </c>
      <c r="L9" s="183">
        <f>HLOOKUP(_xlfn.CONCAT(TEXT(L8,"MMMM YYYYY"), " Water Billed Volume (CCF)"),DR_1!$B$4:$AL$14,11,FALSE)</f>
        <v>121845</v>
      </c>
      <c r="M9" s="183">
        <f>HLOOKUP(_xlfn.CONCAT(TEXT(M8,"MMMM YYYYY"), " Water Billed Volume (CCF)"),DR_1!$B$4:$AL$14,11,FALSE)</f>
        <v>120136</v>
      </c>
      <c r="N9" s="183">
        <f>HLOOKUP(_xlfn.CONCAT(TEXT(N8,"MMMM YYYYY"), " Water Billed Volume (CCF)"),DR_1!$B$4:$AL$14,11,FALSE)</f>
        <v>115273</v>
      </c>
      <c r="O9" s="183">
        <f>HLOOKUP(_xlfn.CONCAT(TEXT(O8,"MMMM YYYYY"), " Water Billed Volume (CCF)"),DR_1!$B$4:$AL$14,11,FALSE)</f>
        <v>92176</v>
      </c>
      <c r="P9" s="183">
        <f>HLOOKUP(_xlfn.CONCAT(TEXT(P8,"MMMM YYYYY"), " Water Billed Volume (CCF)"),DR_1!$B$4:$AL$14,11,FALSE)</f>
        <v>90645</v>
      </c>
      <c r="Q9" s="183">
        <f>HLOOKUP(_xlfn.CONCAT(TEXT(Q8,"MMMM YYYYY"), " Water Billed Volume (CCF)"),DR_1!$B$4:$AL$14,11,FALSE)</f>
        <v>74313</v>
      </c>
      <c r="R9" s="183">
        <f>HLOOKUP(_xlfn.CONCAT(TEXT(R8,"MMMM YYYYY"), " Water Billed Volume (CCF)"),DR_1!$B$4:$AL$14,11,FALSE)</f>
        <v>70001</v>
      </c>
      <c r="S9" s="183">
        <f>HLOOKUP(_xlfn.CONCAT(TEXT(S8,"MMMM YYYYY"), " Water Billed Volume (CCF)"),DR_1!$B$4:$AL$14,11,FALSE)</f>
        <v>72452</v>
      </c>
      <c r="T9" s="183">
        <f>HLOOKUP(_xlfn.CONCAT(TEXT(T8,"MMMM YYYYY"), " Water Billed Volume (CCF)"),DR_1!$B$4:$AL$14,11,FALSE)</f>
        <v>81257</v>
      </c>
      <c r="U9" s="183">
        <f>HLOOKUP(_xlfn.CONCAT(TEXT(U8,"MMMM YYYYY"), " Water Billed Volume (CCF)"),DR_1!$B$4:$AL$14,11,FALSE)</f>
        <v>87984</v>
      </c>
      <c r="V9" s="183">
        <f>HLOOKUP(_xlfn.CONCAT(TEXT(V8,"MMMM YYYYY"), " Water Billed Volume (CCF)"),DR_1!$B$4:$AL$14,11,FALSE)</f>
        <v>110860</v>
      </c>
      <c r="W9" s="183">
        <f>HLOOKUP(_xlfn.CONCAT(TEXT(W8,"MMMM YYYYY"), " Water Billed Volume (CCF)"),DR_1!$B$4:$AL$14,11,FALSE)</f>
        <v>103176</v>
      </c>
      <c r="X9" s="183">
        <f>HLOOKUP(_xlfn.CONCAT(TEXT(X8,"MMMM YYYYY"), " Water Billed Volume (CCF)"),DR_1!$B$4:$AL$14,11,FALSE)</f>
        <v>100256</v>
      </c>
      <c r="Y9" s="183">
        <f>HLOOKUP(_xlfn.CONCAT(TEXT(Y8,"MMMM YYYYY"), " Water Billed Volume (CCF)"),DR_1!$B$4:$AL$14,11,FALSE)</f>
        <v>107322</v>
      </c>
      <c r="Z9" s="183">
        <f>HLOOKUP(_xlfn.CONCAT(TEXT(Z8,"MMMM YYYYY"), " Water Billed Volume (CCF)"),DR_1!$B$4:$AL$14,11,FALSE)</f>
        <v>120663</v>
      </c>
      <c r="AA9" s="183">
        <f>HLOOKUP(_xlfn.CONCAT(TEXT(AA8,"MMMM YYYYY"), " Water Billed Volume (CCF)"),DR_1!$B$4:$AL$14,11,FALSE)</f>
        <v>96006</v>
      </c>
      <c r="AB9" s="183">
        <f>HLOOKUP(_xlfn.CONCAT(TEXT(AB8,"MMMM YYYYY"), " Water Billed Volume (CCF)"),DR_1!$B$4:$AL$14,11,FALSE)</f>
        <v>118982</v>
      </c>
      <c r="AC9" s="183">
        <f>HLOOKUP(_xlfn.CONCAT(TEXT(AC8,"MMMM YYYYY"), " Water Billed Volume (CCF)"),DR_1!$B$4:$AL$14,11,FALSE)</f>
        <v>99561</v>
      </c>
      <c r="AD9" s="183">
        <f>HLOOKUP(_xlfn.CONCAT(TEXT(AD8,"MMMM YYYYY"), " Water Billed Volume (CCF)"),DR_1!$B$4:$AL$14,11,FALSE)</f>
        <v>105104</v>
      </c>
      <c r="AE9" s="183">
        <f>HLOOKUP(_xlfn.CONCAT(TEXT(AE8,"MMMM YYYYY"), " Water Billed Volume (CCF)"),DR_1!$B$4:$AL$14,11,FALSE)</f>
        <v>134135</v>
      </c>
      <c r="AF9" s="183">
        <f>HLOOKUP(_xlfn.CONCAT(TEXT(AF8,"MMMM YYYYY"), " Water Billed Volume (CCF)"),DR_1!$B$4:$AL$14,11,FALSE)</f>
        <v>145788</v>
      </c>
      <c r="AG9" s="183">
        <f>HLOOKUP(_xlfn.CONCAT(TEXT(AG8,"MMMM YYYYY"), " Water Billed Volume (CCF)"),DR_1!$B$4:$AL$14,11,FALSE)</f>
        <v>140128</v>
      </c>
      <c r="AH9" s="183">
        <f>HLOOKUP(_xlfn.CONCAT(TEXT(AH8,"MMMM YYYYY"), " Water Billed Volume (CCF)"),DR_1!$B$4:$AL$14,11,FALSE)</f>
        <v>158661</v>
      </c>
      <c r="AI9" s="183">
        <f>HLOOKUP(_xlfn.CONCAT(TEXT(AI8,"MMMM YYYYY"), " Water Billed Volume (CCF)"),DR_1!$B$4:$AL$14,11,FALSE)</f>
        <v>144272</v>
      </c>
      <c r="AJ9" s="183">
        <f>HLOOKUP(_xlfn.CONCAT(TEXT(AJ8,"MMMM YYYYY"), " Water Billed Volume (CCF)"),DR_1!$B$4:$AL$14,11,FALSE)</f>
        <v>153159</v>
      </c>
      <c r="AK9" s="183">
        <f>HLOOKUP(_xlfn.CONCAT(TEXT(AK8,"MMMM YYYYY"), " Water Billed Volume (CCF)"),DR_1!$B$4:$AL$14,11,FALSE)</f>
        <v>160462</v>
      </c>
      <c r="AL9" s="184">
        <f>TRR_Summary!$B$5*AL5/100</f>
        <v>159073.42439999999</v>
      </c>
      <c r="AM9" s="184">
        <f>TRR_Summary!$B$5*AM5/100</f>
        <v>175408.42439999999</v>
      </c>
      <c r="AN9" s="184">
        <f>TRR_Summary!$B$5*AN5/100</f>
        <v>218968.42439999999</v>
      </c>
      <c r="AO9" s="184">
        <f>TRR_Summary!$B$5*AO5/100</f>
        <v>306088.42439999996</v>
      </c>
      <c r="AP9" s="184">
        <f>TRR_Summary!$B$5*AP5/100</f>
        <v>393208.42439999996</v>
      </c>
      <c r="AQ9" s="184">
        <f>TRR_Summary!$B$5*AQ5/100</f>
        <v>406372.25639999995</v>
      </c>
      <c r="AR9" s="184">
        <f>TRR_Summary!$B$5*AR5/100</f>
        <v>406372.25639999995</v>
      </c>
      <c r="AS9" s="184">
        <f>TRR_Summary!$B$5*AS5/100</f>
        <v>406372.25639999995</v>
      </c>
      <c r="AT9" s="184">
        <f>TRR_Summary!$B$5*AT5/100</f>
        <v>406372.25639999995</v>
      </c>
      <c r="AU9" s="184">
        <f>TRR_Summary!$B$5*AU5/100</f>
        <v>406372.25639999995</v>
      </c>
      <c r="AV9" s="184">
        <f>TRR_Summary!$B$5*AV5/100</f>
        <v>406372.25639999995</v>
      </c>
      <c r="AW9" s="184">
        <f>TRR_Summary!$B$5*AW5/100</f>
        <v>406372.25639999995</v>
      </c>
      <c r="AX9" s="184">
        <f>TRR_Summary!$B$5*AX5/100</f>
        <v>406372.25639999995</v>
      </c>
      <c r="AY9" s="184">
        <f>TRR_Summary!$B$5*AY5/100</f>
        <v>406372.25639999995</v>
      </c>
      <c r="AZ9" s="184">
        <f>TRR_Summary!$B$5*AZ5/100</f>
        <v>406372.25639999995</v>
      </c>
      <c r="BA9" s="184">
        <f>TRR_Summary!$B$5*BA5/100</f>
        <v>406372.25639999995</v>
      </c>
      <c r="BB9" s="184">
        <f>TRR_Summary!$B$5*BB5/100</f>
        <v>406372.25639999995</v>
      </c>
      <c r="BC9" s="184">
        <f>TRR_Summary!$B$5*BC5/100</f>
        <v>406372.25639999995</v>
      </c>
      <c r="BD9" s="184">
        <f>TRR_Summary!$B$5*BD5/100</f>
        <v>406372.25639999995</v>
      </c>
      <c r="BE9" s="184">
        <f>TRR_Summary!$B$5*BE5/100</f>
        <v>406372.25639999995</v>
      </c>
    </row>
    <row r="10" spans="1:59" s="173" customFormat="1" x14ac:dyDescent="0.3">
      <c r="A10" s="170" t="s">
        <v>31</v>
      </c>
      <c r="B10" s="171">
        <f t="shared" ref="B10:I10" si="10">B8</f>
        <v>44197</v>
      </c>
      <c r="C10" s="171">
        <f t="shared" si="10"/>
        <v>44228</v>
      </c>
      <c r="D10" s="171">
        <f t="shared" si="10"/>
        <v>44256</v>
      </c>
      <c r="E10" s="171">
        <f t="shared" si="10"/>
        <v>44287</v>
      </c>
      <c r="F10" s="171">
        <f t="shared" si="10"/>
        <v>44317</v>
      </c>
      <c r="G10" s="171">
        <f t="shared" si="10"/>
        <v>44348</v>
      </c>
      <c r="H10" s="171">
        <f t="shared" si="10"/>
        <v>44378</v>
      </c>
      <c r="I10" s="171">
        <f t="shared" si="10"/>
        <v>44409</v>
      </c>
      <c r="J10" s="171">
        <f t="shared" ref="J10:P10" si="11">J8</f>
        <v>44440</v>
      </c>
      <c r="K10" s="171">
        <f t="shared" si="11"/>
        <v>44470</v>
      </c>
      <c r="L10" s="171">
        <f t="shared" si="11"/>
        <v>44501</v>
      </c>
      <c r="M10" s="171">
        <f t="shared" si="11"/>
        <v>44531</v>
      </c>
      <c r="N10" s="171">
        <f t="shared" si="11"/>
        <v>44562</v>
      </c>
      <c r="O10" s="171">
        <f>O8</f>
        <v>44593</v>
      </c>
      <c r="P10" s="171">
        <f t="shared" si="11"/>
        <v>44621</v>
      </c>
      <c r="Q10" s="171">
        <f t="shared" ref="Q10:AG10" si="12">Q8</f>
        <v>44652</v>
      </c>
      <c r="R10" s="171">
        <f t="shared" si="12"/>
        <v>44682</v>
      </c>
      <c r="S10" s="171">
        <f t="shared" si="12"/>
        <v>44713</v>
      </c>
      <c r="T10" s="171">
        <f t="shared" si="12"/>
        <v>44743</v>
      </c>
      <c r="U10" s="171">
        <f t="shared" si="12"/>
        <v>44774</v>
      </c>
      <c r="V10" s="171">
        <f t="shared" si="12"/>
        <v>44805</v>
      </c>
      <c r="W10" s="171">
        <f t="shared" si="12"/>
        <v>44835</v>
      </c>
      <c r="X10" s="171">
        <f t="shared" si="12"/>
        <v>44866</v>
      </c>
      <c r="Y10" s="171">
        <f t="shared" si="12"/>
        <v>44896</v>
      </c>
      <c r="Z10" s="171">
        <f t="shared" si="12"/>
        <v>44927</v>
      </c>
      <c r="AA10" s="171">
        <f t="shared" si="12"/>
        <v>44958</v>
      </c>
      <c r="AB10" s="171">
        <f t="shared" si="12"/>
        <v>44986</v>
      </c>
      <c r="AC10" s="171">
        <f t="shared" si="12"/>
        <v>45017</v>
      </c>
      <c r="AD10" s="171">
        <f t="shared" si="12"/>
        <v>45047</v>
      </c>
      <c r="AE10" s="171">
        <f t="shared" si="12"/>
        <v>45078</v>
      </c>
      <c r="AF10" s="171">
        <f t="shared" si="12"/>
        <v>45108</v>
      </c>
      <c r="AG10" s="171">
        <f t="shared" si="12"/>
        <v>45139</v>
      </c>
      <c r="AH10" s="171">
        <f t="shared" ref="AH10:BE10" si="13">AH8</f>
        <v>45170</v>
      </c>
      <c r="AI10" s="171">
        <f t="shared" si="13"/>
        <v>45200</v>
      </c>
      <c r="AJ10" s="171">
        <f t="shared" si="13"/>
        <v>45231</v>
      </c>
      <c r="AK10" s="172">
        <f t="shared" si="13"/>
        <v>45261</v>
      </c>
      <c r="AL10" s="172">
        <f t="shared" si="13"/>
        <v>45292</v>
      </c>
      <c r="AM10" s="172">
        <f t="shared" si="13"/>
        <v>45323</v>
      </c>
      <c r="AN10" s="172">
        <f t="shared" si="13"/>
        <v>45352</v>
      </c>
      <c r="AO10" s="172">
        <f t="shared" si="13"/>
        <v>45383</v>
      </c>
      <c r="AP10" s="172">
        <f t="shared" si="13"/>
        <v>45413</v>
      </c>
      <c r="AQ10" s="172">
        <f t="shared" si="13"/>
        <v>45444</v>
      </c>
      <c r="AR10" s="172">
        <f t="shared" si="13"/>
        <v>45474</v>
      </c>
      <c r="AS10" s="172">
        <f t="shared" si="13"/>
        <v>45505</v>
      </c>
      <c r="AT10" s="172">
        <f t="shared" si="13"/>
        <v>45536</v>
      </c>
      <c r="AU10" s="172">
        <f t="shared" si="13"/>
        <v>45566</v>
      </c>
      <c r="AV10" s="172">
        <f t="shared" si="13"/>
        <v>45597</v>
      </c>
      <c r="AW10" s="172">
        <f t="shared" si="13"/>
        <v>45627</v>
      </c>
      <c r="AX10" s="172">
        <f t="shared" si="13"/>
        <v>45658</v>
      </c>
      <c r="AY10" s="172">
        <f t="shared" si="13"/>
        <v>45689</v>
      </c>
      <c r="AZ10" s="172">
        <f t="shared" si="13"/>
        <v>45717</v>
      </c>
      <c r="BA10" s="172">
        <f t="shared" si="13"/>
        <v>45748</v>
      </c>
      <c r="BB10" s="172">
        <f t="shared" si="13"/>
        <v>45778</v>
      </c>
      <c r="BC10" s="172">
        <f t="shared" si="13"/>
        <v>45809</v>
      </c>
      <c r="BD10" s="172">
        <f t="shared" si="13"/>
        <v>45839</v>
      </c>
      <c r="BE10" s="172">
        <f t="shared" si="13"/>
        <v>45870</v>
      </c>
    </row>
    <row r="11" spans="1:59" s="164" customFormat="1" x14ac:dyDescent="0.3">
      <c r="A11" s="185" t="s">
        <v>32</v>
      </c>
      <c r="B11" s="186">
        <f>HLOOKUP(_xlfn.CONCAT(TEXT(B10,"MMMM YYYYY"), " Sewer Billed Volume (CCF)"),DR_2!$B$4:$AL$14,11,FALSE)</f>
        <v>117989</v>
      </c>
      <c r="C11" s="186">
        <f>HLOOKUP(_xlfn.CONCAT(TEXT(C10,"MMMM YYYYY"), " Sewer Billed Volume (CCF)"),DR_2!$B$4:$AL$14,11,FALSE)</f>
        <v>116223</v>
      </c>
      <c r="D11" s="186">
        <f>HLOOKUP(_xlfn.CONCAT(TEXT(D10,"MMMM YYYYY"), " Sewer Billed Volume (CCF)"),DR_2!$B$4:$AL$14,11,FALSE)</f>
        <v>118728</v>
      </c>
      <c r="E11" s="186">
        <f>HLOOKUP(_xlfn.CONCAT(TEXT(E10,"MMMM YYYYY"), " Sewer Billed Volume (CCF)"),DR_2!$B$4:$AL$14,11,FALSE)</f>
        <v>127424</v>
      </c>
      <c r="F11" s="186">
        <f>HLOOKUP(_xlfn.CONCAT(TEXT(F10,"MMMM YYYYY"), " Sewer Billed Volume (CCF)"),DR_2!$B$4:$AL$14,11,FALSE)</f>
        <v>110840</v>
      </c>
      <c r="G11" s="186">
        <f>HLOOKUP(_xlfn.CONCAT(TEXT(G10,"MMMM YYYYY"), " Sewer Billed Volume (CCF)"),DR_2!$B$4:$AL$14,11,FALSE)</f>
        <v>116963</v>
      </c>
      <c r="H11" s="186">
        <f>HLOOKUP(_xlfn.CONCAT(TEXT(H10,"MMMM YYYYY"), " Sewer Billed Volume (CCF)"),DR_2!$B$4:$AL$14,11,FALSE)</f>
        <v>129860</v>
      </c>
      <c r="I11" s="186">
        <f>HLOOKUP(_xlfn.CONCAT(TEXT(I10,"MMMM YYYYY"), " Sewer Billed Volume (CCF)"),DR_2!$B$4:$AL$14,11,FALSE)</f>
        <v>126763</v>
      </c>
      <c r="J11" s="186">
        <f>HLOOKUP(_xlfn.CONCAT(TEXT(J10,"MMMM YYYYY"), " Sewer Billed Volume (CCF)"),DR_2!$B$4:$AL$14,11,FALSE)</f>
        <v>126751</v>
      </c>
      <c r="K11" s="186">
        <f>HLOOKUP(_xlfn.CONCAT(TEXT(K10,"MMMM YYYYY"), " Sewer Billed Volume (CCF)"),DR_2!$B$4:$AL$14,11,FALSE)</f>
        <v>136657</v>
      </c>
      <c r="L11" s="186">
        <f>HLOOKUP(_xlfn.CONCAT(TEXT(L10,"MMMM YYYYY"), " Sewer Billed Volume (CCF)"),DR_2!$B$4:$AL$14,11,FALSE)</f>
        <v>121816</v>
      </c>
      <c r="M11" s="186">
        <f>HLOOKUP(_xlfn.CONCAT(TEXT(M10,"MMMM YYYYY"), " Sewer Billed Volume (CCF)"),DR_2!$B$4:$AL$14,11,FALSE)</f>
        <v>120112</v>
      </c>
      <c r="N11" s="186">
        <f>HLOOKUP(_xlfn.CONCAT(TEXT(N10,"MMMM YYYYY"), " Sewer Billed Volume (CCF)"),DR_2!$B$4:$AL$14,11,FALSE)</f>
        <v>115262</v>
      </c>
      <c r="O11" s="186">
        <f>HLOOKUP(_xlfn.CONCAT(TEXT(O10,"MMMM YYYYY"), " Sewer Billed Volume (CCF)"),DR_2!$B$4:$AL$14,11,FALSE)</f>
        <v>92167</v>
      </c>
      <c r="P11" s="186">
        <f>HLOOKUP(_xlfn.CONCAT(TEXT(P10,"MMMM YYYYY"), " Sewer Billed Volume (CCF)"),DR_2!$B$4:$AL$14,11,FALSE)</f>
        <v>90632</v>
      </c>
      <c r="Q11" s="186">
        <f>HLOOKUP(_xlfn.CONCAT(TEXT(Q10,"MMMM YYYYY"), " Sewer Billed Volume (CCF)"),DR_2!$B$4:$AL$14,11,FALSE)</f>
        <v>74304</v>
      </c>
      <c r="R11" s="186">
        <f>HLOOKUP(_xlfn.CONCAT(TEXT(R10,"MMMM YYYYY"), " Sewer Billed Volume (CCF)"),DR_2!$B$4:$AL$14,11,FALSE)</f>
        <v>70001</v>
      </c>
      <c r="S11" s="186">
        <f>HLOOKUP(_xlfn.CONCAT(TEXT(S10,"MMMM YYYYY"), " Sewer Billed Volume (CCF)"),DR_2!$B$4:$AL$14,11,FALSE)</f>
        <v>72451</v>
      </c>
      <c r="T11" s="186">
        <f>HLOOKUP(_xlfn.CONCAT(TEXT(T10,"MMMM YYYYY"), " Sewer Billed Volume (CCF)"),DR_2!$B$4:$AL$14,11,FALSE)</f>
        <v>81250</v>
      </c>
      <c r="U11" s="186">
        <f>HLOOKUP(_xlfn.CONCAT(TEXT(U10,"MMMM YYYYY"), " Sewer Billed Volume (CCF)"),DR_2!$B$4:$AL$14,11,FALSE)</f>
        <v>87972</v>
      </c>
      <c r="V11" s="186">
        <f>HLOOKUP(_xlfn.CONCAT(TEXT(V10,"MMMM YYYYY"), " Sewer Billed Volume (CCF)"),DR_2!$B$4:$AL$14,11,FALSE)</f>
        <v>110850</v>
      </c>
      <c r="W11" s="186">
        <f>HLOOKUP(_xlfn.CONCAT(TEXT(W10,"MMMM YYYYY"), " Sewer Billed Volume (CCF)"),DR_2!$B$4:$AL$14,11,FALSE)</f>
        <v>103169</v>
      </c>
      <c r="X11" s="186">
        <f>HLOOKUP(_xlfn.CONCAT(TEXT(X10,"MMMM YYYYY"), " Sewer Billed Volume (CCF)"),DR_2!$B$4:$AL$14,11,FALSE)</f>
        <v>100244</v>
      </c>
      <c r="Y11" s="186">
        <f>HLOOKUP(_xlfn.CONCAT(TEXT(Y10,"MMMM YYYYY"), " Sewer Billed Volume (CCF)"),DR_2!$B$4:$AL$14,11,FALSE)</f>
        <v>107302</v>
      </c>
      <c r="Z11" s="186">
        <f>HLOOKUP(_xlfn.CONCAT(TEXT(Z10,"MMMM YYYYY"), " Sewer Billed Volume (CCF)"),DR_2!$B$4:$AL$14,11,FALSE)</f>
        <v>120647</v>
      </c>
      <c r="AA11" s="186">
        <f>HLOOKUP(_xlfn.CONCAT(TEXT(AA10,"MMMM YYYYY"), " Sewer Billed Volume (CCF)"),DR_2!$B$4:$AL$14,11,FALSE)</f>
        <v>95996</v>
      </c>
      <c r="AB11" s="186">
        <f>HLOOKUP(_xlfn.CONCAT(TEXT(AB10,"MMMM YYYYY"), " Sewer Billed Volume (CCF)"),DR_2!$B$4:$AL$14,11,FALSE)</f>
        <v>118968</v>
      </c>
      <c r="AC11" s="186">
        <f>HLOOKUP(_xlfn.CONCAT(TEXT(AC10,"MMMM YYYYY"), " Sewer Billed Volume (CCF)"),DR_2!$B$4:$AL$14,11,FALSE)</f>
        <v>99547</v>
      </c>
      <c r="AD11" s="186">
        <f>HLOOKUP(_xlfn.CONCAT(TEXT(AD10,"MMMM YYYYY"), " Sewer Billed Volume (CCF)"),DR_2!$B$4:$AL$14,11,FALSE)</f>
        <v>105093</v>
      </c>
      <c r="AE11" s="186">
        <f>HLOOKUP(_xlfn.CONCAT(TEXT(AE10,"MMMM YYYYY"), " Sewer Billed Volume (CCF)"),DR_2!$B$4:$AL$14,11,FALSE)</f>
        <v>134113</v>
      </c>
      <c r="AF11" s="186">
        <f>HLOOKUP(_xlfn.CONCAT(TEXT(AF10,"MMMM YYYYY"), " Sewer Billed Volume (CCF)"),DR_2!$B$4:$AL$14,11,FALSE)</f>
        <v>145771</v>
      </c>
      <c r="AG11" s="186">
        <f>HLOOKUP(_xlfn.CONCAT(TEXT(AG10,"MMMM YYYYY"), " Sewer Billed Volume (CCF)"),DR_2!$B$4:$AL$14,11,FALSE)</f>
        <v>140089</v>
      </c>
      <c r="AH11" s="186">
        <f>HLOOKUP(_xlfn.CONCAT(TEXT(AH10,"MMMM YYYYY"), " Sewer Billed Volume (CCF)"),DR_2!$B$4:$AL$14,11,FALSE)</f>
        <v>158618</v>
      </c>
      <c r="AI11" s="186">
        <f>HLOOKUP(_xlfn.CONCAT(TEXT(AI10,"MMMM YYYYY"), " Sewer Billed Volume (CCF)"),DR_2!$B$4:$AL$14,11,FALSE)</f>
        <v>144210</v>
      </c>
      <c r="AJ11" s="186">
        <f>HLOOKUP(_xlfn.CONCAT(TEXT(AJ10,"MMMM YYYYY"), " Sewer Billed Volume (CCF)"),DR_2!$B$4:$AL$14,11,FALSE)</f>
        <v>153114</v>
      </c>
      <c r="AK11" s="186">
        <f>HLOOKUP(_xlfn.CONCAT(TEXT(AK10,"MMMM YYYYY"), " Sewer Billed Volume (CCF)"),DR_2!$B$4:$AL$14,11,FALSE)</f>
        <v>160412</v>
      </c>
      <c r="AL11" s="187">
        <f>TRR_Summary!$B$5*AL5/100</f>
        <v>159073.42439999999</v>
      </c>
      <c r="AM11" s="187">
        <f>TRR_Summary!$B$5*AM5/100</f>
        <v>175408.42439999999</v>
      </c>
      <c r="AN11" s="187">
        <f>TRR_Summary!$B$5*AN5/100</f>
        <v>218968.42439999999</v>
      </c>
      <c r="AO11" s="187">
        <f>TRR_Summary!$B$5*AO5/100</f>
        <v>306088.42439999996</v>
      </c>
      <c r="AP11" s="187">
        <f>TRR_Summary!$B$5*AP5/100</f>
        <v>393208.42439999996</v>
      </c>
      <c r="AQ11" s="187">
        <f>TRR_Summary!$B$5*AQ5/100</f>
        <v>406372.25639999995</v>
      </c>
      <c r="AR11" s="187">
        <f>TRR_Summary!$B$5*AR5/100</f>
        <v>406372.25639999995</v>
      </c>
      <c r="AS11" s="187">
        <f>TRR_Summary!$B$5*AS5/100</f>
        <v>406372.25639999995</v>
      </c>
      <c r="AT11" s="187">
        <f>TRR_Summary!$B$5*AT5/100</f>
        <v>406372.25639999995</v>
      </c>
      <c r="AU11" s="187">
        <f>TRR_Summary!$B$5*AU5/100</f>
        <v>406372.25639999995</v>
      </c>
      <c r="AV11" s="187">
        <f>TRR_Summary!$B$5*AV5/100</f>
        <v>406372.25639999995</v>
      </c>
      <c r="AW11" s="187">
        <f>TRR_Summary!$B$5*AW5/100</f>
        <v>406372.25639999995</v>
      </c>
      <c r="AX11" s="187">
        <f>TRR_Summary!$B$5*AX5/100</f>
        <v>406372.25639999995</v>
      </c>
      <c r="AY11" s="187">
        <f>TRR_Summary!$B$5*AY5/100</f>
        <v>406372.25639999995</v>
      </c>
      <c r="AZ11" s="187">
        <f>TRR_Summary!$B$5*AZ5/100</f>
        <v>406372.25639999995</v>
      </c>
      <c r="BA11" s="187">
        <f>TRR_Summary!$B$5*BA5/100</f>
        <v>406372.25639999995</v>
      </c>
      <c r="BB11" s="187">
        <f>TRR_Summary!$B$5*BB5/100</f>
        <v>406372.25639999995</v>
      </c>
      <c r="BC11" s="187">
        <f>TRR_Summary!$B$5*BC5/100</f>
        <v>406372.25639999995</v>
      </c>
      <c r="BD11" s="187">
        <f>TRR_Summary!$B$5*BD5/100</f>
        <v>406372.25639999995</v>
      </c>
      <c r="BE11" s="187">
        <f>TRR_Summary!$B$5*BE5/100</f>
        <v>406372.25639999995</v>
      </c>
    </row>
    <row r="12" spans="1:59" x14ac:dyDescent="0.3">
      <c r="AL12" s="74"/>
      <c r="AS12" s="74">
        <f>SUM(AH5:AS5)</f>
        <v>424498.12000000005</v>
      </c>
    </row>
    <row r="13" spans="1:59" x14ac:dyDescent="0.3">
      <c r="AK13" s="132"/>
      <c r="AL13" s="74"/>
      <c r="AM13" s="74"/>
      <c r="AN13" s="74"/>
      <c r="AO13" s="74"/>
      <c r="AP13" s="74"/>
      <c r="AQ13" s="74"/>
      <c r="AR13" s="74"/>
      <c r="AS13" s="74"/>
    </row>
    <row r="14" spans="1:59" x14ac:dyDescent="0.3">
      <c r="AK14" s="74"/>
    </row>
    <row r="15" spans="1:59" x14ac:dyDescent="0.3">
      <c r="A15" s="105" t="s">
        <v>21</v>
      </c>
      <c r="AK15" s="106" t="s">
        <v>22</v>
      </c>
      <c r="AL15" s="106" t="s">
        <v>23</v>
      </c>
      <c r="AM15" s="106" t="s">
        <v>23</v>
      </c>
      <c r="AN15" s="106" t="s">
        <v>23</v>
      </c>
      <c r="AO15" s="106" t="s">
        <v>23</v>
      </c>
      <c r="AP15" s="106" t="s">
        <v>23</v>
      </c>
      <c r="AQ15" s="106" t="s">
        <v>23</v>
      </c>
      <c r="AR15" s="106" t="s">
        <v>23</v>
      </c>
      <c r="AS15" s="106" t="s">
        <v>23</v>
      </c>
      <c r="AT15" s="106" t="s">
        <v>23</v>
      </c>
      <c r="AU15" s="106" t="s">
        <v>23</v>
      </c>
      <c r="AV15" s="106" t="s">
        <v>23</v>
      </c>
      <c r="AW15" s="106" t="s">
        <v>23</v>
      </c>
      <c r="AX15" s="106" t="s">
        <v>23</v>
      </c>
      <c r="AY15" s="106" t="s">
        <v>23</v>
      </c>
      <c r="AZ15" s="106" t="s">
        <v>23</v>
      </c>
      <c r="BA15" s="106" t="s">
        <v>23</v>
      </c>
      <c r="BB15" s="106" t="s">
        <v>23</v>
      </c>
      <c r="BC15" s="106" t="s">
        <v>23</v>
      </c>
      <c r="BD15" s="106" t="s">
        <v>23</v>
      </c>
      <c r="BE15" s="106" t="s">
        <v>23</v>
      </c>
    </row>
    <row r="16" spans="1:59" x14ac:dyDescent="0.3">
      <c r="A16" s="107" t="s">
        <v>24</v>
      </c>
      <c r="AK16" s="3"/>
      <c r="AL16" s="3">
        <v>0.01</v>
      </c>
      <c r="AM16" s="3">
        <v>0.10268842870273936</v>
      </c>
      <c r="AN16" s="3">
        <v>0.24833470883169281</v>
      </c>
      <c r="AO16" s="3">
        <v>0.39786558376496223</v>
      </c>
      <c r="AP16" s="3">
        <v>0.28462363505178012</v>
      </c>
      <c r="AQ16" s="3">
        <v>3.347800093572964E-2</v>
      </c>
      <c r="AR16" s="3">
        <f t="shared" ref="AR16:BE16" si="14">IF(AQ18&gt;=$AQ$34,0,IF((AQ18+$AQ$28)&gt;$AQ$34,($AQ$34-AQ18)/AQ18,$AQ$28/AQ18))</f>
        <v>0</v>
      </c>
      <c r="AS16" s="3">
        <f t="shared" si="14"/>
        <v>0</v>
      </c>
      <c r="AT16" s="3">
        <f t="shared" si="14"/>
        <v>0</v>
      </c>
      <c r="AU16" s="3">
        <f t="shared" si="14"/>
        <v>0</v>
      </c>
      <c r="AV16" s="3">
        <f t="shared" si="14"/>
        <v>0</v>
      </c>
      <c r="AW16" s="3">
        <f t="shared" si="14"/>
        <v>0</v>
      </c>
      <c r="AX16" s="3">
        <f t="shared" si="14"/>
        <v>0</v>
      </c>
      <c r="AY16" s="3">
        <f t="shared" si="14"/>
        <v>0</v>
      </c>
      <c r="AZ16" s="3">
        <f t="shared" si="14"/>
        <v>0</v>
      </c>
      <c r="BA16" s="3">
        <f t="shared" si="14"/>
        <v>0</v>
      </c>
      <c r="BB16" s="3">
        <f t="shared" si="14"/>
        <v>0</v>
      </c>
      <c r="BC16" s="3">
        <f t="shared" si="14"/>
        <v>0</v>
      </c>
      <c r="BD16" s="3">
        <f t="shared" si="14"/>
        <v>0</v>
      </c>
      <c r="BE16" s="3">
        <f t="shared" si="14"/>
        <v>0</v>
      </c>
    </row>
    <row r="17" spans="1:59" x14ac:dyDescent="0.3">
      <c r="A17" s="108" t="s">
        <v>25</v>
      </c>
      <c r="AK17" s="129">
        <v>45261</v>
      </c>
      <c r="AL17" s="129">
        <v>45292</v>
      </c>
      <c r="AM17" s="129">
        <v>45323</v>
      </c>
      <c r="AN17" s="129">
        <v>45352</v>
      </c>
      <c r="AO17" s="129">
        <v>45383</v>
      </c>
      <c r="AP17" s="129">
        <v>45413</v>
      </c>
      <c r="AQ17" s="129">
        <v>45444</v>
      </c>
      <c r="AR17" s="129">
        <v>45474</v>
      </c>
      <c r="AS17" s="129">
        <v>45505</v>
      </c>
      <c r="AT17" s="129">
        <v>45536</v>
      </c>
      <c r="AU17" s="129">
        <v>45566</v>
      </c>
      <c r="AV17" s="129">
        <v>45597</v>
      </c>
      <c r="AW17" s="129">
        <v>45627</v>
      </c>
      <c r="AX17" s="129">
        <v>45658</v>
      </c>
      <c r="AY17" s="129">
        <v>45689</v>
      </c>
      <c r="AZ17" s="129">
        <v>45717</v>
      </c>
      <c r="BA17" s="129">
        <v>45748</v>
      </c>
      <c r="BB17" s="129">
        <v>45778</v>
      </c>
      <c r="BC17" s="129">
        <v>45809</v>
      </c>
      <c r="BD17" s="129">
        <v>45839</v>
      </c>
      <c r="BE17" s="129">
        <v>45870</v>
      </c>
    </row>
    <row r="18" spans="1:59" ht="15.75" customHeight="1" x14ac:dyDescent="0.3">
      <c r="A18" s="109" t="s">
        <v>138</v>
      </c>
      <c r="AK18" s="88">
        <f>HLOOKUP(_xlfn.CONCAT(TEXT(AK17,"MMMM YYYYY"), " Participants"),'DR_3A Participants'!$B$4:$AK$9,6,FALSE)</f>
        <v>21694</v>
      </c>
      <c r="AL18" s="130">
        <f>AK18</f>
        <v>21694</v>
      </c>
      <c r="AM18" s="130">
        <f>AL18</f>
        <v>21694</v>
      </c>
      <c r="AN18" s="130">
        <f t="shared" ref="AN18:AS19" si="15">AM18</f>
        <v>21694</v>
      </c>
      <c r="AO18" s="130">
        <f t="shared" si="15"/>
        <v>21694</v>
      </c>
      <c r="AP18" s="130">
        <f t="shared" si="15"/>
        <v>21694</v>
      </c>
      <c r="AQ18" s="130">
        <f t="shared" si="15"/>
        <v>21694</v>
      </c>
      <c r="AR18" s="130">
        <f t="shared" si="15"/>
        <v>21694</v>
      </c>
      <c r="AS18" s="130">
        <f t="shared" si="15"/>
        <v>21694</v>
      </c>
      <c r="AT18" s="130">
        <f t="shared" ref="AT18" si="16">AS18*(1+AT16)</f>
        <v>21694</v>
      </c>
      <c r="AU18" s="130">
        <f>AT18*(1+AU16)</f>
        <v>21694</v>
      </c>
      <c r="AV18" s="130">
        <f t="shared" ref="AV18" si="17">AU18*(1+AV16)</f>
        <v>21694</v>
      </c>
      <c r="AW18" s="130">
        <f t="shared" ref="AW18" si="18">AV18*(1+AW16)</f>
        <v>21694</v>
      </c>
      <c r="AX18" s="130">
        <f t="shared" ref="AX18" si="19">AW18*(1+AX16)</f>
        <v>21694</v>
      </c>
      <c r="AY18" s="130">
        <f t="shared" ref="AY18" si="20">AX18*(1+AY16)</f>
        <v>21694</v>
      </c>
      <c r="AZ18" s="130">
        <f t="shared" ref="AZ18" si="21">AY18*(1+AZ16)</f>
        <v>21694</v>
      </c>
      <c r="BA18" s="130">
        <f t="shared" ref="BA18" si="22">AZ18*(1+BA16)</f>
        <v>21694</v>
      </c>
      <c r="BB18" s="130">
        <f t="shared" ref="BB18" si="23">BA18*(1+BB16)</f>
        <v>21694</v>
      </c>
      <c r="BC18" s="130">
        <f t="shared" ref="BC18" si="24">BB18*(1+BC16)</f>
        <v>21694</v>
      </c>
      <c r="BD18" s="130">
        <f t="shared" ref="BD18" si="25">BC18*(1+BD16)</f>
        <v>21694</v>
      </c>
      <c r="BE18" s="130">
        <f t="shared" ref="BE18" si="26">BD18*(1+BE16)</f>
        <v>21694</v>
      </c>
      <c r="BG18" s="161">
        <v>13990032</v>
      </c>
    </row>
    <row r="19" spans="1:59" ht="15.75" customHeight="1" x14ac:dyDescent="0.3">
      <c r="A19" s="109" t="s">
        <v>140</v>
      </c>
      <c r="AK19" s="88"/>
      <c r="AL19" s="130">
        <f>(AL5-AK5)*0.95</f>
        <v>206.09299999999874</v>
      </c>
      <c r="AM19" s="130">
        <f>(AM5-AM18)*0.95</f>
        <v>2343.5929999999985</v>
      </c>
      <c r="AN19" s="130">
        <f t="shared" ref="AN19:AS19" si="27">(AN5-AN18)*0.95</f>
        <v>8043.5929999999953</v>
      </c>
      <c r="AO19" s="130">
        <f t="shared" si="27"/>
        <v>19443.592999999993</v>
      </c>
      <c r="AP19" s="130">
        <f t="shared" si="27"/>
        <v>30843.592999999993</v>
      </c>
      <c r="AQ19" s="130">
        <f t="shared" si="27"/>
        <v>32566.132999999991</v>
      </c>
      <c r="AR19" s="130">
        <f>AQ19</f>
        <v>32566.132999999991</v>
      </c>
      <c r="AS19" s="130">
        <f t="shared" si="27"/>
        <v>32566.132999999991</v>
      </c>
      <c r="AT19" s="130">
        <f>(AT5-AT18)*0.95</f>
        <v>32566.132999999991</v>
      </c>
      <c r="AU19" s="130">
        <f t="shared" ref="AU19" si="28">(AU5-AU18)*0.95</f>
        <v>32566.132999999991</v>
      </c>
      <c r="AV19" s="130">
        <f t="shared" ref="AV19" si="29">(AV5-AV18)*0.95</f>
        <v>32566.132999999991</v>
      </c>
      <c r="AW19" s="130">
        <f t="shared" ref="AW19" si="30">(AW5-AW18)*0.95</f>
        <v>32566.132999999991</v>
      </c>
      <c r="AX19" s="130">
        <f>(AX5-AX18)*0.95</f>
        <v>32566.132999999991</v>
      </c>
      <c r="AY19" s="130">
        <f t="shared" ref="AY19" si="31">(AY5-AY18)*0.95</f>
        <v>32566.132999999991</v>
      </c>
      <c r="AZ19" s="130">
        <f t="shared" ref="AZ19" si="32">(AZ5-AZ18)*0.95</f>
        <v>32566.132999999991</v>
      </c>
      <c r="BA19" s="130">
        <f t="shared" ref="BA19" si="33">(BA5-BA18)*0.95</f>
        <v>32566.132999999991</v>
      </c>
      <c r="BB19" s="130">
        <f>(BB5-BB18)*0.95</f>
        <v>32566.132999999991</v>
      </c>
      <c r="BC19" s="130">
        <f t="shared" ref="BC19" si="34">(BC5-BC18)*0.95</f>
        <v>32566.132999999991</v>
      </c>
      <c r="BD19" s="130">
        <f>(BD5-BD18)*0.95</f>
        <v>32566.132999999991</v>
      </c>
      <c r="BE19" s="130">
        <f>(BE5-BE18)*0.95</f>
        <v>32566.132999999991</v>
      </c>
    </row>
    <row r="20" spans="1:59" ht="15.75" customHeight="1" x14ac:dyDescent="0.3">
      <c r="A20" s="109" t="s">
        <v>139</v>
      </c>
      <c r="AK20" s="88"/>
      <c r="AL20" s="130">
        <f>AL18+AL19</f>
        <v>21900.092999999997</v>
      </c>
      <c r="AM20" s="130">
        <f>AM18+AM19</f>
        <v>24037.592999999997</v>
      </c>
      <c r="AN20" s="130">
        <f>AN18+AN19</f>
        <v>29737.592999999993</v>
      </c>
      <c r="AO20" s="130">
        <f t="shared" ref="AO20:AS20" si="35">AO18+AO19</f>
        <v>41137.592999999993</v>
      </c>
      <c r="AP20" s="130">
        <f t="shared" si="35"/>
        <v>52537.592999999993</v>
      </c>
      <c r="AQ20" s="130">
        <f t="shared" si="35"/>
        <v>54260.132999999987</v>
      </c>
      <c r="AR20" s="130">
        <f t="shared" si="35"/>
        <v>54260.132999999987</v>
      </c>
      <c r="AS20" s="130">
        <f t="shared" si="35"/>
        <v>54260.132999999987</v>
      </c>
      <c r="AT20" s="159">
        <f t="shared" ref="AT20" si="36">AT18+AT19</f>
        <v>54260.132999999987</v>
      </c>
      <c r="AU20" s="130">
        <f t="shared" ref="AU20" si="37">AU18+AU19</f>
        <v>54260.132999999987</v>
      </c>
      <c r="AV20" s="130">
        <f t="shared" ref="AV20" si="38">AV18+AV19</f>
        <v>54260.132999999987</v>
      </c>
      <c r="AW20" s="130">
        <f t="shared" ref="AW20" si="39">AW18+AW19</f>
        <v>54260.132999999987</v>
      </c>
      <c r="AX20" s="130">
        <f t="shared" ref="AX20" si="40">AX18+AX19</f>
        <v>54260.132999999987</v>
      </c>
      <c r="AY20" s="130">
        <f t="shared" ref="AY20" si="41">AY18+AY19</f>
        <v>54260.132999999987</v>
      </c>
      <c r="AZ20" s="130">
        <f t="shared" ref="AZ20" si="42">AZ18+AZ19</f>
        <v>54260.132999999987</v>
      </c>
      <c r="BA20" s="130">
        <f t="shared" ref="BA20" si="43">BA18+BA19</f>
        <v>54260.132999999987</v>
      </c>
      <c r="BB20" s="130">
        <f t="shared" ref="BB20" si="44">BB18+BB19</f>
        <v>54260.132999999987</v>
      </c>
      <c r="BC20" s="130">
        <f t="shared" ref="BC20" si="45">BC18+BC19</f>
        <v>54260.132999999987</v>
      </c>
      <c r="BD20" s="130">
        <f t="shared" ref="BD20" si="46">BD18+BD19</f>
        <v>54260.132999999987</v>
      </c>
      <c r="BE20" s="130">
        <f t="shared" ref="BE20" si="47">BE18+BE19</f>
        <v>54260.132999999987</v>
      </c>
    </row>
    <row r="21" spans="1:59" x14ac:dyDescent="0.3">
      <c r="A21" s="108" t="s">
        <v>27</v>
      </c>
      <c r="AK21" s="129">
        <f t="shared" ref="AK21:BE21" si="48">AK17</f>
        <v>45261</v>
      </c>
      <c r="AL21" s="129">
        <f t="shared" si="48"/>
        <v>45292</v>
      </c>
      <c r="AM21" s="129">
        <f t="shared" si="48"/>
        <v>45323</v>
      </c>
      <c r="AN21" s="129">
        <f t="shared" si="48"/>
        <v>45352</v>
      </c>
      <c r="AO21" s="129">
        <f t="shared" si="48"/>
        <v>45383</v>
      </c>
      <c r="AP21" s="129">
        <f t="shared" si="48"/>
        <v>45413</v>
      </c>
      <c r="AQ21" s="129">
        <f t="shared" si="48"/>
        <v>45444</v>
      </c>
      <c r="AR21" s="129">
        <f t="shared" si="48"/>
        <v>45474</v>
      </c>
      <c r="AS21" s="129">
        <f t="shared" si="48"/>
        <v>45505</v>
      </c>
      <c r="AT21" s="129">
        <f t="shared" si="48"/>
        <v>45536</v>
      </c>
      <c r="AU21" s="129">
        <f t="shared" si="48"/>
        <v>45566</v>
      </c>
      <c r="AV21" s="129">
        <f t="shared" si="48"/>
        <v>45597</v>
      </c>
      <c r="AW21" s="129">
        <f t="shared" si="48"/>
        <v>45627</v>
      </c>
      <c r="AX21" s="129">
        <f t="shared" si="48"/>
        <v>45658</v>
      </c>
      <c r="AY21" s="129">
        <f t="shared" si="48"/>
        <v>45689</v>
      </c>
      <c r="AZ21" s="129">
        <f t="shared" si="48"/>
        <v>45717</v>
      </c>
      <c r="BA21" s="129">
        <f t="shared" si="48"/>
        <v>45748</v>
      </c>
      <c r="BB21" s="129">
        <f t="shared" si="48"/>
        <v>45778</v>
      </c>
      <c r="BC21" s="129">
        <f t="shared" si="48"/>
        <v>45809</v>
      </c>
      <c r="BD21" s="129">
        <f t="shared" si="48"/>
        <v>45839</v>
      </c>
      <c r="BE21" s="129">
        <f t="shared" si="48"/>
        <v>45870</v>
      </c>
    </row>
    <row r="22" spans="1:59" x14ac:dyDescent="0.3">
      <c r="A22" s="109" t="s">
        <v>141</v>
      </c>
      <c r="AK22" s="88"/>
      <c r="AL22" s="131">
        <f>TRR_Summary!$B$4*AL18</f>
        <v>1203800.06</v>
      </c>
      <c r="AM22" s="131">
        <f>TRR_Summary!$B$4*AM18</f>
        <v>1203800.06</v>
      </c>
      <c r="AN22" s="131">
        <f>TRR_Summary!$B$4*AN18</f>
        <v>1203800.06</v>
      </c>
      <c r="AO22" s="131">
        <f>TRR_Summary!$B$4*AO18</f>
        <v>1203800.06</v>
      </c>
      <c r="AP22" s="131">
        <f>TRR_Summary!$B$4*AP18</f>
        <v>1203800.06</v>
      </c>
      <c r="AQ22" s="131">
        <f>TRR_Summary!$B$4*AQ18</f>
        <v>1203800.06</v>
      </c>
      <c r="AR22" s="131">
        <f>TRR_Summary!$B$4*AR18</f>
        <v>1203800.06</v>
      </c>
      <c r="AS22" s="131">
        <f>TRR_Summary!$B$4*AS18</f>
        <v>1203800.06</v>
      </c>
      <c r="AT22" s="131">
        <f>TRR_Summary!$B$4*AT18</f>
        <v>1203800.06</v>
      </c>
      <c r="AU22" s="131">
        <f>TRR_Summary!$B$4*AU18</f>
        <v>1203800.06</v>
      </c>
      <c r="AV22" s="131">
        <f>TRR_Summary!$B$4*AV18</f>
        <v>1203800.06</v>
      </c>
      <c r="AW22" s="131">
        <f>TRR_Summary!$B$4*AW18</f>
        <v>1203800.06</v>
      </c>
      <c r="AX22" s="131">
        <f>TRR_Summary!$B$4*AX18</f>
        <v>1203800.06</v>
      </c>
      <c r="AY22" s="131">
        <f>TRR_Summary!$B$4*AY18</f>
        <v>1203800.06</v>
      </c>
      <c r="AZ22" s="131">
        <f>TRR_Summary!$B$4*AZ18</f>
        <v>1203800.06</v>
      </c>
      <c r="BA22" s="131">
        <f>TRR_Summary!$B$4*BA18</f>
        <v>1203800.06</v>
      </c>
      <c r="BB22" s="131">
        <f>TRR_Summary!$B$4*BB18</f>
        <v>1203800.06</v>
      </c>
      <c r="BC22" s="131">
        <f>TRR_Summary!$B$4*BC18</f>
        <v>1203800.06</v>
      </c>
      <c r="BD22" s="131">
        <f>TRR_Summary!$B$4*BD18</f>
        <v>1203800.06</v>
      </c>
      <c r="BE22" s="131">
        <f>TRR_Summary!$B$4*BE18</f>
        <v>1203800.06</v>
      </c>
      <c r="BG22" s="74"/>
    </row>
    <row r="23" spans="1:59" ht="15" thickBot="1" x14ac:dyDescent="0.35">
      <c r="A23" s="109" t="s">
        <v>142</v>
      </c>
      <c r="AK23" s="88"/>
      <c r="AL23" s="131">
        <f t="shared" ref="AL23:BE23" si="49">$AK$37*AL19</f>
        <v>4308.6687983887286</v>
      </c>
      <c r="AM23" s="131">
        <f t="shared" si="49"/>
        <v>48996.162097801927</v>
      </c>
      <c r="AN23" s="131">
        <f t="shared" si="49"/>
        <v>168162.81089623706</v>
      </c>
      <c r="AO23" s="131">
        <f t="shared" si="49"/>
        <v>406496.10849310743</v>
      </c>
      <c r="AP23" s="131">
        <f t="shared" si="49"/>
        <v>644829.40608997783</v>
      </c>
      <c r="AQ23" s="131">
        <f t="shared" si="49"/>
        <v>680841.56735686492</v>
      </c>
      <c r="AR23" s="131">
        <f t="shared" si="49"/>
        <v>680841.56735686492</v>
      </c>
      <c r="AS23" s="131">
        <f t="shared" si="49"/>
        <v>680841.56735686492</v>
      </c>
      <c r="AT23" s="131">
        <f t="shared" si="49"/>
        <v>680841.56735686492</v>
      </c>
      <c r="AU23" s="131">
        <f t="shared" si="49"/>
        <v>680841.56735686492</v>
      </c>
      <c r="AV23" s="131">
        <f t="shared" si="49"/>
        <v>680841.56735686492</v>
      </c>
      <c r="AW23" s="131">
        <f t="shared" si="49"/>
        <v>680841.56735686492</v>
      </c>
      <c r="AX23" s="131">
        <f t="shared" si="49"/>
        <v>680841.56735686492</v>
      </c>
      <c r="AY23" s="131">
        <f t="shared" si="49"/>
        <v>680841.56735686492</v>
      </c>
      <c r="AZ23" s="131">
        <f t="shared" si="49"/>
        <v>680841.56735686492</v>
      </c>
      <c r="BA23" s="131">
        <f t="shared" si="49"/>
        <v>680841.56735686492</v>
      </c>
      <c r="BB23" s="131">
        <f t="shared" si="49"/>
        <v>680841.56735686492</v>
      </c>
      <c r="BC23" s="131">
        <f t="shared" si="49"/>
        <v>680841.56735686492</v>
      </c>
      <c r="BD23" s="131">
        <f t="shared" si="49"/>
        <v>680841.56735686492</v>
      </c>
      <c r="BE23" s="131">
        <f t="shared" si="49"/>
        <v>680841.56735686492</v>
      </c>
    </row>
    <row r="24" spans="1:59" ht="15" thickBot="1" x14ac:dyDescent="0.35">
      <c r="A24" s="109" t="s">
        <v>28</v>
      </c>
      <c r="AK24" s="89">
        <f>HLOOKUP(_xlfn.CONCAT(TEXT(AK21,"MMMM YYYYY"), " Discount"),DR_4!$B$4:$AK$9,6,FALSE)</f>
        <v>1343484.21</v>
      </c>
      <c r="AL24" s="131">
        <f>AL22+AL23</f>
        <v>1208108.7287983887</v>
      </c>
      <c r="AM24" s="131">
        <f t="shared" ref="AM24:BE24" si="50">AM22+AM23</f>
        <v>1252796.222097802</v>
      </c>
      <c r="AN24" s="131">
        <f t="shared" si="50"/>
        <v>1371962.8708962372</v>
      </c>
      <c r="AO24" s="131">
        <f t="shared" si="50"/>
        <v>1610296.1684931074</v>
      </c>
      <c r="AP24" s="131">
        <f t="shared" si="50"/>
        <v>1848629.4660899779</v>
      </c>
      <c r="AQ24" s="131">
        <f t="shared" si="50"/>
        <v>1884641.627356865</v>
      </c>
      <c r="AR24" s="131">
        <f t="shared" si="50"/>
        <v>1884641.627356865</v>
      </c>
      <c r="AS24" s="131">
        <f t="shared" si="50"/>
        <v>1884641.627356865</v>
      </c>
      <c r="AT24" s="131">
        <f t="shared" si="50"/>
        <v>1884641.627356865</v>
      </c>
      <c r="AU24" s="131">
        <f t="shared" si="50"/>
        <v>1884641.627356865</v>
      </c>
      <c r="AV24" s="131">
        <f t="shared" si="50"/>
        <v>1884641.627356865</v>
      </c>
      <c r="AW24" s="131">
        <f t="shared" si="50"/>
        <v>1884641.627356865</v>
      </c>
      <c r="AX24" s="131">
        <f t="shared" si="50"/>
        <v>1884641.627356865</v>
      </c>
      <c r="AY24" s="131">
        <f t="shared" si="50"/>
        <v>1884641.627356865</v>
      </c>
      <c r="AZ24" s="131">
        <f t="shared" si="50"/>
        <v>1884641.627356865</v>
      </c>
      <c r="BA24" s="131">
        <f t="shared" si="50"/>
        <v>1884641.627356865</v>
      </c>
      <c r="BB24" s="131">
        <f t="shared" si="50"/>
        <v>1884641.627356865</v>
      </c>
      <c r="BC24" s="131">
        <f t="shared" si="50"/>
        <v>1884641.627356865</v>
      </c>
      <c r="BD24" s="131">
        <f t="shared" si="50"/>
        <v>1884641.627356865</v>
      </c>
      <c r="BE24" s="131">
        <f t="shared" si="50"/>
        <v>1884641.627356865</v>
      </c>
      <c r="BG24" s="158">
        <f>SUM(AT24:BE24)</f>
        <v>22615699.528282378</v>
      </c>
    </row>
    <row r="25" spans="1:59" x14ac:dyDescent="0.3">
      <c r="A25" s="108" t="s">
        <v>29</v>
      </c>
      <c r="AK25" s="129">
        <f t="shared" ref="AK25:BE25" si="51">AK21</f>
        <v>45261</v>
      </c>
      <c r="AL25" s="129">
        <f t="shared" si="51"/>
        <v>45292</v>
      </c>
      <c r="AM25" s="129">
        <f t="shared" si="51"/>
        <v>45323</v>
      </c>
      <c r="AN25" s="129">
        <f t="shared" si="51"/>
        <v>45352</v>
      </c>
      <c r="AO25" s="129">
        <f t="shared" si="51"/>
        <v>45383</v>
      </c>
      <c r="AP25" s="129">
        <f t="shared" si="51"/>
        <v>45413</v>
      </c>
      <c r="AQ25" s="129">
        <f t="shared" si="51"/>
        <v>45444</v>
      </c>
      <c r="AR25" s="129">
        <f t="shared" si="51"/>
        <v>45474</v>
      </c>
      <c r="AS25" s="129">
        <f t="shared" si="51"/>
        <v>45505</v>
      </c>
      <c r="AT25" s="129">
        <f t="shared" si="51"/>
        <v>45536</v>
      </c>
      <c r="AU25" s="129">
        <f t="shared" si="51"/>
        <v>45566</v>
      </c>
      <c r="AV25" s="129">
        <f t="shared" si="51"/>
        <v>45597</v>
      </c>
      <c r="AW25" s="129">
        <f t="shared" si="51"/>
        <v>45627</v>
      </c>
      <c r="AX25" s="129">
        <f t="shared" si="51"/>
        <v>45658</v>
      </c>
      <c r="AY25" s="129">
        <f t="shared" si="51"/>
        <v>45689</v>
      </c>
      <c r="AZ25" s="129">
        <f t="shared" si="51"/>
        <v>45717</v>
      </c>
      <c r="BA25" s="129">
        <f t="shared" si="51"/>
        <v>45748</v>
      </c>
      <c r="BB25" s="129">
        <f t="shared" si="51"/>
        <v>45778</v>
      </c>
      <c r="BC25" s="129">
        <f t="shared" si="51"/>
        <v>45809</v>
      </c>
      <c r="BD25" s="129">
        <f t="shared" si="51"/>
        <v>45839</v>
      </c>
      <c r="BE25" s="129">
        <f t="shared" si="51"/>
        <v>45870</v>
      </c>
    </row>
    <row r="26" spans="1:59" x14ac:dyDescent="0.3">
      <c r="A26" s="109" t="s">
        <v>30</v>
      </c>
      <c r="AK26" s="77">
        <f>HLOOKUP(_xlfn.CONCAT(TEXT(AK25,"MMMM YYYYY"), " Water Billed Volume (CCF)"),DR_1!$B$4:$AL$14,11,FALSE)</f>
        <v>160462</v>
      </c>
      <c r="AL26" s="104">
        <f>TRR_Summary!$B$5*AL20/100</f>
        <v>158994.67517999996</v>
      </c>
      <c r="AM26" s="104">
        <f>TRR_Summary!$B$5*AM20/100</f>
        <v>174512.92517999999</v>
      </c>
      <c r="AN26" s="104">
        <f>TRR_Summary!$B$5*AN20/100</f>
        <v>215894.92517999996</v>
      </c>
      <c r="AO26" s="104">
        <f>TRR_Summary!$B$5*AO20/100</f>
        <v>298658.92517999996</v>
      </c>
      <c r="AP26" s="104">
        <f>TRR_Summary!$B$5*AP20/100</f>
        <v>381422.9251799999</v>
      </c>
      <c r="AQ26" s="104">
        <f>TRR_Summary!$B$5*AQ20/100</f>
        <v>393928.56557999994</v>
      </c>
      <c r="AR26" s="104">
        <f>TRR_Summary!$B$5*AR20/100</f>
        <v>393928.56557999994</v>
      </c>
      <c r="AS26" s="104">
        <f>TRR_Summary!$B$5*AS20/100</f>
        <v>393928.56557999994</v>
      </c>
      <c r="AT26" s="104">
        <f>TRR_Summary!$B$5*AT20/100</f>
        <v>393928.56557999994</v>
      </c>
      <c r="AU26" s="104">
        <f>TRR_Summary!$B$5*AU20/100</f>
        <v>393928.56557999994</v>
      </c>
      <c r="AV26" s="104">
        <f>TRR_Summary!$B$5*AV20/100</f>
        <v>393928.56557999994</v>
      </c>
      <c r="AW26" s="104">
        <f>TRR_Summary!$B$5*AW20/100</f>
        <v>393928.56557999994</v>
      </c>
      <c r="AX26" s="104">
        <f>TRR_Summary!$B$5*AX20/100</f>
        <v>393928.56557999994</v>
      </c>
      <c r="AY26" s="104">
        <f>TRR_Summary!$B$5*AY20/100</f>
        <v>393928.56557999994</v>
      </c>
      <c r="AZ26" s="104">
        <f>TRR_Summary!$B$5*AZ20/100</f>
        <v>393928.56557999994</v>
      </c>
      <c r="BA26" s="104">
        <f>TRR_Summary!$B$5*BA20/100</f>
        <v>393928.56557999994</v>
      </c>
      <c r="BB26" s="104">
        <f>TRR_Summary!$B$5*BB20/100</f>
        <v>393928.56557999994</v>
      </c>
      <c r="BC26" s="104">
        <f>TRR_Summary!$B$5*BC20/100</f>
        <v>393928.56557999994</v>
      </c>
      <c r="BD26" s="104">
        <f>TRR_Summary!$B$5*BD20/100</f>
        <v>393928.56557999994</v>
      </c>
      <c r="BE26" s="104">
        <f>TRR_Summary!$B$5*BE20/100</f>
        <v>393928.56557999994</v>
      </c>
      <c r="BG26" s="161">
        <f>BG24-BG7</f>
        <v>-14656360.81491762</v>
      </c>
    </row>
    <row r="27" spans="1:59" x14ac:dyDescent="0.3">
      <c r="A27" s="109"/>
      <c r="AK27" s="77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</row>
    <row r="28" spans="1:59" x14ac:dyDescent="0.3">
      <c r="A28" s="108" t="s">
        <v>31</v>
      </c>
      <c r="AK28" s="129">
        <f t="shared" ref="AK28:BE28" si="52">AK25</f>
        <v>45261</v>
      </c>
      <c r="AL28" s="129">
        <f t="shared" si="52"/>
        <v>45292</v>
      </c>
      <c r="AM28" s="129">
        <f t="shared" si="52"/>
        <v>45323</v>
      </c>
      <c r="AN28" s="129">
        <f t="shared" si="52"/>
        <v>45352</v>
      </c>
      <c r="AO28" s="129">
        <f t="shared" si="52"/>
        <v>45383</v>
      </c>
      <c r="AP28" s="129">
        <f t="shared" si="52"/>
        <v>45413</v>
      </c>
      <c r="AQ28" s="129">
        <f t="shared" si="52"/>
        <v>45444</v>
      </c>
      <c r="AR28" s="129">
        <f t="shared" si="52"/>
        <v>45474</v>
      </c>
      <c r="AS28" s="129">
        <f t="shared" si="52"/>
        <v>45505</v>
      </c>
      <c r="AT28" s="129">
        <f t="shared" si="52"/>
        <v>45536</v>
      </c>
      <c r="AU28" s="129">
        <f t="shared" si="52"/>
        <v>45566</v>
      </c>
      <c r="AV28" s="129">
        <f t="shared" si="52"/>
        <v>45597</v>
      </c>
      <c r="AW28" s="129">
        <f t="shared" si="52"/>
        <v>45627</v>
      </c>
      <c r="AX28" s="129">
        <f t="shared" si="52"/>
        <v>45658</v>
      </c>
      <c r="AY28" s="129">
        <f t="shared" si="52"/>
        <v>45689</v>
      </c>
      <c r="AZ28" s="129">
        <f t="shared" si="52"/>
        <v>45717</v>
      </c>
      <c r="BA28" s="129">
        <f t="shared" si="52"/>
        <v>45748</v>
      </c>
      <c r="BB28" s="129">
        <f t="shared" si="52"/>
        <v>45778</v>
      </c>
      <c r="BC28" s="129">
        <f t="shared" si="52"/>
        <v>45809</v>
      </c>
      <c r="BD28" s="129">
        <f t="shared" si="52"/>
        <v>45839</v>
      </c>
      <c r="BE28" s="129">
        <f t="shared" si="52"/>
        <v>45870</v>
      </c>
      <c r="BG28" s="161">
        <f>BG18+BG26</f>
        <v>-666328.81491762027</v>
      </c>
    </row>
    <row r="29" spans="1:59" x14ac:dyDescent="0.3">
      <c r="A29" s="110" t="s">
        <v>32</v>
      </c>
      <c r="AK29" s="111">
        <f>HLOOKUP(_xlfn.CONCAT(TEXT(AK28,"MMMM YYYYY"), " Sewer Billed Volume (CCF)"),DR_2!$B$4:$AL$14,11,FALSE)</f>
        <v>160412</v>
      </c>
      <c r="AL29" s="112">
        <f>TRR_Summary!$B$5*AL20/100</f>
        <v>158994.67517999996</v>
      </c>
      <c r="AM29" s="112">
        <f>TRR_Summary!$B$5*AM20/100</f>
        <v>174512.92517999999</v>
      </c>
      <c r="AN29" s="112">
        <f>TRR_Summary!$B$5*AN20/100</f>
        <v>215894.92517999996</v>
      </c>
      <c r="AO29" s="112">
        <f>TRR_Summary!$B$5*AO20/100</f>
        <v>298658.92517999996</v>
      </c>
      <c r="AP29" s="112">
        <f>TRR_Summary!$B$5*AP20/100</f>
        <v>381422.9251799999</v>
      </c>
      <c r="AQ29" s="112">
        <f>TRR_Summary!$B$5*AQ20/100</f>
        <v>393928.56557999994</v>
      </c>
      <c r="AR29" s="112">
        <f>TRR_Summary!$B$5*AR20/100</f>
        <v>393928.56557999994</v>
      </c>
      <c r="AS29" s="112">
        <f>TRR_Summary!$B$5*AS20/100</f>
        <v>393928.56557999994</v>
      </c>
      <c r="AT29" s="112">
        <f>TRR_Summary!$B$5*AT20/100</f>
        <v>393928.56557999994</v>
      </c>
      <c r="AU29" s="112">
        <f>TRR_Summary!$B$5*AU20/100</f>
        <v>393928.56557999994</v>
      </c>
      <c r="AV29" s="112">
        <f>TRR_Summary!$B$5*AV20/100</f>
        <v>393928.56557999994</v>
      </c>
      <c r="AW29" s="112">
        <f>TRR_Summary!$B$5*AW20/100</f>
        <v>393928.56557999994</v>
      </c>
      <c r="AX29" s="112">
        <f>TRR_Summary!$B$5*AX20/100</f>
        <v>393928.56557999994</v>
      </c>
      <c r="AY29" s="112">
        <f>TRR_Summary!$B$5*AY20/100</f>
        <v>393928.56557999994</v>
      </c>
      <c r="AZ29" s="112">
        <f>TRR_Summary!$B$5*AZ20/100</f>
        <v>393928.56557999994</v>
      </c>
      <c r="BA29" s="112">
        <f>TRR_Summary!$B$5*BA20/100</f>
        <v>393928.56557999994</v>
      </c>
      <c r="BB29" s="112">
        <f>TRR_Summary!$B$5*BB20/100</f>
        <v>393928.56557999994</v>
      </c>
      <c r="BC29" s="112">
        <f>TRR_Summary!$B$5*BC20/100</f>
        <v>393928.56557999994</v>
      </c>
      <c r="BD29" s="112">
        <f>TRR_Summary!$B$5*BD20/100</f>
        <v>393928.56557999994</v>
      </c>
      <c r="BE29" s="112">
        <f>TRR_Summary!$B$5*BE20/100</f>
        <v>393928.56557999994</v>
      </c>
    </row>
    <row r="30" spans="1:59" x14ac:dyDescent="0.3">
      <c r="AQ30" s="74"/>
      <c r="AU30" s="134"/>
    </row>
    <row r="31" spans="1:59" x14ac:dyDescent="0.3">
      <c r="AQ31" s="74"/>
      <c r="AT31" s="133"/>
      <c r="AU31" s="134"/>
    </row>
    <row r="32" spans="1:59" x14ac:dyDescent="0.3">
      <c r="AQ32" s="74"/>
      <c r="AU32" s="134"/>
    </row>
    <row r="33" spans="37:47" x14ac:dyDescent="0.3">
      <c r="AQ33" s="74"/>
      <c r="AT33" s="133"/>
      <c r="AU33" s="134"/>
    </row>
    <row r="34" spans="37:47" x14ac:dyDescent="0.3">
      <c r="AQ34" s="74"/>
      <c r="AR34" s="74"/>
      <c r="AU34" s="134"/>
    </row>
    <row r="35" spans="37:47" x14ac:dyDescent="0.3">
      <c r="AQ35" s="135"/>
      <c r="AT35" s="133"/>
      <c r="AU35" s="134"/>
    </row>
    <row r="36" spans="37:47" x14ac:dyDescent="0.3">
      <c r="AU36" s="134"/>
    </row>
    <row r="37" spans="37:47" x14ac:dyDescent="0.3">
      <c r="AK37" s="203">
        <v>20.906429613760562</v>
      </c>
      <c r="AT37" s="133"/>
      <c r="AU37" s="134"/>
    </row>
    <row r="38" spans="37:47" x14ac:dyDescent="0.3">
      <c r="AU38" s="134"/>
    </row>
    <row r="39" spans="37:47" x14ac:dyDescent="0.3">
      <c r="AT39" s="133"/>
      <c r="AU39" s="134"/>
    </row>
    <row r="40" spans="37:47" x14ac:dyDescent="0.3">
      <c r="AU40" s="134"/>
    </row>
    <row r="41" spans="37:47" x14ac:dyDescent="0.3">
      <c r="AT41" s="133"/>
      <c r="AU41" s="134"/>
    </row>
  </sheetData>
  <conditionalFormatting sqref="B4:BE4 B6:BE6 B8:BE8 B10:BE10">
    <cfRule type="expression" dxfId="1" priority="2">
      <formula>B$2="Actual"</formula>
    </cfRule>
  </conditionalFormatting>
  <conditionalFormatting sqref="AK17:BE17 AK21:BE21 AK25:BE25 AK28:BE28">
    <cfRule type="expression" dxfId="0" priority="1">
      <formula>AK$2="Actual"</formula>
    </cfRule>
  </conditionalFormatting>
  <pageMargins left="0.7" right="0.7" top="0.75" bottom="0.75" header="0.3" footer="0.3"/>
  <pageSetup fitToWidth="0" fitToHeight="0" orientation="landscape" r:id="rId1"/>
  <headerFooter>
    <oddHeader>&amp;L2024 TAP Reconcilable Rider Reports and Projection Model: 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2:K5"/>
  <sheetViews>
    <sheetView workbookViewId="0"/>
  </sheetViews>
  <sheetFormatPr defaultColWidth="8.88671875" defaultRowHeight="14.4" x14ac:dyDescent="0.3"/>
  <cols>
    <col min="2" max="2" width="12.21875" customWidth="1"/>
    <col min="3" max="3" width="11.5546875" customWidth="1"/>
    <col min="4" max="4" width="7.77734375" customWidth="1"/>
    <col min="10" max="10" width="4.109375" customWidth="1"/>
    <col min="11" max="11" width="9.5546875" customWidth="1"/>
  </cols>
  <sheetData>
    <row r="2" spans="1:11" x14ac:dyDescent="0.3">
      <c r="A2" s="13" t="s">
        <v>133</v>
      </c>
      <c r="K2" s="155">
        <v>45313</v>
      </c>
    </row>
    <row r="5" spans="1:11" x14ac:dyDescent="0.3">
      <c r="A5" t="s">
        <v>53</v>
      </c>
      <c r="C5" s="97" t="s">
        <v>54</v>
      </c>
      <c r="D5" t="s">
        <v>55</v>
      </c>
      <c r="E5" s="102" t="s">
        <v>134</v>
      </c>
    </row>
  </sheetData>
  <pageMargins left="0.7" right="0.7" top="0.75" bottom="0.75" header="0.3" footer="0.3"/>
  <pageSetup orientation="landscape" r:id="rId1"/>
  <headerFooter>
    <oddHeader>&amp;L2024 TAP Reconcilable Rider Reports and Projection Model: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AL20"/>
  <sheetViews>
    <sheetView workbookViewId="0">
      <selection sqref="A1:H1"/>
    </sheetView>
  </sheetViews>
  <sheetFormatPr defaultColWidth="8.88671875" defaultRowHeight="14.4" x14ac:dyDescent="0.3"/>
  <cols>
    <col min="1" max="1" width="31.109375" customWidth="1"/>
    <col min="2" max="2" width="30" customWidth="1"/>
    <col min="3" max="26" width="12.6640625" hidden="1" customWidth="1"/>
    <col min="27" max="37" width="12.6640625" customWidth="1"/>
    <col min="38" max="38" width="12.88671875" customWidth="1"/>
  </cols>
  <sheetData>
    <row r="1" spans="1:38" x14ac:dyDescent="0.3">
      <c r="A1" s="190" t="str">
        <f>"DR-1: Water Billed Volume"</f>
        <v>DR-1: Water Billed Volume</v>
      </c>
      <c r="B1" s="191"/>
      <c r="C1" s="191"/>
      <c r="D1" s="191"/>
      <c r="E1" s="191"/>
      <c r="F1" s="191"/>
      <c r="G1" s="191"/>
      <c r="H1" s="191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</row>
    <row r="2" spans="1:38" x14ac:dyDescent="0.3">
      <c r="A2" s="85"/>
      <c r="B2" s="86"/>
      <c r="C2" s="86">
        <v>2021</v>
      </c>
      <c r="D2" s="86">
        <v>2021</v>
      </c>
      <c r="E2" s="86">
        <v>2021</v>
      </c>
      <c r="F2" s="86">
        <v>2021</v>
      </c>
      <c r="G2" s="86">
        <v>2021</v>
      </c>
      <c r="H2" s="86">
        <v>2021</v>
      </c>
      <c r="I2" s="86">
        <v>2021</v>
      </c>
      <c r="J2" s="86">
        <v>2021</v>
      </c>
      <c r="K2" s="86">
        <v>2021</v>
      </c>
      <c r="L2" s="86">
        <v>2021</v>
      </c>
      <c r="M2" s="86">
        <v>2021</v>
      </c>
      <c r="N2" s="86">
        <f>IF(N3=1,M2+1,M2)</f>
        <v>2021</v>
      </c>
      <c r="O2" s="86">
        <f t="shared" ref="O2:R2" si="0">IF(O3=1,N2+1,N2)</f>
        <v>2022</v>
      </c>
      <c r="P2" s="86">
        <f t="shared" si="0"/>
        <v>2022</v>
      </c>
      <c r="Q2" s="86">
        <f t="shared" si="0"/>
        <v>2022</v>
      </c>
      <c r="R2" s="86">
        <f t="shared" si="0"/>
        <v>2022</v>
      </c>
      <c r="S2" s="86">
        <f t="shared" ref="S2" si="1">IF(S3=1,R2+1,R2)</f>
        <v>2022</v>
      </c>
      <c r="T2" s="86">
        <f t="shared" ref="T2" si="2">IF(T3=1,S2+1,S2)</f>
        <v>2022</v>
      </c>
      <c r="U2" s="86">
        <f t="shared" ref="U2" si="3">IF(U3=1,T2+1,T2)</f>
        <v>2022</v>
      </c>
      <c r="V2" s="86">
        <f t="shared" ref="V2" si="4">IF(V3=1,U2+1,U2)</f>
        <v>2022</v>
      </c>
      <c r="W2" s="86">
        <f t="shared" ref="W2" si="5">IF(W3=1,V2+1,V2)</f>
        <v>2022</v>
      </c>
      <c r="X2" s="86">
        <f t="shared" ref="X2" si="6">IF(X3=1,W2+1,W2)</f>
        <v>2022</v>
      </c>
      <c r="Y2" s="86">
        <f t="shared" ref="Y2:Z2" si="7">IF(Y3=1,X2+1,X2)</f>
        <v>2022</v>
      </c>
      <c r="Z2" s="86">
        <f t="shared" si="7"/>
        <v>2022</v>
      </c>
      <c r="AA2" s="86">
        <f t="shared" ref="AA2" si="8">IF(AA3=1,Z2+1,Z2)</f>
        <v>2023</v>
      </c>
      <c r="AB2" s="86">
        <f t="shared" ref="AB2" si="9">IF(AB3=1,AA2+1,AA2)</f>
        <v>2023</v>
      </c>
      <c r="AC2" s="86">
        <f t="shared" ref="AC2" si="10">IF(AC3=1,AB2+1,AB2)</f>
        <v>2023</v>
      </c>
      <c r="AD2" s="86">
        <f t="shared" ref="AD2" si="11">IF(AD3=1,AC2+1,AC2)</f>
        <v>2023</v>
      </c>
      <c r="AE2" s="86">
        <f t="shared" ref="AE2" si="12">IF(AE3=1,AD2+1,AD2)</f>
        <v>2023</v>
      </c>
      <c r="AF2" s="86">
        <f t="shared" ref="AF2" si="13">IF(AF3=1,AE2+1,AE2)</f>
        <v>2023</v>
      </c>
      <c r="AG2" s="86">
        <f t="shared" ref="AG2" si="14">IF(AG3=1,AF2+1,AF2)</f>
        <v>2023</v>
      </c>
      <c r="AH2" s="86">
        <f t="shared" ref="AH2" si="15">IF(AH3=1,AG2+1,AG2)</f>
        <v>2023</v>
      </c>
      <c r="AI2" s="86">
        <f t="shared" ref="AI2" si="16">IF(AI3=1,AH2+1,AH2)</f>
        <v>2023</v>
      </c>
      <c r="AJ2" s="86">
        <f t="shared" ref="AJ2" si="17">IF(AJ3=1,AI2+1,AI2)</f>
        <v>2023</v>
      </c>
      <c r="AK2" s="86">
        <f t="shared" ref="AK2:AL2" si="18">IF(AK3=1,AJ2+1,AJ2)</f>
        <v>2023</v>
      </c>
      <c r="AL2" s="86">
        <f t="shared" si="18"/>
        <v>2023</v>
      </c>
    </row>
    <row r="3" spans="1:38" x14ac:dyDescent="0.3">
      <c r="A3" s="85"/>
      <c r="B3" s="86"/>
      <c r="C3" s="86">
        <v>1</v>
      </c>
      <c r="D3" s="86">
        <v>2</v>
      </c>
      <c r="E3" s="86">
        <v>3</v>
      </c>
      <c r="F3" s="86">
        <v>4</v>
      </c>
      <c r="G3" s="86">
        <v>5</v>
      </c>
      <c r="H3" s="86">
        <v>6</v>
      </c>
      <c r="I3" s="86">
        <v>7</v>
      </c>
      <c r="J3" s="86">
        <v>8</v>
      </c>
      <c r="K3" s="86">
        <v>9</v>
      </c>
      <c r="L3" s="86">
        <v>10</v>
      </c>
      <c r="M3" s="86">
        <v>11</v>
      </c>
      <c r="N3" s="86">
        <f>IF(M3&lt;12,M3+1,1)</f>
        <v>12</v>
      </c>
      <c r="O3" s="86">
        <f t="shared" ref="O3:R3" si="19">IF(N3&lt;12,N3+1,1)</f>
        <v>1</v>
      </c>
      <c r="P3" s="86">
        <f t="shared" si="19"/>
        <v>2</v>
      </c>
      <c r="Q3" s="86">
        <f t="shared" si="19"/>
        <v>3</v>
      </c>
      <c r="R3" s="86">
        <f t="shared" si="19"/>
        <v>4</v>
      </c>
      <c r="S3" s="86">
        <f t="shared" ref="S3:T3" si="20">IF(R3&lt;12,R3+1,1)</f>
        <v>5</v>
      </c>
      <c r="T3" s="86">
        <f t="shared" si="20"/>
        <v>6</v>
      </c>
      <c r="U3" s="86">
        <f t="shared" ref="U3" si="21">IF(T3&lt;12,T3+1,1)</f>
        <v>7</v>
      </c>
      <c r="V3" s="86">
        <f t="shared" ref="V3" si="22">IF(U3&lt;12,U3+1,1)</f>
        <v>8</v>
      </c>
      <c r="W3" s="86">
        <f t="shared" ref="W3" si="23">IF(V3&lt;12,V3+1,1)</f>
        <v>9</v>
      </c>
      <c r="X3" s="86">
        <f t="shared" ref="X3" si="24">IF(W3&lt;12,W3+1,1)</f>
        <v>10</v>
      </c>
      <c r="Y3" s="86">
        <f t="shared" ref="Y3:Z3" si="25">IF(X3&lt;12,X3+1,1)</f>
        <v>11</v>
      </c>
      <c r="Z3" s="86">
        <f t="shared" si="25"/>
        <v>12</v>
      </c>
      <c r="AA3" s="86">
        <f t="shared" ref="AA3" si="26">IF(Z3&lt;12,Z3+1,1)</f>
        <v>1</v>
      </c>
      <c r="AB3" s="86">
        <f t="shared" ref="AB3" si="27">IF(AA3&lt;12,AA3+1,1)</f>
        <v>2</v>
      </c>
      <c r="AC3" s="86">
        <f t="shared" ref="AC3" si="28">IF(AB3&lt;12,AB3+1,1)</f>
        <v>3</v>
      </c>
      <c r="AD3" s="86">
        <f t="shared" ref="AD3" si="29">IF(AC3&lt;12,AC3+1,1)</f>
        <v>4</v>
      </c>
      <c r="AE3" s="86">
        <f t="shared" ref="AE3" si="30">IF(AD3&lt;12,AD3+1,1)</f>
        <v>5</v>
      </c>
      <c r="AF3" s="86">
        <f t="shared" ref="AF3" si="31">IF(AE3&lt;12,AE3+1,1)</f>
        <v>6</v>
      </c>
      <c r="AG3" s="86">
        <f t="shared" ref="AG3" si="32">IF(AF3&lt;12,AF3+1,1)</f>
        <v>7</v>
      </c>
      <c r="AH3" s="86">
        <f t="shared" ref="AH3" si="33">IF(AG3&lt;12,AG3+1,1)</f>
        <v>8</v>
      </c>
      <c r="AI3" s="86">
        <f t="shared" ref="AI3" si="34">IF(AH3&lt;12,AH3+1,1)</f>
        <v>9</v>
      </c>
      <c r="AJ3" s="86">
        <f t="shared" ref="AJ3" si="35">IF(AI3&lt;12,AI3+1,1)</f>
        <v>10</v>
      </c>
      <c r="AK3" s="86">
        <f t="shared" ref="AK3:AL3" si="36">IF(AJ3&lt;12,AJ3+1,1)</f>
        <v>11</v>
      </c>
      <c r="AL3" s="86">
        <f t="shared" si="36"/>
        <v>12</v>
      </c>
    </row>
    <row r="4" spans="1:38" ht="84.6" customHeight="1" x14ac:dyDescent="0.3">
      <c r="A4" s="75" t="s">
        <v>56</v>
      </c>
      <c r="B4" s="76" t="s">
        <v>57</v>
      </c>
      <c r="C4" s="84" t="str">
        <f>TEXT(C3*29, "Mmmm")&amp;" "&amp;C2&amp;" Water Billed Volume (CCF)"</f>
        <v>January 2021 Water Billed Volume (CCF)</v>
      </c>
      <c r="D4" s="84" t="str">
        <f t="shared" ref="D4:H4" si="37">TEXT(D3*29, "Mmmm")&amp;" "&amp;D2&amp;" Water Billed Volume (CCF)"</f>
        <v>February 2021 Water Billed Volume (CCF)</v>
      </c>
      <c r="E4" s="84" t="str">
        <f t="shared" si="37"/>
        <v>March 2021 Water Billed Volume (CCF)</v>
      </c>
      <c r="F4" s="84" t="str">
        <f t="shared" si="37"/>
        <v>April 2021 Water Billed Volume (CCF)</v>
      </c>
      <c r="G4" s="84" t="str">
        <f t="shared" si="37"/>
        <v>May 2021 Water Billed Volume (CCF)</v>
      </c>
      <c r="H4" s="84" t="str">
        <f t="shared" si="37"/>
        <v>June 2021 Water Billed Volume (CCF)</v>
      </c>
      <c r="I4" s="84" t="str">
        <f t="shared" ref="I4:N4" si="38">TEXT(I3*29, "Mmmm")&amp;" "&amp;I2&amp;" Water Billed Volume (CCF)"</f>
        <v>July 2021 Water Billed Volume (CCF)</v>
      </c>
      <c r="J4" s="84" t="str">
        <f t="shared" si="38"/>
        <v>August 2021 Water Billed Volume (CCF)</v>
      </c>
      <c r="K4" s="84" t="str">
        <f t="shared" si="38"/>
        <v>September 2021 Water Billed Volume (CCF)</v>
      </c>
      <c r="L4" s="84" t="str">
        <f t="shared" si="38"/>
        <v>October 2021 Water Billed Volume (CCF)</v>
      </c>
      <c r="M4" s="84" t="str">
        <f t="shared" si="38"/>
        <v>November 2021 Water Billed Volume (CCF)</v>
      </c>
      <c r="N4" s="84" t="str">
        <f t="shared" si="38"/>
        <v>December 2021 Water Billed Volume (CCF)</v>
      </c>
      <c r="O4" s="84" t="str">
        <f t="shared" ref="O4:R4" si="39">TEXT(O3*29, "Mmmm")&amp;" "&amp;O2&amp;" Water Billed Volume (CCF)"</f>
        <v>January 2022 Water Billed Volume (CCF)</v>
      </c>
      <c r="P4" s="84" t="str">
        <f t="shared" si="39"/>
        <v>February 2022 Water Billed Volume (CCF)</v>
      </c>
      <c r="Q4" s="84" t="str">
        <f t="shared" si="39"/>
        <v>March 2022 Water Billed Volume (CCF)</v>
      </c>
      <c r="R4" s="84" t="str">
        <f t="shared" si="39"/>
        <v>April 2022 Water Billed Volume (CCF)</v>
      </c>
      <c r="S4" s="84" t="str">
        <f t="shared" ref="S4:T4" si="40">TEXT(S3*29, "Mmmm")&amp;" "&amp;S2&amp;" Water Billed Volume (CCF)"</f>
        <v>May 2022 Water Billed Volume (CCF)</v>
      </c>
      <c r="T4" s="84" t="str">
        <f t="shared" si="40"/>
        <v>June 2022 Water Billed Volume (CCF)</v>
      </c>
      <c r="U4" s="84" t="str">
        <f t="shared" ref="U4:Y4" si="41">TEXT(U3*29, "Mmmm")&amp;" "&amp;U2&amp;" Water Billed Volume (CCF)"</f>
        <v>July 2022 Water Billed Volume (CCF)</v>
      </c>
      <c r="V4" s="84" t="str">
        <f t="shared" si="41"/>
        <v>August 2022 Water Billed Volume (CCF)</v>
      </c>
      <c r="W4" s="84" t="str">
        <f t="shared" si="41"/>
        <v>September 2022 Water Billed Volume (CCF)</v>
      </c>
      <c r="X4" s="84" t="str">
        <f t="shared" si="41"/>
        <v>October 2022 Water Billed Volume (CCF)</v>
      </c>
      <c r="Y4" s="84" t="str">
        <f t="shared" si="41"/>
        <v>November 2022 Water Billed Volume (CCF)</v>
      </c>
      <c r="Z4" s="84" t="str">
        <f t="shared" ref="Z4:AK4" si="42">TEXT(Z3*29, "Mmmm")&amp;" "&amp;Z2&amp;" Water Billed Volume (CCF)"</f>
        <v>December 2022 Water Billed Volume (CCF)</v>
      </c>
      <c r="AA4" s="84" t="str">
        <f t="shared" si="42"/>
        <v>January 2023 Water Billed Volume (CCF)</v>
      </c>
      <c r="AB4" s="84" t="str">
        <f t="shared" si="42"/>
        <v>February 2023 Water Billed Volume (CCF)</v>
      </c>
      <c r="AC4" s="84" t="str">
        <f t="shared" si="42"/>
        <v>March 2023 Water Billed Volume (CCF)</v>
      </c>
      <c r="AD4" s="84" t="str">
        <f t="shared" si="42"/>
        <v>April 2023 Water Billed Volume (CCF)</v>
      </c>
      <c r="AE4" s="84" t="str">
        <f t="shared" si="42"/>
        <v>May 2023 Water Billed Volume (CCF)</v>
      </c>
      <c r="AF4" s="84" t="str">
        <f t="shared" si="42"/>
        <v>June 2023 Water Billed Volume (CCF)</v>
      </c>
      <c r="AG4" s="84" t="str">
        <f t="shared" si="42"/>
        <v>July 2023 Water Billed Volume (CCF)</v>
      </c>
      <c r="AH4" s="84" t="str">
        <f t="shared" si="42"/>
        <v>August 2023 Water Billed Volume (CCF)</v>
      </c>
      <c r="AI4" s="84" t="str">
        <f t="shared" si="42"/>
        <v>September 2023 Water Billed Volume (CCF)</v>
      </c>
      <c r="AJ4" s="84" t="str">
        <f t="shared" si="42"/>
        <v>October 2023 Water Billed Volume (CCF)</v>
      </c>
      <c r="AK4" s="84" t="str">
        <f t="shared" si="42"/>
        <v>November 2023 Water Billed Volume (CCF)</v>
      </c>
      <c r="AL4" s="84" t="str">
        <f t="shared" ref="AL4" si="43">TEXT(AL3*29, "Mmmm")&amp;" "&amp;AL2&amp;" Water Billed Volume (CCF)"</f>
        <v>December 2023 Water Billed Volume (CCF)</v>
      </c>
    </row>
    <row r="5" spans="1:38" x14ac:dyDescent="0.3">
      <c r="A5" s="5" t="s">
        <v>58</v>
      </c>
      <c r="B5" s="83" t="s">
        <v>59</v>
      </c>
      <c r="C5" s="94">
        <v>118043</v>
      </c>
      <c r="D5" s="94">
        <v>116270</v>
      </c>
      <c r="E5" s="94">
        <v>118776</v>
      </c>
      <c r="F5" s="94">
        <v>127463</v>
      </c>
      <c r="G5" s="94">
        <v>110885</v>
      </c>
      <c r="H5" s="94">
        <v>117002</v>
      </c>
      <c r="I5" s="94">
        <v>129912</v>
      </c>
      <c r="J5" s="94">
        <v>126798</v>
      </c>
      <c r="K5" s="94">
        <v>126778</v>
      </c>
      <c r="L5" s="94">
        <v>136693</v>
      </c>
      <c r="M5" s="94">
        <v>121845</v>
      </c>
      <c r="N5" s="94">
        <v>120136</v>
      </c>
      <c r="O5" s="94">
        <v>115273</v>
      </c>
      <c r="P5" s="94">
        <v>92176</v>
      </c>
      <c r="Q5" s="94">
        <v>90645</v>
      </c>
      <c r="R5" s="94">
        <v>74313</v>
      </c>
      <c r="S5" s="94">
        <v>70001</v>
      </c>
      <c r="T5" s="94">
        <v>72452</v>
      </c>
      <c r="U5" s="94">
        <v>81257</v>
      </c>
      <c r="V5" s="94">
        <v>87984</v>
      </c>
      <c r="W5" s="94">
        <v>110860</v>
      </c>
      <c r="X5" s="94">
        <v>103176</v>
      </c>
      <c r="Y5" s="94">
        <v>100256</v>
      </c>
      <c r="Z5" s="94">
        <v>107322</v>
      </c>
      <c r="AA5" s="94">
        <v>120663</v>
      </c>
      <c r="AB5" s="94">
        <v>96006</v>
      </c>
      <c r="AC5" s="94">
        <v>118982</v>
      </c>
      <c r="AD5" s="94">
        <v>99561</v>
      </c>
      <c r="AE5" s="94">
        <v>105104</v>
      </c>
      <c r="AF5" s="94">
        <v>134135</v>
      </c>
      <c r="AG5" s="94">
        <v>145788</v>
      </c>
      <c r="AH5" s="94">
        <v>140128</v>
      </c>
      <c r="AI5" s="94">
        <v>158661</v>
      </c>
      <c r="AJ5" s="94">
        <v>144272</v>
      </c>
      <c r="AK5" s="94">
        <v>153159</v>
      </c>
      <c r="AL5" s="94">
        <v>160462</v>
      </c>
    </row>
    <row r="6" spans="1:38" x14ac:dyDescent="0.3">
      <c r="A6" s="5" t="s">
        <v>60</v>
      </c>
      <c r="B6" s="5" t="s">
        <v>61</v>
      </c>
      <c r="C6" s="94">
        <v>74550</v>
      </c>
      <c r="D6" s="94">
        <v>72259</v>
      </c>
      <c r="E6" s="94">
        <v>75704</v>
      </c>
      <c r="F6" s="94">
        <v>77672</v>
      </c>
      <c r="G6" s="94">
        <v>67914</v>
      </c>
      <c r="H6" s="94">
        <v>73044</v>
      </c>
      <c r="I6" s="94">
        <v>80100</v>
      </c>
      <c r="J6" s="94">
        <v>78669</v>
      </c>
      <c r="K6" s="94">
        <v>78752</v>
      </c>
      <c r="L6" s="94">
        <v>80098</v>
      </c>
      <c r="M6" s="94">
        <v>71920</v>
      </c>
      <c r="N6" s="94">
        <v>72271</v>
      </c>
      <c r="O6" s="94">
        <v>81644</v>
      </c>
      <c r="P6" s="94">
        <v>74107</v>
      </c>
      <c r="Q6" s="94">
        <v>84364</v>
      </c>
      <c r="R6" s="94">
        <v>86713</v>
      </c>
      <c r="S6" s="94">
        <v>82731</v>
      </c>
      <c r="T6" s="94">
        <v>87102</v>
      </c>
      <c r="U6" s="94">
        <v>90814</v>
      </c>
      <c r="V6" s="94">
        <v>83216</v>
      </c>
      <c r="W6" s="94">
        <v>92359</v>
      </c>
      <c r="X6" s="94">
        <v>81011</v>
      </c>
      <c r="Y6" s="94">
        <v>78941</v>
      </c>
      <c r="Z6" s="94">
        <v>81041</v>
      </c>
      <c r="AA6" s="94">
        <v>87698</v>
      </c>
      <c r="AB6" s="94">
        <v>69360</v>
      </c>
      <c r="AC6" s="94">
        <v>84073</v>
      </c>
      <c r="AD6" s="94">
        <v>66050</v>
      </c>
      <c r="AE6" s="94">
        <v>66016</v>
      </c>
      <c r="AF6" s="94">
        <v>82339</v>
      </c>
      <c r="AG6" s="94">
        <v>77953</v>
      </c>
      <c r="AH6" s="94">
        <v>71181</v>
      </c>
      <c r="AI6" s="94">
        <v>76704</v>
      </c>
      <c r="AJ6" s="94">
        <v>67282</v>
      </c>
      <c r="AK6" s="94">
        <v>70565</v>
      </c>
      <c r="AL6" s="94">
        <v>68438</v>
      </c>
    </row>
    <row r="7" spans="1:38" x14ac:dyDescent="0.3">
      <c r="A7" s="5" t="s">
        <v>60</v>
      </c>
      <c r="B7" s="5" t="s">
        <v>62</v>
      </c>
      <c r="C7" s="94">
        <v>121140</v>
      </c>
      <c r="D7" s="94">
        <v>119162</v>
      </c>
      <c r="E7" s="94">
        <v>111177</v>
      </c>
      <c r="F7" s="94">
        <v>122607</v>
      </c>
      <c r="G7" s="94">
        <v>111811</v>
      </c>
      <c r="H7" s="94">
        <v>114821</v>
      </c>
      <c r="I7" s="94">
        <v>131017</v>
      </c>
      <c r="J7" s="94">
        <v>127814</v>
      </c>
      <c r="K7" s="94">
        <v>131316</v>
      </c>
      <c r="L7" s="94">
        <v>130184</v>
      </c>
      <c r="M7" s="94">
        <v>121508</v>
      </c>
      <c r="N7" s="94">
        <v>122925</v>
      </c>
      <c r="O7" s="94">
        <v>138133</v>
      </c>
      <c r="P7" s="94">
        <v>123285</v>
      </c>
      <c r="Q7" s="94">
        <v>124913</v>
      </c>
      <c r="R7" s="94">
        <v>135866</v>
      </c>
      <c r="S7" s="94">
        <v>117933</v>
      </c>
      <c r="T7" s="94">
        <v>130589</v>
      </c>
      <c r="U7" s="94">
        <v>138664</v>
      </c>
      <c r="V7" s="94">
        <v>134253</v>
      </c>
      <c r="W7" s="94">
        <v>304697</v>
      </c>
      <c r="X7" s="94">
        <v>147648</v>
      </c>
      <c r="Y7" s="94">
        <v>122309</v>
      </c>
      <c r="Z7" s="94">
        <v>141077</v>
      </c>
      <c r="AA7" s="94">
        <v>148080</v>
      </c>
      <c r="AB7" s="94">
        <v>123902</v>
      </c>
      <c r="AC7" s="94">
        <v>125201</v>
      </c>
      <c r="AD7" s="94">
        <v>119399</v>
      </c>
      <c r="AE7" s="94">
        <v>106731</v>
      </c>
      <c r="AF7" s="94">
        <v>124900</v>
      </c>
      <c r="AG7" s="94">
        <v>128308</v>
      </c>
      <c r="AH7" s="94">
        <v>121560</v>
      </c>
      <c r="AI7" s="94">
        <v>129691</v>
      </c>
      <c r="AJ7" s="94">
        <v>115529</v>
      </c>
      <c r="AK7" s="94">
        <v>117102</v>
      </c>
      <c r="AL7" s="94">
        <v>119211</v>
      </c>
    </row>
    <row r="8" spans="1:38" x14ac:dyDescent="0.3">
      <c r="A8" s="5" t="s">
        <v>60</v>
      </c>
      <c r="B8" s="5" t="s">
        <v>63</v>
      </c>
      <c r="C8" s="94">
        <v>148276</v>
      </c>
      <c r="D8" s="94">
        <v>125708</v>
      </c>
      <c r="E8" s="94">
        <v>159456</v>
      </c>
      <c r="F8" s="94">
        <v>140426</v>
      </c>
      <c r="G8" s="94">
        <v>146152</v>
      </c>
      <c r="H8" s="94">
        <v>174517</v>
      </c>
      <c r="I8" s="94">
        <v>193526</v>
      </c>
      <c r="J8" s="94">
        <v>207494</v>
      </c>
      <c r="K8" s="94">
        <v>218101</v>
      </c>
      <c r="L8" s="94">
        <v>204864</v>
      </c>
      <c r="M8" s="94">
        <v>180979</v>
      </c>
      <c r="N8" s="94">
        <v>182352</v>
      </c>
      <c r="O8" s="94">
        <v>182620</v>
      </c>
      <c r="P8" s="94">
        <v>140546</v>
      </c>
      <c r="Q8" s="94">
        <v>194631</v>
      </c>
      <c r="R8" s="94">
        <v>171071</v>
      </c>
      <c r="S8" s="94">
        <v>214021</v>
      </c>
      <c r="T8" s="94">
        <v>191827</v>
      </c>
      <c r="U8" s="94">
        <v>202410</v>
      </c>
      <c r="V8" s="94">
        <v>229467</v>
      </c>
      <c r="W8" s="94">
        <v>281190</v>
      </c>
      <c r="X8" s="94">
        <v>192809</v>
      </c>
      <c r="Y8" s="94">
        <v>185729</v>
      </c>
      <c r="Z8" s="94">
        <v>162998</v>
      </c>
      <c r="AA8" s="94">
        <v>170126</v>
      </c>
      <c r="AB8" s="94">
        <v>144384</v>
      </c>
      <c r="AC8" s="94">
        <v>184508</v>
      </c>
      <c r="AD8" s="94">
        <v>178632</v>
      </c>
      <c r="AE8" s="94">
        <v>168196</v>
      </c>
      <c r="AF8" s="94">
        <v>199011</v>
      </c>
      <c r="AG8" s="94">
        <v>210805</v>
      </c>
      <c r="AH8" s="94">
        <v>198553</v>
      </c>
      <c r="AI8" s="94">
        <v>253092</v>
      </c>
      <c r="AJ8" s="94">
        <v>193993</v>
      </c>
      <c r="AK8" s="94">
        <v>192705</v>
      </c>
      <c r="AL8" s="94">
        <v>168761</v>
      </c>
    </row>
    <row r="9" spans="1:38" x14ac:dyDescent="0.3">
      <c r="A9" s="5" t="s">
        <v>60</v>
      </c>
      <c r="B9" s="12" t="s">
        <v>64</v>
      </c>
      <c r="C9" s="94">
        <v>3899373</v>
      </c>
      <c r="D9" s="94">
        <v>3823569</v>
      </c>
      <c r="E9" s="94">
        <v>4008367</v>
      </c>
      <c r="F9" s="94">
        <v>4237826</v>
      </c>
      <c r="G9" s="94">
        <v>4079934</v>
      </c>
      <c r="H9" s="94">
        <v>4287421</v>
      </c>
      <c r="I9" s="94">
        <v>4685456</v>
      </c>
      <c r="J9" s="94">
        <v>4624260</v>
      </c>
      <c r="K9" s="94">
        <v>4594272</v>
      </c>
      <c r="L9" s="94">
        <v>4708982</v>
      </c>
      <c r="M9" s="94">
        <v>4127627</v>
      </c>
      <c r="N9" s="94">
        <v>4172377</v>
      </c>
      <c r="O9" s="94">
        <v>4394986</v>
      </c>
      <c r="P9" s="94">
        <v>3839746</v>
      </c>
      <c r="Q9" s="94">
        <v>4232302</v>
      </c>
      <c r="R9" s="94">
        <v>4179528</v>
      </c>
      <c r="S9" s="94">
        <v>3990349</v>
      </c>
      <c r="T9" s="94">
        <v>4331528</v>
      </c>
      <c r="U9" s="94">
        <v>4623022</v>
      </c>
      <c r="V9" s="94">
        <v>4724707</v>
      </c>
      <c r="W9" s="94">
        <v>5141453</v>
      </c>
      <c r="X9" s="94">
        <v>4441081</v>
      </c>
      <c r="Y9" s="94">
        <v>4051684</v>
      </c>
      <c r="Z9" s="94">
        <v>4180102</v>
      </c>
      <c r="AA9" s="94">
        <v>4355508</v>
      </c>
      <c r="AB9" s="94">
        <v>3681805</v>
      </c>
      <c r="AC9" s="94">
        <v>4328526</v>
      </c>
      <c r="AD9" s="94">
        <v>3845861</v>
      </c>
      <c r="AE9" s="94">
        <v>3898050</v>
      </c>
      <c r="AF9" s="94">
        <v>4446878</v>
      </c>
      <c r="AG9" s="94">
        <v>4731290</v>
      </c>
      <c r="AH9" s="94">
        <v>4423288</v>
      </c>
      <c r="AI9" s="94">
        <v>4807571</v>
      </c>
      <c r="AJ9" s="94">
        <v>4059135</v>
      </c>
      <c r="AK9" s="94">
        <v>4097312</v>
      </c>
      <c r="AL9" s="94">
        <v>4223238</v>
      </c>
    </row>
    <row r="10" spans="1:38" x14ac:dyDescent="0.3">
      <c r="A10" s="5" t="s">
        <v>65</v>
      </c>
      <c r="B10" s="5" t="s">
        <v>66</v>
      </c>
      <c r="C10" s="94">
        <v>131792</v>
      </c>
      <c r="D10" s="94">
        <v>178805</v>
      </c>
      <c r="E10" s="94">
        <v>237818</v>
      </c>
      <c r="F10" s="94">
        <v>185543</v>
      </c>
      <c r="G10" s="94">
        <v>250215</v>
      </c>
      <c r="H10" s="94">
        <v>228612</v>
      </c>
      <c r="I10" s="94">
        <v>245887</v>
      </c>
      <c r="J10" s="94">
        <v>300932</v>
      </c>
      <c r="K10" s="94">
        <v>782973</v>
      </c>
      <c r="L10" s="94">
        <v>301926</v>
      </c>
      <c r="M10" s="94">
        <v>278509</v>
      </c>
      <c r="N10" s="94">
        <v>239268</v>
      </c>
      <c r="O10" s="94">
        <v>281654</v>
      </c>
      <c r="P10" s="94">
        <v>223212</v>
      </c>
      <c r="Q10" s="94">
        <v>235250</v>
      </c>
      <c r="R10" s="94">
        <v>225731</v>
      </c>
      <c r="S10" s="94">
        <v>235470</v>
      </c>
      <c r="T10" s="94">
        <v>221362</v>
      </c>
      <c r="U10" s="94">
        <v>231988</v>
      </c>
      <c r="V10" s="94">
        <v>238407</v>
      </c>
      <c r="W10" s="94">
        <v>299142</v>
      </c>
      <c r="X10" s="94">
        <v>295596</v>
      </c>
      <c r="Y10" s="94">
        <v>237069</v>
      </c>
      <c r="Z10" s="94">
        <v>234166</v>
      </c>
      <c r="AA10" s="94">
        <v>219741</v>
      </c>
      <c r="AB10" s="94">
        <v>235828</v>
      </c>
      <c r="AC10" s="94">
        <v>269230</v>
      </c>
      <c r="AD10" s="94">
        <v>150237</v>
      </c>
      <c r="AE10" s="94">
        <v>256696</v>
      </c>
      <c r="AF10" s="94">
        <v>267960</v>
      </c>
      <c r="AG10" s="94">
        <v>278436</v>
      </c>
      <c r="AH10" s="94">
        <v>230151</v>
      </c>
      <c r="AI10" s="94">
        <v>300167</v>
      </c>
      <c r="AJ10" s="94">
        <v>228760</v>
      </c>
      <c r="AK10" s="94">
        <v>240337</v>
      </c>
      <c r="AL10" s="94">
        <v>280263</v>
      </c>
    </row>
    <row r="12" spans="1:38" x14ac:dyDescent="0.3">
      <c r="A12" s="188" t="s">
        <v>67</v>
      </c>
      <c r="B12" s="189"/>
      <c r="C12" s="189"/>
      <c r="D12" s="189"/>
      <c r="E12" s="189"/>
      <c r="F12" s="189"/>
      <c r="G12" s="189"/>
      <c r="H12" s="189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</row>
    <row r="13" spans="1:38" ht="57.6" x14ac:dyDescent="0.3">
      <c r="A13" s="78" t="s">
        <v>56</v>
      </c>
      <c r="C13" s="84" t="str">
        <f t="shared" ref="C13:H13" si="44">C4</f>
        <v>January 2021 Water Billed Volume (CCF)</v>
      </c>
      <c r="D13" s="84" t="str">
        <f t="shared" si="44"/>
        <v>February 2021 Water Billed Volume (CCF)</v>
      </c>
      <c r="E13" s="84" t="str">
        <f t="shared" si="44"/>
        <v>March 2021 Water Billed Volume (CCF)</v>
      </c>
      <c r="F13" s="84" t="str">
        <f t="shared" si="44"/>
        <v>April 2021 Water Billed Volume (CCF)</v>
      </c>
      <c r="G13" s="84" t="str">
        <f t="shared" si="44"/>
        <v>May 2021 Water Billed Volume (CCF)</v>
      </c>
      <c r="H13" s="84" t="str">
        <f t="shared" si="44"/>
        <v>June 2021 Water Billed Volume (CCF)</v>
      </c>
      <c r="I13" s="84" t="str">
        <f t="shared" ref="I13:N13" si="45">I4</f>
        <v>July 2021 Water Billed Volume (CCF)</v>
      </c>
      <c r="J13" s="84" t="str">
        <f t="shared" si="45"/>
        <v>August 2021 Water Billed Volume (CCF)</v>
      </c>
      <c r="K13" s="84" t="str">
        <f t="shared" si="45"/>
        <v>September 2021 Water Billed Volume (CCF)</v>
      </c>
      <c r="L13" s="84" t="str">
        <f t="shared" si="45"/>
        <v>October 2021 Water Billed Volume (CCF)</v>
      </c>
      <c r="M13" s="84" t="str">
        <f t="shared" si="45"/>
        <v>November 2021 Water Billed Volume (CCF)</v>
      </c>
      <c r="N13" s="84" t="str">
        <f t="shared" si="45"/>
        <v>December 2021 Water Billed Volume (CCF)</v>
      </c>
      <c r="O13" s="84" t="str">
        <f t="shared" ref="O13:R13" si="46">O4</f>
        <v>January 2022 Water Billed Volume (CCF)</v>
      </c>
      <c r="P13" s="84" t="str">
        <f t="shared" si="46"/>
        <v>February 2022 Water Billed Volume (CCF)</v>
      </c>
      <c r="Q13" s="84" t="str">
        <f t="shared" si="46"/>
        <v>March 2022 Water Billed Volume (CCF)</v>
      </c>
      <c r="R13" s="84" t="str">
        <f t="shared" si="46"/>
        <v>April 2022 Water Billed Volume (CCF)</v>
      </c>
      <c r="S13" s="84" t="str">
        <f t="shared" ref="S13:T13" si="47">S4</f>
        <v>May 2022 Water Billed Volume (CCF)</v>
      </c>
      <c r="T13" s="84" t="str">
        <f t="shared" si="47"/>
        <v>June 2022 Water Billed Volume (CCF)</v>
      </c>
      <c r="U13" s="84" t="str">
        <f t="shared" ref="U13:Y13" si="48">U4</f>
        <v>July 2022 Water Billed Volume (CCF)</v>
      </c>
      <c r="V13" s="84" t="str">
        <f t="shared" si="48"/>
        <v>August 2022 Water Billed Volume (CCF)</v>
      </c>
      <c r="W13" s="84" t="str">
        <f t="shared" si="48"/>
        <v>September 2022 Water Billed Volume (CCF)</v>
      </c>
      <c r="X13" s="84" t="str">
        <f t="shared" si="48"/>
        <v>October 2022 Water Billed Volume (CCF)</v>
      </c>
      <c r="Y13" s="84" t="str">
        <f t="shared" si="48"/>
        <v>November 2022 Water Billed Volume (CCF)</v>
      </c>
      <c r="Z13" s="84" t="str">
        <f t="shared" ref="Z13:AK13" si="49">Z4</f>
        <v>December 2022 Water Billed Volume (CCF)</v>
      </c>
      <c r="AA13" s="84" t="str">
        <f t="shared" si="49"/>
        <v>January 2023 Water Billed Volume (CCF)</v>
      </c>
      <c r="AB13" s="84" t="str">
        <f t="shared" si="49"/>
        <v>February 2023 Water Billed Volume (CCF)</v>
      </c>
      <c r="AC13" s="84" t="str">
        <f t="shared" si="49"/>
        <v>March 2023 Water Billed Volume (CCF)</v>
      </c>
      <c r="AD13" s="84" t="str">
        <f t="shared" si="49"/>
        <v>April 2023 Water Billed Volume (CCF)</v>
      </c>
      <c r="AE13" s="84" t="str">
        <f t="shared" si="49"/>
        <v>May 2023 Water Billed Volume (CCF)</v>
      </c>
      <c r="AF13" s="84" t="str">
        <f t="shared" si="49"/>
        <v>June 2023 Water Billed Volume (CCF)</v>
      </c>
      <c r="AG13" s="84" t="str">
        <f t="shared" si="49"/>
        <v>July 2023 Water Billed Volume (CCF)</v>
      </c>
      <c r="AH13" s="84" t="str">
        <f t="shared" si="49"/>
        <v>August 2023 Water Billed Volume (CCF)</v>
      </c>
      <c r="AI13" s="84" t="str">
        <f t="shared" si="49"/>
        <v>September 2023 Water Billed Volume (CCF)</v>
      </c>
      <c r="AJ13" s="84" t="str">
        <f t="shared" si="49"/>
        <v>October 2023 Water Billed Volume (CCF)</v>
      </c>
      <c r="AK13" s="84" t="str">
        <f t="shared" si="49"/>
        <v>November 2023 Water Billed Volume (CCF)</v>
      </c>
      <c r="AL13" s="84" t="str">
        <f t="shared" ref="AL13" si="50">AL4</f>
        <v>December 2023 Water Billed Volume (CCF)</v>
      </c>
    </row>
    <row r="14" spans="1:38" x14ac:dyDescent="0.3">
      <c r="A14" s="5" t="s">
        <v>58</v>
      </c>
      <c r="C14" s="14">
        <f t="shared" ref="C14:I16" si="51">SUMIF($A$5:$A$10,$A14,C$5:C$10)</f>
        <v>118043</v>
      </c>
      <c r="D14" s="14">
        <f t="shared" si="51"/>
        <v>116270</v>
      </c>
      <c r="E14" s="14">
        <f t="shared" si="51"/>
        <v>118776</v>
      </c>
      <c r="F14" s="14">
        <f t="shared" si="51"/>
        <v>127463</v>
      </c>
      <c r="G14" s="14">
        <f t="shared" si="51"/>
        <v>110885</v>
      </c>
      <c r="H14" s="14">
        <f t="shared" si="51"/>
        <v>117002</v>
      </c>
      <c r="I14" s="14">
        <f t="shared" si="51"/>
        <v>129912</v>
      </c>
      <c r="J14" s="14">
        <f t="shared" ref="I14:X16" si="52">SUMIF($A$5:$A$10,$A14,J$5:J$10)</f>
        <v>126798</v>
      </c>
      <c r="K14" s="14">
        <f t="shared" si="52"/>
        <v>126778</v>
      </c>
      <c r="L14" s="14">
        <f t="shared" si="52"/>
        <v>136693</v>
      </c>
      <c r="M14" s="14">
        <f t="shared" si="52"/>
        <v>121845</v>
      </c>
      <c r="N14" s="14">
        <f t="shared" si="52"/>
        <v>120136</v>
      </c>
      <c r="O14" s="14">
        <f t="shared" si="52"/>
        <v>115273</v>
      </c>
      <c r="P14" s="14">
        <f t="shared" si="52"/>
        <v>92176</v>
      </c>
      <c r="Q14" s="14">
        <f t="shared" si="52"/>
        <v>90645</v>
      </c>
      <c r="R14" s="14">
        <f t="shared" si="52"/>
        <v>74313</v>
      </c>
      <c r="S14" s="14">
        <f t="shared" si="52"/>
        <v>70001</v>
      </c>
      <c r="T14" s="14">
        <f t="shared" si="52"/>
        <v>72452</v>
      </c>
      <c r="U14" s="14">
        <f t="shared" si="52"/>
        <v>81257</v>
      </c>
      <c r="V14" s="14">
        <f t="shared" si="52"/>
        <v>87984</v>
      </c>
      <c r="W14" s="14">
        <f t="shared" si="52"/>
        <v>110860</v>
      </c>
      <c r="X14" s="14">
        <f t="shared" si="52"/>
        <v>103176</v>
      </c>
      <c r="Y14" s="14">
        <f t="shared" ref="U14:AJ16" si="53">SUMIF($A$5:$A$10,$A14,Y$5:Y$10)</f>
        <v>100256</v>
      </c>
      <c r="Z14" s="14">
        <f t="shared" si="53"/>
        <v>107322</v>
      </c>
      <c r="AA14" s="14">
        <f t="shared" si="53"/>
        <v>120663</v>
      </c>
      <c r="AB14" s="14">
        <f t="shared" si="53"/>
        <v>96006</v>
      </c>
      <c r="AC14" s="14">
        <f t="shared" si="53"/>
        <v>118982</v>
      </c>
      <c r="AD14" s="14">
        <f t="shared" si="53"/>
        <v>99561</v>
      </c>
      <c r="AE14" s="14">
        <f t="shared" si="53"/>
        <v>105104</v>
      </c>
      <c r="AF14" s="14">
        <f t="shared" si="53"/>
        <v>134135</v>
      </c>
      <c r="AG14" s="14">
        <f t="shared" si="53"/>
        <v>145788</v>
      </c>
      <c r="AH14" s="14">
        <f t="shared" si="53"/>
        <v>140128</v>
      </c>
      <c r="AI14" s="14">
        <f t="shared" si="53"/>
        <v>158661</v>
      </c>
      <c r="AJ14" s="14">
        <f t="shared" si="53"/>
        <v>144272</v>
      </c>
      <c r="AK14" s="14">
        <f t="shared" ref="AA14:AL16" si="54">SUMIF($A$5:$A$10,$A14,AK$5:AK$10)</f>
        <v>153159</v>
      </c>
      <c r="AL14" s="14">
        <f t="shared" si="54"/>
        <v>160462</v>
      </c>
    </row>
    <row r="15" spans="1:38" x14ac:dyDescent="0.3">
      <c r="A15" s="5" t="s">
        <v>60</v>
      </c>
      <c r="C15" s="14">
        <f t="shared" si="51"/>
        <v>4243339</v>
      </c>
      <c r="D15" s="14">
        <f t="shared" si="51"/>
        <v>4140698</v>
      </c>
      <c r="E15" s="14">
        <f t="shared" si="51"/>
        <v>4354704</v>
      </c>
      <c r="F15" s="14">
        <f t="shared" si="51"/>
        <v>4578531</v>
      </c>
      <c r="G15" s="14">
        <f t="shared" si="51"/>
        <v>4405811</v>
      </c>
      <c r="H15" s="14">
        <f t="shared" si="51"/>
        <v>4649803</v>
      </c>
      <c r="I15" s="14">
        <f t="shared" si="52"/>
        <v>5090099</v>
      </c>
      <c r="J15" s="14">
        <f t="shared" si="52"/>
        <v>5038237</v>
      </c>
      <c r="K15" s="14">
        <f t="shared" si="52"/>
        <v>5022441</v>
      </c>
      <c r="L15" s="14">
        <f t="shared" si="52"/>
        <v>5124128</v>
      </c>
      <c r="M15" s="14">
        <f t="shared" si="52"/>
        <v>4502034</v>
      </c>
      <c r="N15" s="14">
        <f>SUMIF($A$5:$A$10,$A15,N$5:N$10)</f>
        <v>4549925</v>
      </c>
      <c r="O15" s="14">
        <f t="shared" si="52"/>
        <v>4797383</v>
      </c>
      <c r="P15" s="14">
        <f t="shared" si="52"/>
        <v>4177684</v>
      </c>
      <c r="Q15" s="14">
        <f t="shared" si="52"/>
        <v>4636210</v>
      </c>
      <c r="R15" s="14">
        <f t="shared" si="52"/>
        <v>4573178</v>
      </c>
      <c r="S15" s="14">
        <f t="shared" si="52"/>
        <v>4405034</v>
      </c>
      <c r="T15" s="14">
        <f t="shared" si="52"/>
        <v>4741046</v>
      </c>
      <c r="U15" s="14">
        <f t="shared" si="53"/>
        <v>5054910</v>
      </c>
      <c r="V15" s="14">
        <f t="shared" si="53"/>
        <v>5171643</v>
      </c>
      <c r="W15" s="14">
        <f t="shared" si="53"/>
        <v>5819699</v>
      </c>
      <c r="X15" s="14">
        <f t="shared" si="53"/>
        <v>4862549</v>
      </c>
      <c r="Y15" s="14">
        <f t="shared" si="53"/>
        <v>4438663</v>
      </c>
      <c r="Z15" s="14">
        <f t="shared" si="53"/>
        <v>4565218</v>
      </c>
      <c r="AA15" s="14">
        <f t="shared" si="54"/>
        <v>4761412</v>
      </c>
      <c r="AB15" s="14">
        <f t="shared" si="54"/>
        <v>4019451</v>
      </c>
      <c r="AC15" s="14">
        <f t="shared" si="54"/>
        <v>4722308</v>
      </c>
      <c r="AD15" s="14">
        <f t="shared" si="54"/>
        <v>4209942</v>
      </c>
      <c r="AE15" s="14">
        <f t="shared" si="54"/>
        <v>4238993</v>
      </c>
      <c r="AF15" s="14">
        <f t="shared" si="54"/>
        <v>4853128</v>
      </c>
      <c r="AG15" s="14">
        <f t="shared" si="54"/>
        <v>5148356</v>
      </c>
      <c r="AH15" s="14">
        <f t="shared" si="54"/>
        <v>4814582</v>
      </c>
      <c r="AI15" s="14">
        <f t="shared" si="54"/>
        <v>5267058</v>
      </c>
      <c r="AJ15" s="14">
        <f t="shared" si="54"/>
        <v>4435939</v>
      </c>
      <c r="AK15" s="14">
        <f t="shared" si="54"/>
        <v>4477684</v>
      </c>
      <c r="AL15" s="14">
        <f t="shared" si="54"/>
        <v>4579648</v>
      </c>
    </row>
    <row r="16" spans="1:38" x14ac:dyDescent="0.3">
      <c r="A16" s="5" t="s">
        <v>65</v>
      </c>
      <c r="C16" s="14">
        <f t="shared" si="51"/>
        <v>131792</v>
      </c>
      <c r="D16" s="14">
        <f t="shared" si="51"/>
        <v>178805</v>
      </c>
      <c r="E16" s="14">
        <f t="shared" si="51"/>
        <v>237818</v>
      </c>
      <c r="F16" s="14">
        <f t="shared" si="51"/>
        <v>185543</v>
      </c>
      <c r="G16" s="14">
        <f t="shared" si="51"/>
        <v>250215</v>
      </c>
      <c r="H16" s="14">
        <f t="shared" si="51"/>
        <v>228612</v>
      </c>
      <c r="I16" s="14">
        <f t="shared" si="52"/>
        <v>245887</v>
      </c>
      <c r="J16" s="14">
        <f t="shared" si="52"/>
        <v>300932</v>
      </c>
      <c r="K16" s="14">
        <f t="shared" si="52"/>
        <v>782973</v>
      </c>
      <c r="L16" s="14">
        <f t="shared" si="52"/>
        <v>301926</v>
      </c>
      <c r="M16" s="14">
        <f t="shared" si="52"/>
        <v>278509</v>
      </c>
      <c r="N16" s="14">
        <f t="shared" si="52"/>
        <v>239268</v>
      </c>
      <c r="O16" s="14">
        <f t="shared" si="52"/>
        <v>281654</v>
      </c>
      <c r="P16" s="14">
        <f t="shared" si="52"/>
        <v>223212</v>
      </c>
      <c r="Q16" s="14">
        <f t="shared" si="52"/>
        <v>235250</v>
      </c>
      <c r="R16" s="14">
        <f t="shared" si="52"/>
        <v>225731</v>
      </c>
      <c r="S16" s="14">
        <f t="shared" si="52"/>
        <v>235470</v>
      </c>
      <c r="T16" s="14">
        <f t="shared" si="52"/>
        <v>221362</v>
      </c>
      <c r="U16" s="14">
        <f t="shared" si="53"/>
        <v>231988</v>
      </c>
      <c r="V16" s="14">
        <f t="shared" si="53"/>
        <v>238407</v>
      </c>
      <c r="W16" s="14">
        <f t="shared" si="53"/>
        <v>299142</v>
      </c>
      <c r="X16" s="14">
        <f t="shared" si="53"/>
        <v>295596</v>
      </c>
      <c r="Y16" s="14">
        <f t="shared" si="53"/>
        <v>237069</v>
      </c>
      <c r="Z16" s="14">
        <f t="shared" si="53"/>
        <v>234166</v>
      </c>
      <c r="AA16" s="14">
        <f t="shared" si="54"/>
        <v>219741</v>
      </c>
      <c r="AB16" s="14">
        <f t="shared" si="54"/>
        <v>235828</v>
      </c>
      <c r="AC16" s="14">
        <f t="shared" si="54"/>
        <v>269230</v>
      </c>
      <c r="AD16" s="14">
        <f t="shared" si="54"/>
        <v>150237</v>
      </c>
      <c r="AE16" s="14">
        <f t="shared" si="54"/>
        <v>256696</v>
      </c>
      <c r="AF16" s="14">
        <f t="shared" si="54"/>
        <v>267960</v>
      </c>
      <c r="AG16" s="14">
        <f t="shared" si="54"/>
        <v>278436</v>
      </c>
      <c r="AH16" s="14">
        <f t="shared" si="54"/>
        <v>230151</v>
      </c>
      <c r="AI16" s="14">
        <f t="shared" si="54"/>
        <v>300167</v>
      </c>
      <c r="AJ16" s="14">
        <f t="shared" si="54"/>
        <v>228760</v>
      </c>
      <c r="AK16" s="14">
        <f t="shared" si="54"/>
        <v>240337</v>
      </c>
      <c r="AL16" s="14">
        <f t="shared" si="54"/>
        <v>280263</v>
      </c>
    </row>
    <row r="18" spans="1:3" x14ac:dyDescent="0.3">
      <c r="A18" s="4"/>
    </row>
    <row r="19" spans="1:3" ht="31.2" customHeight="1" x14ac:dyDescent="0.3">
      <c r="A19" s="192" t="s">
        <v>136</v>
      </c>
      <c r="B19" s="192"/>
      <c r="C19" s="77"/>
    </row>
    <row r="20" spans="1:3" ht="28.2" customHeight="1" x14ac:dyDescent="0.3">
      <c r="A20" s="192" t="s">
        <v>137</v>
      </c>
      <c r="B20" s="192"/>
    </row>
  </sheetData>
  <mergeCells count="4">
    <mergeCell ref="A12:H12"/>
    <mergeCell ref="A1:H1"/>
    <mergeCell ref="A19:B19"/>
    <mergeCell ref="A20:B20"/>
  </mergeCells>
  <pageMargins left="0.7" right="0.7" top="0.75" bottom="0.75" header="0.3" footer="0.3"/>
  <pageSetup orientation="landscape" r:id="rId1"/>
  <headerFooter>
    <oddHeader>&amp;L2024 TAP Reconcilable Rider Reports and Projection Model: &amp;A
January 2023 - December 2023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AL20"/>
  <sheetViews>
    <sheetView workbookViewId="0">
      <selection sqref="A1:H1"/>
    </sheetView>
  </sheetViews>
  <sheetFormatPr defaultColWidth="8.88671875" defaultRowHeight="14.4" x14ac:dyDescent="0.3"/>
  <cols>
    <col min="1" max="1" width="31.109375" customWidth="1"/>
    <col min="2" max="2" width="30" customWidth="1"/>
    <col min="3" max="26" width="12.6640625" hidden="1" customWidth="1"/>
    <col min="27" max="38" width="12.6640625" customWidth="1"/>
  </cols>
  <sheetData>
    <row r="1" spans="1:38" x14ac:dyDescent="0.3">
      <c r="A1" s="190" t="str">
        <f>"DR-2: Sewer Billed Volume ("&amp; TEXT('Data Source'!C5,"Mmmm YYYY")&amp;" - "&amp;TEXT('Data Source'!E5,"Mmmm YYYY")&amp;")"</f>
        <v>DR-2: Sewer Billed Volume (January 2021 - December 2023)</v>
      </c>
      <c r="B1" s="191"/>
      <c r="C1" s="191"/>
      <c r="D1" s="191"/>
      <c r="E1" s="191"/>
      <c r="F1" s="191"/>
      <c r="G1" s="191"/>
      <c r="H1" s="191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</row>
    <row r="2" spans="1:38" x14ac:dyDescent="0.3">
      <c r="A2" s="85"/>
      <c r="B2" s="86"/>
      <c r="C2" s="86">
        <v>2021</v>
      </c>
      <c r="D2" s="86">
        <v>2021</v>
      </c>
      <c r="E2" s="86">
        <v>2021</v>
      </c>
      <c r="F2" s="86">
        <v>2021</v>
      </c>
      <c r="G2" s="86">
        <v>2021</v>
      </c>
      <c r="H2" s="86">
        <v>2021</v>
      </c>
      <c r="I2" s="86">
        <v>2021</v>
      </c>
      <c r="J2" s="86">
        <v>2021</v>
      </c>
      <c r="K2" s="86">
        <v>2021</v>
      </c>
      <c r="L2" s="86">
        <v>2021</v>
      </c>
      <c r="M2" s="86">
        <v>2021</v>
      </c>
      <c r="N2" s="86">
        <f>IF(N3=1,M2+1,M2)</f>
        <v>2021</v>
      </c>
      <c r="O2" s="86">
        <f t="shared" ref="O2:T2" si="0">IF(O3=1,N2+1,N2)</f>
        <v>2022</v>
      </c>
      <c r="P2" s="86">
        <f t="shared" si="0"/>
        <v>2022</v>
      </c>
      <c r="Q2" s="86">
        <f t="shared" si="0"/>
        <v>2022</v>
      </c>
      <c r="R2" s="86">
        <f t="shared" si="0"/>
        <v>2022</v>
      </c>
      <c r="S2" s="86">
        <f t="shared" si="0"/>
        <v>2022</v>
      </c>
      <c r="T2" s="86">
        <f t="shared" si="0"/>
        <v>2022</v>
      </c>
      <c r="U2" s="86">
        <f t="shared" ref="U2" si="1">IF(U3=1,T2+1,T2)</f>
        <v>2022</v>
      </c>
      <c r="V2" s="86">
        <f t="shared" ref="V2" si="2">IF(V3=1,U2+1,U2)</f>
        <v>2022</v>
      </c>
      <c r="W2" s="86">
        <f t="shared" ref="W2" si="3">IF(W3=1,V2+1,V2)</f>
        <v>2022</v>
      </c>
      <c r="X2" s="86">
        <f t="shared" ref="X2" si="4">IF(X3=1,W2+1,W2)</f>
        <v>2022</v>
      </c>
      <c r="Y2" s="86">
        <f t="shared" ref="Y2" si="5">IF(Y3=1,X2+1,X2)</f>
        <v>2022</v>
      </c>
      <c r="Z2" s="86">
        <f t="shared" ref="Z2" si="6">IF(Z3=1,Y2+1,Y2)</f>
        <v>2022</v>
      </c>
      <c r="AA2" s="86">
        <f t="shared" ref="AA2" si="7">IF(AA3=1,Z2+1,Z2)</f>
        <v>2023</v>
      </c>
      <c r="AB2" s="86">
        <f t="shared" ref="AB2" si="8">IF(AB3=1,AA2+1,AA2)</f>
        <v>2023</v>
      </c>
      <c r="AC2" s="86">
        <f t="shared" ref="AC2" si="9">IF(AC3=1,AB2+1,AB2)</f>
        <v>2023</v>
      </c>
      <c r="AD2" s="86">
        <f t="shared" ref="AD2" si="10">IF(AD3=1,AC2+1,AC2)</f>
        <v>2023</v>
      </c>
      <c r="AE2" s="86">
        <f t="shared" ref="AE2" si="11">IF(AE3=1,AD2+1,AD2)</f>
        <v>2023</v>
      </c>
      <c r="AF2" s="86">
        <f t="shared" ref="AF2" si="12">IF(AF3=1,AE2+1,AE2)</f>
        <v>2023</v>
      </c>
      <c r="AG2" s="86">
        <f t="shared" ref="AG2" si="13">IF(AG3=1,AF2+1,AF2)</f>
        <v>2023</v>
      </c>
      <c r="AH2" s="86">
        <f t="shared" ref="AH2" si="14">IF(AH3=1,AG2+1,AG2)</f>
        <v>2023</v>
      </c>
      <c r="AI2" s="86">
        <f t="shared" ref="AI2" si="15">IF(AI3=1,AH2+1,AH2)</f>
        <v>2023</v>
      </c>
      <c r="AJ2" s="86">
        <f t="shared" ref="AJ2:AL2" si="16">IF(AJ3=1,AI2+1,AI2)</f>
        <v>2023</v>
      </c>
      <c r="AK2" s="86">
        <f t="shared" si="16"/>
        <v>2023</v>
      </c>
      <c r="AL2" s="86">
        <f t="shared" si="16"/>
        <v>2023</v>
      </c>
    </row>
    <row r="3" spans="1:38" x14ac:dyDescent="0.3">
      <c r="A3" s="85"/>
      <c r="B3" s="86"/>
      <c r="C3" s="86">
        <v>1</v>
      </c>
      <c r="D3" s="86">
        <v>2</v>
      </c>
      <c r="E3" s="86">
        <v>3</v>
      </c>
      <c r="F3" s="86">
        <v>4</v>
      </c>
      <c r="G3" s="86">
        <v>5</v>
      </c>
      <c r="H3" s="86">
        <v>6</v>
      </c>
      <c r="I3" s="86">
        <v>7</v>
      </c>
      <c r="J3" s="86">
        <v>8</v>
      </c>
      <c r="K3" s="86">
        <v>9</v>
      </c>
      <c r="L3" s="86">
        <v>10</v>
      </c>
      <c r="M3" s="86">
        <v>11</v>
      </c>
      <c r="N3" s="86">
        <f>IF(M3&lt;12,M3+1,1)</f>
        <v>12</v>
      </c>
      <c r="O3" s="86">
        <f t="shared" ref="O3:T3" si="17">IF(N3&lt;12,N3+1,1)</f>
        <v>1</v>
      </c>
      <c r="P3" s="86">
        <f t="shared" si="17"/>
        <v>2</v>
      </c>
      <c r="Q3" s="86">
        <f t="shared" si="17"/>
        <v>3</v>
      </c>
      <c r="R3" s="86">
        <f t="shared" si="17"/>
        <v>4</v>
      </c>
      <c r="S3" s="86">
        <f t="shared" si="17"/>
        <v>5</v>
      </c>
      <c r="T3" s="86">
        <f t="shared" si="17"/>
        <v>6</v>
      </c>
      <c r="U3" s="86">
        <f t="shared" ref="U3" si="18">IF(T3&lt;12,T3+1,1)</f>
        <v>7</v>
      </c>
      <c r="V3" s="86">
        <f t="shared" ref="V3" si="19">IF(U3&lt;12,U3+1,1)</f>
        <v>8</v>
      </c>
      <c r="W3" s="86">
        <f t="shared" ref="W3" si="20">IF(V3&lt;12,V3+1,1)</f>
        <v>9</v>
      </c>
      <c r="X3" s="86">
        <f t="shared" ref="X3" si="21">IF(W3&lt;12,W3+1,1)</f>
        <v>10</v>
      </c>
      <c r="Y3" s="86">
        <f t="shared" ref="Y3" si="22">IF(X3&lt;12,X3+1,1)</f>
        <v>11</v>
      </c>
      <c r="Z3" s="86">
        <f t="shared" ref="Z3" si="23">IF(Y3&lt;12,Y3+1,1)</f>
        <v>12</v>
      </c>
      <c r="AA3" s="86">
        <f t="shared" ref="AA3" si="24">IF(Z3&lt;12,Z3+1,1)</f>
        <v>1</v>
      </c>
      <c r="AB3" s="86">
        <f t="shared" ref="AB3" si="25">IF(AA3&lt;12,AA3+1,1)</f>
        <v>2</v>
      </c>
      <c r="AC3" s="86">
        <f t="shared" ref="AC3" si="26">IF(AB3&lt;12,AB3+1,1)</f>
        <v>3</v>
      </c>
      <c r="AD3" s="86">
        <f t="shared" ref="AD3" si="27">IF(AC3&lt;12,AC3+1,1)</f>
        <v>4</v>
      </c>
      <c r="AE3" s="86">
        <f t="shared" ref="AE3" si="28">IF(AD3&lt;12,AD3+1,1)</f>
        <v>5</v>
      </c>
      <c r="AF3" s="86">
        <f t="shared" ref="AF3" si="29">IF(AE3&lt;12,AE3+1,1)</f>
        <v>6</v>
      </c>
      <c r="AG3" s="86">
        <f t="shared" ref="AG3" si="30">IF(AF3&lt;12,AF3+1,1)</f>
        <v>7</v>
      </c>
      <c r="AH3" s="86">
        <f t="shared" ref="AH3" si="31">IF(AG3&lt;12,AG3+1,1)</f>
        <v>8</v>
      </c>
      <c r="AI3" s="86">
        <f t="shared" ref="AI3" si="32">IF(AH3&lt;12,AH3+1,1)</f>
        <v>9</v>
      </c>
      <c r="AJ3" s="86">
        <f t="shared" ref="AJ3:AL3" si="33">IF(AI3&lt;12,AI3+1,1)</f>
        <v>10</v>
      </c>
      <c r="AK3" s="86">
        <f t="shared" si="33"/>
        <v>11</v>
      </c>
      <c r="AL3" s="86">
        <f t="shared" si="33"/>
        <v>12</v>
      </c>
    </row>
    <row r="4" spans="1:38" ht="57.45" customHeight="1" x14ac:dyDescent="0.3">
      <c r="A4" s="75" t="s">
        <v>56</v>
      </c>
      <c r="B4" s="76" t="s">
        <v>57</v>
      </c>
      <c r="C4" s="84" t="str">
        <f t="shared" ref="C4:F4" si="34">TEXT(C3*29, "Mmmm")&amp;" "&amp;C2&amp;" Sewer Billed Volume (CCF)"</f>
        <v>January 2021 Sewer Billed Volume (CCF)</v>
      </c>
      <c r="D4" s="84" t="str">
        <f t="shared" si="34"/>
        <v>February 2021 Sewer Billed Volume (CCF)</v>
      </c>
      <c r="E4" s="84" t="str">
        <f t="shared" si="34"/>
        <v>March 2021 Sewer Billed Volume (CCF)</v>
      </c>
      <c r="F4" s="84" t="str">
        <f t="shared" si="34"/>
        <v>April 2021 Sewer Billed Volume (CCF)</v>
      </c>
      <c r="G4" s="84" t="str">
        <f t="shared" ref="G4:K4" si="35">TEXT(G3*29, "Mmmm")&amp;" "&amp;G2&amp;" Sewer Billed Volume (CCF)"</f>
        <v>May 2021 Sewer Billed Volume (CCF)</v>
      </c>
      <c r="H4" s="84" t="str">
        <f t="shared" si="35"/>
        <v>June 2021 Sewer Billed Volume (CCF)</v>
      </c>
      <c r="I4" s="84" t="str">
        <f t="shared" si="35"/>
        <v>July 2021 Sewer Billed Volume (CCF)</v>
      </c>
      <c r="J4" s="84" t="str">
        <f t="shared" si="35"/>
        <v>August 2021 Sewer Billed Volume (CCF)</v>
      </c>
      <c r="K4" s="84" t="str">
        <f t="shared" si="35"/>
        <v>September 2021 Sewer Billed Volume (CCF)</v>
      </c>
      <c r="L4" s="84" t="str">
        <f t="shared" ref="L4:T4" si="36">TEXT(L3*29, "Mmmm")&amp;" "&amp;L2&amp;" Sewer Billed Volume (CCF)"</f>
        <v>October 2021 Sewer Billed Volume (CCF)</v>
      </c>
      <c r="M4" s="84" t="str">
        <f t="shared" si="36"/>
        <v>November 2021 Sewer Billed Volume (CCF)</v>
      </c>
      <c r="N4" s="84" t="str">
        <f t="shared" si="36"/>
        <v>December 2021 Sewer Billed Volume (CCF)</v>
      </c>
      <c r="O4" s="84" t="str">
        <f t="shared" si="36"/>
        <v>January 2022 Sewer Billed Volume (CCF)</v>
      </c>
      <c r="P4" s="84" t="str">
        <f t="shared" si="36"/>
        <v>February 2022 Sewer Billed Volume (CCF)</v>
      </c>
      <c r="Q4" s="84" t="str">
        <f t="shared" si="36"/>
        <v>March 2022 Sewer Billed Volume (CCF)</v>
      </c>
      <c r="R4" s="84" t="str">
        <f t="shared" si="36"/>
        <v>April 2022 Sewer Billed Volume (CCF)</v>
      </c>
      <c r="S4" s="84" t="str">
        <f t="shared" si="36"/>
        <v>May 2022 Sewer Billed Volume (CCF)</v>
      </c>
      <c r="T4" s="84" t="str">
        <f t="shared" si="36"/>
        <v>June 2022 Sewer Billed Volume (CCF)</v>
      </c>
      <c r="U4" s="84" t="str">
        <f t="shared" ref="U4:Y4" si="37">TEXT(U3*29, "Mmmm")&amp;" "&amp;U2&amp;" Sewer Billed Volume (CCF)"</f>
        <v>July 2022 Sewer Billed Volume (CCF)</v>
      </c>
      <c r="V4" s="84" t="str">
        <f t="shared" si="37"/>
        <v>August 2022 Sewer Billed Volume (CCF)</v>
      </c>
      <c r="W4" s="84" t="str">
        <f t="shared" si="37"/>
        <v>September 2022 Sewer Billed Volume (CCF)</v>
      </c>
      <c r="X4" s="84" t="str">
        <f t="shared" si="37"/>
        <v>October 2022 Sewer Billed Volume (CCF)</v>
      </c>
      <c r="Y4" s="84" t="str">
        <f t="shared" si="37"/>
        <v>November 2022 Sewer Billed Volume (CCF)</v>
      </c>
      <c r="Z4" s="84" t="str">
        <f t="shared" ref="Z4:AJ4" si="38">TEXT(Z3*29, "Mmmm")&amp;" "&amp;Z2&amp;" Sewer Billed Volume (CCF)"</f>
        <v>December 2022 Sewer Billed Volume (CCF)</v>
      </c>
      <c r="AA4" s="84" t="str">
        <f t="shared" si="38"/>
        <v>January 2023 Sewer Billed Volume (CCF)</v>
      </c>
      <c r="AB4" s="84" t="str">
        <f t="shared" si="38"/>
        <v>February 2023 Sewer Billed Volume (CCF)</v>
      </c>
      <c r="AC4" s="84" t="str">
        <f t="shared" si="38"/>
        <v>March 2023 Sewer Billed Volume (CCF)</v>
      </c>
      <c r="AD4" s="84" t="str">
        <f t="shared" si="38"/>
        <v>April 2023 Sewer Billed Volume (CCF)</v>
      </c>
      <c r="AE4" s="84" t="str">
        <f t="shared" si="38"/>
        <v>May 2023 Sewer Billed Volume (CCF)</v>
      </c>
      <c r="AF4" s="84" t="str">
        <f t="shared" si="38"/>
        <v>June 2023 Sewer Billed Volume (CCF)</v>
      </c>
      <c r="AG4" s="84" t="str">
        <f t="shared" si="38"/>
        <v>July 2023 Sewer Billed Volume (CCF)</v>
      </c>
      <c r="AH4" s="84" t="str">
        <f t="shared" si="38"/>
        <v>August 2023 Sewer Billed Volume (CCF)</v>
      </c>
      <c r="AI4" s="84" t="str">
        <f t="shared" si="38"/>
        <v>September 2023 Sewer Billed Volume (CCF)</v>
      </c>
      <c r="AJ4" s="84" t="str">
        <f t="shared" si="38"/>
        <v>October 2023 Sewer Billed Volume (CCF)</v>
      </c>
      <c r="AK4" s="84" t="str">
        <f t="shared" ref="AK4:AL4" si="39">TEXT(AK3*29, "Mmmm")&amp;" "&amp;AK2&amp;" Sewer Billed Volume (CCF)"</f>
        <v>November 2023 Sewer Billed Volume (CCF)</v>
      </c>
      <c r="AL4" s="84" t="str">
        <f t="shared" si="39"/>
        <v>December 2023 Sewer Billed Volume (CCF)</v>
      </c>
    </row>
    <row r="5" spans="1:38" x14ac:dyDescent="0.3">
      <c r="A5" s="5" t="s">
        <v>58</v>
      </c>
      <c r="B5" s="83" t="s">
        <v>59</v>
      </c>
      <c r="C5" s="94">
        <v>117989</v>
      </c>
      <c r="D5" s="94">
        <v>116223</v>
      </c>
      <c r="E5" s="94">
        <v>118728</v>
      </c>
      <c r="F5" s="94">
        <v>127424</v>
      </c>
      <c r="G5" s="94">
        <v>110840</v>
      </c>
      <c r="H5" s="94">
        <v>116963</v>
      </c>
      <c r="I5" s="94">
        <v>129860</v>
      </c>
      <c r="J5" s="94">
        <v>126763</v>
      </c>
      <c r="K5" s="94">
        <v>126751</v>
      </c>
      <c r="L5" s="94">
        <v>136657</v>
      </c>
      <c r="M5" s="94">
        <v>121816</v>
      </c>
      <c r="N5" s="94">
        <v>120112</v>
      </c>
      <c r="O5" s="94">
        <v>115262</v>
      </c>
      <c r="P5" s="94">
        <v>92167</v>
      </c>
      <c r="Q5" s="94">
        <v>90632</v>
      </c>
      <c r="R5" s="94">
        <v>74304</v>
      </c>
      <c r="S5" s="94">
        <v>70001</v>
      </c>
      <c r="T5" s="94">
        <v>72451</v>
      </c>
      <c r="U5" s="94">
        <v>81250</v>
      </c>
      <c r="V5" s="94">
        <v>87972</v>
      </c>
      <c r="W5" s="94">
        <v>110850</v>
      </c>
      <c r="X5" s="94">
        <v>103169</v>
      </c>
      <c r="Y5" s="94">
        <v>100244</v>
      </c>
      <c r="Z5" s="94">
        <v>107302</v>
      </c>
      <c r="AA5" s="94">
        <v>120647</v>
      </c>
      <c r="AB5" s="94">
        <v>95996</v>
      </c>
      <c r="AC5" s="94">
        <v>118968</v>
      </c>
      <c r="AD5" s="94">
        <v>99547</v>
      </c>
      <c r="AE5" s="94">
        <v>105093</v>
      </c>
      <c r="AF5" s="94">
        <v>134113</v>
      </c>
      <c r="AG5" s="94">
        <v>145771</v>
      </c>
      <c r="AH5" s="94">
        <v>140089</v>
      </c>
      <c r="AI5" s="94">
        <v>158618</v>
      </c>
      <c r="AJ5" s="94">
        <v>144210</v>
      </c>
      <c r="AK5" s="94">
        <v>153114</v>
      </c>
      <c r="AL5" s="94">
        <v>160412</v>
      </c>
    </row>
    <row r="6" spans="1:38" x14ac:dyDescent="0.3">
      <c r="A6" s="5" t="s">
        <v>60</v>
      </c>
      <c r="B6" s="5" t="s">
        <v>61</v>
      </c>
      <c r="C6" s="94">
        <v>74436</v>
      </c>
      <c r="D6" s="94">
        <v>72166</v>
      </c>
      <c r="E6" s="94">
        <v>75612</v>
      </c>
      <c r="F6" s="94">
        <v>77572</v>
      </c>
      <c r="G6" s="94">
        <v>67828</v>
      </c>
      <c r="H6" s="94">
        <v>72946</v>
      </c>
      <c r="I6" s="94">
        <v>80027</v>
      </c>
      <c r="J6" s="94">
        <v>78585</v>
      </c>
      <c r="K6" s="94">
        <v>78654</v>
      </c>
      <c r="L6" s="94">
        <v>80005</v>
      </c>
      <c r="M6" s="94">
        <v>71857</v>
      </c>
      <c r="N6" s="94">
        <v>72202</v>
      </c>
      <c r="O6" s="94">
        <v>81549</v>
      </c>
      <c r="P6" s="94">
        <v>74018</v>
      </c>
      <c r="Q6" s="94">
        <v>84267</v>
      </c>
      <c r="R6" s="94">
        <v>86613</v>
      </c>
      <c r="S6" s="94">
        <v>82636</v>
      </c>
      <c r="T6" s="94">
        <v>86988</v>
      </c>
      <c r="U6" s="94">
        <v>90707</v>
      </c>
      <c r="V6" s="94">
        <v>83117</v>
      </c>
      <c r="W6" s="94">
        <v>92262</v>
      </c>
      <c r="X6" s="94">
        <v>80904</v>
      </c>
      <c r="Y6" s="94">
        <v>78840</v>
      </c>
      <c r="Z6" s="94">
        <v>80946</v>
      </c>
      <c r="AA6" s="94">
        <v>87600</v>
      </c>
      <c r="AB6" s="94">
        <v>69272</v>
      </c>
      <c r="AC6" s="94">
        <v>83989</v>
      </c>
      <c r="AD6" s="94">
        <v>65977</v>
      </c>
      <c r="AE6" s="94">
        <v>65921</v>
      </c>
      <c r="AF6" s="94">
        <v>82233</v>
      </c>
      <c r="AG6" s="94">
        <v>77868</v>
      </c>
      <c r="AH6" s="94">
        <v>71094</v>
      </c>
      <c r="AI6" s="94">
        <v>76625</v>
      </c>
      <c r="AJ6" s="94">
        <v>67200</v>
      </c>
      <c r="AK6" s="94">
        <v>70497</v>
      </c>
      <c r="AL6" s="94">
        <v>68394</v>
      </c>
    </row>
    <row r="7" spans="1:38" x14ac:dyDescent="0.3">
      <c r="A7" s="5" t="s">
        <v>60</v>
      </c>
      <c r="B7" s="5" t="s">
        <v>62</v>
      </c>
      <c r="C7" s="94">
        <v>121140</v>
      </c>
      <c r="D7" s="94">
        <v>119162</v>
      </c>
      <c r="E7" s="94">
        <v>111177</v>
      </c>
      <c r="F7" s="94">
        <v>122607</v>
      </c>
      <c r="G7" s="94">
        <v>111811</v>
      </c>
      <c r="H7" s="94">
        <v>114710</v>
      </c>
      <c r="I7" s="94">
        <v>130887</v>
      </c>
      <c r="J7" s="94">
        <v>127683</v>
      </c>
      <c r="K7" s="94">
        <v>131170</v>
      </c>
      <c r="L7" s="94">
        <v>130058</v>
      </c>
      <c r="M7" s="94">
        <v>121439</v>
      </c>
      <c r="N7" s="94">
        <v>122925</v>
      </c>
      <c r="O7" s="94">
        <v>138133</v>
      </c>
      <c r="P7" s="94">
        <v>123285</v>
      </c>
      <c r="Q7" s="94">
        <v>124913</v>
      </c>
      <c r="R7" s="94">
        <v>135866</v>
      </c>
      <c r="S7" s="94">
        <v>117932</v>
      </c>
      <c r="T7" s="94">
        <v>130541</v>
      </c>
      <c r="U7" s="94">
        <v>138560</v>
      </c>
      <c r="V7" s="94">
        <v>134194</v>
      </c>
      <c r="W7" s="94">
        <v>304635</v>
      </c>
      <c r="X7" s="94">
        <v>147572</v>
      </c>
      <c r="Y7" s="94">
        <v>122277</v>
      </c>
      <c r="Z7" s="94">
        <v>141077</v>
      </c>
      <c r="AA7" s="94">
        <v>148080</v>
      </c>
      <c r="AB7" s="94">
        <v>123902</v>
      </c>
      <c r="AC7" s="94">
        <v>125201</v>
      </c>
      <c r="AD7" s="94">
        <v>119398</v>
      </c>
      <c r="AE7" s="94">
        <v>106731</v>
      </c>
      <c r="AF7" s="94">
        <v>124867</v>
      </c>
      <c r="AG7" s="94">
        <v>128239</v>
      </c>
      <c r="AH7" s="94">
        <v>121498</v>
      </c>
      <c r="AI7" s="94">
        <v>129619</v>
      </c>
      <c r="AJ7" s="94">
        <v>115468</v>
      </c>
      <c r="AK7" s="94">
        <v>117039</v>
      </c>
      <c r="AL7" s="94">
        <v>119198</v>
      </c>
    </row>
    <row r="8" spans="1:38" x14ac:dyDescent="0.3">
      <c r="A8" s="5" t="s">
        <v>60</v>
      </c>
      <c r="B8" s="5" t="s">
        <v>63</v>
      </c>
      <c r="C8" s="94">
        <v>145331</v>
      </c>
      <c r="D8" s="94">
        <v>125081</v>
      </c>
      <c r="E8" s="94">
        <v>158041</v>
      </c>
      <c r="F8" s="94">
        <v>138297</v>
      </c>
      <c r="G8" s="94">
        <v>145278</v>
      </c>
      <c r="H8" s="94">
        <v>173321</v>
      </c>
      <c r="I8" s="94">
        <v>190758</v>
      </c>
      <c r="J8" s="94">
        <v>205803</v>
      </c>
      <c r="K8" s="94">
        <v>216319</v>
      </c>
      <c r="L8" s="94">
        <v>202442</v>
      </c>
      <c r="M8" s="94">
        <v>179589</v>
      </c>
      <c r="N8" s="94">
        <v>181168</v>
      </c>
      <c r="O8" s="94">
        <v>181439</v>
      </c>
      <c r="P8" s="94">
        <v>139763</v>
      </c>
      <c r="Q8" s="94">
        <v>193235</v>
      </c>
      <c r="R8" s="94">
        <v>169804</v>
      </c>
      <c r="S8" s="94">
        <v>212342</v>
      </c>
      <c r="T8" s="94">
        <v>189954</v>
      </c>
      <c r="U8" s="94">
        <v>200311</v>
      </c>
      <c r="V8" s="94">
        <v>227051</v>
      </c>
      <c r="W8" s="94">
        <v>279054</v>
      </c>
      <c r="X8" s="94">
        <v>191270</v>
      </c>
      <c r="Y8" s="94">
        <v>184186</v>
      </c>
      <c r="Z8" s="94">
        <v>161652</v>
      </c>
      <c r="AA8" s="94">
        <v>167655</v>
      </c>
      <c r="AB8" s="94">
        <v>144075</v>
      </c>
      <c r="AC8" s="94">
        <v>183166</v>
      </c>
      <c r="AD8" s="94">
        <v>177060</v>
      </c>
      <c r="AE8" s="94">
        <v>166583</v>
      </c>
      <c r="AF8" s="94">
        <v>197149</v>
      </c>
      <c r="AG8" s="94">
        <v>208749</v>
      </c>
      <c r="AH8" s="94">
        <v>196493</v>
      </c>
      <c r="AI8" s="94">
        <v>250647</v>
      </c>
      <c r="AJ8" s="94">
        <v>192403</v>
      </c>
      <c r="AK8" s="94">
        <v>191307</v>
      </c>
      <c r="AL8" s="94">
        <v>166370</v>
      </c>
    </row>
    <row r="9" spans="1:38" x14ac:dyDescent="0.3">
      <c r="A9" s="5" t="s">
        <v>60</v>
      </c>
      <c r="B9" s="12" t="s">
        <v>64</v>
      </c>
      <c r="C9" s="94">
        <v>3704415</v>
      </c>
      <c r="D9" s="94">
        <v>3640313</v>
      </c>
      <c r="E9" s="94">
        <v>3817659</v>
      </c>
      <c r="F9" s="94">
        <v>3983749</v>
      </c>
      <c r="G9" s="94">
        <v>3748740</v>
      </c>
      <c r="H9" s="94">
        <v>3993056</v>
      </c>
      <c r="I9" s="94">
        <v>4401240</v>
      </c>
      <c r="J9" s="94">
        <v>4317613</v>
      </c>
      <c r="K9" s="94">
        <v>4295769</v>
      </c>
      <c r="L9" s="94">
        <v>4403227</v>
      </c>
      <c r="M9" s="94">
        <v>3877476</v>
      </c>
      <c r="N9" s="94">
        <v>3945776</v>
      </c>
      <c r="O9" s="94">
        <v>4151605</v>
      </c>
      <c r="P9" s="94">
        <v>3647212</v>
      </c>
      <c r="Q9" s="94">
        <v>4023505</v>
      </c>
      <c r="R9" s="94">
        <v>3944735</v>
      </c>
      <c r="S9" s="94">
        <v>3771283</v>
      </c>
      <c r="T9" s="94">
        <v>4070762</v>
      </c>
      <c r="U9" s="94">
        <v>4325116</v>
      </c>
      <c r="V9" s="94">
        <v>4356513</v>
      </c>
      <c r="W9" s="94">
        <v>4799673</v>
      </c>
      <c r="X9" s="94">
        <v>4184233</v>
      </c>
      <c r="Y9" s="94">
        <v>3813934</v>
      </c>
      <c r="Z9" s="94">
        <v>3949090</v>
      </c>
      <c r="AA9" s="94">
        <v>4129470</v>
      </c>
      <c r="AB9" s="94">
        <v>3478511</v>
      </c>
      <c r="AC9" s="94">
        <v>4065746</v>
      </c>
      <c r="AD9" s="94">
        <v>3652798</v>
      </c>
      <c r="AE9" s="94">
        <v>3683678</v>
      </c>
      <c r="AF9" s="94">
        <v>4178312</v>
      </c>
      <c r="AG9" s="94">
        <v>4429399</v>
      </c>
      <c r="AH9" s="94">
        <v>4147685</v>
      </c>
      <c r="AI9" s="94">
        <v>4483501</v>
      </c>
      <c r="AJ9" s="94">
        <v>3838759</v>
      </c>
      <c r="AK9" s="94">
        <v>3863185</v>
      </c>
      <c r="AL9" s="94">
        <v>4012117</v>
      </c>
    </row>
    <row r="10" spans="1:38" x14ac:dyDescent="0.3">
      <c r="A10" s="5" t="s">
        <v>65</v>
      </c>
      <c r="B10" s="5" t="s">
        <v>66</v>
      </c>
      <c r="C10" s="94">
        <v>131792</v>
      </c>
      <c r="D10" s="94">
        <v>178805</v>
      </c>
      <c r="E10" s="94">
        <v>237818</v>
      </c>
      <c r="F10" s="94">
        <v>185543</v>
      </c>
      <c r="G10" s="94">
        <v>250215</v>
      </c>
      <c r="H10" s="94">
        <v>228612</v>
      </c>
      <c r="I10" s="94">
        <v>245887</v>
      </c>
      <c r="J10" s="94">
        <v>300932</v>
      </c>
      <c r="K10" s="94">
        <v>782973</v>
      </c>
      <c r="L10" s="94">
        <v>301926</v>
      </c>
      <c r="M10" s="94">
        <v>278509</v>
      </c>
      <c r="N10" s="94">
        <v>239268</v>
      </c>
      <c r="O10" s="94">
        <v>281654</v>
      </c>
      <c r="P10" s="94">
        <v>223212</v>
      </c>
      <c r="Q10" s="94">
        <v>235250</v>
      </c>
      <c r="R10" s="94">
        <v>225731</v>
      </c>
      <c r="S10" s="94">
        <v>235470</v>
      </c>
      <c r="T10" s="94">
        <v>221362</v>
      </c>
      <c r="U10" s="94">
        <v>231988</v>
      </c>
      <c r="V10" s="94">
        <v>238407</v>
      </c>
      <c r="W10" s="94">
        <v>299142</v>
      </c>
      <c r="X10" s="94">
        <v>295596</v>
      </c>
      <c r="Y10" s="94">
        <v>237069</v>
      </c>
      <c r="Z10" s="94">
        <v>234166</v>
      </c>
      <c r="AA10" s="94">
        <v>219741</v>
      </c>
      <c r="AB10" s="94">
        <v>235828</v>
      </c>
      <c r="AC10" s="94">
        <v>269230</v>
      </c>
      <c r="AD10" s="94">
        <v>150237</v>
      </c>
      <c r="AE10" s="94">
        <v>256696</v>
      </c>
      <c r="AF10" s="94">
        <v>267960</v>
      </c>
      <c r="AG10" s="94">
        <v>278436</v>
      </c>
      <c r="AH10" s="94">
        <v>230151</v>
      </c>
      <c r="AI10" s="94">
        <v>300167</v>
      </c>
      <c r="AJ10" s="94">
        <v>228760</v>
      </c>
      <c r="AK10" s="94">
        <v>240337</v>
      </c>
      <c r="AL10" s="94">
        <v>280263</v>
      </c>
    </row>
    <row r="12" spans="1:38" x14ac:dyDescent="0.3">
      <c r="A12" s="188" t="s">
        <v>68</v>
      </c>
      <c r="B12" s="189"/>
      <c r="C12" s="189"/>
      <c r="D12" s="189"/>
      <c r="E12" s="189"/>
      <c r="F12" s="189"/>
      <c r="G12" s="189"/>
      <c r="H12" s="189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</row>
    <row r="13" spans="1:38" ht="57.6" x14ac:dyDescent="0.3">
      <c r="A13" s="78" t="s">
        <v>56</v>
      </c>
      <c r="C13" s="84" t="str">
        <f t="shared" ref="C13:F13" si="40">C4</f>
        <v>January 2021 Sewer Billed Volume (CCF)</v>
      </c>
      <c r="D13" s="84" t="str">
        <f t="shared" si="40"/>
        <v>February 2021 Sewer Billed Volume (CCF)</v>
      </c>
      <c r="E13" s="84" t="str">
        <f t="shared" si="40"/>
        <v>March 2021 Sewer Billed Volume (CCF)</v>
      </c>
      <c r="F13" s="84" t="str">
        <f t="shared" si="40"/>
        <v>April 2021 Sewer Billed Volume (CCF)</v>
      </c>
      <c r="G13" s="84" t="str">
        <f t="shared" ref="G13:K13" si="41">G4</f>
        <v>May 2021 Sewer Billed Volume (CCF)</v>
      </c>
      <c r="H13" s="84" t="str">
        <f t="shared" si="41"/>
        <v>June 2021 Sewer Billed Volume (CCF)</v>
      </c>
      <c r="I13" s="84" t="str">
        <f t="shared" si="41"/>
        <v>July 2021 Sewer Billed Volume (CCF)</v>
      </c>
      <c r="J13" s="84" t="str">
        <f t="shared" si="41"/>
        <v>August 2021 Sewer Billed Volume (CCF)</v>
      </c>
      <c r="K13" s="84" t="str">
        <f t="shared" si="41"/>
        <v>September 2021 Sewer Billed Volume (CCF)</v>
      </c>
      <c r="L13" s="84" t="str">
        <f t="shared" ref="L13:T13" si="42">L4</f>
        <v>October 2021 Sewer Billed Volume (CCF)</v>
      </c>
      <c r="M13" s="84" t="str">
        <f t="shared" si="42"/>
        <v>November 2021 Sewer Billed Volume (CCF)</v>
      </c>
      <c r="N13" s="84" t="str">
        <f t="shared" si="42"/>
        <v>December 2021 Sewer Billed Volume (CCF)</v>
      </c>
      <c r="O13" s="84" t="str">
        <f t="shared" si="42"/>
        <v>January 2022 Sewer Billed Volume (CCF)</v>
      </c>
      <c r="P13" s="84" t="str">
        <f t="shared" si="42"/>
        <v>February 2022 Sewer Billed Volume (CCF)</v>
      </c>
      <c r="Q13" s="84" t="str">
        <f t="shared" si="42"/>
        <v>March 2022 Sewer Billed Volume (CCF)</v>
      </c>
      <c r="R13" s="84" t="str">
        <f t="shared" si="42"/>
        <v>April 2022 Sewer Billed Volume (CCF)</v>
      </c>
      <c r="S13" s="84" t="str">
        <f t="shared" si="42"/>
        <v>May 2022 Sewer Billed Volume (CCF)</v>
      </c>
      <c r="T13" s="84" t="str">
        <f t="shared" si="42"/>
        <v>June 2022 Sewer Billed Volume (CCF)</v>
      </c>
      <c r="U13" s="84" t="str">
        <f t="shared" ref="U13:Y13" si="43">U4</f>
        <v>July 2022 Sewer Billed Volume (CCF)</v>
      </c>
      <c r="V13" s="84" t="str">
        <f t="shared" si="43"/>
        <v>August 2022 Sewer Billed Volume (CCF)</v>
      </c>
      <c r="W13" s="84" t="str">
        <f t="shared" si="43"/>
        <v>September 2022 Sewer Billed Volume (CCF)</v>
      </c>
      <c r="X13" s="84" t="str">
        <f t="shared" si="43"/>
        <v>October 2022 Sewer Billed Volume (CCF)</v>
      </c>
      <c r="Y13" s="84" t="str">
        <f t="shared" si="43"/>
        <v>November 2022 Sewer Billed Volume (CCF)</v>
      </c>
      <c r="Z13" s="84" t="str">
        <f t="shared" ref="Z13:AJ13" si="44">Z4</f>
        <v>December 2022 Sewer Billed Volume (CCF)</v>
      </c>
      <c r="AA13" s="84" t="str">
        <f t="shared" si="44"/>
        <v>January 2023 Sewer Billed Volume (CCF)</v>
      </c>
      <c r="AB13" s="84" t="str">
        <f t="shared" si="44"/>
        <v>February 2023 Sewer Billed Volume (CCF)</v>
      </c>
      <c r="AC13" s="84" t="str">
        <f t="shared" si="44"/>
        <v>March 2023 Sewer Billed Volume (CCF)</v>
      </c>
      <c r="AD13" s="84" t="str">
        <f t="shared" si="44"/>
        <v>April 2023 Sewer Billed Volume (CCF)</v>
      </c>
      <c r="AE13" s="84" t="str">
        <f t="shared" si="44"/>
        <v>May 2023 Sewer Billed Volume (CCF)</v>
      </c>
      <c r="AF13" s="84" t="str">
        <f t="shared" si="44"/>
        <v>June 2023 Sewer Billed Volume (CCF)</v>
      </c>
      <c r="AG13" s="84" t="str">
        <f t="shared" si="44"/>
        <v>July 2023 Sewer Billed Volume (CCF)</v>
      </c>
      <c r="AH13" s="84" t="str">
        <f t="shared" si="44"/>
        <v>August 2023 Sewer Billed Volume (CCF)</v>
      </c>
      <c r="AI13" s="84" t="str">
        <f t="shared" si="44"/>
        <v>September 2023 Sewer Billed Volume (CCF)</v>
      </c>
      <c r="AJ13" s="84" t="str">
        <f t="shared" si="44"/>
        <v>October 2023 Sewer Billed Volume (CCF)</v>
      </c>
      <c r="AK13" s="84" t="str">
        <f t="shared" ref="AK13:AL13" si="45">AK4</f>
        <v>November 2023 Sewer Billed Volume (CCF)</v>
      </c>
      <c r="AL13" s="84" t="str">
        <f t="shared" si="45"/>
        <v>December 2023 Sewer Billed Volume (CCF)</v>
      </c>
    </row>
    <row r="14" spans="1:38" x14ac:dyDescent="0.3">
      <c r="A14" s="5" t="s">
        <v>58</v>
      </c>
      <c r="C14" s="14">
        <f t="shared" ref="C14:G14" si="46">SUMIF($A$5:$A$10,$A14,C$5:C$10)</f>
        <v>117989</v>
      </c>
      <c r="D14" s="14">
        <f t="shared" si="46"/>
        <v>116223</v>
      </c>
      <c r="E14" s="14">
        <f t="shared" si="46"/>
        <v>118728</v>
      </c>
      <c r="F14" s="14">
        <f t="shared" si="46"/>
        <v>127424</v>
      </c>
      <c r="G14" s="14">
        <f t="shared" si="46"/>
        <v>110840</v>
      </c>
      <c r="H14" s="14">
        <f t="shared" ref="H14:W16" si="47">SUMIF($A$5:$A$10,$A14,H$5:H$10)</f>
        <v>116963</v>
      </c>
      <c r="I14" s="14">
        <f t="shared" si="47"/>
        <v>129860</v>
      </c>
      <c r="J14" s="14">
        <f t="shared" si="47"/>
        <v>126763</v>
      </c>
      <c r="K14" s="14">
        <f t="shared" si="47"/>
        <v>126751</v>
      </c>
      <c r="L14" s="14">
        <f t="shared" si="47"/>
        <v>136657</v>
      </c>
      <c r="M14" s="14">
        <f t="shared" si="47"/>
        <v>121816</v>
      </c>
      <c r="N14" s="14">
        <f t="shared" si="47"/>
        <v>120112</v>
      </c>
      <c r="O14" s="14">
        <f t="shared" si="47"/>
        <v>115262</v>
      </c>
      <c r="P14" s="14">
        <f t="shared" si="47"/>
        <v>92167</v>
      </c>
      <c r="Q14" s="14">
        <f t="shared" si="47"/>
        <v>90632</v>
      </c>
      <c r="R14" s="14">
        <f t="shared" si="47"/>
        <v>74304</v>
      </c>
      <c r="S14" s="14">
        <f t="shared" si="47"/>
        <v>70001</v>
      </c>
      <c r="T14" s="14">
        <f t="shared" si="47"/>
        <v>72451</v>
      </c>
      <c r="U14" s="14">
        <f t="shared" si="47"/>
        <v>81250</v>
      </c>
      <c r="V14" s="14">
        <f t="shared" si="47"/>
        <v>87972</v>
      </c>
      <c r="W14" s="14">
        <f t="shared" si="47"/>
        <v>110850</v>
      </c>
      <c r="X14" s="14">
        <f t="shared" ref="U14:AL16" si="48">SUMIF($A$5:$A$10,$A14,X$5:X$10)</f>
        <v>103169</v>
      </c>
      <c r="Y14" s="14">
        <f t="shared" si="48"/>
        <v>100244</v>
      </c>
      <c r="Z14" s="14">
        <f t="shared" si="48"/>
        <v>107302</v>
      </c>
      <c r="AA14" s="14">
        <f t="shared" si="48"/>
        <v>120647</v>
      </c>
      <c r="AB14" s="14">
        <f t="shared" si="48"/>
        <v>95996</v>
      </c>
      <c r="AC14" s="14">
        <f t="shared" si="48"/>
        <v>118968</v>
      </c>
      <c r="AD14" s="14">
        <f t="shared" si="48"/>
        <v>99547</v>
      </c>
      <c r="AE14" s="14">
        <f t="shared" si="48"/>
        <v>105093</v>
      </c>
      <c r="AF14" s="14">
        <f t="shared" si="48"/>
        <v>134113</v>
      </c>
      <c r="AG14" s="14">
        <f t="shared" si="48"/>
        <v>145771</v>
      </c>
      <c r="AH14" s="14">
        <f t="shared" si="48"/>
        <v>140089</v>
      </c>
      <c r="AI14" s="14">
        <f t="shared" si="48"/>
        <v>158618</v>
      </c>
      <c r="AJ14" s="14">
        <f t="shared" si="48"/>
        <v>144210</v>
      </c>
      <c r="AK14" s="14">
        <f t="shared" si="48"/>
        <v>153114</v>
      </c>
      <c r="AL14" s="14">
        <f t="shared" si="48"/>
        <v>160412</v>
      </c>
    </row>
    <row r="15" spans="1:38" x14ac:dyDescent="0.3">
      <c r="A15" s="5" t="s">
        <v>60</v>
      </c>
      <c r="C15" s="14">
        <f t="shared" ref="C15:Q16" si="49">SUMIF($A$5:$A$10,$A15,C$5:C$10)</f>
        <v>4045322</v>
      </c>
      <c r="D15" s="14">
        <f t="shared" si="49"/>
        <v>3956722</v>
      </c>
      <c r="E15" s="14">
        <f t="shared" si="49"/>
        <v>4162489</v>
      </c>
      <c r="F15" s="14">
        <f t="shared" si="49"/>
        <v>4322225</v>
      </c>
      <c r="G15" s="14">
        <f t="shared" si="49"/>
        <v>4073657</v>
      </c>
      <c r="H15" s="14">
        <f t="shared" si="49"/>
        <v>4354033</v>
      </c>
      <c r="I15" s="14">
        <f t="shared" si="49"/>
        <v>4802912</v>
      </c>
      <c r="J15" s="14">
        <f t="shared" si="49"/>
        <v>4729684</v>
      </c>
      <c r="K15" s="14">
        <f t="shared" si="49"/>
        <v>4721912</v>
      </c>
      <c r="L15" s="14">
        <f t="shared" si="49"/>
        <v>4815732</v>
      </c>
      <c r="M15" s="14">
        <f t="shared" si="49"/>
        <v>4250361</v>
      </c>
      <c r="N15" s="14">
        <f t="shared" si="49"/>
        <v>4322071</v>
      </c>
      <c r="O15" s="14">
        <f t="shared" si="49"/>
        <v>4552726</v>
      </c>
      <c r="P15" s="14">
        <f t="shared" si="49"/>
        <v>3984278</v>
      </c>
      <c r="Q15" s="14">
        <f t="shared" si="49"/>
        <v>4425920</v>
      </c>
      <c r="R15" s="14">
        <f t="shared" si="47"/>
        <v>4337018</v>
      </c>
      <c r="S15" s="14">
        <f t="shared" si="47"/>
        <v>4184193</v>
      </c>
      <c r="T15" s="14">
        <f t="shared" si="47"/>
        <v>4478245</v>
      </c>
      <c r="U15" s="14">
        <f t="shared" si="48"/>
        <v>4754694</v>
      </c>
      <c r="V15" s="14">
        <f t="shared" si="48"/>
        <v>4800875</v>
      </c>
      <c r="W15" s="14">
        <f t="shared" si="48"/>
        <v>5475624</v>
      </c>
      <c r="X15" s="14">
        <f t="shared" si="48"/>
        <v>4603979</v>
      </c>
      <c r="Y15" s="14">
        <f t="shared" si="48"/>
        <v>4199237</v>
      </c>
      <c r="Z15" s="14">
        <f t="shared" si="48"/>
        <v>4332765</v>
      </c>
      <c r="AA15" s="14">
        <f t="shared" si="48"/>
        <v>4532805</v>
      </c>
      <c r="AB15" s="14">
        <f t="shared" si="48"/>
        <v>3815760</v>
      </c>
      <c r="AC15" s="14">
        <f t="shared" si="48"/>
        <v>4458102</v>
      </c>
      <c r="AD15" s="14">
        <f t="shared" si="48"/>
        <v>4015233</v>
      </c>
      <c r="AE15" s="14">
        <f t="shared" si="48"/>
        <v>4022913</v>
      </c>
      <c r="AF15" s="14">
        <f t="shared" si="48"/>
        <v>4582561</v>
      </c>
      <c r="AG15" s="14">
        <f t="shared" si="48"/>
        <v>4844255</v>
      </c>
      <c r="AH15" s="14">
        <f t="shared" si="48"/>
        <v>4536770</v>
      </c>
      <c r="AI15" s="14">
        <f t="shared" si="48"/>
        <v>4940392</v>
      </c>
      <c r="AJ15" s="14">
        <f t="shared" si="48"/>
        <v>4213830</v>
      </c>
      <c r="AK15" s="14">
        <f t="shared" si="48"/>
        <v>4242028</v>
      </c>
      <c r="AL15" s="14">
        <f t="shared" si="48"/>
        <v>4366079</v>
      </c>
    </row>
    <row r="16" spans="1:38" x14ac:dyDescent="0.3">
      <c r="A16" s="5" t="s">
        <v>65</v>
      </c>
      <c r="C16" s="14">
        <f t="shared" si="49"/>
        <v>131792</v>
      </c>
      <c r="D16" s="14">
        <f t="shared" si="49"/>
        <v>178805</v>
      </c>
      <c r="E16" s="14">
        <f t="shared" si="49"/>
        <v>237818</v>
      </c>
      <c r="F16" s="14">
        <f t="shared" si="49"/>
        <v>185543</v>
      </c>
      <c r="G16" s="14">
        <f t="shared" si="49"/>
        <v>250215</v>
      </c>
      <c r="H16" s="14">
        <f t="shared" si="49"/>
        <v>228612</v>
      </c>
      <c r="I16" s="14">
        <f t="shared" si="49"/>
        <v>245887</v>
      </c>
      <c r="J16" s="14">
        <f t="shared" si="49"/>
        <v>300932</v>
      </c>
      <c r="K16" s="14">
        <f t="shared" si="49"/>
        <v>782973</v>
      </c>
      <c r="L16" s="14">
        <f t="shared" si="47"/>
        <v>301926</v>
      </c>
      <c r="M16" s="14">
        <f t="shared" si="47"/>
        <v>278509</v>
      </c>
      <c r="N16" s="14">
        <f t="shared" si="47"/>
        <v>239268</v>
      </c>
      <c r="O16" s="14">
        <f t="shared" si="47"/>
        <v>281654</v>
      </c>
      <c r="P16" s="14">
        <f t="shared" si="47"/>
        <v>223212</v>
      </c>
      <c r="Q16" s="14">
        <f t="shared" si="47"/>
        <v>235250</v>
      </c>
      <c r="R16" s="14">
        <f t="shared" si="47"/>
        <v>225731</v>
      </c>
      <c r="S16" s="14">
        <f t="shared" si="47"/>
        <v>235470</v>
      </c>
      <c r="T16" s="14">
        <f t="shared" si="47"/>
        <v>221362</v>
      </c>
      <c r="U16" s="14">
        <f t="shared" si="48"/>
        <v>231988</v>
      </c>
      <c r="V16" s="14">
        <f t="shared" si="48"/>
        <v>238407</v>
      </c>
      <c r="W16" s="14">
        <f t="shared" si="48"/>
        <v>299142</v>
      </c>
      <c r="X16" s="14">
        <f t="shared" si="48"/>
        <v>295596</v>
      </c>
      <c r="Y16" s="14">
        <f t="shared" si="48"/>
        <v>237069</v>
      </c>
      <c r="Z16" s="14">
        <f t="shared" si="48"/>
        <v>234166</v>
      </c>
      <c r="AA16" s="14">
        <f t="shared" si="48"/>
        <v>219741</v>
      </c>
      <c r="AB16" s="14">
        <f t="shared" si="48"/>
        <v>235828</v>
      </c>
      <c r="AC16" s="14">
        <f t="shared" si="48"/>
        <v>269230</v>
      </c>
      <c r="AD16" s="14">
        <f t="shared" si="48"/>
        <v>150237</v>
      </c>
      <c r="AE16" s="14">
        <f t="shared" si="48"/>
        <v>256696</v>
      </c>
      <c r="AF16" s="14">
        <f t="shared" si="48"/>
        <v>267960</v>
      </c>
      <c r="AG16" s="14">
        <f t="shared" si="48"/>
        <v>278436</v>
      </c>
      <c r="AH16" s="14">
        <f t="shared" si="48"/>
        <v>230151</v>
      </c>
      <c r="AI16" s="14">
        <f t="shared" si="48"/>
        <v>300167</v>
      </c>
      <c r="AJ16" s="14">
        <f t="shared" si="48"/>
        <v>228760</v>
      </c>
      <c r="AK16" s="14">
        <f t="shared" si="48"/>
        <v>240337</v>
      </c>
      <c r="AL16" s="14">
        <f t="shared" si="48"/>
        <v>280263</v>
      </c>
    </row>
    <row r="18" spans="1:3" x14ac:dyDescent="0.3">
      <c r="A18" s="4"/>
    </row>
    <row r="19" spans="1:3" ht="28.8" customHeight="1" x14ac:dyDescent="0.3">
      <c r="A19" s="192" t="s">
        <v>136</v>
      </c>
      <c r="B19" s="192"/>
      <c r="C19" s="77"/>
    </row>
    <row r="20" spans="1:3" ht="28.2" customHeight="1" x14ac:dyDescent="0.3">
      <c r="A20" s="192" t="s">
        <v>137</v>
      </c>
      <c r="B20" s="192"/>
    </row>
  </sheetData>
  <mergeCells count="4">
    <mergeCell ref="A1:H1"/>
    <mergeCell ref="A12:H12"/>
    <mergeCell ref="A19:B19"/>
    <mergeCell ref="A20:B20"/>
  </mergeCells>
  <pageMargins left="0.7" right="0.7" top="0.75" bottom="0.75" header="0.3" footer="0.3"/>
  <pageSetup fitToHeight="0" orientation="landscape" r:id="rId1"/>
  <headerFooter>
    <oddHeader>&amp;L2024 TAP Reconcilable Rider Reports and Projection Model: &amp;A
January 2023 - December 2023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  <pageSetUpPr fitToPage="1"/>
  </sheetPr>
  <dimension ref="A1:AL12"/>
  <sheetViews>
    <sheetView workbookViewId="0">
      <selection sqref="A1:E1"/>
    </sheetView>
  </sheetViews>
  <sheetFormatPr defaultColWidth="9.109375" defaultRowHeight="14.4" x14ac:dyDescent="0.3"/>
  <cols>
    <col min="1" max="1" width="19.88671875" customWidth="1"/>
    <col min="2" max="25" width="11.6640625" hidden="1" customWidth="1"/>
    <col min="26" max="37" width="11.6640625" customWidth="1"/>
  </cols>
  <sheetData>
    <row r="1" spans="1:38" x14ac:dyDescent="0.3">
      <c r="A1" s="193" t="str">
        <f>"DR-3A: TAP Participants ("&amp; TEXT('Data Source'!C5,"Mmmm YYYY")&amp;" - "&amp;TEXT('Data Source'!E5,"Mmmm YYYY")&amp;")"</f>
        <v>DR-3A: TAP Participants (January 2021 - December 2023)</v>
      </c>
      <c r="B1" s="194"/>
      <c r="C1" s="194"/>
      <c r="D1" s="194"/>
      <c r="E1" s="194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</row>
    <row r="2" spans="1:38" x14ac:dyDescent="0.3">
      <c r="A2" s="85"/>
      <c r="B2" s="86">
        <v>2021</v>
      </c>
      <c r="C2" s="86">
        <v>2021</v>
      </c>
      <c r="D2" s="86">
        <v>2021</v>
      </c>
      <c r="E2" s="86">
        <v>2021</v>
      </c>
      <c r="F2" s="86">
        <v>2021</v>
      </c>
      <c r="G2" s="86">
        <v>2021</v>
      </c>
      <c r="H2" s="86">
        <v>2021</v>
      </c>
      <c r="I2" s="86">
        <v>2021</v>
      </c>
      <c r="J2" s="86">
        <v>2021</v>
      </c>
      <c r="K2" s="86">
        <v>2021</v>
      </c>
      <c r="L2" s="86">
        <v>2021</v>
      </c>
      <c r="M2" s="86">
        <f>IF(M3=1,L2+1,L2)</f>
        <v>2021</v>
      </c>
      <c r="N2" s="86">
        <f t="shared" ref="N2:S2" si="0">IF(N3=1,M2+1,M2)</f>
        <v>2022</v>
      </c>
      <c r="O2" s="86">
        <f t="shared" si="0"/>
        <v>2022</v>
      </c>
      <c r="P2" s="86">
        <f t="shared" si="0"/>
        <v>2022</v>
      </c>
      <c r="Q2" s="86">
        <f t="shared" si="0"/>
        <v>2022</v>
      </c>
      <c r="R2" s="86">
        <f t="shared" si="0"/>
        <v>2022</v>
      </c>
      <c r="S2" s="86">
        <f t="shared" si="0"/>
        <v>2022</v>
      </c>
      <c r="T2" s="86">
        <f t="shared" ref="T2" si="1">IF(T3=1,S2+1,S2)</f>
        <v>2022</v>
      </c>
      <c r="U2" s="86">
        <f t="shared" ref="U2" si="2">IF(U3=1,T2+1,T2)</f>
        <v>2022</v>
      </c>
      <c r="V2" s="86">
        <f t="shared" ref="V2" si="3">IF(V3=1,U2+1,U2)</f>
        <v>2022</v>
      </c>
      <c r="W2" s="86">
        <f t="shared" ref="W2:X2" si="4">IF(W3=1,V2+1,V2)</f>
        <v>2022</v>
      </c>
      <c r="X2" s="86">
        <f t="shared" si="4"/>
        <v>2022</v>
      </c>
      <c r="Y2" s="86">
        <v>2022</v>
      </c>
      <c r="Z2" s="86">
        <f t="shared" ref="Z2" si="5">IF(Z3=1,Y2+1,Y2)</f>
        <v>2023</v>
      </c>
      <c r="AA2" s="86">
        <f t="shared" ref="AA2" si="6">IF(AA3=1,Z2+1,Z2)</f>
        <v>2023</v>
      </c>
      <c r="AB2" s="86">
        <f t="shared" ref="AB2" si="7">IF(AB3=1,AA2+1,AA2)</f>
        <v>2023</v>
      </c>
      <c r="AC2" s="86">
        <f t="shared" ref="AC2" si="8">IF(AC3=1,AB2+1,AB2)</f>
        <v>2023</v>
      </c>
      <c r="AD2" s="86">
        <f t="shared" ref="AD2" si="9">IF(AD3=1,AC2+1,AC2)</f>
        <v>2023</v>
      </c>
      <c r="AE2" s="86">
        <f t="shared" ref="AE2" si="10">IF(AE3=1,AD2+1,AD2)</f>
        <v>2023</v>
      </c>
      <c r="AF2" s="86">
        <f t="shared" ref="AF2" si="11">IF(AF3=1,AE2+1,AE2)</f>
        <v>2023</v>
      </c>
      <c r="AG2" s="86">
        <f t="shared" ref="AG2" si="12">IF(AG3=1,AF2+1,AF2)</f>
        <v>2023</v>
      </c>
      <c r="AH2" s="86">
        <f t="shared" ref="AH2" si="13">IF(AH3=1,AG2+1,AG2)</f>
        <v>2023</v>
      </c>
      <c r="AI2" s="86">
        <f t="shared" ref="AI2" si="14">IF(AI3=1,AH2+1,AH2)</f>
        <v>2023</v>
      </c>
      <c r="AJ2" s="86">
        <f t="shared" ref="AJ2:AK2" si="15">IF(AJ3=1,AI2+1,AI2)</f>
        <v>2023</v>
      </c>
      <c r="AK2" s="86">
        <f t="shared" si="15"/>
        <v>2023</v>
      </c>
    </row>
    <row r="3" spans="1:38" x14ac:dyDescent="0.3">
      <c r="A3" s="85"/>
      <c r="B3" s="86">
        <v>1</v>
      </c>
      <c r="C3" s="86">
        <v>2</v>
      </c>
      <c r="D3" s="86">
        <v>3</v>
      </c>
      <c r="E3" s="86">
        <v>4</v>
      </c>
      <c r="F3" s="86">
        <v>5</v>
      </c>
      <c r="G3" s="86">
        <v>6</v>
      </c>
      <c r="H3" s="86">
        <v>7</v>
      </c>
      <c r="I3" s="86">
        <v>8</v>
      </c>
      <c r="J3" s="86">
        <v>9</v>
      </c>
      <c r="K3" s="86">
        <v>10</v>
      </c>
      <c r="L3" s="86">
        <v>11</v>
      </c>
      <c r="M3" s="86">
        <f>IF(L3&lt;12,L3+1,1)</f>
        <v>12</v>
      </c>
      <c r="N3" s="86">
        <f t="shared" ref="N3:S3" si="16">IF(M3&lt;12,M3+1,1)</f>
        <v>1</v>
      </c>
      <c r="O3" s="86">
        <f t="shared" si="16"/>
        <v>2</v>
      </c>
      <c r="P3" s="86">
        <f t="shared" si="16"/>
        <v>3</v>
      </c>
      <c r="Q3" s="86">
        <f t="shared" si="16"/>
        <v>4</v>
      </c>
      <c r="R3" s="86">
        <f t="shared" si="16"/>
        <v>5</v>
      </c>
      <c r="S3" s="86">
        <f t="shared" si="16"/>
        <v>6</v>
      </c>
      <c r="T3" s="86">
        <f t="shared" ref="T3" si="17">IF(S3&lt;12,S3+1,1)</f>
        <v>7</v>
      </c>
      <c r="U3" s="86">
        <f t="shared" ref="U3" si="18">IF(T3&lt;12,T3+1,1)</f>
        <v>8</v>
      </c>
      <c r="V3" s="86">
        <f t="shared" ref="V3" si="19">IF(U3&lt;12,U3+1,1)</f>
        <v>9</v>
      </c>
      <c r="W3" s="86">
        <f t="shared" ref="W3:X3" si="20">IF(V3&lt;12,V3+1,1)</f>
        <v>10</v>
      </c>
      <c r="X3" s="86">
        <f t="shared" si="20"/>
        <v>11</v>
      </c>
      <c r="Y3" s="86">
        <f>IF(X3&lt;12,X3+1,1)</f>
        <v>12</v>
      </c>
      <c r="Z3" s="86">
        <f t="shared" ref="Z3" si="21">IF(Y3&lt;12,Y3+1,1)</f>
        <v>1</v>
      </c>
      <c r="AA3" s="86">
        <f t="shared" ref="AA3" si="22">IF(Z3&lt;12,Z3+1,1)</f>
        <v>2</v>
      </c>
      <c r="AB3" s="86">
        <f t="shared" ref="AB3" si="23">IF(AA3&lt;12,AA3+1,1)</f>
        <v>3</v>
      </c>
      <c r="AC3" s="86">
        <f t="shared" ref="AC3" si="24">IF(AB3&lt;12,AB3+1,1)</f>
        <v>4</v>
      </c>
      <c r="AD3" s="86">
        <f t="shared" ref="AD3" si="25">IF(AC3&lt;12,AC3+1,1)</f>
        <v>5</v>
      </c>
      <c r="AE3" s="86">
        <f t="shared" ref="AE3" si="26">IF(AD3&lt;12,AD3+1,1)</f>
        <v>6</v>
      </c>
      <c r="AF3" s="86">
        <f t="shared" ref="AF3" si="27">IF(AE3&lt;12,AE3+1,1)</f>
        <v>7</v>
      </c>
      <c r="AG3" s="86">
        <f t="shared" ref="AG3" si="28">IF(AF3&lt;12,AF3+1,1)</f>
        <v>8</v>
      </c>
      <c r="AH3" s="86">
        <f t="shared" ref="AH3" si="29">IF(AG3&lt;12,AG3+1,1)</f>
        <v>9</v>
      </c>
      <c r="AI3" s="86">
        <f t="shared" ref="AI3" si="30">IF(AH3&lt;12,AH3+1,1)</f>
        <v>10</v>
      </c>
      <c r="AJ3" s="86">
        <f t="shared" ref="AJ3:AK3" si="31">IF(AI3&lt;12,AI3+1,1)</f>
        <v>11</v>
      </c>
      <c r="AK3" s="86">
        <f t="shared" si="31"/>
        <v>12</v>
      </c>
    </row>
    <row r="4" spans="1:38" ht="43.2" x14ac:dyDescent="0.3">
      <c r="A4" s="71" t="s">
        <v>69</v>
      </c>
      <c r="B4" s="87" t="str">
        <f t="shared" ref="B4:E4" si="32">TEXT(B3*29, "Mmmm")&amp;" "&amp;B2&amp;" Participants"</f>
        <v>January 2021 Participants</v>
      </c>
      <c r="C4" s="87" t="str">
        <f t="shared" si="32"/>
        <v>February 2021 Participants</v>
      </c>
      <c r="D4" s="87" t="str">
        <f t="shared" si="32"/>
        <v>March 2021 Participants</v>
      </c>
      <c r="E4" s="87" t="str">
        <f t="shared" si="32"/>
        <v>April 2021 Participants</v>
      </c>
      <c r="F4" s="87" t="str">
        <f t="shared" ref="F4:S4" si="33">TEXT(F3*29, "Mmmm")&amp;" "&amp;F2&amp;" Participants"</f>
        <v>May 2021 Participants</v>
      </c>
      <c r="G4" s="87" t="str">
        <f t="shared" si="33"/>
        <v>June 2021 Participants</v>
      </c>
      <c r="H4" s="87" t="str">
        <f t="shared" si="33"/>
        <v>July 2021 Participants</v>
      </c>
      <c r="I4" s="87" t="str">
        <f t="shared" si="33"/>
        <v>August 2021 Participants</v>
      </c>
      <c r="J4" s="87" t="str">
        <f t="shared" si="33"/>
        <v>September 2021 Participants</v>
      </c>
      <c r="K4" s="87" t="str">
        <f t="shared" si="33"/>
        <v>October 2021 Participants</v>
      </c>
      <c r="L4" s="87" t="str">
        <f t="shared" si="33"/>
        <v>November 2021 Participants</v>
      </c>
      <c r="M4" s="87" t="str">
        <f t="shared" si="33"/>
        <v>December 2021 Participants</v>
      </c>
      <c r="N4" s="87" t="str">
        <f t="shared" si="33"/>
        <v>January 2022 Participants</v>
      </c>
      <c r="O4" s="87" t="str">
        <f t="shared" si="33"/>
        <v>February 2022 Participants</v>
      </c>
      <c r="P4" s="87" t="str">
        <f t="shared" si="33"/>
        <v>March 2022 Participants</v>
      </c>
      <c r="Q4" s="87" t="str">
        <f t="shared" si="33"/>
        <v>April 2022 Participants</v>
      </c>
      <c r="R4" s="87" t="str">
        <f t="shared" si="33"/>
        <v>May 2022 Participants</v>
      </c>
      <c r="S4" s="87" t="str">
        <f t="shared" si="33"/>
        <v>June 2022 Participants</v>
      </c>
      <c r="T4" s="87" t="str">
        <f t="shared" ref="T4:W4" si="34">TEXT(T3*29, "Mmmm")&amp;" "&amp;T2&amp;" Participants"</f>
        <v>July 2022 Participants</v>
      </c>
      <c r="U4" s="87" t="str">
        <f t="shared" si="34"/>
        <v>August 2022 Participants</v>
      </c>
      <c r="V4" s="87" t="str">
        <f t="shared" si="34"/>
        <v>September 2022 Participants</v>
      </c>
      <c r="W4" s="87" t="str">
        <f t="shared" si="34"/>
        <v>October 2022 Participants</v>
      </c>
      <c r="X4" s="87" t="str">
        <f t="shared" ref="X4:AI4" si="35">TEXT(X3*29, "Mmmm")&amp;" "&amp;X2&amp;" Participants"</f>
        <v>November 2022 Participants</v>
      </c>
      <c r="Y4" s="87" t="str">
        <f t="shared" si="35"/>
        <v>December 2022 Participants</v>
      </c>
      <c r="Z4" s="87" t="str">
        <f t="shared" si="35"/>
        <v>January 2023 Participants</v>
      </c>
      <c r="AA4" s="87" t="str">
        <f t="shared" si="35"/>
        <v>February 2023 Participants</v>
      </c>
      <c r="AB4" s="87" t="str">
        <f t="shared" si="35"/>
        <v>March 2023 Participants</v>
      </c>
      <c r="AC4" s="87" t="str">
        <f t="shared" si="35"/>
        <v>April 2023 Participants</v>
      </c>
      <c r="AD4" s="87" t="str">
        <f t="shared" si="35"/>
        <v>May 2023 Participants</v>
      </c>
      <c r="AE4" s="87" t="str">
        <f t="shared" si="35"/>
        <v>June 2023 Participants</v>
      </c>
      <c r="AF4" s="87" t="str">
        <f t="shared" si="35"/>
        <v>July 2023 Participants</v>
      </c>
      <c r="AG4" s="87" t="str">
        <f t="shared" si="35"/>
        <v>August 2023 Participants</v>
      </c>
      <c r="AH4" s="87" t="str">
        <f t="shared" si="35"/>
        <v>September 2023 Participants</v>
      </c>
      <c r="AI4" s="87" t="str">
        <f t="shared" si="35"/>
        <v>October 2023 Participants</v>
      </c>
      <c r="AJ4" s="87" t="str">
        <f t="shared" ref="AJ4:AK4" si="36">TEXT(AJ3*29, "Mmmm")&amp;" "&amp;AJ2&amp;" Participants"</f>
        <v>November 2023 Participants</v>
      </c>
      <c r="AK4" s="87" t="str">
        <f t="shared" si="36"/>
        <v>December 2023 Participants</v>
      </c>
    </row>
    <row r="5" spans="1:38" x14ac:dyDescent="0.3">
      <c r="A5" t="s">
        <v>61</v>
      </c>
      <c r="B5" s="136">
        <v>4178</v>
      </c>
      <c r="C5" s="136">
        <v>4257</v>
      </c>
      <c r="D5" s="136">
        <v>4505</v>
      </c>
      <c r="E5" s="136">
        <v>4552</v>
      </c>
      <c r="F5" s="136">
        <v>4602</v>
      </c>
      <c r="G5" s="136">
        <v>4641</v>
      </c>
      <c r="H5" s="136">
        <v>4663</v>
      </c>
      <c r="I5" s="136">
        <v>4640</v>
      </c>
      <c r="J5" s="136">
        <v>4454</v>
      </c>
      <c r="K5" s="136">
        <v>4720</v>
      </c>
      <c r="L5" s="136">
        <v>4733</v>
      </c>
      <c r="M5" s="136">
        <v>4793</v>
      </c>
      <c r="N5" s="136">
        <v>4484</v>
      </c>
      <c r="O5" s="136">
        <v>4014</v>
      </c>
      <c r="P5" s="136">
        <v>3992</v>
      </c>
      <c r="Q5" s="136">
        <v>3567</v>
      </c>
      <c r="R5" s="136">
        <v>3287</v>
      </c>
      <c r="S5" s="136">
        <v>3294</v>
      </c>
      <c r="T5" s="136">
        <v>3511</v>
      </c>
      <c r="U5" s="136">
        <v>3772</v>
      </c>
      <c r="V5" s="136">
        <v>4005</v>
      </c>
      <c r="W5" s="136">
        <v>4157</v>
      </c>
      <c r="X5" s="136">
        <v>4290</v>
      </c>
      <c r="Y5" s="136">
        <v>4402</v>
      </c>
      <c r="Z5" s="136">
        <v>4473</v>
      </c>
      <c r="AA5" s="136">
        <v>4218</v>
      </c>
      <c r="AB5" s="136">
        <v>4634</v>
      </c>
      <c r="AC5" s="136">
        <v>4379</v>
      </c>
      <c r="AD5" s="136">
        <v>4835</v>
      </c>
      <c r="AE5" s="136">
        <v>5043</v>
      </c>
      <c r="AF5" s="136">
        <v>5185</v>
      </c>
      <c r="AG5" s="136">
        <v>5336</v>
      </c>
      <c r="AH5" s="136">
        <v>5446</v>
      </c>
      <c r="AI5" s="136">
        <v>5572</v>
      </c>
      <c r="AJ5" s="136">
        <v>5698</v>
      </c>
      <c r="AK5" s="136">
        <v>5824</v>
      </c>
      <c r="AL5" s="136"/>
    </row>
    <row r="6" spans="1:38" x14ac:dyDescent="0.3">
      <c r="A6" t="s">
        <v>70</v>
      </c>
      <c r="B6" s="136">
        <v>0</v>
      </c>
      <c r="C6" s="136">
        <v>0</v>
      </c>
      <c r="D6" s="136">
        <v>0</v>
      </c>
      <c r="E6" s="136">
        <v>0</v>
      </c>
      <c r="F6" s="136">
        <v>0</v>
      </c>
      <c r="G6" s="136">
        <v>0</v>
      </c>
      <c r="H6" s="136">
        <v>0</v>
      </c>
      <c r="I6" s="136">
        <v>0</v>
      </c>
      <c r="J6" s="136">
        <v>0</v>
      </c>
      <c r="K6" s="136">
        <v>0</v>
      </c>
      <c r="L6" s="136">
        <v>0</v>
      </c>
      <c r="M6" s="136">
        <v>0</v>
      </c>
      <c r="N6" s="136">
        <v>0</v>
      </c>
      <c r="O6" s="136">
        <v>0</v>
      </c>
      <c r="P6" s="136">
        <v>0</v>
      </c>
      <c r="Q6" s="136">
        <v>0</v>
      </c>
      <c r="R6" s="136">
        <v>0</v>
      </c>
      <c r="S6" s="136">
        <v>0</v>
      </c>
      <c r="T6" s="136">
        <v>0</v>
      </c>
      <c r="U6" s="136">
        <v>0</v>
      </c>
      <c r="V6" s="136">
        <v>0</v>
      </c>
      <c r="W6" s="136">
        <v>0</v>
      </c>
      <c r="X6" s="136">
        <v>0</v>
      </c>
      <c r="Y6" s="136">
        <v>0</v>
      </c>
      <c r="Z6" s="136">
        <v>0</v>
      </c>
      <c r="AA6" s="136">
        <v>0</v>
      </c>
      <c r="AB6" s="136">
        <v>0</v>
      </c>
      <c r="AC6" s="136">
        <v>0</v>
      </c>
      <c r="AD6" s="136">
        <v>0</v>
      </c>
      <c r="AE6" s="136">
        <v>0</v>
      </c>
      <c r="AF6" s="136">
        <v>0</v>
      </c>
      <c r="AG6" s="136">
        <v>0</v>
      </c>
      <c r="AH6" s="136">
        <v>0</v>
      </c>
      <c r="AI6" s="136">
        <v>0</v>
      </c>
      <c r="AJ6" s="136">
        <v>0</v>
      </c>
      <c r="AK6" s="136">
        <v>0</v>
      </c>
      <c r="AL6" s="136"/>
    </row>
    <row r="7" spans="1:38" x14ac:dyDescent="0.3">
      <c r="A7" t="s">
        <v>71</v>
      </c>
      <c r="B7" s="136">
        <v>0</v>
      </c>
      <c r="C7" s="136">
        <v>0</v>
      </c>
      <c r="D7" s="136">
        <v>0</v>
      </c>
      <c r="E7" s="136">
        <v>0</v>
      </c>
      <c r="F7" s="136">
        <v>0</v>
      </c>
      <c r="G7" s="136">
        <v>0</v>
      </c>
      <c r="H7" s="136">
        <v>0</v>
      </c>
      <c r="I7" s="136">
        <v>0</v>
      </c>
      <c r="J7" s="136">
        <v>0</v>
      </c>
      <c r="K7" s="136">
        <v>0</v>
      </c>
      <c r="L7" s="136">
        <v>0</v>
      </c>
      <c r="M7" s="136">
        <v>0</v>
      </c>
      <c r="N7" s="136">
        <v>0</v>
      </c>
      <c r="O7" s="136">
        <v>0</v>
      </c>
      <c r="P7" s="136">
        <v>0</v>
      </c>
      <c r="Q7" s="136">
        <v>0</v>
      </c>
      <c r="R7" s="136">
        <v>0</v>
      </c>
      <c r="S7" s="136">
        <v>0</v>
      </c>
      <c r="T7" s="136">
        <v>0</v>
      </c>
      <c r="U7" s="136">
        <v>0</v>
      </c>
      <c r="V7" s="136">
        <v>0</v>
      </c>
      <c r="W7" s="136">
        <v>0</v>
      </c>
      <c r="X7" s="136">
        <v>0</v>
      </c>
      <c r="Y7" s="136">
        <v>0</v>
      </c>
      <c r="Z7" s="136">
        <v>0</v>
      </c>
      <c r="AA7" s="136">
        <v>0</v>
      </c>
      <c r="AB7" s="136">
        <v>0</v>
      </c>
      <c r="AC7" s="136">
        <v>0</v>
      </c>
      <c r="AD7" s="136">
        <v>0</v>
      </c>
      <c r="AE7" s="136">
        <v>0</v>
      </c>
      <c r="AF7" s="136">
        <v>0</v>
      </c>
      <c r="AG7" s="136">
        <v>0</v>
      </c>
      <c r="AH7" s="136">
        <v>0</v>
      </c>
      <c r="AI7" s="136">
        <v>0</v>
      </c>
      <c r="AJ7" s="136">
        <v>0</v>
      </c>
      <c r="AK7" s="136">
        <v>0</v>
      </c>
      <c r="AL7" s="136"/>
    </row>
    <row r="8" spans="1:38" x14ac:dyDescent="0.3">
      <c r="A8" s="48" t="s">
        <v>72</v>
      </c>
      <c r="B8" s="48">
        <v>11239</v>
      </c>
      <c r="C8" s="48">
        <v>11512</v>
      </c>
      <c r="D8" s="48">
        <v>12119</v>
      </c>
      <c r="E8" s="48">
        <v>12137</v>
      </c>
      <c r="F8" s="48">
        <v>12110</v>
      </c>
      <c r="G8" s="48">
        <v>12030</v>
      </c>
      <c r="H8" s="48">
        <v>12042</v>
      </c>
      <c r="I8" s="48">
        <v>12001</v>
      </c>
      <c r="J8" s="48">
        <v>11337</v>
      </c>
      <c r="K8" s="48">
        <v>12207</v>
      </c>
      <c r="L8" s="48">
        <v>12228</v>
      </c>
      <c r="M8" s="48">
        <v>12273</v>
      </c>
      <c r="N8" s="48">
        <v>10685</v>
      </c>
      <c r="O8" s="48">
        <v>9260</v>
      </c>
      <c r="P8" s="48">
        <v>8802</v>
      </c>
      <c r="Q8" s="48">
        <v>7337</v>
      </c>
      <c r="R8" s="48">
        <v>6805</v>
      </c>
      <c r="S8" s="48">
        <v>6733</v>
      </c>
      <c r="T8" s="48">
        <v>7385</v>
      </c>
      <c r="U8" s="48">
        <v>8239</v>
      </c>
      <c r="V8" s="48">
        <v>9076</v>
      </c>
      <c r="W8" s="48">
        <v>9551</v>
      </c>
      <c r="X8" s="48">
        <v>9953</v>
      </c>
      <c r="Y8" s="48">
        <v>10231</v>
      </c>
      <c r="Z8" s="48">
        <v>10507</v>
      </c>
      <c r="AA8" s="48">
        <v>9778</v>
      </c>
      <c r="AB8" s="48">
        <v>10975</v>
      </c>
      <c r="AC8" s="48">
        <v>10469</v>
      </c>
      <c r="AD8" s="48">
        <v>11556</v>
      </c>
      <c r="AE8" s="48">
        <v>13446</v>
      </c>
      <c r="AF8" s="48">
        <v>13899</v>
      </c>
      <c r="AG8" s="48">
        <v>14343</v>
      </c>
      <c r="AH8" s="48">
        <v>14731</v>
      </c>
      <c r="AI8" s="48">
        <v>15237</v>
      </c>
      <c r="AJ8" s="48">
        <v>15643</v>
      </c>
      <c r="AK8" s="48">
        <v>15870</v>
      </c>
    </row>
    <row r="9" spans="1:38" x14ac:dyDescent="0.3">
      <c r="A9" t="s">
        <v>73</v>
      </c>
      <c r="B9" s="74">
        <f t="shared" ref="B9:X9" si="37">SUM(B5:B8)</f>
        <v>15417</v>
      </c>
      <c r="C9" s="74">
        <f t="shared" si="37"/>
        <v>15769</v>
      </c>
      <c r="D9" s="74">
        <f t="shared" si="37"/>
        <v>16624</v>
      </c>
      <c r="E9" s="74">
        <f t="shared" si="37"/>
        <v>16689</v>
      </c>
      <c r="F9" s="74">
        <f t="shared" si="37"/>
        <v>16712</v>
      </c>
      <c r="G9" s="74">
        <f t="shared" si="37"/>
        <v>16671</v>
      </c>
      <c r="H9" s="74">
        <f t="shared" si="37"/>
        <v>16705</v>
      </c>
      <c r="I9" s="74">
        <f t="shared" si="37"/>
        <v>16641</v>
      </c>
      <c r="J9" s="74">
        <f t="shared" si="37"/>
        <v>15791</v>
      </c>
      <c r="K9" s="74">
        <f t="shared" si="37"/>
        <v>16927</v>
      </c>
      <c r="L9" s="74">
        <f t="shared" si="37"/>
        <v>16961</v>
      </c>
      <c r="M9" s="74">
        <f t="shared" si="37"/>
        <v>17066</v>
      </c>
      <c r="N9" s="74">
        <f t="shared" si="37"/>
        <v>15169</v>
      </c>
      <c r="O9" s="74">
        <f t="shared" si="37"/>
        <v>13274</v>
      </c>
      <c r="P9" s="74">
        <f t="shared" si="37"/>
        <v>12794</v>
      </c>
      <c r="Q9" s="74">
        <f t="shared" si="37"/>
        <v>10904</v>
      </c>
      <c r="R9" s="74">
        <f t="shared" si="37"/>
        <v>10092</v>
      </c>
      <c r="S9" s="74">
        <f t="shared" si="37"/>
        <v>10027</v>
      </c>
      <c r="T9" s="74">
        <f t="shared" si="37"/>
        <v>10896</v>
      </c>
      <c r="U9" s="74">
        <f t="shared" si="37"/>
        <v>12011</v>
      </c>
      <c r="V9" s="74">
        <f t="shared" si="37"/>
        <v>13081</v>
      </c>
      <c r="W9" s="74">
        <f t="shared" si="37"/>
        <v>13708</v>
      </c>
      <c r="X9" s="74">
        <f t="shared" si="37"/>
        <v>14243</v>
      </c>
      <c r="Y9" s="74">
        <f t="shared" ref="Y9:AJ9" si="38">SUM(Y5:Y8)</f>
        <v>14633</v>
      </c>
      <c r="Z9" s="74">
        <f t="shared" si="38"/>
        <v>14980</v>
      </c>
      <c r="AA9" s="74">
        <f t="shared" si="38"/>
        <v>13996</v>
      </c>
      <c r="AB9" s="74">
        <f t="shared" si="38"/>
        <v>15609</v>
      </c>
      <c r="AC9" s="74">
        <f t="shared" si="38"/>
        <v>14848</v>
      </c>
      <c r="AD9" s="74">
        <f t="shared" si="38"/>
        <v>16391</v>
      </c>
      <c r="AE9" s="74">
        <f t="shared" si="38"/>
        <v>18489</v>
      </c>
      <c r="AF9" s="74">
        <f t="shared" si="38"/>
        <v>19084</v>
      </c>
      <c r="AG9" s="74">
        <f t="shared" si="38"/>
        <v>19679</v>
      </c>
      <c r="AH9" s="74">
        <f t="shared" si="38"/>
        <v>20177</v>
      </c>
      <c r="AI9" s="74">
        <f t="shared" si="38"/>
        <v>20809</v>
      </c>
      <c r="AJ9" s="74">
        <f t="shared" si="38"/>
        <v>21341</v>
      </c>
      <c r="AK9" s="74">
        <f t="shared" ref="AK9" si="39">SUM(AK5:AK8)</f>
        <v>21694</v>
      </c>
    </row>
    <row r="11" spans="1:38" x14ac:dyDescent="0.3">
      <c r="A11" t="s">
        <v>74</v>
      </c>
    </row>
    <row r="12" spans="1:38" x14ac:dyDescent="0.3">
      <c r="A12" t="s">
        <v>75</v>
      </c>
    </row>
  </sheetData>
  <mergeCells count="1">
    <mergeCell ref="A1:E1"/>
  </mergeCells>
  <pageMargins left="0.7" right="0.7" top="0.75" bottom="0.75" header="0.3" footer="0.3"/>
  <pageSetup scale="76" orientation="landscape" r:id="rId1"/>
  <headerFooter>
    <oddHeader>&amp;L2024 TAP Reconcilable Rider Reports and Projection Model: &amp;A
January 2023 - December 2023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  <pageSetUpPr fitToPage="1"/>
  </sheetPr>
  <dimension ref="A1:AK13"/>
  <sheetViews>
    <sheetView workbookViewId="0">
      <selection sqref="A1:E1"/>
    </sheetView>
  </sheetViews>
  <sheetFormatPr defaultColWidth="9.109375" defaultRowHeight="14.4" x14ac:dyDescent="0.3"/>
  <cols>
    <col min="1" max="1" width="16.21875" customWidth="1"/>
    <col min="2" max="25" width="13.6640625" hidden="1" customWidth="1"/>
    <col min="26" max="37" width="13.6640625" customWidth="1"/>
  </cols>
  <sheetData>
    <row r="1" spans="1:37" x14ac:dyDescent="0.3">
      <c r="A1" s="193" t="str">
        <f>"DR-4: TAP Discount ("&amp; TEXT('Data Source'!C5,"Mmmm YYYY")&amp;" - "&amp;TEXT('Data Source'!E5,"Mmmm YYYY")&amp;")"</f>
        <v>DR-4: TAP Discount (January 2021 - December 2023)</v>
      </c>
      <c r="B1" s="194"/>
      <c r="C1" s="194"/>
      <c r="D1" s="194"/>
      <c r="E1" s="194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</row>
    <row r="2" spans="1:37" x14ac:dyDescent="0.3">
      <c r="A2" s="85"/>
      <c r="B2" s="86">
        <v>2021</v>
      </c>
      <c r="C2" s="86">
        <v>2021</v>
      </c>
      <c r="D2" s="86">
        <v>2021</v>
      </c>
      <c r="E2" s="86">
        <v>2021</v>
      </c>
      <c r="F2" s="86">
        <v>2021</v>
      </c>
      <c r="G2" s="86">
        <v>2021</v>
      </c>
      <c r="H2" s="86">
        <v>2021</v>
      </c>
      <c r="I2" s="86">
        <v>2021</v>
      </c>
      <c r="J2" s="86">
        <v>2021</v>
      </c>
      <c r="K2" s="86">
        <v>2021</v>
      </c>
      <c r="L2" s="86">
        <v>2021</v>
      </c>
      <c r="M2" s="86">
        <f>IF(M3=1,L2+1,L2)</f>
        <v>2021</v>
      </c>
      <c r="N2" s="86">
        <f t="shared" ref="N2:S2" si="0">IF(N3=1,M2+1,M2)</f>
        <v>2022</v>
      </c>
      <c r="O2" s="86">
        <f t="shared" si="0"/>
        <v>2022</v>
      </c>
      <c r="P2" s="86">
        <f t="shared" si="0"/>
        <v>2022</v>
      </c>
      <c r="Q2" s="86">
        <f t="shared" si="0"/>
        <v>2022</v>
      </c>
      <c r="R2" s="86">
        <f t="shared" si="0"/>
        <v>2022</v>
      </c>
      <c r="S2" s="86">
        <f t="shared" si="0"/>
        <v>2022</v>
      </c>
      <c r="T2" s="86">
        <f t="shared" ref="T2" si="1">IF(T3=1,S2+1,S2)</f>
        <v>2022</v>
      </c>
      <c r="U2" s="86">
        <f t="shared" ref="U2" si="2">IF(U3=1,T2+1,T2)</f>
        <v>2022</v>
      </c>
      <c r="V2" s="86">
        <f t="shared" ref="V2" si="3">IF(V3=1,U2+1,U2)</f>
        <v>2022</v>
      </c>
      <c r="W2" s="86">
        <f t="shared" ref="W2" si="4">IF(W3=1,V2+1,V2)</f>
        <v>2022</v>
      </c>
      <c r="X2" s="86">
        <f t="shared" ref="X2:Y2" si="5">IF(X3=1,W2+1,W2)</f>
        <v>2022</v>
      </c>
      <c r="Y2" s="86">
        <f t="shared" si="5"/>
        <v>2022</v>
      </c>
      <c r="Z2" s="86">
        <f t="shared" ref="Z2" si="6">IF(Z3=1,Y2+1,Y2)</f>
        <v>2023</v>
      </c>
      <c r="AA2" s="86">
        <f t="shared" ref="AA2" si="7">IF(AA3=1,Z2+1,Z2)</f>
        <v>2023</v>
      </c>
      <c r="AB2" s="86">
        <f t="shared" ref="AB2" si="8">IF(AB3=1,AA2+1,AA2)</f>
        <v>2023</v>
      </c>
      <c r="AC2" s="86">
        <f t="shared" ref="AC2" si="9">IF(AC3=1,AB2+1,AB2)</f>
        <v>2023</v>
      </c>
      <c r="AD2" s="86">
        <f t="shared" ref="AD2" si="10">IF(AD3=1,AC2+1,AC2)</f>
        <v>2023</v>
      </c>
      <c r="AE2" s="86">
        <f t="shared" ref="AE2" si="11">IF(AE3=1,AD2+1,AD2)</f>
        <v>2023</v>
      </c>
      <c r="AF2" s="86">
        <f t="shared" ref="AF2" si="12">IF(AF3=1,AE2+1,AE2)</f>
        <v>2023</v>
      </c>
      <c r="AG2" s="86">
        <f t="shared" ref="AG2" si="13">IF(AG3=1,AF2+1,AF2)</f>
        <v>2023</v>
      </c>
      <c r="AH2" s="86">
        <f t="shared" ref="AH2" si="14">IF(AH3=1,AG2+1,AG2)</f>
        <v>2023</v>
      </c>
      <c r="AI2" s="86">
        <f t="shared" ref="AI2" si="15">IF(AI3=1,AH2+1,AH2)</f>
        <v>2023</v>
      </c>
      <c r="AJ2" s="86">
        <f t="shared" ref="AJ2" si="16">IF(AJ3=1,AI2+1,AI2)</f>
        <v>2023</v>
      </c>
      <c r="AK2" s="86">
        <f t="shared" ref="AK2" si="17">IF(AK3=1,AJ2+1,AJ2)</f>
        <v>2023</v>
      </c>
    </row>
    <row r="3" spans="1:37" x14ac:dyDescent="0.3">
      <c r="A3" s="85"/>
      <c r="B3" s="86">
        <v>1</v>
      </c>
      <c r="C3" s="86">
        <v>2</v>
      </c>
      <c r="D3" s="86">
        <v>3</v>
      </c>
      <c r="E3" s="86">
        <v>4</v>
      </c>
      <c r="F3" s="86">
        <v>5</v>
      </c>
      <c r="G3" s="86">
        <v>6</v>
      </c>
      <c r="H3" s="86">
        <v>7</v>
      </c>
      <c r="I3" s="86">
        <v>8</v>
      </c>
      <c r="J3" s="86">
        <v>9</v>
      </c>
      <c r="K3" s="86">
        <v>10</v>
      </c>
      <c r="L3" s="86">
        <v>11</v>
      </c>
      <c r="M3" s="86">
        <f>IF(L3&lt;12,L3+1,1)</f>
        <v>12</v>
      </c>
      <c r="N3" s="86">
        <f t="shared" ref="N3:S3" si="18">IF(M3&lt;12,M3+1,1)</f>
        <v>1</v>
      </c>
      <c r="O3" s="86">
        <f t="shared" si="18"/>
        <v>2</v>
      </c>
      <c r="P3" s="86">
        <f t="shared" si="18"/>
        <v>3</v>
      </c>
      <c r="Q3" s="86">
        <f t="shared" si="18"/>
        <v>4</v>
      </c>
      <c r="R3" s="86">
        <f t="shared" si="18"/>
        <v>5</v>
      </c>
      <c r="S3" s="86">
        <f t="shared" si="18"/>
        <v>6</v>
      </c>
      <c r="T3" s="86">
        <f t="shared" ref="T3" si="19">IF(S3&lt;12,S3+1,1)</f>
        <v>7</v>
      </c>
      <c r="U3" s="86">
        <f t="shared" ref="U3" si="20">IF(T3&lt;12,T3+1,1)</f>
        <v>8</v>
      </c>
      <c r="V3" s="86">
        <f t="shared" ref="V3" si="21">IF(U3&lt;12,U3+1,1)</f>
        <v>9</v>
      </c>
      <c r="W3" s="86">
        <f t="shared" ref="W3" si="22">IF(V3&lt;12,V3+1,1)</f>
        <v>10</v>
      </c>
      <c r="X3" s="86">
        <f t="shared" ref="X3:Y3" si="23">IF(W3&lt;12,W3+1,1)</f>
        <v>11</v>
      </c>
      <c r="Y3" s="86">
        <f t="shared" si="23"/>
        <v>12</v>
      </c>
      <c r="Z3" s="86">
        <f t="shared" ref="Z3" si="24">IF(Y3&lt;12,Y3+1,1)</f>
        <v>1</v>
      </c>
      <c r="AA3" s="86">
        <f t="shared" ref="AA3" si="25">IF(Z3&lt;12,Z3+1,1)</f>
        <v>2</v>
      </c>
      <c r="AB3" s="86">
        <f t="shared" ref="AB3" si="26">IF(AA3&lt;12,AA3+1,1)</f>
        <v>3</v>
      </c>
      <c r="AC3" s="86">
        <f t="shared" ref="AC3" si="27">IF(AB3&lt;12,AB3+1,1)</f>
        <v>4</v>
      </c>
      <c r="AD3" s="86">
        <f t="shared" ref="AD3" si="28">IF(AC3&lt;12,AC3+1,1)</f>
        <v>5</v>
      </c>
      <c r="AE3" s="86">
        <f t="shared" ref="AE3" si="29">IF(AD3&lt;12,AD3+1,1)</f>
        <v>6</v>
      </c>
      <c r="AF3" s="86">
        <f t="shared" ref="AF3" si="30">IF(AE3&lt;12,AE3+1,1)</f>
        <v>7</v>
      </c>
      <c r="AG3" s="86">
        <f t="shared" ref="AG3" si="31">IF(AF3&lt;12,AF3+1,1)</f>
        <v>8</v>
      </c>
      <c r="AH3" s="86">
        <f t="shared" ref="AH3" si="32">IF(AG3&lt;12,AG3+1,1)</f>
        <v>9</v>
      </c>
      <c r="AI3" s="86">
        <f t="shared" ref="AI3" si="33">IF(AH3&lt;12,AH3+1,1)</f>
        <v>10</v>
      </c>
      <c r="AJ3" s="86">
        <f t="shared" ref="AJ3" si="34">IF(AI3&lt;12,AI3+1,1)</f>
        <v>11</v>
      </c>
      <c r="AK3" s="86">
        <f t="shared" ref="AK3" si="35">IF(AJ3&lt;12,AJ3+1,1)</f>
        <v>12</v>
      </c>
    </row>
    <row r="4" spans="1:37" ht="28.8" x14ac:dyDescent="0.3">
      <c r="A4" s="71" t="s">
        <v>69</v>
      </c>
      <c r="B4" s="87" t="str">
        <f t="shared" ref="B4:E4" si="36">TEXT(B3*29, "Mmmm")&amp;" "&amp;B2&amp;" Discount"</f>
        <v>January 2021 Discount</v>
      </c>
      <c r="C4" s="87" t="str">
        <f t="shared" si="36"/>
        <v>February 2021 Discount</v>
      </c>
      <c r="D4" s="87" t="str">
        <f t="shared" si="36"/>
        <v>March 2021 Discount</v>
      </c>
      <c r="E4" s="87" t="str">
        <f t="shared" si="36"/>
        <v>April 2021 Discount</v>
      </c>
      <c r="F4" s="87" t="str">
        <f t="shared" ref="F4:I4" si="37">TEXT(F3*29, "Mmmm")&amp;" "&amp;F2&amp;" Discount"</f>
        <v>May 2021 Discount</v>
      </c>
      <c r="G4" s="87" t="str">
        <f t="shared" si="37"/>
        <v>June 2021 Discount</v>
      </c>
      <c r="H4" s="87" t="str">
        <f t="shared" si="37"/>
        <v>July 2021 Discount</v>
      </c>
      <c r="I4" s="87" t="str">
        <f t="shared" si="37"/>
        <v>August 2021 Discount</v>
      </c>
      <c r="J4" s="87" t="str">
        <f>TEXT(J3*29, "Mmmm")&amp;" "&amp;J2&amp;" Discount"</f>
        <v>September 2021 Discount</v>
      </c>
      <c r="K4" s="87" t="str">
        <f t="shared" ref="K4:Q4" si="38">TEXT(K3*29, "Mmmm")&amp;" "&amp;K2&amp;" Discount"</f>
        <v>October 2021 Discount</v>
      </c>
      <c r="L4" s="87" t="str">
        <f t="shared" si="38"/>
        <v>November 2021 Discount</v>
      </c>
      <c r="M4" s="87" t="str">
        <f t="shared" si="38"/>
        <v>December 2021 Discount</v>
      </c>
      <c r="N4" s="87" t="str">
        <f t="shared" si="38"/>
        <v>January 2022 Discount</v>
      </c>
      <c r="O4" s="87" t="str">
        <f t="shared" si="38"/>
        <v>February 2022 Discount</v>
      </c>
      <c r="P4" s="87" t="str">
        <f t="shared" si="38"/>
        <v>March 2022 Discount</v>
      </c>
      <c r="Q4" s="87" t="str">
        <f t="shared" si="38"/>
        <v>April 2022 Discount</v>
      </c>
      <c r="R4" s="87" t="str">
        <f t="shared" ref="R4" si="39">TEXT(R3*29, "Mmmm")&amp;" "&amp;R2&amp;" Discount"</f>
        <v>May 2022 Discount</v>
      </c>
      <c r="S4" s="87" t="str">
        <f t="shared" ref="S4:X4" si="40">TEXT(S3*29, "Mmmm")&amp;" "&amp;S2&amp;" Discount"</f>
        <v>June 2022 Discount</v>
      </c>
      <c r="T4" s="87" t="str">
        <f t="shared" si="40"/>
        <v>July 2022 Discount</v>
      </c>
      <c r="U4" s="87" t="str">
        <f t="shared" si="40"/>
        <v>August 2022 Discount</v>
      </c>
      <c r="V4" s="87" t="str">
        <f t="shared" si="40"/>
        <v>September 2022 Discount</v>
      </c>
      <c r="W4" s="87" t="str">
        <f t="shared" si="40"/>
        <v>October 2022 Discount</v>
      </c>
      <c r="X4" s="87" t="str">
        <f t="shared" si="40"/>
        <v>November 2022 Discount</v>
      </c>
      <c r="Y4" s="87" t="str">
        <f t="shared" ref="Y4:AJ4" si="41">TEXT(Y3*29, "Mmmm")&amp;" "&amp;Y2&amp;" Discount"</f>
        <v>December 2022 Discount</v>
      </c>
      <c r="Z4" s="87" t="str">
        <f t="shared" si="41"/>
        <v>January 2023 Discount</v>
      </c>
      <c r="AA4" s="87" t="str">
        <f t="shared" si="41"/>
        <v>February 2023 Discount</v>
      </c>
      <c r="AB4" s="87" t="str">
        <f t="shared" si="41"/>
        <v>March 2023 Discount</v>
      </c>
      <c r="AC4" s="87" t="str">
        <f t="shared" si="41"/>
        <v>April 2023 Discount</v>
      </c>
      <c r="AD4" s="87" t="str">
        <f t="shared" si="41"/>
        <v>May 2023 Discount</v>
      </c>
      <c r="AE4" s="87" t="str">
        <f t="shared" si="41"/>
        <v>June 2023 Discount</v>
      </c>
      <c r="AF4" s="87" t="str">
        <f t="shared" si="41"/>
        <v>July 2023 Discount</v>
      </c>
      <c r="AG4" s="87" t="str">
        <f t="shared" si="41"/>
        <v>August 2023 Discount</v>
      </c>
      <c r="AH4" s="87" t="str">
        <f t="shared" si="41"/>
        <v>September 2023 Discount</v>
      </c>
      <c r="AI4" s="87" t="str">
        <f t="shared" si="41"/>
        <v>October 2023 Discount</v>
      </c>
      <c r="AJ4" s="87" t="str">
        <f t="shared" si="41"/>
        <v>November 2023 Discount</v>
      </c>
      <c r="AK4" s="87" t="str">
        <f t="shared" ref="AK4" si="42">TEXT(AK3*29, "Mmmm")&amp;" "&amp;AK2&amp;" Discount"</f>
        <v>December 2023 Discount</v>
      </c>
    </row>
    <row r="5" spans="1:37" x14ac:dyDescent="0.3">
      <c r="A5" t="s">
        <v>76</v>
      </c>
      <c r="B5" s="138">
        <v>123307.15</v>
      </c>
      <c r="C5" s="138">
        <v>123840.06</v>
      </c>
      <c r="D5" s="138">
        <v>123966.78</v>
      </c>
      <c r="E5" s="138">
        <v>139406.95000000001</v>
      </c>
      <c r="F5" s="138">
        <v>120093.63</v>
      </c>
      <c r="G5" s="138">
        <v>121085.7</v>
      </c>
      <c r="H5" s="138">
        <v>136465.76</v>
      </c>
      <c r="I5" s="138">
        <v>137048.03</v>
      </c>
      <c r="J5" s="138">
        <v>144027.22</v>
      </c>
      <c r="K5" s="138">
        <v>158157.26999999999</v>
      </c>
      <c r="L5" s="138">
        <v>134203.44</v>
      </c>
      <c r="M5" s="138">
        <v>141511.37</v>
      </c>
      <c r="N5" s="138">
        <v>143748.19</v>
      </c>
      <c r="O5" s="138">
        <v>130313.36</v>
      </c>
      <c r="P5" s="138">
        <v>130927.84</v>
      </c>
      <c r="Q5" s="138">
        <v>98454.51</v>
      </c>
      <c r="R5" s="138">
        <v>103535.73</v>
      </c>
      <c r="S5" s="138">
        <v>102772.87</v>
      </c>
      <c r="T5" s="138">
        <v>102198.94</v>
      </c>
      <c r="U5" s="138">
        <v>112137.27</v>
      </c>
      <c r="V5" s="138">
        <v>141706.4</v>
      </c>
      <c r="W5" s="138">
        <v>142758.74</v>
      </c>
      <c r="X5" s="138">
        <v>135577.54999999999</v>
      </c>
      <c r="Y5" s="138">
        <v>143924.95000000001</v>
      </c>
      <c r="Z5" s="138">
        <v>159215.13</v>
      </c>
      <c r="AA5" s="138">
        <v>135146.6</v>
      </c>
      <c r="AB5" s="138">
        <v>160004.95000000001</v>
      </c>
      <c r="AC5" s="138">
        <v>133521.81</v>
      </c>
      <c r="AD5" s="138">
        <v>139080.03</v>
      </c>
      <c r="AE5" s="138">
        <v>163483.4</v>
      </c>
      <c r="AF5" s="138">
        <v>181332.35</v>
      </c>
      <c r="AG5" s="138">
        <v>178521.2</v>
      </c>
      <c r="AH5" s="138">
        <v>217157.27</v>
      </c>
      <c r="AI5" s="138">
        <v>211088.32</v>
      </c>
      <c r="AJ5" s="138">
        <v>209608.13</v>
      </c>
      <c r="AK5" s="138">
        <v>207716.61</v>
      </c>
    </row>
    <row r="6" spans="1:37" x14ac:dyDescent="0.3">
      <c r="A6" t="s">
        <v>70</v>
      </c>
      <c r="B6" s="138">
        <v>0</v>
      </c>
      <c r="C6" s="138">
        <v>0</v>
      </c>
      <c r="D6" s="138">
        <v>0</v>
      </c>
      <c r="E6" s="138">
        <v>0</v>
      </c>
      <c r="F6" s="138">
        <v>0</v>
      </c>
      <c r="G6" s="138">
        <v>0</v>
      </c>
      <c r="H6" s="138">
        <v>0</v>
      </c>
      <c r="I6" s="138">
        <v>0</v>
      </c>
      <c r="J6" s="138">
        <v>0</v>
      </c>
      <c r="K6" s="138">
        <v>0</v>
      </c>
      <c r="L6" s="138">
        <v>0</v>
      </c>
      <c r="M6" s="138">
        <v>0</v>
      </c>
      <c r="N6" s="138">
        <v>0</v>
      </c>
      <c r="O6" s="138">
        <v>0</v>
      </c>
      <c r="P6" s="138">
        <v>0</v>
      </c>
      <c r="Q6" s="138">
        <v>0</v>
      </c>
      <c r="R6" s="138">
        <v>0</v>
      </c>
      <c r="S6" s="138">
        <v>0</v>
      </c>
      <c r="T6" s="138">
        <v>0</v>
      </c>
      <c r="U6" s="138">
        <v>0</v>
      </c>
      <c r="V6" s="138">
        <v>0</v>
      </c>
      <c r="W6" s="138">
        <v>0</v>
      </c>
      <c r="X6" s="138">
        <v>0</v>
      </c>
      <c r="Y6" s="138">
        <v>0</v>
      </c>
      <c r="Z6" s="138">
        <v>0</v>
      </c>
      <c r="AA6" s="138">
        <v>0</v>
      </c>
      <c r="AB6" s="138">
        <v>0</v>
      </c>
      <c r="AC6" s="138">
        <v>0</v>
      </c>
      <c r="AD6" s="138">
        <v>0</v>
      </c>
      <c r="AE6" s="138">
        <v>0</v>
      </c>
      <c r="AF6" s="138">
        <v>0</v>
      </c>
      <c r="AG6" s="138">
        <v>0</v>
      </c>
      <c r="AH6" s="138">
        <v>0</v>
      </c>
      <c r="AI6" s="138">
        <v>0</v>
      </c>
      <c r="AJ6" s="138">
        <v>0</v>
      </c>
      <c r="AK6" s="138">
        <v>0</v>
      </c>
    </row>
    <row r="7" spans="1:37" x14ac:dyDescent="0.3">
      <c r="A7" t="s">
        <v>71</v>
      </c>
      <c r="B7" s="138">
        <v>0</v>
      </c>
      <c r="C7" s="138">
        <v>0</v>
      </c>
      <c r="D7" s="138">
        <v>0</v>
      </c>
      <c r="E7" s="138">
        <v>0</v>
      </c>
      <c r="F7" s="138">
        <v>0</v>
      </c>
      <c r="G7" s="138">
        <v>0</v>
      </c>
      <c r="H7" s="138">
        <v>0</v>
      </c>
      <c r="I7" s="138">
        <v>0</v>
      </c>
      <c r="J7" s="138">
        <v>0</v>
      </c>
      <c r="K7" s="138">
        <v>0</v>
      </c>
      <c r="L7" s="138">
        <v>0</v>
      </c>
      <c r="M7" s="138">
        <v>0</v>
      </c>
      <c r="N7" s="138">
        <v>0</v>
      </c>
      <c r="O7" s="138">
        <v>0</v>
      </c>
      <c r="P7" s="138">
        <v>0</v>
      </c>
      <c r="Q7" s="138">
        <v>0</v>
      </c>
      <c r="R7" s="138">
        <v>0</v>
      </c>
      <c r="S7" s="138">
        <v>0</v>
      </c>
      <c r="T7" s="138">
        <v>0</v>
      </c>
      <c r="U7" s="138">
        <v>0</v>
      </c>
      <c r="V7" s="138">
        <v>0</v>
      </c>
      <c r="W7" s="138">
        <v>0</v>
      </c>
      <c r="X7" s="138">
        <v>0</v>
      </c>
      <c r="Y7" s="138">
        <v>0</v>
      </c>
      <c r="Z7" s="138">
        <v>0</v>
      </c>
      <c r="AA7" s="138">
        <v>0</v>
      </c>
      <c r="AB7" s="138">
        <v>0</v>
      </c>
      <c r="AC7" s="138">
        <v>0</v>
      </c>
      <c r="AD7" s="138">
        <v>0</v>
      </c>
      <c r="AE7" s="138">
        <v>0</v>
      </c>
      <c r="AF7" s="138">
        <v>0</v>
      </c>
      <c r="AG7" s="138">
        <v>0</v>
      </c>
      <c r="AH7" s="138">
        <v>0</v>
      </c>
      <c r="AI7" s="138">
        <v>0</v>
      </c>
      <c r="AJ7" s="138">
        <v>0</v>
      </c>
      <c r="AK7" s="138">
        <v>0</v>
      </c>
    </row>
    <row r="8" spans="1:37" x14ac:dyDescent="0.3">
      <c r="A8" s="48" t="s">
        <v>72</v>
      </c>
      <c r="B8" s="137">
        <v>626754.26</v>
      </c>
      <c r="C8" s="137">
        <v>615526.74</v>
      </c>
      <c r="D8" s="137">
        <v>627074.93000000005</v>
      </c>
      <c r="E8" s="137">
        <v>670696.23</v>
      </c>
      <c r="F8" s="137">
        <v>579093.56999999995</v>
      </c>
      <c r="G8" s="137">
        <v>625889.27</v>
      </c>
      <c r="H8" s="137">
        <v>693077.79</v>
      </c>
      <c r="I8" s="137">
        <v>670420.47</v>
      </c>
      <c r="J8" s="137">
        <v>686073.83</v>
      </c>
      <c r="K8" s="137">
        <v>771565.64</v>
      </c>
      <c r="L8" s="137">
        <v>694721.36</v>
      </c>
      <c r="M8" s="137">
        <v>673037</v>
      </c>
      <c r="N8" s="137">
        <v>639568.75</v>
      </c>
      <c r="O8" s="137">
        <v>489987.25</v>
      </c>
      <c r="P8" s="137">
        <v>472842.35</v>
      </c>
      <c r="Q8" s="137">
        <v>395276.17</v>
      </c>
      <c r="R8" s="137">
        <v>356638.24</v>
      </c>
      <c r="S8" s="137">
        <v>378234.73</v>
      </c>
      <c r="T8" s="137">
        <v>442466.75</v>
      </c>
      <c r="U8" s="137">
        <v>472506.15</v>
      </c>
      <c r="V8" s="137">
        <v>638105.69999999995</v>
      </c>
      <c r="W8" s="137">
        <v>610333.76</v>
      </c>
      <c r="X8" s="137">
        <v>593424.64000000001</v>
      </c>
      <c r="Y8" s="137">
        <v>637801.66</v>
      </c>
      <c r="Z8" s="137">
        <v>715414.37</v>
      </c>
      <c r="AA8" s="137">
        <v>563193.82999999996</v>
      </c>
      <c r="AB8" s="137">
        <v>697498.02</v>
      </c>
      <c r="AC8" s="137">
        <v>587621.4</v>
      </c>
      <c r="AD8" s="137">
        <v>619835.34</v>
      </c>
      <c r="AE8" s="137">
        <v>817778.54</v>
      </c>
      <c r="AF8" s="137">
        <v>887572.31</v>
      </c>
      <c r="AG8" s="137">
        <v>853768.2</v>
      </c>
      <c r="AH8" s="137">
        <v>1021656.35</v>
      </c>
      <c r="AI8" s="137">
        <v>986341.59</v>
      </c>
      <c r="AJ8" s="137">
        <v>1065434.46</v>
      </c>
      <c r="AK8" s="137">
        <v>1135767.6000000001</v>
      </c>
    </row>
    <row r="9" spans="1:37" x14ac:dyDescent="0.3">
      <c r="A9" s="73" t="s">
        <v>73</v>
      </c>
      <c r="B9" s="72">
        <f t="shared" ref="B9:X9" si="43">SUM(B5:B8)</f>
        <v>750061.41</v>
      </c>
      <c r="C9" s="72">
        <f t="shared" si="43"/>
        <v>739366.8</v>
      </c>
      <c r="D9" s="72">
        <f t="shared" si="43"/>
        <v>751041.71000000008</v>
      </c>
      <c r="E9" s="72">
        <f t="shared" si="43"/>
        <v>810103.17999999993</v>
      </c>
      <c r="F9" s="72">
        <f t="shared" si="43"/>
        <v>699187.19999999995</v>
      </c>
      <c r="G9" s="72">
        <f t="shared" si="43"/>
        <v>746974.97</v>
      </c>
      <c r="H9" s="72">
        <f t="shared" si="43"/>
        <v>829543.55</v>
      </c>
      <c r="I9" s="72">
        <f t="shared" si="43"/>
        <v>807468.5</v>
      </c>
      <c r="J9" s="72">
        <f t="shared" si="43"/>
        <v>830101.04999999993</v>
      </c>
      <c r="K9" s="72">
        <f t="shared" si="43"/>
        <v>929722.91</v>
      </c>
      <c r="L9" s="72">
        <f t="shared" si="43"/>
        <v>828924.8</v>
      </c>
      <c r="M9" s="72">
        <f t="shared" si="43"/>
        <v>814548.37</v>
      </c>
      <c r="N9" s="72">
        <f t="shared" si="43"/>
        <v>783316.94</v>
      </c>
      <c r="O9" s="72">
        <f t="shared" si="43"/>
        <v>620300.61</v>
      </c>
      <c r="P9" s="72">
        <f t="shared" si="43"/>
        <v>603770.18999999994</v>
      </c>
      <c r="Q9" s="72">
        <f t="shared" si="43"/>
        <v>493730.68</v>
      </c>
      <c r="R9" s="72">
        <f t="shared" si="43"/>
        <v>460173.97</v>
      </c>
      <c r="S9" s="72">
        <f t="shared" si="43"/>
        <v>481007.6</v>
      </c>
      <c r="T9" s="72">
        <f t="shared" si="43"/>
        <v>544665.68999999994</v>
      </c>
      <c r="U9" s="72">
        <f t="shared" si="43"/>
        <v>584643.42000000004</v>
      </c>
      <c r="V9" s="72">
        <f t="shared" si="43"/>
        <v>779812.1</v>
      </c>
      <c r="W9" s="72">
        <f t="shared" si="43"/>
        <v>753092.5</v>
      </c>
      <c r="X9" s="72">
        <f t="shared" si="43"/>
        <v>729002.19</v>
      </c>
      <c r="Y9" s="72">
        <f t="shared" ref="Y9:AJ9" si="44">SUM(Y5:Y8)</f>
        <v>781726.6100000001</v>
      </c>
      <c r="Z9" s="72">
        <f t="shared" si="44"/>
        <v>874629.5</v>
      </c>
      <c r="AA9" s="72">
        <f t="shared" si="44"/>
        <v>698340.42999999993</v>
      </c>
      <c r="AB9" s="72">
        <f t="shared" si="44"/>
        <v>857502.97</v>
      </c>
      <c r="AC9" s="72">
        <f t="shared" si="44"/>
        <v>721143.21</v>
      </c>
      <c r="AD9" s="72">
        <f t="shared" si="44"/>
        <v>758915.37</v>
      </c>
      <c r="AE9" s="72">
        <f t="shared" si="44"/>
        <v>981261.94000000006</v>
      </c>
      <c r="AF9" s="72">
        <f t="shared" si="44"/>
        <v>1068904.6600000001</v>
      </c>
      <c r="AG9" s="72">
        <f t="shared" si="44"/>
        <v>1032289.3999999999</v>
      </c>
      <c r="AH9" s="72">
        <f t="shared" si="44"/>
        <v>1238813.6199999999</v>
      </c>
      <c r="AI9" s="72">
        <f t="shared" si="44"/>
        <v>1197429.9099999999</v>
      </c>
      <c r="AJ9" s="72">
        <f t="shared" si="44"/>
        <v>1275042.5899999999</v>
      </c>
      <c r="AK9" s="72">
        <f t="shared" ref="AK9" si="45">SUM(AK5:AK8)</f>
        <v>1343484.21</v>
      </c>
    </row>
    <row r="10" spans="1:37" x14ac:dyDescent="0.3">
      <c r="B10" s="72"/>
      <c r="C10" s="72"/>
      <c r="D10" s="72"/>
      <c r="E10" s="72"/>
    </row>
    <row r="11" spans="1:37" x14ac:dyDescent="0.3">
      <c r="B11" s="72"/>
      <c r="C11" s="72"/>
      <c r="D11" s="72"/>
      <c r="E11" s="72"/>
    </row>
    <row r="12" spans="1:37" x14ac:dyDescent="0.3">
      <c r="A12" t="s">
        <v>74</v>
      </c>
      <c r="B12" s="74"/>
      <c r="C12" s="74"/>
      <c r="D12" s="74"/>
      <c r="E12" s="74"/>
    </row>
    <row r="13" spans="1:37" x14ac:dyDescent="0.3">
      <c r="A13" t="s">
        <v>75</v>
      </c>
    </row>
  </sheetData>
  <mergeCells count="1">
    <mergeCell ref="A1:E1"/>
  </mergeCells>
  <pageMargins left="0.7" right="0.7" top="0.75" bottom="0.75" header="0.3" footer="0.3"/>
  <pageSetup scale="67" orientation="landscape" r:id="rId1"/>
  <headerFooter>
    <oddHeader>&amp;L2024 TAP Reconcilable Rider Reports and Projection Model: &amp;A2024
January 2023 - December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Cover</vt:lpstr>
      <vt:lpstr>Table of Contents</vt:lpstr>
      <vt:lpstr>TRR_Summary</vt:lpstr>
      <vt:lpstr>TRR_Projections</vt:lpstr>
      <vt:lpstr>Data Source</vt:lpstr>
      <vt:lpstr>DR_1</vt:lpstr>
      <vt:lpstr>DR_2</vt:lpstr>
      <vt:lpstr>DR_3A Participants</vt:lpstr>
      <vt:lpstr>DR_4</vt:lpstr>
      <vt:lpstr>051018 Model_Applications</vt:lpstr>
      <vt:lpstr>051018 Model_Assumptions</vt:lpstr>
      <vt:lpstr>051018 Model_Model</vt:lpstr>
      <vt:lpstr>051018 Model_Cost Estimates</vt:lpstr>
      <vt:lpstr>Cover!Print_Area</vt:lpstr>
      <vt:lpstr>'Data Source'!Print_Area</vt:lpstr>
      <vt:lpstr>DR_1!Print_Area</vt:lpstr>
      <vt:lpstr>DR_2!Print_Area</vt:lpstr>
      <vt:lpstr>'DR_3A Participants'!Print_Area</vt:lpstr>
      <vt:lpstr>DR_4!Print_Area</vt:lpstr>
      <vt:lpstr>'Table of Contents'!Print_Area</vt:lpstr>
      <vt:lpstr>TRR_Projections!Print_Area</vt:lpstr>
      <vt:lpstr>DR_1!Print_Titles</vt:lpstr>
      <vt:lpstr>DR_2!Print_Titles</vt:lpstr>
      <vt:lpstr>'DR_3A Participants'!Print_Titles</vt:lpstr>
      <vt:lpstr>DR_4!Print_Titles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marcellawigg</dc:creator>
  <cp:keywords/>
  <dc:description/>
  <cp:lastModifiedBy>L Morgan</cp:lastModifiedBy>
  <cp:revision/>
  <cp:lastPrinted>2024-02-22T14:19:58Z</cp:lastPrinted>
  <dcterms:created xsi:type="dcterms:W3CDTF">2017-11-15T18:58:43Z</dcterms:created>
  <dcterms:modified xsi:type="dcterms:W3CDTF">2024-04-29T15:33:59Z</dcterms:modified>
  <cp:category/>
  <cp:contentStatus/>
</cp:coreProperties>
</file>