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https://d.docs.live.net/29e39f5313cc976b/Exeter1/103822-2 PWD 2024 TAP-R/My Testimony/Testimony Schedules/"/>
    </mc:Choice>
  </mc:AlternateContent>
  <xr:revisionPtr revIDLastSave="265" documentId="8_{8A8FD113-FA98-42E8-9749-871334ECA50D}" xr6:coauthVersionLast="47" xr6:coauthVersionMax="47" xr10:uidLastSave="{C527C1FD-9408-4421-8A17-6F18BC771181}"/>
  <bookViews>
    <workbookView xWindow="-23148" yWindow="-1668" windowWidth="23256" windowHeight="12456" firstSheet="3" activeTab="4" xr2:uid="{C8B806B9-ACB7-48E5-87F7-1E5729253C19}"/>
  </bookViews>
  <sheets>
    <sheet name="Home" sheetId="7" r:id="rId1"/>
    <sheet name="Table of Contents" sheetId="20" r:id="rId2"/>
    <sheet name="Assumptions and Inputs" sheetId="3" r:id="rId3"/>
    <sheet name="Customer" sheetId="19" r:id="rId4"/>
    <sheet name="Summary" sheetId="1" r:id="rId5"/>
    <sheet name="C-Factor" sheetId="5" r:id="rId6"/>
    <sheet name="E-Factor" sheetId="18" r:id="rId7"/>
    <sheet name="E-Factor PRIOR" sheetId="21" r:id="rId8"/>
    <sheet name="I-Factor" sheetId="14" r:id="rId9"/>
    <sheet name="I-Factor PRIOR" sheetId="22" r:id="rId10"/>
    <sheet name="Rates" sheetId="6" r:id="rId11"/>
  </sheets>
  <externalReferences>
    <externalReference r:id="rId12"/>
  </externalReferences>
  <definedNames>
    <definedName name="_xlnm.Print_Area" localSheetId="5">'C-Factor'!$B$2:$K$16</definedName>
    <definedName name="_xlnm.Print_Area" localSheetId="6">'E-Factor'!$A$2:$J$70</definedName>
    <definedName name="_xlnm.Print_Area" localSheetId="7">'E-Factor PRIOR'!$B$2:$M$70</definedName>
    <definedName name="_xlnm.Print_Area" localSheetId="8">'I-Factor'!$B$2:$E$62</definedName>
    <definedName name="_xlnm.Print_Area" localSheetId="9">'I-Factor PRIOR'!$B$2:$H$56</definedName>
    <definedName name="_xlnm.Print_Area" localSheetId="10">Rates!$B$3:$H$19</definedName>
    <definedName name="_xlnm.Print_Area" localSheetId="4">Summary!$B$3:$K$25</definedName>
    <definedName name="_xlnm.Print_Area" localSheetId="1">'Table of Contents'!$A$1:$B$17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6" i="19" l="1"/>
  <c r="B75" i="18"/>
  <c r="B36" i="18"/>
  <c r="D39" i="1"/>
  <c r="BP49" i="19" l="1"/>
  <c r="CI45" i="19"/>
  <c r="CH45" i="19"/>
  <c r="CG45" i="19"/>
  <c r="CF45" i="19"/>
  <c r="CE45" i="19"/>
  <c r="CD45" i="19"/>
  <c r="CC45" i="19"/>
  <c r="CB45" i="19"/>
  <c r="CA45" i="19"/>
  <c r="BZ45" i="19"/>
  <c r="BY45" i="19"/>
  <c r="BX45" i="19"/>
  <c r="BW45" i="19"/>
  <c r="BV45" i="19"/>
  <c r="BU45" i="19"/>
  <c r="BT45" i="19"/>
  <c r="BS45" i="19"/>
  <c r="BR45" i="19"/>
  <c r="BQ45" i="19"/>
  <c r="CI44" i="19"/>
  <c r="CH44" i="19"/>
  <c r="CG44" i="19"/>
  <c r="CF44" i="19"/>
  <c r="CE44" i="19"/>
  <c r="CD44" i="19"/>
  <c r="CC44" i="19"/>
  <c r="CB44" i="19"/>
  <c r="CA44" i="19"/>
  <c r="BZ44" i="19"/>
  <c r="BY44" i="19"/>
  <c r="BX44" i="19"/>
  <c r="BW44" i="19"/>
  <c r="BV44" i="19"/>
  <c r="BU44" i="19"/>
  <c r="BT44" i="19"/>
  <c r="BS44" i="19"/>
  <c r="BR44" i="19"/>
  <c r="BQ44" i="19"/>
  <c r="CI43" i="19"/>
  <c r="CH43" i="19"/>
  <c r="CG43" i="19"/>
  <c r="CF43" i="19"/>
  <c r="CE43" i="19"/>
  <c r="CD43" i="19"/>
  <c r="CC43" i="19"/>
  <c r="CB43" i="19"/>
  <c r="CA43" i="19"/>
  <c r="BZ43" i="19"/>
  <c r="BY43" i="19"/>
  <c r="BX43" i="19"/>
  <c r="BW43" i="19"/>
  <c r="BV43" i="19"/>
  <c r="BU43" i="19"/>
  <c r="BT43" i="19"/>
  <c r="BS43" i="19"/>
  <c r="BR43" i="19"/>
  <c r="BQ43" i="19"/>
  <c r="BP43" i="19"/>
  <c r="BP44" i="19"/>
  <c r="BP45" i="19"/>
  <c r="BP46" i="19"/>
  <c r="CI26" i="19"/>
  <c r="CH26" i="19"/>
  <c r="CG26" i="19"/>
  <c r="CF26" i="19"/>
  <c r="CE26" i="19"/>
  <c r="CD26" i="19"/>
  <c r="CC26" i="19"/>
  <c r="CB26" i="19"/>
  <c r="CA26" i="19"/>
  <c r="CI25" i="19"/>
  <c r="CH25" i="19"/>
  <c r="CG25" i="19"/>
  <c r="CF25" i="19"/>
  <c r="CE25" i="19"/>
  <c r="CD25" i="19"/>
  <c r="CC25" i="19"/>
  <c r="CB25" i="19"/>
  <c r="CA25" i="19"/>
  <c r="CI24" i="19"/>
  <c r="CH24" i="19"/>
  <c r="CG24" i="19"/>
  <c r="CF24" i="19"/>
  <c r="CE24" i="19"/>
  <c r="CD24" i="19"/>
  <c r="CC24" i="19"/>
  <c r="CB24" i="19"/>
  <c r="CA24" i="19"/>
  <c r="BZ26" i="19"/>
  <c r="BZ25" i="19"/>
  <c r="BZ24" i="19"/>
  <c r="BY26" i="19"/>
  <c r="BY25" i="19"/>
  <c r="BY24" i="19"/>
  <c r="BX26" i="19"/>
  <c r="BX25" i="19"/>
  <c r="BX24" i="19"/>
  <c r="BW26" i="19"/>
  <c r="BW25" i="19"/>
  <c r="BW24" i="19"/>
  <c r="BV26" i="19"/>
  <c r="BV25" i="19"/>
  <c r="BV24" i="19"/>
  <c r="BU26" i="19"/>
  <c r="BU25" i="19"/>
  <c r="BU24" i="19"/>
  <c r="BT26" i="19"/>
  <c r="BT25" i="19"/>
  <c r="BT24" i="19"/>
  <c r="BS26" i="19"/>
  <c r="BS25" i="19"/>
  <c r="BS24" i="19"/>
  <c r="BR26" i="19"/>
  <c r="BR25" i="19"/>
  <c r="BR24" i="19"/>
  <c r="BP30" i="19"/>
  <c r="BQ26" i="19"/>
  <c r="BQ25" i="19"/>
  <c r="BQ24" i="19"/>
  <c r="BP27" i="19"/>
  <c r="BP26" i="19"/>
  <c r="BP25" i="19"/>
  <c r="BP24" i="19"/>
  <c r="D38" i="1"/>
  <c r="BT59" i="19"/>
  <c r="BT60" i="19" s="1"/>
  <c r="BU59" i="19"/>
  <c r="BU60" i="19" s="1"/>
  <c r="BR59" i="19"/>
  <c r="BR60" i="19" s="1"/>
  <c r="BS59" i="19"/>
  <c r="BS60" i="19" s="1"/>
  <c r="BQ59" i="19"/>
  <c r="BQ60" i="19" s="1"/>
  <c r="BP59" i="19"/>
  <c r="BP60" i="19" s="1"/>
  <c r="CK8" i="19"/>
  <c r="CK45" i="19" l="1"/>
  <c r="CK44" i="19"/>
  <c r="CK43" i="19"/>
  <c r="CK40" i="19"/>
  <c r="CK26" i="19"/>
  <c r="CK25" i="19"/>
  <c r="CK21" i="19"/>
  <c r="BI12" i="19" l="1"/>
  <c r="B67" i="21"/>
  <c r="L45" i="21"/>
  <c r="L59" i="21" s="1"/>
  <c r="J45" i="21"/>
  <c r="L24" i="21"/>
  <c r="L10" i="21"/>
  <c r="J10" i="21"/>
  <c r="E75" i="22"/>
  <c r="E74" i="22"/>
  <c r="E73" i="22"/>
  <c r="C20" i="5"/>
  <c r="B17" i="6"/>
  <c r="B16" i="6"/>
  <c r="G85" i="21" l="1"/>
  <c r="G84" i="21"/>
  <c r="G83" i="21"/>
  <c r="G125" i="21"/>
  <c r="G124" i="21"/>
  <c r="G123" i="21"/>
  <c r="D125" i="21"/>
  <c r="D124" i="21"/>
  <c r="D123" i="21"/>
  <c r="D85" i="21"/>
  <c r="D84" i="21"/>
  <c r="D83" i="21"/>
  <c r="C134" i="21"/>
  <c r="C133" i="21"/>
  <c r="C132" i="21"/>
  <c r="C131" i="21"/>
  <c r="C130" i="21"/>
  <c r="C129" i="21"/>
  <c r="C128" i="21"/>
  <c r="C127" i="21"/>
  <c r="C126" i="21"/>
  <c r="C125" i="21"/>
  <c r="C124" i="21"/>
  <c r="C123" i="21"/>
  <c r="C94" i="21"/>
  <c r="C93" i="21"/>
  <c r="C92" i="21"/>
  <c r="C91" i="21"/>
  <c r="C90" i="21"/>
  <c r="C89" i="21"/>
  <c r="C88" i="21"/>
  <c r="C87" i="21"/>
  <c r="C86" i="21"/>
  <c r="C85" i="21"/>
  <c r="C84" i="21"/>
  <c r="C83" i="21"/>
  <c r="CM40" i="19"/>
  <c r="C53" i="18" l="1"/>
  <c r="C52" i="18"/>
  <c r="C51" i="18"/>
  <c r="C50" i="18"/>
  <c r="C14" i="18" l="1"/>
  <c r="C13" i="18"/>
  <c r="C12" i="18"/>
  <c r="C11" i="18"/>
  <c r="CM21" i="19" l="1"/>
  <c r="CM8" i="19"/>
  <c r="BX48" i="19"/>
  <c r="BY48" i="19"/>
  <c r="BZ48" i="19"/>
  <c r="CA48" i="19"/>
  <c r="CB48" i="19"/>
  <c r="CC48" i="19"/>
  <c r="CD48" i="19"/>
  <c r="CE48" i="19"/>
  <c r="CF48" i="19"/>
  <c r="CG48" i="19"/>
  <c r="CH48" i="19"/>
  <c r="CI48" i="19"/>
  <c r="BX29" i="19"/>
  <c r="BY29" i="19"/>
  <c r="BZ29" i="19"/>
  <c r="CA29" i="19"/>
  <c r="CB29" i="19"/>
  <c r="CC29" i="19"/>
  <c r="CD29" i="19"/>
  <c r="CE29" i="19"/>
  <c r="CF29" i="19"/>
  <c r="CG29" i="19"/>
  <c r="CH29" i="19"/>
  <c r="CI29" i="19"/>
  <c r="CK24" i="19" l="1"/>
  <c r="CM29" i="19"/>
  <c r="CM48" i="19"/>
  <c r="B145" i="21" l="1"/>
  <c r="B50" i="18" l="1"/>
  <c r="G52" i="22"/>
  <c r="G22" i="22"/>
  <c r="L57" i="21"/>
  <c r="L22" i="21"/>
  <c r="B22" i="21"/>
  <c r="G11" i="22"/>
  <c r="C57" i="21"/>
  <c r="C136" i="21" l="1"/>
  <c r="I87" i="22" l="1"/>
  <c r="B84" i="22"/>
  <c r="B22" i="22" s="1"/>
  <c r="B134" i="21"/>
  <c r="B57" i="21" s="1"/>
  <c r="B133" i="21"/>
  <c r="B132" i="21"/>
  <c r="B131" i="21"/>
  <c r="B130" i="21"/>
  <c r="B129" i="21"/>
  <c r="B128" i="21"/>
  <c r="B127" i="21"/>
  <c r="B126" i="21"/>
  <c r="B125" i="21"/>
  <c r="B124" i="21"/>
  <c r="B123" i="21"/>
  <c r="S98" i="21"/>
  <c r="B113" i="22" l="1"/>
  <c r="B52" i="22" s="1"/>
  <c r="C22" i="21"/>
  <c r="BL48" i="19"/>
  <c r="D50" i="18" s="1"/>
  <c r="BM48" i="19"/>
  <c r="D51" i="18" s="1"/>
  <c r="BN48" i="19"/>
  <c r="D52" i="18" s="1"/>
  <c r="BO48" i="19"/>
  <c r="D53" i="18" s="1"/>
  <c r="BP48" i="19"/>
  <c r="BQ48" i="19"/>
  <c r="BR48" i="19"/>
  <c r="BS48" i="19"/>
  <c r="BT48" i="19"/>
  <c r="BU48" i="19"/>
  <c r="D59" i="18" s="1"/>
  <c r="BV48" i="19"/>
  <c r="D60" i="18" s="1"/>
  <c r="BW48" i="19"/>
  <c r="D61" i="18" s="1"/>
  <c r="BL29" i="19"/>
  <c r="D11" i="18" s="1"/>
  <c r="BM29" i="19"/>
  <c r="D12" i="18" s="1"/>
  <c r="BN29" i="19"/>
  <c r="D13" i="18" s="1"/>
  <c r="BO29" i="19"/>
  <c r="D14" i="18" s="1"/>
  <c r="BP29" i="19"/>
  <c r="BQ29" i="19"/>
  <c r="BR29" i="19"/>
  <c r="BS29" i="19"/>
  <c r="BT29" i="19"/>
  <c r="BU29" i="19"/>
  <c r="D20" i="18" s="1"/>
  <c r="BV29" i="19"/>
  <c r="D21" i="18" s="1"/>
  <c r="BW29" i="19"/>
  <c r="D22" i="18" s="1"/>
  <c r="BL14" i="19"/>
  <c r="BM14" i="19"/>
  <c r="BN14" i="19"/>
  <c r="BO14" i="19"/>
  <c r="BL15" i="19"/>
  <c r="BM15" i="19"/>
  <c r="BN15" i="19"/>
  <c r="BO15" i="19"/>
  <c r="D57" i="18" l="1"/>
  <c r="BS46" i="19"/>
  <c r="BS49" i="19" s="1"/>
  <c r="D56" i="18"/>
  <c r="BR46" i="19"/>
  <c r="BR49" i="19" s="1"/>
  <c r="D54" i="18"/>
  <c r="CE46" i="19"/>
  <c r="CE49" i="19" s="1"/>
  <c r="CD46" i="19"/>
  <c r="CD49" i="19" s="1"/>
  <c r="CC46" i="19"/>
  <c r="CC49" i="19" s="1"/>
  <c r="CB46" i="19"/>
  <c r="CB49" i="19" s="1"/>
  <c r="CA46" i="19"/>
  <c r="CA49" i="19" s="1"/>
  <c r="BZ46" i="19"/>
  <c r="BZ49" i="19" s="1"/>
  <c r="BY46" i="19"/>
  <c r="BY49" i="19" s="1"/>
  <c r="BX46" i="19"/>
  <c r="BX49" i="19" s="1"/>
  <c r="CH46" i="19"/>
  <c r="CH49" i="19" s="1"/>
  <c r="CF46" i="19"/>
  <c r="CF49" i="19" s="1"/>
  <c r="CI46" i="19"/>
  <c r="CI49" i="19" s="1"/>
  <c r="BW46" i="19"/>
  <c r="BW49" i="19" s="1"/>
  <c r="BV46" i="19"/>
  <c r="BV49" i="19" s="1"/>
  <c r="BU46" i="19"/>
  <c r="BU49" i="19" s="1"/>
  <c r="CG46" i="19"/>
  <c r="CG49" i="19" s="1"/>
  <c r="CK48" i="19"/>
  <c r="D58" i="18"/>
  <c r="BT46" i="19"/>
  <c r="BT49" i="19" s="1"/>
  <c r="D55" i="18"/>
  <c r="BQ46" i="19"/>
  <c r="D17" i="18"/>
  <c r="BR27" i="19"/>
  <c r="BR30" i="19" s="1"/>
  <c r="D19" i="18"/>
  <c r="BT27" i="19"/>
  <c r="BT30" i="19" s="1"/>
  <c r="D18" i="18"/>
  <c r="BS27" i="19"/>
  <c r="BS30" i="19" s="1"/>
  <c r="D15" i="18"/>
  <c r="CA27" i="19"/>
  <c r="CA30" i="19" s="1"/>
  <c r="BX27" i="19"/>
  <c r="BX30" i="19" s="1"/>
  <c r="BU27" i="19"/>
  <c r="BU30" i="19" s="1"/>
  <c r="BW27" i="19"/>
  <c r="BW30" i="19" s="1"/>
  <c r="BV27" i="19"/>
  <c r="BV30" i="19" s="1"/>
  <c r="CE27" i="19"/>
  <c r="CE30" i="19" s="1"/>
  <c r="CI27" i="19"/>
  <c r="CI30" i="19" s="1"/>
  <c r="BZ27" i="19"/>
  <c r="BZ30" i="19" s="1"/>
  <c r="BY27" i="19"/>
  <c r="BY30" i="19" s="1"/>
  <c r="CH27" i="19"/>
  <c r="CH30" i="19" s="1"/>
  <c r="CG27" i="19"/>
  <c r="CG30" i="19" s="1"/>
  <c r="CB27" i="19"/>
  <c r="CB30" i="19" s="1"/>
  <c r="CF27" i="19"/>
  <c r="CF30" i="19" s="1"/>
  <c r="CD27" i="19"/>
  <c r="CD30" i="19" s="1"/>
  <c r="CC27" i="19"/>
  <c r="CC30" i="19" s="1"/>
  <c r="CK29" i="19"/>
  <c r="D16" i="18"/>
  <c r="BQ27" i="19"/>
  <c r="BM16" i="19"/>
  <c r="BN16" i="19"/>
  <c r="BL16" i="19"/>
  <c r="BO16" i="19"/>
  <c r="C96" i="21"/>
  <c r="BQ49" i="19" l="1"/>
  <c r="CK49" i="19" s="1"/>
  <c r="CK46" i="19"/>
  <c r="BQ30" i="19"/>
  <c r="CK27" i="19"/>
  <c r="AZ48" i="19"/>
  <c r="BA48" i="19"/>
  <c r="BB48" i="19"/>
  <c r="BC48" i="19"/>
  <c r="D126" i="21" s="1"/>
  <c r="BD48" i="19"/>
  <c r="D127" i="21" s="1"/>
  <c r="BE48" i="19"/>
  <c r="D128" i="21" s="1"/>
  <c r="BF48" i="19"/>
  <c r="D129" i="21" s="1"/>
  <c r="BG48" i="19"/>
  <c r="D130" i="21" s="1"/>
  <c r="BH48" i="19"/>
  <c r="D131" i="21" s="1"/>
  <c r="BI48" i="19"/>
  <c r="D132" i="21" s="1"/>
  <c r="BJ48" i="19"/>
  <c r="D133" i="21" s="1"/>
  <c r="BK48" i="19"/>
  <c r="D134" i="21" s="1"/>
  <c r="AZ29" i="19"/>
  <c r="BA29" i="19"/>
  <c r="BB29" i="19"/>
  <c r="BC29" i="19"/>
  <c r="D86" i="21" s="1"/>
  <c r="BD29" i="19"/>
  <c r="D87" i="21" s="1"/>
  <c r="BE29" i="19"/>
  <c r="D88" i="21" s="1"/>
  <c r="BF29" i="19"/>
  <c r="D89" i="21" s="1"/>
  <c r="BG29" i="19"/>
  <c r="D90" i="21" s="1"/>
  <c r="BH29" i="19"/>
  <c r="D91" i="21" s="1"/>
  <c r="BI29" i="19"/>
  <c r="D92" i="21" s="1"/>
  <c r="BJ29" i="19"/>
  <c r="D93" i="21" s="1"/>
  <c r="BK29" i="19"/>
  <c r="D94" i="21" s="1"/>
  <c r="AZ14" i="19"/>
  <c r="BA14" i="19"/>
  <c r="BB14" i="19"/>
  <c r="BC14" i="19"/>
  <c r="BD14" i="19"/>
  <c r="BE14" i="19"/>
  <c r="BF14" i="19"/>
  <c r="BG14" i="19"/>
  <c r="BH14" i="19"/>
  <c r="BI14" i="19"/>
  <c r="BJ14" i="19"/>
  <c r="BK14" i="19"/>
  <c r="AZ15" i="19"/>
  <c r="BA15" i="19"/>
  <c r="BB15" i="19"/>
  <c r="BC15" i="19"/>
  <c r="BD15" i="19"/>
  <c r="BE15" i="19"/>
  <c r="BF15" i="19"/>
  <c r="BG15" i="19"/>
  <c r="BH15" i="19"/>
  <c r="BI15" i="19"/>
  <c r="BJ15" i="19"/>
  <c r="BK15" i="19"/>
  <c r="BF16" i="19" l="1"/>
  <c r="BD16" i="19"/>
  <c r="BH16" i="19"/>
  <c r="AZ16" i="19"/>
  <c r="BK16" i="19"/>
  <c r="BG16" i="19"/>
  <c r="BJ16" i="19"/>
  <c r="BB16" i="19"/>
  <c r="BC16" i="19"/>
  <c r="BI16" i="19"/>
  <c r="BA16" i="19"/>
  <c r="BE16" i="19"/>
  <c r="H6" i="5" l="1"/>
  <c r="G6" i="5"/>
  <c r="I116" i="22" l="1"/>
  <c r="CM24" i="19" l="1"/>
  <c r="AN48" i="19"/>
  <c r="AO48" i="19"/>
  <c r="AP48" i="19"/>
  <c r="AQ48" i="19"/>
  <c r="AR48" i="19"/>
  <c r="AS48" i="19"/>
  <c r="AT48" i="19"/>
  <c r="AU48" i="19"/>
  <c r="AV48" i="19"/>
  <c r="AW48" i="19"/>
  <c r="AX48" i="19"/>
  <c r="AY48" i="19"/>
  <c r="D57" i="21" s="1"/>
  <c r="AN49" i="19"/>
  <c r="AO49" i="19"/>
  <c r="AO53" i="19" s="1"/>
  <c r="AP49" i="19"/>
  <c r="AP53" i="19" s="1"/>
  <c r="AN29" i="19"/>
  <c r="AO29" i="19"/>
  <c r="AP29" i="19"/>
  <c r="AQ29" i="19"/>
  <c r="AR29" i="19"/>
  <c r="AS29" i="19"/>
  <c r="AT29" i="19"/>
  <c r="AU29" i="19"/>
  <c r="AV29" i="19"/>
  <c r="AW29" i="19"/>
  <c r="AX29" i="19"/>
  <c r="AY29" i="19"/>
  <c r="D22" i="21" s="1"/>
  <c r="AN30" i="19"/>
  <c r="AO30" i="19"/>
  <c r="AO34" i="19" s="1"/>
  <c r="AP30" i="19"/>
  <c r="AP34" i="19" s="1"/>
  <c r="AN14" i="19"/>
  <c r="AO14" i="19"/>
  <c r="AP14" i="19"/>
  <c r="AQ14" i="19"/>
  <c r="AR14" i="19"/>
  <c r="AS14" i="19"/>
  <c r="AT14" i="19"/>
  <c r="AU14" i="19"/>
  <c r="AV14" i="19"/>
  <c r="AW14" i="19"/>
  <c r="AX14" i="19"/>
  <c r="AY14" i="19"/>
  <c r="AN15" i="19"/>
  <c r="AO15" i="19"/>
  <c r="AP15" i="19"/>
  <c r="AQ15" i="19"/>
  <c r="AR15" i="19"/>
  <c r="AS15" i="19"/>
  <c r="AT15" i="19"/>
  <c r="AU15" i="19"/>
  <c r="AV15" i="19"/>
  <c r="AW15" i="19"/>
  <c r="AX15" i="19"/>
  <c r="AY15" i="19"/>
  <c r="D96" i="21" l="1"/>
  <c r="D136" i="21"/>
  <c r="AN51" i="19"/>
  <c r="AN34" i="19"/>
  <c r="AN53" i="19"/>
  <c r="AN32" i="19"/>
  <c r="AP16" i="19"/>
  <c r="AO16" i="19"/>
  <c r="AO51" i="19"/>
  <c r="AS16" i="19"/>
  <c r="AN16" i="19"/>
  <c r="AR16" i="19"/>
  <c r="AY16" i="19"/>
  <c r="AP51" i="19"/>
  <c r="AP32" i="19"/>
  <c r="AO32" i="19"/>
  <c r="AW16" i="19"/>
  <c r="AV16" i="19"/>
  <c r="D63" i="18"/>
  <c r="AU16" i="19"/>
  <c r="AT16" i="19"/>
  <c r="AX16" i="19"/>
  <c r="AQ16" i="19"/>
  <c r="D24" i="18"/>
  <c r="AQ49" i="19"/>
  <c r="AQ51" i="19" s="1"/>
  <c r="AS49" i="19"/>
  <c r="AR49" i="19"/>
  <c r="AQ30" i="19"/>
  <c r="B151" i="21"/>
  <c r="B111" i="21"/>
  <c r="B31" i="21"/>
  <c r="B66" i="21"/>
  <c r="B63" i="21"/>
  <c r="B140" i="21"/>
  <c r="B28" i="21"/>
  <c r="B105" i="21"/>
  <c r="B100" i="21"/>
  <c r="I120" i="21"/>
  <c r="I80" i="21"/>
  <c r="F120" i="21"/>
  <c r="F80" i="21"/>
  <c r="AT49" i="19" l="1"/>
  <c r="AT53" i="19" s="1"/>
  <c r="AZ49" i="19"/>
  <c r="AZ53" i="19" s="1"/>
  <c r="AY49" i="19"/>
  <c r="AY53" i="19" s="1"/>
  <c r="AV49" i="19"/>
  <c r="AV53" i="19" s="1"/>
  <c r="AW49" i="19"/>
  <c r="AQ53" i="19"/>
  <c r="AU49" i="19"/>
  <c r="AU51" i="19" s="1"/>
  <c r="AX49" i="19"/>
  <c r="AS51" i="19"/>
  <c r="AS53" i="19"/>
  <c r="AR51" i="19"/>
  <c r="AR53" i="19"/>
  <c r="AQ32" i="19"/>
  <c r="AQ34" i="19"/>
  <c r="AR30" i="19"/>
  <c r="AX53" i="19" l="1"/>
  <c r="AW53" i="19"/>
  <c r="BC49" i="19"/>
  <c r="AT51" i="19"/>
  <c r="BA49" i="19"/>
  <c r="AV51" i="19"/>
  <c r="AX51" i="19"/>
  <c r="AY51" i="19"/>
  <c r="AW51" i="19"/>
  <c r="AU53" i="19"/>
  <c r="BB49" i="19"/>
  <c r="BB53" i="19" s="1"/>
  <c r="AZ51" i="19"/>
  <c r="AR32" i="19"/>
  <c r="AR34" i="19"/>
  <c r="AS30" i="19"/>
  <c r="B65" i="21"/>
  <c r="B30" i="21"/>
  <c r="BC53" i="19" l="1"/>
  <c r="G126" i="21" s="1"/>
  <c r="BC30" i="19"/>
  <c r="BA53" i="19"/>
  <c r="BA51" i="19"/>
  <c r="BB51" i="19"/>
  <c r="AS32" i="19"/>
  <c r="AS34" i="19"/>
  <c r="AT30" i="19"/>
  <c r="B22" i="14"/>
  <c r="B61" i="18"/>
  <c r="B53" i="14" s="1"/>
  <c r="CM26" i="19" l="1"/>
  <c r="BC34" i="19"/>
  <c r="G86" i="21" s="1"/>
  <c r="BC51" i="19"/>
  <c r="BD49" i="19"/>
  <c r="AT32" i="19"/>
  <c r="AT34" i="19"/>
  <c r="AU30" i="19"/>
  <c r="E100" i="22"/>
  <c r="B61" i="14"/>
  <c r="B30" i="14"/>
  <c r="E40" i="14"/>
  <c r="E9" i="14"/>
  <c r="B119" i="22"/>
  <c r="B90" i="22"/>
  <c r="B59" i="22"/>
  <c r="B29" i="22"/>
  <c r="BD53" i="19" l="1"/>
  <c r="G127" i="21" s="1"/>
  <c r="BD51" i="19"/>
  <c r="BE49" i="19"/>
  <c r="BE53" i="19" s="1"/>
  <c r="G128" i="21" s="1"/>
  <c r="AV30" i="19"/>
  <c r="AU32" i="19"/>
  <c r="AU34" i="19"/>
  <c r="CM45" i="19" l="1"/>
  <c r="CM25" i="19"/>
  <c r="CM27" i="19"/>
  <c r="BE51" i="19"/>
  <c r="BF49" i="19"/>
  <c r="BF53" i="19" s="1"/>
  <c r="G129" i="21" s="1"/>
  <c r="AV32" i="19"/>
  <c r="AV34" i="19"/>
  <c r="AW30" i="19"/>
  <c r="AW34" i="19" s="1"/>
  <c r="B150" i="21"/>
  <c r="B110" i="21"/>
  <c r="B73" i="18"/>
  <c r="B74" i="18"/>
  <c r="B35" i="18"/>
  <c r="B34" i="18"/>
  <c r="CM46" i="19" l="1"/>
  <c r="CM44" i="19"/>
  <c r="BF51" i="19"/>
  <c r="BG49" i="19"/>
  <c r="BG53" i="19" s="1"/>
  <c r="G130" i="21" s="1"/>
  <c r="AW32" i="19"/>
  <c r="AX30" i="19"/>
  <c r="AX34" i="19" l="1"/>
  <c r="BH49" i="19"/>
  <c r="BH53" i="19" s="1"/>
  <c r="G131" i="21" s="1"/>
  <c r="AZ30" i="19"/>
  <c r="AZ34" i="19" s="1"/>
  <c r="BG51" i="19"/>
  <c r="AX32" i="19"/>
  <c r="AY30" i="19"/>
  <c r="AY34" i="19" s="1"/>
  <c r="H8" i="18"/>
  <c r="AZ32" i="19" l="1"/>
  <c r="BA30" i="19"/>
  <c r="BA34" i="19" s="1"/>
  <c r="BH51" i="19"/>
  <c r="BI49" i="19"/>
  <c r="BI53" i="19" s="1"/>
  <c r="G132" i="21" s="1"/>
  <c r="AY32" i="19"/>
  <c r="J49" i="18"/>
  <c r="J10" i="18"/>
  <c r="BJ49" i="19" l="1"/>
  <c r="BJ53" i="19" s="1"/>
  <c r="G133" i="21" s="1"/>
  <c r="BB30" i="19"/>
  <c r="BB34" i="19" s="1"/>
  <c r="BA32" i="19"/>
  <c r="BI51" i="19"/>
  <c r="S138" i="21"/>
  <c r="BB32" i="19" l="1"/>
  <c r="BJ51" i="19"/>
  <c r="BK49" i="19"/>
  <c r="B3" i="6"/>
  <c r="BK53" i="19" l="1"/>
  <c r="G134" i="21" s="1"/>
  <c r="BL49" i="19"/>
  <c r="BL53" i="19" s="1"/>
  <c r="G50" i="18" s="1"/>
  <c r="BD30" i="19"/>
  <c r="BC32" i="19"/>
  <c r="BK51" i="19"/>
  <c r="C5" i="5"/>
  <c r="BD34" i="19" l="1"/>
  <c r="G87" i="21" s="1"/>
  <c r="G57" i="21"/>
  <c r="G136" i="21"/>
  <c r="BM49" i="19"/>
  <c r="BM53" i="19" s="1"/>
  <c r="G51" i="18" s="1"/>
  <c r="BL51" i="19"/>
  <c r="BD32" i="19"/>
  <c r="BE30" i="19"/>
  <c r="BE34" i="19" s="1"/>
  <c r="G88" i="21" s="1"/>
  <c r="AC48" i="19"/>
  <c r="AD48" i="19"/>
  <c r="AE48" i="19"/>
  <c r="AF48" i="19"/>
  <c r="AG48" i="19"/>
  <c r="AH48" i="19"/>
  <c r="AI48" i="19"/>
  <c r="AJ48" i="19"/>
  <c r="AK48" i="19"/>
  <c r="AL48" i="19"/>
  <c r="AM48" i="19"/>
  <c r="AC49" i="19"/>
  <c r="AD49" i="19"/>
  <c r="AD53" i="19" s="1"/>
  <c r="AE49" i="19"/>
  <c r="AE53" i="19" s="1"/>
  <c r="AF49" i="19"/>
  <c r="AF53" i="19" s="1"/>
  <c r="AC29" i="19"/>
  <c r="AD29" i="19"/>
  <c r="AE29" i="19"/>
  <c r="AF29" i="19"/>
  <c r="AG29" i="19"/>
  <c r="AH29" i="19"/>
  <c r="AI29" i="19"/>
  <c r="AJ29" i="19"/>
  <c r="AK29" i="19"/>
  <c r="AL29" i="19"/>
  <c r="AM29" i="19"/>
  <c r="AC30" i="19"/>
  <c r="AD30" i="19"/>
  <c r="AD34" i="19" s="1"/>
  <c r="AE30" i="19"/>
  <c r="AE34" i="19" s="1"/>
  <c r="AF30" i="19"/>
  <c r="AF34" i="19" s="1"/>
  <c r="AC14" i="19"/>
  <c r="AD14" i="19"/>
  <c r="AE14" i="19"/>
  <c r="AF14" i="19"/>
  <c r="AG14" i="19"/>
  <c r="AH14" i="19"/>
  <c r="AI14" i="19"/>
  <c r="AJ14" i="19"/>
  <c r="AK14" i="19"/>
  <c r="AL14" i="19"/>
  <c r="AM14" i="19"/>
  <c r="AC15" i="19"/>
  <c r="AD15" i="19"/>
  <c r="AE15" i="19"/>
  <c r="AF15" i="19"/>
  <c r="AG15" i="19"/>
  <c r="AH15" i="19"/>
  <c r="AI15" i="19"/>
  <c r="AJ15" i="19"/>
  <c r="AK15" i="19"/>
  <c r="AL15" i="19"/>
  <c r="AM15" i="19"/>
  <c r="BM51" i="19" l="1"/>
  <c r="BN49" i="19"/>
  <c r="BN53" i="19" s="1"/>
  <c r="G52" i="18" s="1"/>
  <c r="AL16" i="19"/>
  <c r="BE32" i="19"/>
  <c r="BF30" i="19"/>
  <c r="AK16" i="19"/>
  <c r="AD16" i="19"/>
  <c r="AJ16" i="19"/>
  <c r="AI16" i="19"/>
  <c r="AG16" i="19"/>
  <c r="AH16" i="19"/>
  <c r="AF16" i="19"/>
  <c r="AC16" i="19"/>
  <c r="AM16" i="19"/>
  <c r="AE16" i="19"/>
  <c r="AC53" i="19"/>
  <c r="AC34" i="19"/>
  <c r="AF51" i="19"/>
  <c r="AC51" i="19"/>
  <c r="AE32" i="19"/>
  <c r="AD32" i="19"/>
  <c r="AD51" i="19"/>
  <c r="AF32" i="19"/>
  <c r="AC32" i="19"/>
  <c r="AE51" i="19"/>
  <c r="BF34" i="19" l="1"/>
  <c r="G89" i="21" s="1"/>
  <c r="BN51" i="19"/>
  <c r="BO49" i="19"/>
  <c r="BO53" i="19" s="1"/>
  <c r="G53" i="18" s="1"/>
  <c r="BF32" i="19"/>
  <c r="BG30" i="19"/>
  <c r="BG34" i="19" s="1"/>
  <c r="G90" i="21" s="1"/>
  <c r="B21" i="14"/>
  <c r="B60" i="18"/>
  <c r="B52" i="14" s="1"/>
  <c r="AB48" i="19"/>
  <c r="AB14" i="19"/>
  <c r="AB15" i="19"/>
  <c r="AB29" i="19"/>
  <c r="BP53" i="19" l="1"/>
  <c r="BO51" i="19"/>
  <c r="BG32" i="19"/>
  <c r="BH30" i="19"/>
  <c r="BH34" i="19" s="1"/>
  <c r="G91" i="21" s="1"/>
  <c r="AB16" i="19"/>
  <c r="B62" i="14"/>
  <c r="B31" i="14"/>
  <c r="G54" i="18" l="1"/>
  <c r="BQ53" i="19"/>
  <c r="G55" i="18" s="1"/>
  <c r="BP51" i="19"/>
  <c r="BH32" i="19"/>
  <c r="BI30" i="19"/>
  <c r="BI34" i="19" s="1"/>
  <c r="G92" i="21" s="1"/>
  <c r="G16" i="22"/>
  <c r="H37" i="22"/>
  <c r="H36" i="22"/>
  <c r="H35" i="22"/>
  <c r="G53" i="22"/>
  <c r="G55" i="22" s="1"/>
  <c r="G51" i="22"/>
  <c r="G50" i="22"/>
  <c r="G49" i="22"/>
  <c r="G48" i="22"/>
  <c r="G47" i="22"/>
  <c r="G46" i="22"/>
  <c r="G45" i="22"/>
  <c r="G44" i="22"/>
  <c r="G43" i="22"/>
  <c r="G42" i="22"/>
  <c r="G41" i="22"/>
  <c r="G38" i="22"/>
  <c r="G37" i="22"/>
  <c r="G36" i="22"/>
  <c r="G35" i="22"/>
  <c r="B53" i="22"/>
  <c r="D39" i="22"/>
  <c r="C39" i="22"/>
  <c r="E38" i="22"/>
  <c r="C38" i="22"/>
  <c r="E37" i="22"/>
  <c r="D37" i="22"/>
  <c r="C37" i="22"/>
  <c r="E36" i="22"/>
  <c r="D36" i="22"/>
  <c r="C36" i="22"/>
  <c r="B36" i="22"/>
  <c r="E35" i="22"/>
  <c r="D35" i="22"/>
  <c r="C35" i="22"/>
  <c r="B35" i="22"/>
  <c r="C34" i="22"/>
  <c r="B33" i="22"/>
  <c r="B32" i="22"/>
  <c r="G6" i="22"/>
  <c r="H7" i="22"/>
  <c r="H6" i="22"/>
  <c r="G15" i="22"/>
  <c r="G14" i="22"/>
  <c r="G13" i="22"/>
  <c r="G12" i="22"/>
  <c r="G8" i="22"/>
  <c r="G7" i="22"/>
  <c r="B23" i="22"/>
  <c r="D9" i="22"/>
  <c r="C9" i="22"/>
  <c r="E8" i="22"/>
  <c r="C8" i="22"/>
  <c r="E7" i="22"/>
  <c r="D7" i="22"/>
  <c r="C7" i="22"/>
  <c r="E6" i="22"/>
  <c r="D6" i="22"/>
  <c r="C6" i="22"/>
  <c r="B6" i="22"/>
  <c r="H5" i="22"/>
  <c r="E5" i="22"/>
  <c r="D5" i="22"/>
  <c r="C5" i="22"/>
  <c r="B5" i="22"/>
  <c r="C4" i="22"/>
  <c r="B3" i="22"/>
  <c r="B2" i="22"/>
  <c r="E39" i="22"/>
  <c r="E71" i="22"/>
  <c r="E9" i="22" s="1"/>
  <c r="BQ51" i="19" l="1"/>
  <c r="BR53" i="19"/>
  <c r="G56" i="18" s="1"/>
  <c r="BI32" i="19"/>
  <c r="BJ30" i="19"/>
  <c r="BJ34" i="19" s="1"/>
  <c r="G93" i="21" s="1"/>
  <c r="G17" i="22"/>
  <c r="M40" i="21"/>
  <c r="L56" i="21"/>
  <c r="L55" i="21"/>
  <c r="L54" i="21"/>
  <c r="L53" i="21"/>
  <c r="L52" i="21"/>
  <c r="L51" i="21"/>
  <c r="L50" i="21"/>
  <c r="L49" i="21"/>
  <c r="L48" i="21"/>
  <c r="L47" i="21"/>
  <c r="L46" i="21"/>
  <c r="L41" i="21"/>
  <c r="L40" i="21"/>
  <c r="L39" i="21"/>
  <c r="C39" i="21"/>
  <c r="J44" i="21"/>
  <c r="G44" i="21"/>
  <c r="D44" i="21"/>
  <c r="C44" i="21"/>
  <c r="D43" i="21"/>
  <c r="I42" i="21"/>
  <c r="G42" i="21"/>
  <c r="F42" i="21"/>
  <c r="E42" i="21"/>
  <c r="D42" i="21"/>
  <c r="C42" i="21"/>
  <c r="J41" i="21"/>
  <c r="I41" i="21"/>
  <c r="H41" i="21"/>
  <c r="G41" i="21"/>
  <c r="F41" i="21"/>
  <c r="E41" i="21"/>
  <c r="D41" i="21"/>
  <c r="C41" i="21"/>
  <c r="B41" i="21"/>
  <c r="J40" i="21"/>
  <c r="I40" i="21"/>
  <c r="H40" i="21"/>
  <c r="G40" i="21"/>
  <c r="F40" i="21"/>
  <c r="E40" i="21"/>
  <c r="D40" i="21"/>
  <c r="C40" i="21"/>
  <c r="B40" i="21"/>
  <c r="L21" i="21"/>
  <c r="L20" i="21"/>
  <c r="L19" i="21"/>
  <c r="L18" i="21"/>
  <c r="L17" i="21"/>
  <c r="L16" i="21"/>
  <c r="L15" i="21"/>
  <c r="L14" i="21"/>
  <c r="L13" i="21"/>
  <c r="L12" i="21"/>
  <c r="L11" i="21"/>
  <c r="M5" i="21"/>
  <c r="L6" i="21"/>
  <c r="L5" i="21"/>
  <c r="J9" i="21"/>
  <c r="G9" i="21"/>
  <c r="D9" i="21"/>
  <c r="C9" i="21"/>
  <c r="I7" i="21"/>
  <c r="G7" i="21"/>
  <c r="F7" i="21"/>
  <c r="E7" i="21"/>
  <c r="D7" i="21"/>
  <c r="J6" i="21"/>
  <c r="I6" i="21"/>
  <c r="H6" i="21"/>
  <c r="G6" i="21"/>
  <c r="F6" i="21"/>
  <c r="E6" i="21"/>
  <c r="D6" i="21"/>
  <c r="J5" i="21"/>
  <c r="I5" i="21"/>
  <c r="H5" i="21"/>
  <c r="G5" i="21"/>
  <c r="F5" i="21"/>
  <c r="E5" i="21"/>
  <c r="D5" i="21"/>
  <c r="C7" i="21"/>
  <c r="C6" i="21"/>
  <c r="C5" i="21"/>
  <c r="B21" i="21"/>
  <c r="B20" i="21"/>
  <c r="B19" i="21"/>
  <c r="B18" i="21"/>
  <c r="B17" i="21"/>
  <c r="B16" i="21"/>
  <c r="B15" i="21"/>
  <c r="B14" i="21"/>
  <c r="B13" i="21"/>
  <c r="B12" i="21"/>
  <c r="B11" i="21"/>
  <c r="B34" i="21" s="1"/>
  <c r="B6" i="21"/>
  <c r="B5" i="21"/>
  <c r="L61" i="21" l="1"/>
  <c r="L26" i="21"/>
  <c r="BS53" i="19"/>
  <c r="G57" i="18" s="1"/>
  <c r="BR51" i="19"/>
  <c r="BJ32" i="19"/>
  <c r="BK30" i="19"/>
  <c r="G18" i="22"/>
  <c r="BK34" i="19" l="1"/>
  <c r="G94" i="21" s="1"/>
  <c r="BS51" i="19"/>
  <c r="BL30" i="19"/>
  <c r="BL34" i="19" s="1"/>
  <c r="G11" i="18" s="1"/>
  <c r="H11" i="18" s="1"/>
  <c r="BT53" i="19"/>
  <c r="BK32" i="19"/>
  <c r="G19" i="22"/>
  <c r="B83" i="22"/>
  <c r="B21" i="22" s="1"/>
  <c r="B82" i="22"/>
  <c r="B20" i="22" s="1"/>
  <c r="B81" i="22"/>
  <c r="B19" i="22" s="1"/>
  <c r="B80" i="22"/>
  <c r="B18" i="22" s="1"/>
  <c r="B79" i="22"/>
  <c r="B17" i="22" s="1"/>
  <c r="B78" i="22"/>
  <c r="B16" i="22" s="1"/>
  <c r="B77" i="22"/>
  <c r="B15" i="22" s="1"/>
  <c r="B76" i="22"/>
  <c r="B14" i="22" s="1"/>
  <c r="B75" i="22"/>
  <c r="B13" i="22" s="1"/>
  <c r="B74" i="22"/>
  <c r="B12" i="22" s="1"/>
  <c r="B73" i="22"/>
  <c r="B11" i="22" s="1"/>
  <c r="G58" i="18" l="1"/>
  <c r="G22" i="21"/>
  <c r="BU53" i="19"/>
  <c r="G59" i="18" s="1"/>
  <c r="BT51" i="19"/>
  <c r="BM30" i="19"/>
  <c r="BM34" i="19" s="1"/>
  <c r="G12" i="18" s="1"/>
  <c r="H12" i="18" s="1"/>
  <c r="BL32" i="19"/>
  <c r="G20" i="22"/>
  <c r="D36" i="1"/>
  <c r="G96" i="21" l="1"/>
  <c r="BM32" i="19"/>
  <c r="BN30" i="19"/>
  <c r="BN34" i="19" s="1"/>
  <c r="G13" i="18" s="1"/>
  <c r="H13" i="18" s="1"/>
  <c r="BV53" i="19"/>
  <c r="G60" i="18" s="1"/>
  <c r="BU51" i="19"/>
  <c r="G21" i="22"/>
  <c r="H47" i="18"/>
  <c r="E47" i="18"/>
  <c r="E8" i="18"/>
  <c r="U49" i="19"/>
  <c r="U53" i="19" s="1"/>
  <c r="T49" i="19"/>
  <c r="T53" i="19" s="1"/>
  <c r="S49" i="19"/>
  <c r="S53" i="19" s="1"/>
  <c r="R49" i="19"/>
  <c r="R53" i="19" s="1"/>
  <c r="Q49" i="19"/>
  <c r="Q53" i="19" s="1"/>
  <c r="P49" i="19"/>
  <c r="AA48" i="19"/>
  <c r="Z48" i="19"/>
  <c r="Y48" i="19"/>
  <c r="X48" i="19"/>
  <c r="W48" i="19"/>
  <c r="V48" i="19"/>
  <c r="U48" i="19"/>
  <c r="T48" i="19"/>
  <c r="S48" i="19"/>
  <c r="R48" i="19"/>
  <c r="Q48" i="19"/>
  <c r="P48" i="19"/>
  <c r="U30" i="19"/>
  <c r="U34" i="19" s="1"/>
  <c r="T30" i="19"/>
  <c r="T34" i="19" s="1"/>
  <c r="S30" i="19"/>
  <c r="S34" i="19" s="1"/>
  <c r="R30" i="19"/>
  <c r="R34" i="19" s="1"/>
  <c r="Q30" i="19"/>
  <c r="Q34" i="19" s="1"/>
  <c r="P30" i="19"/>
  <c r="AA29" i="19"/>
  <c r="Z29" i="19"/>
  <c r="Y29" i="19"/>
  <c r="X29" i="19"/>
  <c r="W29" i="19"/>
  <c r="V29" i="19"/>
  <c r="U29" i="19"/>
  <c r="T29" i="19"/>
  <c r="S29" i="19"/>
  <c r="R29" i="19"/>
  <c r="Q29" i="19"/>
  <c r="P29" i="19"/>
  <c r="J29" i="19"/>
  <c r="P14" i="19"/>
  <c r="Q14" i="19"/>
  <c r="R14" i="19"/>
  <c r="S14" i="19"/>
  <c r="T14" i="19"/>
  <c r="U14" i="19"/>
  <c r="V14" i="19"/>
  <c r="W14" i="19"/>
  <c r="X14" i="19"/>
  <c r="Y14" i="19"/>
  <c r="Z14" i="19"/>
  <c r="AA14" i="19"/>
  <c r="P15" i="19"/>
  <c r="Q15" i="19"/>
  <c r="R15" i="19"/>
  <c r="S15" i="19"/>
  <c r="T15" i="19"/>
  <c r="U15" i="19"/>
  <c r="V15" i="19"/>
  <c r="W15" i="19"/>
  <c r="X15" i="19"/>
  <c r="Y15" i="19"/>
  <c r="Z15" i="19"/>
  <c r="AA15" i="19"/>
  <c r="C56" i="21"/>
  <c r="C55" i="21"/>
  <c r="C54" i="21"/>
  <c r="C53" i="21"/>
  <c r="C52" i="21"/>
  <c r="C51" i="21"/>
  <c r="C50" i="21"/>
  <c r="C49" i="21"/>
  <c r="C48" i="21"/>
  <c r="C47" i="21"/>
  <c r="I43" i="21"/>
  <c r="H120" i="21"/>
  <c r="E120" i="21"/>
  <c r="C21" i="21"/>
  <c r="C20" i="21"/>
  <c r="C19" i="21"/>
  <c r="C18" i="21"/>
  <c r="C17" i="21"/>
  <c r="C16" i="21"/>
  <c r="C15" i="21"/>
  <c r="C14" i="21"/>
  <c r="C13" i="21"/>
  <c r="C12" i="21"/>
  <c r="I8" i="21"/>
  <c r="H80" i="21"/>
  <c r="E80" i="21"/>
  <c r="E94" i="21" s="1"/>
  <c r="BW53" i="19" l="1"/>
  <c r="F94" i="21"/>
  <c r="F22" i="21" s="1"/>
  <c r="E22" i="21"/>
  <c r="BV51" i="19"/>
  <c r="BO30" i="19"/>
  <c r="BO34" i="19" s="1"/>
  <c r="G14" i="18" s="1"/>
  <c r="BN32" i="19"/>
  <c r="E61" i="18"/>
  <c r="E50" i="18"/>
  <c r="H50" i="18"/>
  <c r="E22" i="18"/>
  <c r="E11" i="18"/>
  <c r="E134" i="21"/>
  <c r="E123" i="21"/>
  <c r="H134" i="21"/>
  <c r="H123" i="21"/>
  <c r="I123" i="21" s="1"/>
  <c r="H94" i="21"/>
  <c r="H83" i="21"/>
  <c r="H93" i="21"/>
  <c r="E51" i="18"/>
  <c r="E58" i="18"/>
  <c r="E55" i="18"/>
  <c r="E52" i="18"/>
  <c r="E56" i="18"/>
  <c r="E57" i="18"/>
  <c r="E54" i="18"/>
  <c r="E53" i="18"/>
  <c r="E60" i="18"/>
  <c r="E59" i="18"/>
  <c r="E21" i="18"/>
  <c r="E91" i="21"/>
  <c r="F91" i="21" s="1"/>
  <c r="E90" i="21"/>
  <c r="F90" i="21" s="1"/>
  <c r="E84" i="21"/>
  <c r="F84" i="21" s="1"/>
  <c r="E92" i="21"/>
  <c r="F92" i="21" s="1"/>
  <c r="E83" i="21"/>
  <c r="E85" i="21"/>
  <c r="F85" i="21" s="1"/>
  <c r="E93" i="21"/>
  <c r="F93" i="21" s="1"/>
  <c r="S32" i="19"/>
  <c r="E86" i="21"/>
  <c r="F86" i="21" s="1"/>
  <c r="T32" i="19"/>
  <c r="E87" i="21"/>
  <c r="F87" i="21" s="1"/>
  <c r="E88" i="21"/>
  <c r="F88" i="21" s="1"/>
  <c r="H84" i="21"/>
  <c r="I84" i="21" s="1"/>
  <c r="E89" i="21"/>
  <c r="F89" i="21" s="1"/>
  <c r="H85" i="21"/>
  <c r="I85" i="21" s="1"/>
  <c r="H86" i="21"/>
  <c r="I86" i="21" s="1"/>
  <c r="Q16" i="19"/>
  <c r="H43" i="21"/>
  <c r="C11" i="21"/>
  <c r="C24" i="21" s="1"/>
  <c r="C46" i="21"/>
  <c r="C59" i="21" s="1"/>
  <c r="E8" i="21"/>
  <c r="E43" i="21"/>
  <c r="G23" i="22"/>
  <c r="G25" i="22" s="1"/>
  <c r="Q32" i="19"/>
  <c r="P16" i="19"/>
  <c r="Q51" i="19"/>
  <c r="U16" i="19"/>
  <c r="Y16" i="19"/>
  <c r="X16" i="19"/>
  <c r="B46" i="21"/>
  <c r="B69" i="21" s="1"/>
  <c r="B102" i="22"/>
  <c r="B41" i="22" s="1"/>
  <c r="B48" i="21"/>
  <c r="B104" i="22"/>
  <c r="B43" i="22" s="1"/>
  <c r="B50" i="21"/>
  <c r="B106" i="22"/>
  <c r="B45" i="22" s="1"/>
  <c r="B52" i="21"/>
  <c r="B108" i="22"/>
  <c r="B47" i="22" s="1"/>
  <c r="B54" i="21"/>
  <c r="B110" i="22"/>
  <c r="B49" i="22" s="1"/>
  <c r="B56" i="21"/>
  <c r="B112" i="22"/>
  <c r="B51" i="22" s="1"/>
  <c r="B47" i="21"/>
  <c r="B103" i="22"/>
  <c r="B42" i="22" s="1"/>
  <c r="B49" i="21"/>
  <c r="B105" i="22"/>
  <c r="B44" i="22" s="1"/>
  <c r="B51" i="21"/>
  <c r="B107" i="22"/>
  <c r="B46" i="22" s="1"/>
  <c r="B53" i="21"/>
  <c r="B109" i="22"/>
  <c r="B48" i="22" s="1"/>
  <c r="B55" i="21"/>
  <c r="B111" i="22"/>
  <c r="B50" i="22" s="1"/>
  <c r="I81" i="21"/>
  <c r="I9" i="21" s="1"/>
  <c r="F8" i="21"/>
  <c r="I121" i="21"/>
  <c r="I44" i="21" s="1"/>
  <c r="F43" i="21"/>
  <c r="T51" i="19"/>
  <c r="U51" i="19"/>
  <c r="R51" i="19"/>
  <c r="T16" i="19"/>
  <c r="S51" i="19"/>
  <c r="U32" i="19"/>
  <c r="P53" i="19"/>
  <c r="P34" i="19"/>
  <c r="P51" i="19"/>
  <c r="P32" i="19"/>
  <c r="AA16" i="19"/>
  <c r="W16" i="19"/>
  <c r="S16" i="19"/>
  <c r="V49" i="19"/>
  <c r="V53" i="19" s="1"/>
  <c r="Z16" i="19"/>
  <c r="V16" i="19"/>
  <c r="R16" i="19"/>
  <c r="V30" i="19"/>
  <c r="V34" i="19" s="1"/>
  <c r="R32" i="19"/>
  <c r="H81" i="21"/>
  <c r="H9" i="21" s="1"/>
  <c r="H121" i="21"/>
  <c r="H44" i="21" s="1"/>
  <c r="F121" i="21"/>
  <c r="F44" i="21" s="1"/>
  <c r="E81" i="21"/>
  <c r="E9" i="21" s="1"/>
  <c r="F81" i="21"/>
  <c r="F9" i="21" s="1"/>
  <c r="E121" i="21"/>
  <c r="E44" i="21" s="1"/>
  <c r="G61" i="18" l="1"/>
  <c r="CK53" i="19"/>
  <c r="H14" i="18"/>
  <c r="BX51" i="19"/>
  <c r="BX53" i="19"/>
  <c r="I134" i="21"/>
  <c r="H57" i="21"/>
  <c r="BP34" i="19"/>
  <c r="F134" i="21"/>
  <c r="F57" i="21" s="1"/>
  <c r="E57" i="21"/>
  <c r="BO32" i="19"/>
  <c r="I94" i="21"/>
  <c r="H22" i="21"/>
  <c r="BW51" i="19"/>
  <c r="CK51" i="19" s="1"/>
  <c r="I83" i="21"/>
  <c r="E96" i="21"/>
  <c r="F83" i="21"/>
  <c r="F96" i="21" s="1"/>
  <c r="J84" i="21"/>
  <c r="U84" i="21" s="1"/>
  <c r="J85" i="21"/>
  <c r="U85" i="21" s="1"/>
  <c r="J86" i="21"/>
  <c r="U86" i="21" s="1"/>
  <c r="Y30" i="19"/>
  <c r="Y34" i="19" s="1"/>
  <c r="W30" i="19"/>
  <c r="W34" i="19" s="1"/>
  <c r="X30" i="19"/>
  <c r="X34" i="19" s="1"/>
  <c r="W49" i="19"/>
  <c r="V51" i="19"/>
  <c r="V32" i="19"/>
  <c r="B20" i="14"/>
  <c r="B19" i="14"/>
  <c r="B18" i="14"/>
  <c r="B17" i="14"/>
  <c r="B16" i="14"/>
  <c r="B15" i="14"/>
  <c r="B14" i="14"/>
  <c r="B13" i="14"/>
  <c r="B12" i="14"/>
  <c r="B11" i="14"/>
  <c r="G63" i="18" l="1"/>
  <c r="H61" i="18"/>
  <c r="G15" i="18"/>
  <c r="H15" i="18" s="1"/>
  <c r="BY51" i="19"/>
  <c r="BY53" i="19"/>
  <c r="BP32" i="19"/>
  <c r="J134" i="21"/>
  <c r="I57" i="21"/>
  <c r="J94" i="21"/>
  <c r="U94" i="21" s="1"/>
  <c r="I22" i="21"/>
  <c r="J83" i="21"/>
  <c r="U83" i="21" s="1"/>
  <c r="W32" i="19"/>
  <c r="Z30" i="19"/>
  <c r="Z34" i="19" s="1"/>
  <c r="Z49" i="19"/>
  <c r="Z53" i="19" s="1"/>
  <c r="Y49" i="19"/>
  <c r="Y53" i="19" s="1"/>
  <c r="X32" i="19"/>
  <c r="X49" i="19"/>
  <c r="Y32" i="19"/>
  <c r="W53" i="19"/>
  <c r="W51" i="19"/>
  <c r="AA49" i="19"/>
  <c r="BQ34" i="19" l="1"/>
  <c r="BZ51" i="19"/>
  <c r="BZ53" i="19"/>
  <c r="BR34" i="19"/>
  <c r="G17" i="18" s="1"/>
  <c r="H17" i="18" s="1"/>
  <c r="BQ32" i="19"/>
  <c r="J57" i="21"/>
  <c r="M57" i="21" s="1"/>
  <c r="C113" i="22"/>
  <c r="C52" i="22" s="1"/>
  <c r="U134" i="21"/>
  <c r="J22" i="21"/>
  <c r="M22" i="21" s="1"/>
  <c r="C84" i="22"/>
  <c r="C22" i="22" s="1"/>
  <c r="Z32" i="19"/>
  <c r="AG49" i="19"/>
  <c r="Z51" i="19"/>
  <c r="AB49" i="19"/>
  <c r="AB51" i="19" s="1"/>
  <c r="AB30" i="19"/>
  <c r="Y51" i="19"/>
  <c r="X53" i="19"/>
  <c r="X51" i="19"/>
  <c r="AA53" i="19"/>
  <c r="AA51" i="19"/>
  <c r="G16" i="18" l="1"/>
  <c r="H16" i="18" s="1"/>
  <c r="CA53" i="19"/>
  <c r="CA51" i="19"/>
  <c r="BS34" i="19"/>
  <c r="G18" i="18" s="1"/>
  <c r="H18" i="18" s="1"/>
  <c r="BR32" i="19"/>
  <c r="AB53" i="19"/>
  <c r="AG30" i="19"/>
  <c r="AH49" i="19"/>
  <c r="AA30" i="19"/>
  <c r="AA32" i="19" s="1"/>
  <c r="AB34" i="19"/>
  <c r="AG51" i="19"/>
  <c r="AG53" i="19"/>
  <c r="AB32" i="19"/>
  <c r="B59" i="18"/>
  <c r="B58" i="18"/>
  <c r="B57" i="18"/>
  <c r="B56" i="18"/>
  <c r="B55" i="18"/>
  <c r="B54" i="18"/>
  <c r="B53" i="18"/>
  <c r="B52" i="18"/>
  <c r="B51" i="18"/>
  <c r="CB51" i="19" l="1"/>
  <c r="CB53" i="19"/>
  <c r="BT34" i="19"/>
  <c r="G19" i="18" s="1"/>
  <c r="H19" i="18" s="1"/>
  <c r="BS32" i="19"/>
  <c r="AA34" i="19"/>
  <c r="AI49" i="19"/>
  <c r="AG34" i="19"/>
  <c r="H87" i="21" s="1"/>
  <c r="AG32" i="19"/>
  <c r="AH30" i="19"/>
  <c r="AH53" i="19"/>
  <c r="AH51" i="19"/>
  <c r="B51" i="14"/>
  <c r="B50" i="14"/>
  <c r="B49" i="14"/>
  <c r="B48" i="14"/>
  <c r="B47" i="14"/>
  <c r="B46" i="14"/>
  <c r="B45" i="14"/>
  <c r="B44" i="14"/>
  <c r="B43" i="14"/>
  <c r="B42" i="14"/>
  <c r="CC51" i="19" l="1"/>
  <c r="CC53" i="19"/>
  <c r="BT32" i="19"/>
  <c r="BU34" i="19"/>
  <c r="G20" i="18" s="1"/>
  <c r="H20" i="18" s="1"/>
  <c r="I87" i="21"/>
  <c r="AH34" i="19"/>
  <c r="H88" i="21" s="1"/>
  <c r="I88" i="21" s="1"/>
  <c r="J88" i="21" s="1"/>
  <c r="U88" i="21" s="1"/>
  <c r="AH32" i="19"/>
  <c r="AI30" i="19"/>
  <c r="AI51" i="19"/>
  <c r="AI53" i="19"/>
  <c r="AJ49" i="19"/>
  <c r="B71" i="18"/>
  <c r="B32" i="18"/>
  <c r="CD51" i="19" l="1"/>
  <c r="CD53" i="19"/>
  <c r="BV34" i="19"/>
  <c r="G21" i="18" s="1"/>
  <c r="H21" i="18" s="1"/>
  <c r="BU32" i="19"/>
  <c r="J87" i="21"/>
  <c r="U87" i="21" s="1"/>
  <c r="AJ30" i="19"/>
  <c r="AI32" i="19"/>
  <c r="AI34" i="19"/>
  <c r="H89" i="21" s="1"/>
  <c r="AK49" i="19"/>
  <c r="AJ53" i="19"/>
  <c r="AJ51" i="19"/>
  <c r="B15" i="19"/>
  <c r="B14" i="19"/>
  <c r="CE51" i="19" l="1"/>
  <c r="CE53" i="19"/>
  <c r="BV32" i="19"/>
  <c r="I89" i="21"/>
  <c r="AL49" i="19"/>
  <c r="AJ32" i="19"/>
  <c r="AJ34" i="19"/>
  <c r="H90" i="21" s="1"/>
  <c r="I90" i="21" s="1"/>
  <c r="J90" i="21" s="1"/>
  <c r="U90" i="21" s="1"/>
  <c r="AK53" i="19"/>
  <c r="AK51" i="19"/>
  <c r="AK30" i="19"/>
  <c r="I47" i="18"/>
  <c r="F47" i="18"/>
  <c r="F8" i="18"/>
  <c r="I8" i="18"/>
  <c r="J48" i="19"/>
  <c r="K48" i="19"/>
  <c r="L48" i="19"/>
  <c r="M48" i="19"/>
  <c r="N48" i="19"/>
  <c r="O48" i="19"/>
  <c r="N29" i="19"/>
  <c r="I29" i="19"/>
  <c r="K29" i="19"/>
  <c r="O29" i="19"/>
  <c r="I49" i="19"/>
  <c r="H49" i="19"/>
  <c r="G49" i="19"/>
  <c r="F49" i="19"/>
  <c r="E49" i="19"/>
  <c r="D49" i="19"/>
  <c r="I48" i="19"/>
  <c r="H48" i="19"/>
  <c r="G48" i="19"/>
  <c r="F48" i="19"/>
  <c r="E48" i="19"/>
  <c r="D48" i="19"/>
  <c r="F29" i="19"/>
  <c r="G29" i="19"/>
  <c r="E30" i="19"/>
  <c r="F30" i="19"/>
  <c r="G30" i="19"/>
  <c r="H30" i="19"/>
  <c r="I30" i="19"/>
  <c r="D30" i="19"/>
  <c r="BW34" i="19" l="1"/>
  <c r="CK30" i="19"/>
  <c r="CF53" i="19"/>
  <c r="CF51" i="19"/>
  <c r="BX34" i="19"/>
  <c r="BX32" i="19"/>
  <c r="I50" i="18"/>
  <c r="I61" i="18"/>
  <c r="BW32" i="19"/>
  <c r="CK32" i="19" s="1"/>
  <c r="F50" i="18"/>
  <c r="F11" i="18"/>
  <c r="I11" i="18"/>
  <c r="J89" i="21"/>
  <c r="U89" i="21" s="1"/>
  <c r="AM49" i="19"/>
  <c r="AM53" i="19" s="1"/>
  <c r="AK34" i="19"/>
  <c r="H91" i="21" s="1"/>
  <c r="I91" i="21" s="1"/>
  <c r="J91" i="21" s="1"/>
  <c r="U91" i="21" s="1"/>
  <c r="AK32" i="19"/>
  <c r="AL53" i="19"/>
  <c r="AL51" i="19"/>
  <c r="AL30" i="19"/>
  <c r="D46" i="21"/>
  <c r="I48" i="18"/>
  <c r="I9" i="18"/>
  <c r="E125" i="21"/>
  <c r="D48" i="21"/>
  <c r="E133" i="21"/>
  <c r="D56" i="21"/>
  <c r="E129" i="21"/>
  <c r="D52" i="21"/>
  <c r="E126" i="21"/>
  <c r="D49" i="21"/>
  <c r="E132" i="21"/>
  <c r="D55" i="21"/>
  <c r="E127" i="21"/>
  <c r="D50" i="21"/>
  <c r="E131" i="21"/>
  <c r="D54" i="21"/>
  <c r="E124" i="21"/>
  <c r="D47" i="21"/>
  <c r="E128" i="21"/>
  <c r="D51" i="21"/>
  <c r="E130" i="21"/>
  <c r="D53" i="21"/>
  <c r="D17" i="21"/>
  <c r="D18" i="21"/>
  <c r="D14" i="21"/>
  <c r="D16" i="21"/>
  <c r="D13" i="21"/>
  <c r="D21" i="21"/>
  <c r="E20" i="18"/>
  <c r="E13" i="18"/>
  <c r="F13" i="18" s="1"/>
  <c r="E16" i="18"/>
  <c r="E12" i="18"/>
  <c r="F12" i="18" s="1"/>
  <c r="E17" i="18"/>
  <c r="E15" i="18"/>
  <c r="I34" i="19"/>
  <c r="E34" i="19"/>
  <c r="G53" i="19"/>
  <c r="D34" i="19"/>
  <c r="H34" i="19"/>
  <c r="D53" i="19"/>
  <c r="H53" i="19"/>
  <c r="G34" i="19"/>
  <c r="E53" i="19"/>
  <c r="I53" i="19"/>
  <c r="F34" i="19"/>
  <c r="F53" i="19"/>
  <c r="M15" i="19"/>
  <c r="M29" i="19"/>
  <c r="E15" i="19"/>
  <c r="E29" i="19"/>
  <c r="D15" i="19"/>
  <c r="L14" i="19"/>
  <c r="L29" i="19"/>
  <c r="H15" i="19"/>
  <c r="H29" i="19"/>
  <c r="O15" i="19"/>
  <c r="K15" i="19"/>
  <c r="G15" i="19"/>
  <c r="N15" i="19"/>
  <c r="J15" i="19"/>
  <c r="F15" i="19"/>
  <c r="M14" i="19"/>
  <c r="I14" i="19"/>
  <c r="E14" i="19"/>
  <c r="L15" i="19"/>
  <c r="D14" i="19"/>
  <c r="I15" i="19"/>
  <c r="H14" i="19"/>
  <c r="F9" i="18"/>
  <c r="F48" i="18"/>
  <c r="O14" i="19"/>
  <c r="K14" i="19"/>
  <c r="G14" i="19"/>
  <c r="N14" i="19"/>
  <c r="J14" i="19"/>
  <c r="F14" i="19"/>
  <c r="J49" i="19"/>
  <c r="J53" i="19" s="1"/>
  <c r="G32" i="19"/>
  <c r="J30" i="19"/>
  <c r="J34" i="19" s="1"/>
  <c r="G17" i="21" s="1"/>
  <c r="F32" i="19"/>
  <c r="I32" i="19"/>
  <c r="D51" i="19"/>
  <c r="H51" i="19"/>
  <c r="E51" i="19"/>
  <c r="I51" i="19"/>
  <c r="F51" i="19"/>
  <c r="G51" i="19"/>
  <c r="G22" i="18" l="1"/>
  <c r="CK34" i="19"/>
  <c r="CG53" i="19"/>
  <c r="CG51" i="19"/>
  <c r="BY32" i="19"/>
  <c r="BY34" i="19"/>
  <c r="J11" i="18"/>
  <c r="D59" i="21"/>
  <c r="J50" i="18"/>
  <c r="E136" i="21"/>
  <c r="E63" i="18"/>
  <c r="AM51" i="19"/>
  <c r="AM30" i="19"/>
  <c r="H60" i="18"/>
  <c r="I60" i="18" s="1"/>
  <c r="AL32" i="19"/>
  <c r="AL34" i="19"/>
  <c r="H92" i="21" s="1"/>
  <c r="E46" i="21"/>
  <c r="F130" i="21"/>
  <c r="F53" i="21" s="1"/>
  <c r="E53" i="21"/>
  <c r="F128" i="21"/>
  <c r="F51" i="21" s="1"/>
  <c r="E51" i="21"/>
  <c r="F131" i="21"/>
  <c r="F54" i="21" s="1"/>
  <c r="E54" i="21"/>
  <c r="F132" i="21"/>
  <c r="F55" i="21" s="1"/>
  <c r="E55" i="21"/>
  <c r="F129" i="21"/>
  <c r="F52" i="21" s="1"/>
  <c r="E52" i="21"/>
  <c r="F125" i="21"/>
  <c r="F48" i="21" s="1"/>
  <c r="E48" i="21"/>
  <c r="H129" i="21"/>
  <c r="G52" i="21"/>
  <c r="F124" i="21"/>
  <c r="F47" i="21" s="1"/>
  <c r="E47" i="21"/>
  <c r="F127" i="21"/>
  <c r="F50" i="21" s="1"/>
  <c r="E50" i="21"/>
  <c r="F126" i="21"/>
  <c r="F49" i="21" s="1"/>
  <c r="E49" i="21"/>
  <c r="F133" i="21"/>
  <c r="F56" i="21" s="1"/>
  <c r="E56" i="21"/>
  <c r="D20" i="21"/>
  <c r="F13" i="21"/>
  <c r="E13" i="21"/>
  <c r="F14" i="21"/>
  <c r="E14" i="21"/>
  <c r="F17" i="21"/>
  <c r="E17" i="21"/>
  <c r="D15" i="21"/>
  <c r="D12" i="21"/>
  <c r="F21" i="21"/>
  <c r="E21" i="21"/>
  <c r="F16" i="21"/>
  <c r="E16" i="21"/>
  <c r="F18" i="21"/>
  <c r="E18" i="21"/>
  <c r="D19" i="21"/>
  <c r="H53" i="18"/>
  <c r="I53" i="18" s="1"/>
  <c r="H54" i="18"/>
  <c r="I54" i="18" s="1"/>
  <c r="I14" i="18"/>
  <c r="I15" i="18"/>
  <c r="I12" i="18"/>
  <c r="H52" i="18"/>
  <c r="I52" i="18" s="1"/>
  <c r="H51" i="18"/>
  <c r="I51" i="18" s="1"/>
  <c r="I13" i="18"/>
  <c r="J13" i="18" s="1"/>
  <c r="F123" i="21"/>
  <c r="J123" i="21" s="1"/>
  <c r="H17" i="21"/>
  <c r="D16" i="19"/>
  <c r="E18" i="18"/>
  <c r="E19" i="18"/>
  <c r="E14" i="18"/>
  <c r="E16" i="19"/>
  <c r="L16" i="19"/>
  <c r="F53" i="18"/>
  <c r="H16" i="19"/>
  <c r="M16" i="19"/>
  <c r="G16" i="19"/>
  <c r="E32" i="19"/>
  <c r="F16" i="19"/>
  <c r="K16" i="19"/>
  <c r="D29" i="19"/>
  <c r="H32" i="19"/>
  <c r="F52" i="18"/>
  <c r="K49" i="19"/>
  <c r="K30" i="19"/>
  <c r="K34" i="19" s="1"/>
  <c r="N16" i="19"/>
  <c r="I16" i="19"/>
  <c r="F51" i="18"/>
  <c r="J16" i="19"/>
  <c r="O16" i="19"/>
  <c r="H55" i="18"/>
  <c r="I55" i="18" s="1"/>
  <c r="J32" i="19"/>
  <c r="J51" i="19"/>
  <c r="H22" i="18" l="1"/>
  <c r="G24" i="18"/>
  <c r="CM43" i="19"/>
  <c r="CH51" i="19"/>
  <c r="CH53" i="19"/>
  <c r="BZ32" i="19"/>
  <c r="BZ34" i="19"/>
  <c r="E59" i="21"/>
  <c r="J12" i="18"/>
  <c r="C12" i="14" s="1"/>
  <c r="I92" i="21"/>
  <c r="H96" i="21"/>
  <c r="F136" i="21"/>
  <c r="F14" i="18"/>
  <c r="E24" i="18"/>
  <c r="I21" i="18"/>
  <c r="AM34" i="19"/>
  <c r="I93" i="21" s="1"/>
  <c r="J93" i="21" s="1"/>
  <c r="U93" i="21" s="1"/>
  <c r="AM32" i="19"/>
  <c r="D11" i="21"/>
  <c r="D24" i="21" s="1"/>
  <c r="G46" i="21"/>
  <c r="I129" i="21"/>
  <c r="H52" i="21"/>
  <c r="F46" i="21"/>
  <c r="F59" i="21" s="1"/>
  <c r="H128" i="21"/>
  <c r="G51" i="21"/>
  <c r="H125" i="21"/>
  <c r="G48" i="21"/>
  <c r="H126" i="21"/>
  <c r="G49" i="21"/>
  <c r="H124" i="21"/>
  <c r="G47" i="21"/>
  <c r="H127" i="21"/>
  <c r="G50" i="21"/>
  <c r="G18" i="21"/>
  <c r="G11" i="21"/>
  <c r="F12" i="21"/>
  <c r="E12" i="21"/>
  <c r="G16" i="21"/>
  <c r="G14" i="21"/>
  <c r="G12" i="21"/>
  <c r="F19" i="21"/>
  <c r="E19" i="21"/>
  <c r="F15" i="21"/>
  <c r="E15" i="21"/>
  <c r="F20" i="21"/>
  <c r="E20" i="21"/>
  <c r="G13" i="21"/>
  <c r="G15" i="21"/>
  <c r="J53" i="18"/>
  <c r="C45" i="14" s="1"/>
  <c r="J52" i="18"/>
  <c r="J51" i="18"/>
  <c r="I17" i="21"/>
  <c r="C13" i="14"/>
  <c r="K51" i="19"/>
  <c r="K53" i="19"/>
  <c r="D32" i="19"/>
  <c r="K32" i="19"/>
  <c r="I17" i="18"/>
  <c r="L30" i="19"/>
  <c r="L49" i="19"/>
  <c r="L53" i="19" s="1"/>
  <c r="H24" i="18" l="1"/>
  <c r="I22" i="18"/>
  <c r="CI51" i="19"/>
  <c r="CM51" i="19" s="1"/>
  <c r="CI53" i="19"/>
  <c r="CM53" i="19" s="1"/>
  <c r="J19" i="1" s="1"/>
  <c r="CM49" i="19"/>
  <c r="CA32" i="19"/>
  <c r="CA34" i="19"/>
  <c r="C43" i="14"/>
  <c r="J92" i="21"/>
  <c r="I96" i="21"/>
  <c r="J14" i="18"/>
  <c r="C11" i="14"/>
  <c r="D11" i="14" s="1"/>
  <c r="E11" i="14" s="1"/>
  <c r="E11" i="21"/>
  <c r="E24" i="21" s="1"/>
  <c r="H46" i="21"/>
  <c r="H131" i="21"/>
  <c r="G54" i="21"/>
  <c r="I128" i="21"/>
  <c r="H51" i="21"/>
  <c r="J129" i="21"/>
  <c r="U129" i="21" s="1"/>
  <c r="I52" i="21"/>
  <c r="I124" i="21"/>
  <c r="J124" i="21" s="1"/>
  <c r="H47" i="21"/>
  <c r="I125" i="21"/>
  <c r="H48" i="21"/>
  <c r="H130" i="21"/>
  <c r="G53" i="21"/>
  <c r="I127" i="21"/>
  <c r="H50" i="21"/>
  <c r="I126" i="21"/>
  <c r="H49" i="21"/>
  <c r="H13" i="21"/>
  <c r="H12" i="21"/>
  <c r="H16" i="21"/>
  <c r="H11" i="21"/>
  <c r="H15" i="21"/>
  <c r="H14" i="21"/>
  <c r="H18" i="21"/>
  <c r="C44" i="14"/>
  <c r="J17" i="21"/>
  <c r="M17" i="21" s="1"/>
  <c r="H56" i="18"/>
  <c r="L32" i="19"/>
  <c r="L34" i="19"/>
  <c r="M49" i="19"/>
  <c r="L51" i="19"/>
  <c r="M30" i="19"/>
  <c r="M34" i="19" s="1"/>
  <c r="C14" i="14" l="1"/>
  <c r="J96" i="21"/>
  <c r="U96" i="21" s="1"/>
  <c r="U92" i="21"/>
  <c r="CB32" i="19"/>
  <c r="CB34" i="19"/>
  <c r="C42" i="14"/>
  <c r="D42" i="14" s="1"/>
  <c r="I56" i="18"/>
  <c r="G19" i="21"/>
  <c r="I46" i="21"/>
  <c r="F11" i="21"/>
  <c r="F24" i="21" s="1"/>
  <c r="I11" i="21"/>
  <c r="J125" i="21"/>
  <c r="U125" i="21" s="1"/>
  <c r="I48" i="21"/>
  <c r="J52" i="21"/>
  <c r="M52" i="21" s="1"/>
  <c r="C108" i="22"/>
  <c r="C47" i="22" s="1"/>
  <c r="I131" i="21"/>
  <c r="H54" i="21"/>
  <c r="J126" i="21"/>
  <c r="U126" i="21" s="1"/>
  <c r="I49" i="21"/>
  <c r="I130" i="21"/>
  <c r="H53" i="21"/>
  <c r="U124" i="21"/>
  <c r="I47" i="21"/>
  <c r="J128" i="21"/>
  <c r="U128" i="21" s="1"/>
  <c r="I51" i="21"/>
  <c r="J127" i="21"/>
  <c r="I50" i="21"/>
  <c r="I14" i="21"/>
  <c r="I12" i="21"/>
  <c r="I18" i="21"/>
  <c r="I15" i="21"/>
  <c r="I16" i="21"/>
  <c r="I13" i="21"/>
  <c r="G20" i="21"/>
  <c r="C79" i="22"/>
  <c r="C17" i="22" s="1"/>
  <c r="I16" i="18"/>
  <c r="N30" i="19"/>
  <c r="N34" i="19" s="1"/>
  <c r="M51" i="19"/>
  <c r="M53" i="19"/>
  <c r="I19" i="18"/>
  <c r="M32" i="19"/>
  <c r="O49" i="19"/>
  <c r="N49" i="19"/>
  <c r="N53" i="19" s="1"/>
  <c r="CC32" i="19" l="1"/>
  <c r="CC34" i="19"/>
  <c r="E42" i="14"/>
  <c r="D43" i="14"/>
  <c r="J98" i="21"/>
  <c r="U98" i="21" s="1"/>
  <c r="U123" i="21"/>
  <c r="U127" i="21"/>
  <c r="H19" i="21"/>
  <c r="J11" i="21"/>
  <c r="H133" i="21"/>
  <c r="G56" i="21"/>
  <c r="C102" i="22"/>
  <c r="C41" i="22" s="1"/>
  <c r="J46" i="21"/>
  <c r="J51" i="21"/>
  <c r="M51" i="21" s="1"/>
  <c r="C107" i="22"/>
  <c r="C46" i="22" s="1"/>
  <c r="J130" i="21"/>
  <c r="I53" i="21"/>
  <c r="J131" i="21"/>
  <c r="U131" i="21" s="1"/>
  <c r="I54" i="21"/>
  <c r="J50" i="21"/>
  <c r="M50" i="21" s="1"/>
  <c r="C106" i="22"/>
  <c r="C45" i="22" s="1"/>
  <c r="J47" i="21"/>
  <c r="M47" i="21" s="1"/>
  <c r="C103" i="22"/>
  <c r="C42" i="22" s="1"/>
  <c r="J49" i="21"/>
  <c r="C105" i="22"/>
  <c r="C44" i="22" s="1"/>
  <c r="J48" i="21"/>
  <c r="M48" i="21" s="1"/>
  <c r="C104" i="22"/>
  <c r="C43" i="22" s="1"/>
  <c r="J13" i="21"/>
  <c r="M13" i="21" s="1"/>
  <c r="C75" i="22"/>
  <c r="C13" i="22" s="1"/>
  <c r="J15" i="21"/>
  <c r="M15" i="21" s="1"/>
  <c r="C77" i="22"/>
  <c r="C15" i="22" s="1"/>
  <c r="J12" i="21"/>
  <c r="M12" i="21" s="1"/>
  <c r="C74" i="22"/>
  <c r="C12" i="22" s="1"/>
  <c r="G21" i="21"/>
  <c r="G24" i="21" s="1"/>
  <c r="H20" i="21"/>
  <c r="J16" i="21"/>
  <c r="M16" i="21" s="1"/>
  <c r="C78" i="22"/>
  <c r="C16" i="22" s="1"/>
  <c r="J18" i="21"/>
  <c r="M18" i="21" s="1"/>
  <c r="C80" i="22"/>
  <c r="C18" i="22" s="1"/>
  <c r="J14" i="21"/>
  <c r="C76" i="22"/>
  <c r="C14" i="22" s="1"/>
  <c r="C73" i="22"/>
  <c r="C11" i="22" s="1"/>
  <c r="H58" i="18"/>
  <c r="I58" i="18" s="1"/>
  <c r="N32" i="19"/>
  <c r="O51" i="19"/>
  <c r="O53" i="19"/>
  <c r="H59" i="18"/>
  <c r="I59" i="18" s="1"/>
  <c r="I20" i="18"/>
  <c r="N51" i="19"/>
  <c r="H57" i="18"/>
  <c r="O30" i="19"/>
  <c r="M49" i="21" l="1"/>
  <c r="M14" i="21"/>
  <c r="CD32" i="19"/>
  <c r="CD34" i="19"/>
  <c r="U130" i="21"/>
  <c r="H63" i="18"/>
  <c r="I57" i="18"/>
  <c r="I63" i="18" s="1"/>
  <c r="M11" i="21"/>
  <c r="I19" i="21"/>
  <c r="G55" i="21"/>
  <c r="G59" i="21" s="1"/>
  <c r="M46" i="21"/>
  <c r="J54" i="21"/>
  <c r="M54" i="21" s="1"/>
  <c r="C110" i="22"/>
  <c r="C49" i="22" s="1"/>
  <c r="I133" i="21"/>
  <c r="H56" i="21"/>
  <c r="J53" i="21"/>
  <c r="M53" i="21" s="1"/>
  <c r="C109" i="22"/>
  <c r="C48" i="22" s="1"/>
  <c r="H21" i="21"/>
  <c r="H24" i="21" s="1"/>
  <c r="I20" i="21"/>
  <c r="H132" i="21"/>
  <c r="H136" i="21" s="1"/>
  <c r="I18" i="18"/>
  <c r="I24" i="18" s="1"/>
  <c r="O32" i="19"/>
  <c r="O34" i="19"/>
  <c r="CE32" i="19" l="1"/>
  <c r="CE34" i="19"/>
  <c r="J19" i="21"/>
  <c r="H55" i="21"/>
  <c r="H59" i="21" s="1"/>
  <c r="J133" i="21"/>
  <c r="I56" i="21"/>
  <c r="J20" i="21"/>
  <c r="M20" i="21" s="1"/>
  <c r="C82" i="22"/>
  <c r="C20" i="22" s="1"/>
  <c r="I21" i="21"/>
  <c r="I24" i="21" s="1"/>
  <c r="C81" i="22"/>
  <c r="C19" i="22" s="1"/>
  <c r="I132" i="21"/>
  <c r="I136" i="21" s="1"/>
  <c r="E48" i="18"/>
  <c r="H48" i="18"/>
  <c r="H9" i="18"/>
  <c r="CF32" i="19" l="1"/>
  <c r="CF34" i="19"/>
  <c r="U133" i="21"/>
  <c r="M19" i="21"/>
  <c r="I55" i="21"/>
  <c r="I59" i="21" s="1"/>
  <c r="J56" i="21"/>
  <c r="M56" i="21" s="1"/>
  <c r="C112" i="22"/>
  <c r="C51" i="22" s="1"/>
  <c r="J21" i="21"/>
  <c r="M21" i="21" s="1"/>
  <c r="C83" i="22"/>
  <c r="C21" i="22" s="1"/>
  <c r="J132" i="21"/>
  <c r="J136" i="21" s="1"/>
  <c r="E9" i="18"/>
  <c r="J24" i="21" l="1"/>
  <c r="J26" i="21" s="1"/>
  <c r="M26" i="21" s="1"/>
  <c r="CG32" i="19"/>
  <c r="CG34" i="19"/>
  <c r="M24" i="21"/>
  <c r="J138" i="21"/>
  <c r="U132" i="21"/>
  <c r="J55" i="21"/>
  <c r="J59" i="21" s="1"/>
  <c r="C111" i="22"/>
  <c r="C50" i="22" s="1"/>
  <c r="CH32" i="19" l="1"/>
  <c r="CH34" i="19"/>
  <c r="M55" i="21"/>
  <c r="M59" i="21" s="1"/>
  <c r="J61" i="21"/>
  <c r="M61" i="21" s="1"/>
  <c r="U138" i="21"/>
  <c r="J65" i="18" s="1"/>
  <c r="U136" i="21"/>
  <c r="B8" i="6"/>
  <c r="B9" i="6" s="1"/>
  <c r="B10" i="6" s="1"/>
  <c r="B13" i="6" s="1"/>
  <c r="CI32" i="19" l="1"/>
  <c r="CM32" i="19" s="1"/>
  <c r="CI34" i="19"/>
  <c r="CM34" i="19" s="1"/>
  <c r="G19" i="1" s="1"/>
  <c r="CM30" i="19"/>
  <c r="J26" i="18" l="1"/>
  <c r="D73" i="22"/>
  <c r="D11" i="22" s="1"/>
  <c r="D74" i="22" l="1"/>
  <c r="D12" i="22" l="1"/>
  <c r="E12" i="22"/>
  <c r="H12" i="22" s="1"/>
  <c r="K73" i="22"/>
  <c r="E11" i="22"/>
  <c r="H11" i="22" s="1"/>
  <c r="D75" i="22"/>
  <c r="D102" i="22"/>
  <c r="D41" i="22" s="1"/>
  <c r="K74" i="22" l="1"/>
  <c r="D13" i="22"/>
  <c r="K75" i="22"/>
  <c r="D76" i="22"/>
  <c r="E76" i="22" s="1"/>
  <c r="D103" i="22"/>
  <c r="D42" i="22" s="1"/>
  <c r="E102" i="22"/>
  <c r="D12" i="14"/>
  <c r="E12" i="14" s="1"/>
  <c r="K102" i="22" l="1"/>
  <c r="E41" i="22"/>
  <c r="H41" i="22" s="1"/>
  <c r="E14" i="22"/>
  <c r="H14" i="22" s="1"/>
  <c r="D14" i="22"/>
  <c r="E13" i="22"/>
  <c r="H13" i="22" s="1"/>
  <c r="D77" i="22"/>
  <c r="E77" i="22" s="1"/>
  <c r="E103" i="22"/>
  <c r="D104" i="22"/>
  <c r="D43" i="22" s="1"/>
  <c r="D13" i="14"/>
  <c r="E13" i="14" s="1"/>
  <c r="K103" i="22" l="1"/>
  <c r="E42" i="22"/>
  <c r="H42" i="22" s="1"/>
  <c r="K76" i="22"/>
  <c r="D15" i="22"/>
  <c r="E15" i="22"/>
  <c r="H15" i="22" s="1"/>
  <c r="E104" i="22"/>
  <c r="D105" i="22"/>
  <c r="D44" i="22" s="1"/>
  <c r="D78" i="22"/>
  <c r="E78" i="22" s="1"/>
  <c r="D14" i="14"/>
  <c r="E14" i="14" s="1"/>
  <c r="E43" i="14"/>
  <c r="K104" i="22" l="1"/>
  <c r="E43" i="22"/>
  <c r="H43" i="22" s="1"/>
  <c r="D16" i="22"/>
  <c r="K78" i="22"/>
  <c r="K77" i="22"/>
  <c r="D79" i="22"/>
  <c r="E79" i="22" s="1"/>
  <c r="E105" i="22"/>
  <c r="D106" i="22"/>
  <c r="D45" i="22" s="1"/>
  <c r="D44" i="14"/>
  <c r="E44" i="14" s="1"/>
  <c r="K105" i="22" l="1"/>
  <c r="E44" i="22"/>
  <c r="H44" i="22" s="1"/>
  <c r="D17" i="22"/>
  <c r="E17" i="22"/>
  <c r="H17" i="22" s="1"/>
  <c r="E16" i="22"/>
  <c r="H16" i="22" s="1"/>
  <c r="D80" i="22"/>
  <c r="E80" i="22" s="1"/>
  <c r="E106" i="22"/>
  <c r="D107" i="22"/>
  <c r="D46" i="22" s="1"/>
  <c r="D45" i="14"/>
  <c r="E45" i="14" s="1"/>
  <c r="K106" i="22" l="1"/>
  <c r="E45" i="22"/>
  <c r="H45" i="22" s="1"/>
  <c r="K79" i="22"/>
  <c r="D18" i="22"/>
  <c r="E107" i="22"/>
  <c r="D108" i="22"/>
  <c r="D47" i="22" s="1"/>
  <c r="D81" i="22"/>
  <c r="E81" i="22" s="1"/>
  <c r="K107" i="22" l="1"/>
  <c r="E46" i="22"/>
  <c r="H46" i="22" s="1"/>
  <c r="E18" i="22"/>
  <c r="H18" i="22" s="1"/>
  <c r="D19" i="22"/>
  <c r="E19" i="22"/>
  <c r="H19" i="22" s="1"/>
  <c r="K80" i="22"/>
  <c r="D82" i="22"/>
  <c r="E82" i="22" s="1"/>
  <c r="E108" i="22"/>
  <c r="D109" i="22"/>
  <c r="D48" i="22" s="1"/>
  <c r="K108" i="22" l="1"/>
  <c r="E47" i="22"/>
  <c r="H47" i="22" s="1"/>
  <c r="K81" i="22"/>
  <c r="D20" i="22"/>
  <c r="E20" i="22"/>
  <c r="H20" i="22" s="1"/>
  <c r="E109" i="22"/>
  <c r="D110" i="22"/>
  <c r="D49" i="22" s="1"/>
  <c r="D83" i="22"/>
  <c r="E83" i="22" s="1"/>
  <c r="E21" i="22" l="1"/>
  <c r="H21" i="22" s="1"/>
  <c r="D84" i="22"/>
  <c r="E84" i="22" s="1"/>
  <c r="K109" i="22"/>
  <c r="E48" i="22"/>
  <c r="H48" i="22" s="1"/>
  <c r="K82" i="22"/>
  <c r="D21" i="22"/>
  <c r="E110" i="22"/>
  <c r="D111" i="22"/>
  <c r="D50" i="22" s="1"/>
  <c r="K84" i="22" l="1"/>
  <c r="D22" i="22"/>
  <c r="K110" i="22"/>
  <c r="E49" i="22"/>
  <c r="H49" i="22" s="1"/>
  <c r="K83" i="22"/>
  <c r="E111" i="22"/>
  <c r="K111" i="22" s="1"/>
  <c r="D112" i="22"/>
  <c r="E22" i="22" l="1"/>
  <c r="H22" i="22" s="1"/>
  <c r="E85" i="22"/>
  <c r="E23" i="22" s="1"/>
  <c r="D51" i="22"/>
  <c r="D113" i="22"/>
  <c r="E50" i="22"/>
  <c r="H50" i="22" s="1"/>
  <c r="E112" i="22"/>
  <c r="K112" i="22" s="1"/>
  <c r="E113" i="22" l="1"/>
  <c r="D52" i="22"/>
  <c r="K85" i="22"/>
  <c r="E51" i="22"/>
  <c r="H51" i="22" s="1"/>
  <c r="E52" i="22" l="1"/>
  <c r="H52" i="22" s="1"/>
  <c r="K113" i="22"/>
  <c r="E114" i="22"/>
  <c r="K114" i="22" s="1"/>
  <c r="E87" i="22"/>
  <c r="E53" i="22" l="1"/>
  <c r="H53" i="22" s="1"/>
  <c r="K87" i="22"/>
  <c r="H23" i="22"/>
  <c r="E25" i="22"/>
  <c r="H25" i="22" s="1"/>
  <c r="E116" i="22"/>
  <c r="E55" i="22" l="1"/>
  <c r="H55" i="22" s="1"/>
  <c r="E25" i="14"/>
  <c r="K116" i="22"/>
  <c r="E56" i="14" l="1"/>
  <c r="C11" i="3" l="1"/>
  <c r="C9" i="3" l="1"/>
  <c r="C13" i="3" l="1"/>
  <c r="C19" i="5" s="1"/>
  <c r="BQ11" i="19" l="1"/>
  <c r="BR11" i="19"/>
  <c r="BS11" i="19"/>
  <c r="BT11" i="19"/>
  <c r="BU11" i="19"/>
  <c r="BV11" i="19"/>
  <c r="BW11" i="19"/>
  <c r="BY11" i="19"/>
  <c r="BZ11" i="19"/>
  <c r="CA11" i="19"/>
  <c r="CB11" i="19"/>
  <c r="CC11" i="19"/>
  <c r="CD11" i="19"/>
  <c r="CE11" i="19"/>
  <c r="CF11" i="19"/>
  <c r="CG11" i="19"/>
  <c r="CH11" i="19"/>
  <c r="CI11" i="19"/>
  <c r="C60" i="18" l="1"/>
  <c r="F60" i="18" s="1"/>
  <c r="J60" i="18" s="1"/>
  <c r="C52" i="14" s="1"/>
  <c r="C21" i="18"/>
  <c r="F21" i="18" s="1"/>
  <c r="J21" i="18" s="1"/>
  <c r="C21" i="14" s="1"/>
  <c r="BV15" i="19"/>
  <c r="BV14" i="19"/>
  <c r="C61" i="18"/>
  <c r="F61" i="18" s="1"/>
  <c r="J61" i="18" s="1"/>
  <c r="C53" i="14" s="1"/>
  <c r="C22" i="18"/>
  <c r="F22" i="18" s="1"/>
  <c r="J22" i="18" s="1"/>
  <c r="C22" i="14" s="1"/>
  <c r="BW15" i="19"/>
  <c r="BW14" i="19"/>
  <c r="CB15" i="19"/>
  <c r="CB14" i="19"/>
  <c r="C58" i="18"/>
  <c r="F58" i="18" s="1"/>
  <c r="J58" i="18" s="1"/>
  <c r="C50" i="14" s="1"/>
  <c r="C19" i="18"/>
  <c r="F19" i="18" s="1"/>
  <c r="J19" i="18" s="1"/>
  <c r="C19" i="14" s="1"/>
  <c r="BT15" i="19"/>
  <c r="BT14" i="19"/>
  <c r="BT16" i="19" s="1"/>
  <c r="CE15" i="19"/>
  <c r="CE14" i="19"/>
  <c r="CD14" i="19"/>
  <c r="CD15" i="19"/>
  <c r="CI15" i="19"/>
  <c r="CI14" i="19"/>
  <c r="CI16" i="19" s="1"/>
  <c r="CA15" i="19"/>
  <c r="CA14" i="19"/>
  <c r="CA16" i="19" s="1"/>
  <c r="C57" i="18"/>
  <c r="F57" i="18" s="1"/>
  <c r="J57" i="18" s="1"/>
  <c r="C18" i="18"/>
  <c r="F18" i="18" s="1"/>
  <c r="J18" i="18" s="1"/>
  <c r="BS14" i="19"/>
  <c r="BS15" i="19"/>
  <c r="CC14" i="19"/>
  <c r="CC15" i="19"/>
  <c r="CH15" i="19"/>
  <c r="CH14" i="19"/>
  <c r="CH16" i="19" s="1"/>
  <c r="BZ15" i="19"/>
  <c r="BZ14" i="19"/>
  <c r="C56" i="18"/>
  <c r="F56" i="18" s="1"/>
  <c r="J56" i="18" s="1"/>
  <c r="C48" i="14" s="1"/>
  <c r="C17" i="18"/>
  <c r="F17" i="18" s="1"/>
  <c r="J17" i="18" s="1"/>
  <c r="C17" i="14" s="1"/>
  <c r="BR14" i="19"/>
  <c r="BR15" i="19"/>
  <c r="C55" i="18"/>
  <c r="F55" i="18" s="1"/>
  <c r="J55" i="18" s="1"/>
  <c r="C47" i="14" s="1"/>
  <c r="C16" i="18"/>
  <c r="F16" i="18" s="1"/>
  <c r="J16" i="18" s="1"/>
  <c r="C16" i="14" s="1"/>
  <c r="BQ14" i="19"/>
  <c r="BQ15" i="19"/>
  <c r="C59" i="18"/>
  <c r="F59" i="18" s="1"/>
  <c r="J59" i="18" s="1"/>
  <c r="C51" i="14" s="1"/>
  <c r="C20" i="18"/>
  <c r="F20" i="18" s="1"/>
  <c r="J20" i="18" s="1"/>
  <c r="C20" i="14" s="1"/>
  <c r="BU14" i="19"/>
  <c r="BU15" i="19"/>
  <c r="CG15" i="19"/>
  <c r="CG14" i="19"/>
  <c r="CG16" i="19" s="1"/>
  <c r="BX11" i="19"/>
  <c r="CF14" i="19"/>
  <c r="CF15" i="19"/>
  <c r="BY15" i="19"/>
  <c r="BY14" i="19"/>
  <c r="BP11" i="19"/>
  <c r="BS16" i="19" l="1"/>
  <c r="BQ16" i="19"/>
  <c r="CD16" i="19"/>
  <c r="C15" i="3"/>
  <c r="E8" i="5" s="1"/>
  <c r="CM11" i="19"/>
  <c r="BX14" i="19"/>
  <c r="BX15" i="19"/>
  <c r="CM15" i="19" s="1"/>
  <c r="C49" i="14"/>
  <c r="BV16" i="19"/>
  <c r="BU16" i="19"/>
  <c r="BR16" i="19"/>
  <c r="CC16" i="19"/>
  <c r="CK11" i="19"/>
  <c r="BU12" i="19"/>
  <c r="C54" i="18"/>
  <c r="C15" i="18"/>
  <c r="BP15" i="19"/>
  <c r="CK15" i="19" s="1"/>
  <c r="BP14" i="19"/>
  <c r="CB16" i="19"/>
  <c r="BY16" i="19"/>
  <c r="CF16" i="19"/>
  <c r="BZ16" i="19"/>
  <c r="C18" i="14"/>
  <c r="CE16" i="19"/>
  <c r="BW16" i="19"/>
  <c r="CG12" i="19"/>
  <c r="BX16" i="19" l="1"/>
  <c r="CM16" i="19" s="1"/>
  <c r="CM14" i="19"/>
  <c r="C24" i="18"/>
  <c r="F15" i="18"/>
  <c r="G8" i="5"/>
  <c r="G11" i="1" s="1"/>
  <c r="H8" i="5"/>
  <c r="J11" i="1" s="1"/>
  <c r="C63" i="18"/>
  <c r="F54" i="18"/>
  <c r="BP16" i="19"/>
  <c r="CK16" i="19" s="1"/>
  <c r="CK14" i="19"/>
  <c r="F63" i="18" l="1"/>
  <c r="J54" i="18"/>
  <c r="E11" i="1"/>
  <c r="J15" i="18"/>
  <c r="F24" i="18"/>
  <c r="C15" i="14" l="1"/>
  <c r="D15" i="14" s="1"/>
  <c r="J24" i="18"/>
  <c r="J28" i="18" s="1"/>
  <c r="G13" i="1" s="1"/>
  <c r="C46" i="14"/>
  <c r="D46" i="14" s="1"/>
  <c r="J63" i="18"/>
  <c r="J67" i="18" s="1"/>
  <c r="J13" i="1" s="1"/>
  <c r="E46" i="14" l="1"/>
  <c r="D47" i="14"/>
  <c r="E13" i="1"/>
  <c r="E15" i="14"/>
  <c r="D16" i="14"/>
  <c r="E47" i="14" l="1"/>
  <c r="D48" i="14"/>
  <c r="E16" i="14"/>
  <c r="D17" i="14"/>
  <c r="E17" i="14" l="1"/>
  <c r="D18" i="14"/>
  <c r="E48" i="14"/>
  <c r="D49" i="14"/>
  <c r="E49" i="14" l="1"/>
  <c r="D50" i="14"/>
  <c r="E18" i="14"/>
  <c r="D19" i="14"/>
  <c r="E19" i="14" l="1"/>
  <c r="D20" i="14"/>
  <c r="E50" i="14"/>
  <c r="D51" i="14"/>
  <c r="E51" i="14" l="1"/>
  <c r="D52" i="14"/>
  <c r="D21" i="14"/>
  <c r="E20" i="14"/>
  <c r="D22" i="14" l="1"/>
  <c r="E22" i="14" s="1"/>
  <c r="E21" i="14"/>
  <c r="E23" i="14" s="1"/>
  <c r="E27" i="14" s="1"/>
  <c r="G15" i="1" s="1"/>
  <c r="D53" i="14"/>
  <c r="E53" i="14" s="1"/>
  <c r="E52" i="14"/>
  <c r="E54" i="14" l="1"/>
  <c r="E58" i="14" s="1"/>
  <c r="J15" i="1" s="1"/>
  <c r="J17" i="1" s="1"/>
  <c r="J21" i="1" s="1"/>
  <c r="E13" i="6" s="1"/>
  <c r="F13" i="6" s="1"/>
  <c r="G17" i="1"/>
  <c r="E15" i="1" l="1"/>
  <c r="G21" i="1"/>
  <c r="E17" i="1"/>
  <c r="E7" i="6" l="1"/>
  <c r="F7" i="6" s="1"/>
  <c r="E8" i="6"/>
  <c r="F8" i="6" s="1"/>
  <c r="E10" i="6"/>
  <c r="F10" i="6" s="1"/>
  <c r="E9" i="6"/>
  <c r="F9" i="6" s="1"/>
</calcChain>
</file>

<file path=xl/sharedStrings.xml><?xml version="1.0" encoding="utf-8"?>
<sst xmlns="http://schemas.openxmlformats.org/spreadsheetml/2006/main" count="810" uniqueCount="304">
  <si>
    <t>CONFIDENTIAL</t>
  </si>
  <si>
    <t>DO NOT DUPLICATE</t>
  </si>
  <si>
    <t>TAP RATE RIDER 
RECONCILIATION MODEL</t>
  </si>
  <si>
    <t>Last Revised</t>
  </si>
  <si>
    <t xml:space="preserve">©Black &amp; Veatch Corporation, 2015. All Rights Reserved. The Black &amp; Veatch </t>
  </si>
  <si>
    <t>name and logo are registered trademarks of Black &amp; Veatch Holding Company.</t>
  </si>
  <si>
    <t>PHILADELPHIA WATER DEPARTMENT</t>
  </si>
  <si>
    <t>TAP RATE RIDER RECONCILATION WORKBOOK - SHEET INDEX</t>
  </si>
  <si>
    <t>Sheet Title</t>
  </si>
  <si>
    <t xml:space="preserve">Description </t>
  </si>
  <si>
    <t>Home</t>
  </si>
  <si>
    <t>Home screen with model revision and data input dates</t>
  </si>
  <si>
    <t>Table of Contents</t>
  </si>
  <si>
    <t xml:space="preserve">Assumptions and Inputs </t>
  </si>
  <si>
    <t>Summary of assumptions and inputs including codified factors and adjustment dashboard</t>
  </si>
  <si>
    <t>Customer</t>
  </si>
  <si>
    <t xml:space="preserve">Customer data including actual and estimated TAP Program Discounts, Billed Water and Sewer Volume for the Most Recent Rate Period </t>
  </si>
  <si>
    <t xml:space="preserve">Summary </t>
  </si>
  <si>
    <t>Table 1 - Summary of TAP rate rider reconciliation calculations / Derivation of TAP-R Surcharges</t>
  </si>
  <si>
    <t>C-Factor</t>
  </si>
  <si>
    <t>Table 2 - Calculation of Projected TAP Lost Billings for the Next Rate Period</t>
  </si>
  <si>
    <t>E-Factor</t>
  </si>
  <si>
    <t>Table 3 - Calculation of Experienced &amp; Estimated Net Over/(Under) Collection (E-Factor) for Most Recent Period</t>
  </si>
  <si>
    <t>E-Factor Prior</t>
  </si>
  <si>
    <t>Table 3-A - Calculation of Experienced &amp; Estimated Net Over/(Under) Collection (E-Factor) for Prior Reconciliation Most Recent Period</t>
  </si>
  <si>
    <t>I-Factor</t>
  </si>
  <si>
    <t>Table 4 - Calculation of Interest on Experienced &amp; Estimated Net Over/(Under) Collection (I-Factor) for Most Recent Period</t>
  </si>
  <si>
    <t>I-Factor Prior</t>
  </si>
  <si>
    <t>Table 4-A - Calculation of Interest on Experienced &amp; Estimated Net Over/(Under) Collection (I-Factor) for Prior Reconciliation Most Recent Period</t>
  </si>
  <si>
    <t>Rates</t>
  </si>
  <si>
    <t xml:space="preserve">Table 5 - Application of TAP-R surcharge to adopted water and sewer quantity charges </t>
  </si>
  <si>
    <t xml:space="preserve">Philadelphia Water Department </t>
  </si>
  <si>
    <t>Tap Rate Rider - Assumptions and Inputs</t>
  </si>
  <si>
    <t>Description</t>
  </si>
  <si>
    <t>Source / Notes</t>
  </si>
  <si>
    <t xml:space="preserve">Location </t>
  </si>
  <si>
    <t>Additional Notes</t>
  </si>
  <si>
    <t>TAP Program Inputs</t>
  </si>
  <si>
    <t>Average Monthly Discount - Most Recent Period ($)</t>
  </si>
  <si>
    <t>Raftelis Financial Consultants</t>
  </si>
  <si>
    <t xml:space="preserve">Average Monthly Usage - Most Recent Period (cf) </t>
  </si>
  <si>
    <t xml:space="preserve">Estimated TAP Participants - Next Rate Period </t>
  </si>
  <si>
    <t>Estimated TAP Total Discount</t>
  </si>
  <si>
    <t>Volume Projections</t>
  </si>
  <si>
    <t>Non-TAP Sales Adjustment Next Rate Period</t>
  </si>
  <si>
    <t>Not used at this time</t>
  </si>
  <si>
    <t>Convert CCF to MCF (Divide by)</t>
  </si>
  <si>
    <t>TAP Rider Rates</t>
  </si>
  <si>
    <t>Prior Rates September 1, 2022</t>
  </si>
  <si>
    <t>Water TAP-R ($/MCF)</t>
  </si>
  <si>
    <t>per MCF</t>
  </si>
  <si>
    <t>PWD Regulations - Rates and Charges Effective September 1, 2022</t>
  </si>
  <si>
    <t>Section 10.3(a)(1)</t>
  </si>
  <si>
    <t>Sewer TAP-R ($/MCF)</t>
  </si>
  <si>
    <t>Section 10.3(b)(1)</t>
  </si>
  <si>
    <t>Current Rates Effective September 1, 2023</t>
  </si>
  <si>
    <t xml:space="preserve">Codified Factors </t>
  </si>
  <si>
    <t xml:space="preserve">Collection Factor </t>
  </si>
  <si>
    <t>PWD Regulations - Rates and Charges Effective September 1, 2023</t>
  </si>
  <si>
    <t>Section 10.1(b)(3)</t>
  </si>
  <si>
    <t>Water TAP Cost Allocation (%)</t>
  </si>
  <si>
    <t>Section 10.1(a)(i)</t>
  </si>
  <si>
    <t>Sewer TAP Cost Allocation (%)</t>
  </si>
  <si>
    <t>Section 10.1(a)(ii)</t>
  </si>
  <si>
    <t>Prior Reconciliation Proceeding</t>
  </si>
  <si>
    <t>Interest Rate (%)</t>
  </si>
  <si>
    <t>Section 10.1(b)(4)</t>
  </si>
  <si>
    <r>
      <t xml:space="preserve">Downloaded from: </t>
    </r>
    <r>
      <rPr>
        <u val="singleAccounting"/>
        <sz val="11"/>
        <color theme="3"/>
        <rFont val="Calibri Light"/>
        <family val="2"/>
      </rPr>
      <t xml:space="preserve">https://www.federalreserve.gov/releases/h15/  </t>
    </r>
  </si>
  <si>
    <t>as of</t>
  </si>
  <si>
    <t>Current Reconciliation Proceeding</t>
  </si>
  <si>
    <t>Reconciliation Period</t>
  </si>
  <si>
    <t>Number of Months</t>
  </si>
  <si>
    <t>Other Inputs</t>
  </si>
  <si>
    <t>TAP Rider Rate Effective Date</t>
  </si>
  <si>
    <t>Next Rate Period End Date</t>
  </si>
  <si>
    <t>Cost of Service Study Start Year</t>
  </si>
  <si>
    <t>FY 2025</t>
  </si>
  <si>
    <t>Cost of Service Study End Year</t>
  </si>
  <si>
    <t>Estimate Period Start</t>
  </si>
  <si>
    <t>Estimate Period End</t>
  </si>
  <si>
    <t>August 2024</t>
  </si>
  <si>
    <t>Prior Reconciliation Factors</t>
  </si>
  <si>
    <t xml:space="preserve">E-Factor Adjustment </t>
  </si>
  <si>
    <t>Water</t>
  </si>
  <si>
    <t>From 2023 Annual Rate Adjustment Table 3-W</t>
  </si>
  <si>
    <t>Sewer</t>
  </si>
  <si>
    <t>From 2023 Annual Rate Adjustment Table 3-WW</t>
  </si>
  <si>
    <t xml:space="preserve">I-Factor Adjustment </t>
  </si>
  <si>
    <t>From 2023 Annual Rate Adjustment Table 4-W</t>
  </si>
  <si>
    <t>From 2023 Annual Rate Adjustment Table 4-WW</t>
  </si>
  <si>
    <t xml:space="preserve">2019 Reconciliation Most Recent Period </t>
  </si>
  <si>
    <t xml:space="preserve">Prior Reconciliation Most Recent Period </t>
  </si>
  <si>
    <t xml:space="preserve">2020 Reconciliation Most Recent Period </t>
  </si>
  <si>
    <t xml:space="preserve">2021 Prior Reconciliation Period </t>
  </si>
  <si>
    <t>Most Recent Period</t>
  </si>
  <si>
    <t>Next Rate Period</t>
  </si>
  <si>
    <t>September</t>
  </si>
  <si>
    <t xml:space="preserve">October </t>
  </si>
  <si>
    <t>November</t>
  </si>
  <si>
    <t xml:space="preserve">December </t>
  </si>
  <si>
    <t xml:space="preserve">January </t>
  </si>
  <si>
    <t>February</t>
  </si>
  <si>
    <t>March</t>
  </si>
  <si>
    <t>April</t>
  </si>
  <si>
    <t xml:space="preserve">May </t>
  </si>
  <si>
    <t>June</t>
  </si>
  <si>
    <t xml:space="preserve">July </t>
  </si>
  <si>
    <t>August</t>
  </si>
  <si>
    <t>October</t>
  </si>
  <si>
    <t>December</t>
  </si>
  <si>
    <t>January</t>
  </si>
  <si>
    <t xml:space="preserve">February </t>
  </si>
  <si>
    <t>May</t>
  </si>
  <si>
    <t>July</t>
  </si>
  <si>
    <t>MOST RECENT PERIOD TOTAL</t>
  </si>
  <si>
    <t>NEXT RATE PERIOD TOTAL</t>
  </si>
  <si>
    <t>Source</t>
  </si>
  <si>
    <t>Notes</t>
  </si>
  <si>
    <t xml:space="preserve">TAP Program </t>
  </si>
  <si>
    <t>Actual</t>
  </si>
  <si>
    <t>Actuals (Prior Reconciliation Period)</t>
  </si>
  <si>
    <t>Actuals (Reconciliation Period)*</t>
  </si>
  <si>
    <t>Actuals (Reconciled Period)</t>
  </si>
  <si>
    <t xml:space="preserve">Estimated (Next Rate Period) </t>
  </si>
  <si>
    <t>Participants (#)</t>
  </si>
  <si>
    <t>Raftelis DR_3A &amp; TRR_Projections</t>
  </si>
  <si>
    <t>Totals</t>
  </si>
  <si>
    <t>TAP Discounts ($)</t>
  </si>
  <si>
    <t>Raftelis DR_4 &amp; TRR_Projections</t>
  </si>
  <si>
    <t>Allocated TAP Discounts</t>
  </si>
  <si>
    <t xml:space="preserve">Allocated share to Water </t>
  </si>
  <si>
    <t>Allocated share to Sewer</t>
  </si>
  <si>
    <t>check</t>
  </si>
  <si>
    <t>Water - Monthly Billed Water Volume (CCF)</t>
  </si>
  <si>
    <t>TAP</t>
  </si>
  <si>
    <t>Raftelis DR_1 &amp; TRR_Projections</t>
  </si>
  <si>
    <t>TAP Participants</t>
  </si>
  <si>
    <t>Non-TAP</t>
  </si>
  <si>
    <t>Raftelis DR_1</t>
  </si>
  <si>
    <t>Senior Discount</t>
  </si>
  <si>
    <t xml:space="preserve">Estimates assume constant monthly average based upon prior 12 months </t>
  </si>
  <si>
    <t>PHA Discount</t>
  </si>
  <si>
    <t>Non-PHA Discount (Other discount)</t>
  </si>
  <si>
    <t>No Additional Discount</t>
  </si>
  <si>
    <t>Total</t>
  </si>
  <si>
    <t>USE NON-TAP SALES</t>
  </si>
  <si>
    <t>Sewer - Monthly Billed Water Volume (CCF)</t>
  </si>
  <si>
    <t>Raftelis DR_2 &amp; TRR_Projections</t>
  </si>
  <si>
    <t>TOTAL</t>
  </si>
  <si>
    <t xml:space="preserve">Water </t>
  </si>
  <si>
    <t xml:space="preserve">Wastewater </t>
  </si>
  <si>
    <t xml:space="preserve">Amount </t>
  </si>
  <si>
    <t>(1)</t>
  </si>
  <si>
    <t>(2)</t>
  </si>
  <si>
    <t>(3)</t>
  </si>
  <si>
    <t>(4)</t>
  </si>
  <si>
    <t>(5)</t>
  </si>
  <si>
    <t>(6)</t>
  </si>
  <si>
    <t>/MCF</t>
  </si>
  <si>
    <t xml:space="preserve">Notes: </t>
  </si>
  <si>
    <t>a</t>
  </si>
  <si>
    <t xml:space="preserve">Recoverable TAP Billing Loss for the Next Rate Period.  Refer to Table 2 for additional information. </t>
  </si>
  <si>
    <t>b</t>
  </si>
  <si>
    <t xml:space="preserve">Actual TAP Discounts versus TAP Revenue Collection for the Most Recent Period.  Refer to Tables 3-W and 3-WW for further information. </t>
  </si>
  <si>
    <t>c</t>
  </si>
  <si>
    <t>d</t>
  </si>
  <si>
    <t>Net Recoverable Costs.</t>
  </si>
  <si>
    <t>e</t>
  </si>
  <si>
    <t>f</t>
  </si>
  <si>
    <t>TAP-R Surcharge for the Next Rate Period.</t>
  </si>
  <si>
    <t>Period</t>
  </si>
  <si>
    <t>Billing</t>
  </si>
  <si>
    <t>Total Actual TAP</t>
  </si>
  <si>
    <t>Billed TAP</t>
  </si>
  <si>
    <t>Total TAP-R</t>
  </si>
  <si>
    <t>Adjusted Actual TAP</t>
  </si>
  <si>
    <t>Billed Non-TAP</t>
  </si>
  <si>
    <t>TAP-R Billed</t>
  </si>
  <si>
    <t>Estimated TAP-R</t>
  </si>
  <si>
    <t>Over/(Under)</t>
  </si>
  <si>
    <t>Discounts</t>
  </si>
  <si>
    <t>Water Sales</t>
  </si>
  <si>
    <t xml:space="preserve">Billed </t>
  </si>
  <si>
    <t>Non-Tap Water Sales</t>
  </si>
  <si>
    <t xml:space="preserve">Revenues </t>
  </si>
  <si>
    <t>Collection</t>
  </si>
  <si>
    <t xml:space="preserve">(Credits) </t>
  </si>
  <si>
    <t>(Mcf)</t>
  </si>
  <si>
    <t>to TAP Participants</t>
  </si>
  <si>
    <t>Experienced</t>
  </si>
  <si>
    <t>(8) = (7) - (4)</t>
  </si>
  <si>
    <t>Prior E &amp; I Factor Adjustments</t>
  </si>
  <si>
    <t>(a)</t>
  </si>
  <si>
    <t>(e)</t>
  </si>
  <si>
    <t>Adjustment for Prior Estimates</t>
  </si>
  <si>
    <t>From Table 3-W-A</t>
  </si>
  <si>
    <t>Notes:</t>
  </si>
  <si>
    <t>Total E-Factor Recovery</t>
  </si>
  <si>
    <t>Line 2 in Summary Table</t>
  </si>
  <si>
    <t>(a) - Actuals</t>
  </si>
  <si>
    <t>(e) - Estimated</t>
  </si>
  <si>
    <t>(2) - Estimated TAP Discount per participant and estimated billed sales volume per participant reflect projections developed by Raftelis. Refer to RFC-3.</t>
  </si>
  <si>
    <t>Billed</t>
  </si>
  <si>
    <t>Sewer Volume</t>
  </si>
  <si>
    <t>From Table 3-WW-A</t>
  </si>
  <si>
    <t>Original Estimates</t>
  </si>
  <si>
    <t>Adjustment</t>
  </si>
  <si>
    <t>(9)</t>
  </si>
  <si>
    <t>(10) = (8) - (9)</t>
  </si>
  <si>
    <t xml:space="preserve">Total </t>
  </si>
  <si>
    <t xml:space="preserve"> Included in Table 3-W</t>
  </si>
  <si>
    <t xml:space="preserve">(8) - Updated Over/(Under) Collection </t>
  </si>
  <si>
    <t xml:space="preserve">(10) - Difference between Updated Over/(Under) Collection and Original Estimates. </t>
  </si>
  <si>
    <t>Included in Table 3-WW</t>
  </si>
  <si>
    <t>DETAILED VIEW - MAKE EDITS BELOW FIRST</t>
  </si>
  <si>
    <t>Table 3-W-A - Prior Reconciliation Adjustment - Experienced &amp; Estimated Net Over/(Under) Collection (E-Factor) for Most Recent Period</t>
  </si>
  <si>
    <t>Prior Reconciliation Period with Updated Actuals</t>
  </si>
  <si>
    <t>Prior Reconciliation Period with Original Estimates</t>
  </si>
  <si>
    <t xml:space="preserve">Delta </t>
  </si>
  <si>
    <t>Prior Period</t>
  </si>
  <si>
    <t>(17) = (8) - (16)</t>
  </si>
  <si>
    <t xml:space="preserve">Prior Reconciliation with Updated Actuals </t>
  </si>
  <si>
    <t>Prior Reconciliation with Original Estimates</t>
  </si>
  <si>
    <t xml:space="preserve">(10) - TAP Discounts and billed sales volume reflect projections developed by Raftelis.  Refer to 2022 Annual Rate Adjustment. </t>
  </si>
  <si>
    <t>All Calculations</t>
  </si>
  <si>
    <t xml:space="preserve">Table 3-WW-A - Prior Reconciliation Adjustment - Experienced &amp; Estimated Net Over/(Under) Collection (E-Factor) for Most Recent Period </t>
  </si>
  <si>
    <t>(13) - Estimated billed sewer volumes for January 2022 through August 2022 based upon average sales for prior 12 month period.</t>
  </si>
  <si>
    <t>Difference in</t>
  </si>
  <si>
    <t xml:space="preserve">Cumulative </t>
  </si>
  <si>
    <t xml:space="preserve">Estimated Monthly </t>
  </si>
  <si>
    <t>Over/(Under) Collection</t>
  </si>
  <si>
    <t>Interest Owed/</t>
  </si>
  <si>
    <t>Water Portion</t>
  </si>
  <si>
    <t>(Interest to be Recouped)</t>
  </si>
  <si>
    <t>From Table 3-W</t>
  </si>
  <si>
    <t xml:space="preserve">(2) </t>
  </si>
  <si>
    <t>Total I-Factor Recovery</t>
  </si>
  <si>
    <t>Line 3 in Summary Table</t>
  </si>
  <si>
    <t>(1) Difference in collection from Total of Column 8 - Table 3-W.</t>
  </si>
  <si>
    <t>Sewer Portion</t>
  </si>
  <si>
    <t>From Table 3-WW</t>
  </si>
  <si>
    <t>(1) Difference in collection from Total of Column 8 - Table 3-WW.</t>
  </si>
  <si>
    <t>(5) = (3) - (4)</t>
  </si>
  <si>
    <t>Included in Table 4-W</t>
  </si>
  <si>
    <t>(1) Difference in collection from Total of Column 8 - Table 3-W-A.</t>
  </si>
  <si>
    <t>(4) Difference in collection from Total of Column 8 - Table 3-W (Prior Reconciliation).</t>
  </si>
  <si>
    <t>Included in Table 4-WW</t>
  </si>
  <si>
    <t>(1) Difference in collection from Total of Column 8 - Table 3-WW-A.</t>
  </si>
  <si>
    <t>(4) Difference in collection from Total of Column 8 - Table 3-WW (Prior Reconciliation).</t>
  </si>
  <si>
    <t xml:space="preserve">Table 4 -W-A - Interest on Experienced &amp; Estimated Net Over/(Under) Collection (I-Factor) for Most Recent Period </t>
  </si>
  <si>
    <t>Estimates</t>
  </si>
  <si>
    <t>(7) = (3) - (6)</t>
  </si>
  <si>
    <t>Table 4 -WW-A - Interest on Experienced &amp; Estimated Net Over/(Under) Collection (I-Factor) for Most Recent Period</t>
  </si>
  <si>
    <t xml:space="preserve">Base </t>
  </si>
  <si>
    <t>TAP-R  Surcharge</t>
  </si>
  <si>
    <t>Proposed</t>
  </si>
  <si>
    <t>Water Quantity Charges</t>
  </si>
  <si>
    <t>($/Mcf)</t>
  </si>
  <si>
    <t>0 to 2 Mcf</t>
  </si>
  <si>
    <t>2.1 to 100 Mcf</t>
  </si>
  <si>
    <t>100.1 to 2,000 Mcf</t>
  </si>
  <si>
    <t>2,000 + Mcf</t>
  </si>
  <si>
    <t xml:space="preserve">Sewer Quantity Charges </t>
  </si>
  <si>
    <t>Sewer Volume Rate</t>
  </si>
  <si>
    <t xml:space="preserve">The final quantity charges (including the TAP-R surcharge) will be in the final PWD Rates and Charges, if approved. </t>
  </si>
  <si>
    <t>(3) = (2) * $ 1.030/Mcf</t>
  </si>
  <si>
    <t>(4) = [(1) - (3)]* 0.9732</t>
  </si>
  <si>
    <t>(6) = (5) * $ 1.030/Mcf</t>
  </si>
  <si>
    <t>(7) = (6) * 0.9732</t>
  </si>
  <si>
    <t>(3) = (2) * $ 1.630/Mcf</t>
  </si>
  <si>
    <t>(6) = (5) * $ 1.630/Mcf</t>
  </si>
  <si>
    <t>(3) = (2) * [4.66% / 12]</t>
  </si>
  <si>
    <t>FY 2024</t>
  </si>
  <si>
    <t>(2) - Updated TAP Discounts and billed sales volume to reflect actuals for December 2022 through August 2023 as provided by Raftelis.  Refer to Schedule RFC-3.</t>
  </si>
  <si>
    <t>(13) - Estimated billed water sales volumes for December 2022 through August 2023 based upon average sales for prior 12 month period.</t>
  </si>
  <si>
    <t>Adopted</t>
  </si>
  <si>
    <t xml:space="preserve">(8) - Over/(Under) Collection is based upon Rates that are inclusive of Prior E-Factor and I-Factor.  The presented "Prior E &amp; I Factor Adjustments" includes these amounts from 2023 Annual Rate Adjustment.  </t>
  </si>
  <si>
    <t>(8) - Over/(Under) Collection is based upon Rates that are inclusive of Prior E-Factor and I-Factor.  The presented "Prior E &amp; I Factor Adjustments" includes these amounts from 2023 Annual Rate Adjustment.</t>
  </si>
  <si>
    <t xml:space="preserve">(5) - Billed Non-TAP Water Sales, updated to reflect actual billed water sales volumes for December 2022 through August 2023. </t>
  </si>
  <si>
    <t>(5) - Updated to reflect actual billed water sales volumes for December 2022 through August 2023.</t>
  </si>
  <si>
    <t>(5) - Updated to reflect actual billed sewer volumes for December 2023 through August 2023.</t>
  </si>
  <si>
    <t>Treasury Constant Maturities, 1 year</t>
  </si>
  <si>
    <t>Estimates assume constant monthly average based upon prior 12 months  Net of increase in TAP Volume</t>
  </si>
  <si>
    <t>in Non-TAP sales associated with increased TAP enrollment.</t>
  </si>
  <si>
    <t>January 2024</t>
  </si>
  <si>
    <t>TRR_Summary</t>
  </si>
  <si>
    <t>Estimates reflect Raftelis' projections.</t>
  </si>
  <si>
    <t>February 2024 - May 2023 and thereafter adjusted to reflect decrease in Non-Tap Customers due to increased TAP enrollment</t>
  </si>
  <si>
    <t>C = Projected TAP Billing Loss</t>
  </si>
  <si>
    <t>E = Experienced &amp; Estimated Net Over/Under Collection</t>
  </si>
  <si>
    <t>I = Interest on Experienced &amp; Estimated Net Over/Under Collection</t>
  </si>
  <si>
    <t>Net Recoverable Costs: (C) - (E + I)</t>
  </si>
  <si>
    <t>S = Projected Non-TAP Sales for Next Rate Period (MCF)</t>
  </si>
  <si>
    <r>
      <t>TAP-R Surcharge:</t>
    </r>
    <r>
      <rPr>
        <sz val="11"/>
        <color theme="1"/>
        <rFont val="Gisha"/>
        <family val="2"/>
        <charset val="177"/>
      </rPr>
      <t xml:space="preserve">   (4)/(5)</t>
    </r>
  </si>
  <si>
    <t>Calculation of TAP Rider Rates Effective September 1, 2024</t>
  </si>
  <si>
    <t xml:space="preserve">Projected TAP Lost Revenue (C-Factor) for Next Rate Period </t>
  </si>
  <si>
    <t>Projected TAP Billing Loss</t>
  </si>
  <si>
    <t>Water Experienced &amp; Estimated Net Over/(Under) Collection (E-Factor) for Most Recent Period</t>
  </si>
  <si>
    <t>Wastewater - Experienced &amp; Estimated Net Over/(Under) Collection (E-Factor) for Most Recent Period</t>
  </si>
  <si>
    <t>Water - Prior Reconciliation Adjustment - Experienced &amp; Estimated Net Over/(Under) Collection (E-Factor) for Most Recent Period</t>
  </si>
  <si>
    <r>
      <rPr>
        <b/>
        <sz val="10"/>
        <color theme="1"/>
        <rFont val="Gisha"/>
        <family val="2"/>
        <charset val="177"/>
      </rPr>
      <t>Adjustment for Prior Estimates</t>
    </r>
    <r>
      <rPr>
        <sz val="10"/>
        <color theme="1"/>
        <rFont val="Gisha"/>
        <family val="2"/>
        <charset val="177"/>
      </rPr>
      <t xml:space="preserve"> </t>
    </r>
  </si>
  <si>
    <t xml:space="preserve">Wastewater - Prior Reconciliation Adjustment - Experienced &amp; Estimated Net Over/(Under) Collection (E-Factor) for Most Recent Period </t>
  </si>
  <si>
    <t>Water - Interest on Experienced &amp; Estimated Net Over/(Under) Collection (I-Factor) for Most Recent Period</t>
  </si>
  <si>
    <t>Wastewater - Interest on Experienced &amp; Estimated Net Over/(Under) Collection (I-Factor) for Most Recent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</si>
</sst>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1" formatCode="_(* #,##0_);_(* \(#,##0\);_(* &quot;-&quot;_);_(@_)"/>
    <numFmt numFmtId="44" formatCode="_(&quot;$&quot;* #,##0.00_);_(&quot;$&quot;* \(#,##0.00\);_(&quot;$&quot;* &quot;-&quot;??_);_(@_)"/>
    <numFmt numFmtId="43" formatCode="_(* #,##0.00_);_(* \(#,##0.00\);_(* &quot;-&quot;??_);_(@_)"/>
    <numFmt numFmtId="164" formatCode="_(&quot;$&quot;* #,##0.0000_);_(&quot;$&quot;* \(#,##0.0000\);_(&quot;$&quot;* &quot;-&quot;??_);_(@_)"/>
    <numFmt numFmtId="165" formatCode="_(* #,##0_);_(* \(#,##0\);_(* &quot;-&quot;??_);_(@_)"/>
    <numFmt numFmtId="166" formatCode="_(&quot;$&quot;* #,##0.000_);_(&quot;$&quot;* \(#,##0.000\);_(&quot;$&quot;* &quot;-&quot;??_);_(@_)"/>
    <numFmt numFmtId="167" formatCode="_(&quot;$&quot;* #,##0_);_(&quot;$&quot;* \(#,##0\);_(&quot;$&quot;* &quot;-&quot;??_);_(@_)"/>
    <numFmt numFmtId="168" formatCode="0.0%"/>
    <numFmt numFmtId="169" formatCode="[$-409]mmm\-yy;@"/>
    <numFmt numFmtId="170" formatCode="_(&quot;$&quot;* #,##0.00000_);_(&quot;$&quot;* \(#,##0.00000\);_(&quot;$&quot;* &quot;-&quot;??_);_(@_)"/>
    <numFmt numFmtId="171" formatCode="#\ ##/12"/>
    <numFmt numFmtId="172" formatCode="m/d;@"/>
  </numFmts>
  <fonts count="89" x14ac:knownFonts="1">
    <font>
      <sz val="11"/>
      <color theme="1"/>
      <name val="Calibri"/>
      <family val="2"/>
      <scheme val="minor"/>
    </font>
    <font>
      <sz val="11"/>
      <color theme="1"/>
      <name val="Calibri"/>
      <family val="2"/>
      <scheme val="minor"/>
    </font>
    <font>
      <sz val="12"/>
      <color theme="1"/>
      <name val="Calibri"/>
      <family val="2"/>
      <scheme val="minor"/>
    </font>
    <font>
      <sz val="11"/>
      <name val="Calibri"/>
      <family val="2"/>
    </font>
    <font>
      <b/>
      <sz val="16"/>
      <color rgb="FF626662"/>
      <name val="Cambria"/>
      <family val="2"/>
      <scheme val="major"/>
    </font>
    <font>
      <sz val="16"/>
      <color rgb="FF626662"/>
      <name val="Cambria"/>
      <family val="2"/>
      <scheme val="major"/>
    </font>
    <font>
      <sz val="12"/>
      <color rgb="FF626662"/>
      <name val="Arial Black"/>
      <family val="2"/>
    </font>
    <font>
      <b/>
      <sz val="11"/>
      <color theme="1"/>
      <name val="Times New Roman"/>
      <family val="1"/>
    </font>
    <font>
      <sz val="12"/>
      <color theme="6"/>
      <name val="Cambria"/>
      <family val="2"/>
      <scheme val="major"/>
    </font>
    <font>
      <u/>
      <sz val="11"/>
      <color theme="10"/>
      <name val="Calibri"/>
      <family val="2"/>
      <scheme val="minor"/>
    </font>
    <font>
      <b/>
      <sz val="12"/>
      <color rgb="FF626662"/>
      <name val="Cambria"/>
      <family val="2"/>
      <scheme val="major"/>
    </font>
    <font>
      <sz val="12"/>
      <color rgb="FF626662"/>
      <name val="Cambria"/>
      <family val="2"/>
      <scheme val="major"/>
    </font>
    <font>
      <sz val="12"/>
      <color theme="0"/>
      <name val="Cambria"/>
      <family val="2"/>
      <scheme val="major"/>
    </font>
    <font>
      <sz val="12"/>
      <color theme="1"/>
      <name val="Cambria"/>
      <family val="2"/>
      <scheme val="major"/>
    </font>
    <font>
      <sz val="10"/>
      <name val="Cambria"/>
      <family val="2"/>
      <scheme val="major"/>
    </font>
    <font>
      <b/>
      <sz val="16"/>
      <color rgb="FF626662"/>
      <name val="Calibri"/>
      <family val="2"/>
      <scheme val="minor"/>
    </font>
    <font>
      <sz val="16"/>
      <color rgb="FF626662"/>
      <name val="Calibri"/>
      <family val="2"/>
      <scheme val="minor"/>
    </font>
    <font>
      <sz val="12"/>
      <color rgb="FF626662"/>
      <name val="Calibri"/>
      <family val="2"/>
      <scheme val="minor"/>
    </font>
    <font>
      <b/>
      <sz val="12"/>
      <color rgb="FF626662"/>
      <name val="Calibri"/>
      <family val="2"/>
      <scheme val="minor"/>
    </font>
    <font>
      <b/>
      <sz val="12"/>
      <color rgb="FF0000FF"/>
      <name val="Calibri"/>
      <family val="2"/>
      <scheme val="minor"/>
    </font>
    <font>
      <b/>
      <sz val="28"/>
      <color theme="6"/>
      <name val="Calibri"/>
      <family val="2"/>
      <scheme val="minor"/>
    </font>
    <font>
      <b/>
      <sz val="12"/>
      <color rgb="FFC00000"/>
      <name val="Calibri"/>
      <family val="2"/>
      <scheme val="minor"/>
    </font>
    <font>
      <sz val="11"/>
      <color theme="1"/>
      <name val="Calibri Light"/>
      <family val="2"/>
    </font>
    <font>
      <b/>
      <sz val="11"/>
      <color theme="1"/>
      <name val="Calibri Light"/>
      <family val="2"/>
    </font>
    <font>
      <b/>
      <sz val="11"/>
      <name val="Calibri Light"/>
      <family val="2"/>
    </font>
    <font>
      <b/>
      <sz val="11"/>
      <color theme="0"/>
      <name val="Calibri Light"/>
      <family val="2"/>
    </font>
    <font>
      <sz val="11"/>
      <color theme="3"/>
      <name val="Calibri Light"/>
      <family val="2"/>
    </font>
    <font>
      <sz val="11"/>
      <name val="Calibri Light"/>
      <family val="2"/>
    </font>
    <font>
      <sz val="11"/>
      <color rgb="FF0000FF"/>
      <name val="Calibri Light"/>
      <family val="2"/>
    </font>
    <font>
      <i/>
      <sz val="11"/>
      <color theme="1"/>
      <name val="Calibri Light"/>
      <family val="2"/>
    </font>
    <font>
      <i/>
      <sz val="11"/>
      <name val="Calibri Light"/>
      <family val="2"/>
    </font>
    <font>
      <sz val="11"/>
      <color theme="10"/>
      <name val="Calibri Light"/>
      <family val="2"/>
    </font>
    <font>
      <u val="singleAccounting"/>
      <sz val="11"/>
      <color theme="3"/>
      <name val="Calibri Light"/>
      <family val="2"/>
    </font>
    <font>
      <b/>
      <sz val="11"/>
      <color theme="3"/>
      <name val="Calibri Light"/>
      <family val="2"/>
    </font>
    <font>
      <u/>
      <sz val="11"/>
      <color theme="10"/>
      <name val="Calibri Light"/>
      <family val="2"/>
    </font>
    <font>
      <sz val="10"/>
      <color theme="1"/>
      <name val="Calibri Light"/>
      <family val="2"/>
    </font>
    <font>
      <b/>
      <sz val="11"/>
      <color theme="2"/>
      <name val="Calibri Light"/>
      <family val="2"/>
    </font>
    <font>
      <b/>
      <sz val="10"/>
      <name val="Calibri Light"/>
      <family val="2"/>
    </font>
    <font>
      <b/>
      <sz val="10"/>
      <color theme="1" tint="4.9989318521683403E-2"/>
      <name val="Calibri Light"/>
      <family val="2"/>
    </font>
    <font>
      <b/>
      <i/>
      <sz val="11"/>
      <color theme="0" tint="-0.499984740745262"/>
      <name val="Calibri Light"/>
      <family val="2"/>
    </font>
    <font>
      <sz val="11"/>
      <color theme="0" tint="-0.499984740745262"/>
      <name val="Calibri Light"/>
      <family val="2"/>
    </font>
    <font>
      <b/>
      <sz val="10"/>
      <color theme="1"/>
      <name val="Calibri Light"/>
      <family val="2"/>
    </font>
    <font>
      <sz val="11"/>
      <color theme="0"/>
      <name val="Calibri Light"/>
      <family val="2"/>
    </font>
    <font>
      <sz val="9"/>
      <color theme="0"/>
      <name val="Calibri Light"/>
      <family val="2"/>
    </font>
    <font>
      <sz val="8"/>
      <color theme="1"/>
      <name val="Calibri Light"/>
      <family val="2"/>
    </font>
    <font>
      <b/>
      <u/>
      <sz val="12"/>
      <color theme="3"/>
      <name val="Calibri Light"/>
      <family val="2"/>
    </font>
    <font>
      <b/>
      <sz val="11"/>
      <color theme="1" tint="0.499984740745262"/>
      <name val="Calibri Light"/>
      <family val="2"/>
    </font>
    <font>
      <b/>
      <i/>
      <sz val="11"/>
      <color theme="1" tint="0.499984740745262"/>
      <name val="Calibri Light"/>
      <family val="2"/>
    </font>
    <font>
      <b/>
      <sz val="11"/>
      <color rgb="FFC00000"/>
      <name val="Calibri Light"/>
      <family val="2"/>
    </font>
    <font>
      <sz val="8"/>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rgb="FFFF0000"/>
      <name val="Calibri Light"/>
      <family val="2"/>
    </font>
    <font>
      <i/>
      <sz val="11"/>
      <color rgb="FFFF0000"/>
      <name val="Calibri Light"/>
      <family val="2"/>
    </font>
    <font>
      <sz val="11"/>
      <color theme="2"/>
      <name val="Calibri Light"/>
      <family val="2"/>
    </font>
    <font>
      <b/>
      <sz val="11"/>
      <color theme="1"/>
      <name val="Gisha"/>
      <family val="2"/>
      <charset val="177"/>
    </font>
    <font>
      <sz val="11"/>
      <color theme="1"/>
      <name val="Gisha"/>
      <family val="2"/>
      <charset val="177"/>
    </font>
    <font>
      <b/>
      <sz val="12"/>
      <color theme="1"/>
      <name val="Gisha"/>
      <family val="2"/>
      <charset val="177"/>
    </font>
    <font>
      <sz val="10"/>
      <color theme="1"/>
      <name val="Gisha"/>
      <family val="2"/>
      <charset val="177"/>
    </font>
    <font>
      <vertAlign val="superscript"/>
      <sz val="10"/>
      <color theme="1"/>
      <name val="Gisha"/>
      <family val="2"/>
      <charset val="177"/>
    </font>
    <font>
      <b/>
      <sz val="11"/>
      <color rgb="FFFF0000"/>
      <name val="Gisha"/>
      <family val="2"/>
      <charset val="177"/>
    </font>
    <font>
      <b/>
      <sz val="11"/>
      <name val="Gisha"/>
      <family val="2"/>
      <charset val="177"/>
    </font>
    <font>
      <sz val="11"/>
      <color theme="3"/>
      <name val="Gisha"/>
      <family val="2"/>
      <charset val="177"/>
    </font>
    <font>
      <sz val="11"/>
      <name val="Gisha"/>
      <family val="2"/>
      <charset val="177"/>
    </font>
    <font>
      <sz val="9"/>
      <name val="Calibri Light"/>
      <family val="2"/>
    </font>
    <font>
      <sz val="9"/>
      <name val="Gisha"/>
      <family val="2"/>
      <charset val="177"/>
    </font>
    <font>
      <sz val="8"/>
      <color theme="1"/>
      <name val="Gisha"/>
      <family val="2"/>
      <charset val="177"/>
    </font>
    <font>
      <sz val="10"/>
      <name val="Gisha"/>
      <family val="2"/>
      <charset val="177"/>
    </font>
    <font>
      <sz val="11"/>
      <color theme="0"/>
      <name val="Gisha"/>
      <family val="2"/>
      <charset val="177"/>
    </font>
    <font>
      <sz val="9"/>
      <color theme="0"/>
      <name val="Gisha"/>
      <family val="2"/>
      <charset val="177"/>
    </font>
    <font>
      <sz val="11"/>
      <color theme="2"/>
      <name val="Gisha"/>
      <family val="2"/>
      <charset val="177"/>
    </font>
    <font>
      <b/>
      <sz val="10"/>
      <color theme="1"/>
      <name val="Gisha"/>
      <family val="2"/>
      <charset val="177"/>
    </font>
    <font>
      <b/>
      <sz val="11"/>
      <color theme="3"/>
      <name val="Gisha"/>
      <family val="2"/>
      <charset val="177"/>
    </font>
    <font>
      <sz val="11"/>
      <color theme="3" tint="-0.499984740745262"/>
      <name val="Gisha"/>
      <family val="2"/>
      <charset val="177"/>
    </font>
    <font>
      <u/>
      <sz val="10"/>
      <color theme="1"/>
      <name val="Gisha"/>
      <family val="2"/>
      <charset val="177"/>
    </font>
  </fonts>
  <fills count="5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4"/>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FFFFCC"/>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bgColor indexed="64"/>
      </patternFill>
    </fill>
    <fill>
      <patternFill patternType="solid">
        <fgColor theme="7"/>
        <bgColor indexed="64"/>
      </patternFill>
    </fill>
    <fill>
      <patternFill patternType="solid">
        <fgColor rgb="FF0070C0"/>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bottom>
      <diagonal/>
    </border>
    <border>
      <left/>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5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9" fillId="0" borderId="0" applyNumberFormat="0" applyFill="0" applyBorder="0" applyAlignment="0" applyProtection="0"/>
    <xf numFmtId="0" fontId="3" fillId="0" borderId="0"/>
    <xf numFmtId="0" fontId="50" fillId="0" borderId="0" applyNumberFormat="0" applyFill="0" applyBorder="0" applyAlignment="0" applyProtection="0"/>
    <xf numFmtId="0" fontId="51" fillId="0" borderId="23" applyNumberFormat="0" applyFill="0" applyAlignment="0" applyProtection="0"/>
    <xf numFmtId="0" fontId="52" fillId="0" borderId="24" applyNumberFormat="0" applyFill="0" applyAlignment="0" applyProtection="0"/>
    <xf numFmtId="0" fontId="53" fillId="0" borderId="25" applyNumberFormat="0" applyFill="0" applyAlignment="0" applyProtection="0"/>
    <xf numFmtId="0" fontId="53" fillId="0" borderId="0" applyNumberFormat="0" applyFill="0" applyBorder="0" applyAlignment="0" applyProtection="0"/>
    <xf numFmtId="0" fontId="54" fillId="19" borderId="0" applyNumberFormat="0" applyBorder="0" applyAlignment="0" applyProtection="0"/>
    <xf numFmtId="0" fontId="55" fillId="20" borderId="0" applyNumberFormat="0" applyBorder="0" applyAlignment="0" applyProtection="0"/>
    <xf numFmtId="0" fontId="56" fillId="22" borderId="26" applyNumberFormat="0" applyAlignment="0" applyProtection="0"/>
    <xf numFmtId="0" fontId="57" fillId="23" borderId="27" applyNumberFormat="0" applyAlignment="0" applyProtection="0"/>
    <xf numFmtId="0" fontId="58" fillId="23" borderId="26" applyNumberFormat="0" applyAlignment="0" applyProtection="0"/>
    <xf numFmtId="0" fontId="59" fillId="0" borderId="28" applyNumberFormat="0" applyFill="0" applyAlignment="0" applyProtection="0"/>
    <xf numFmtId="0" fontId="60" fillId="24" borderId="29" applyNumberFormat="0" applyAlignment="0" applyProtection="0"/>
    <xf numFmtId="0" fontId="61" fillId="0" borderId="0" applyNumberFormat="0" applyFill="0" applyBorder="0" applyAlignment="0" applyProtection="0"/>
    <xf numFmtId="0" fontId="1" fillId="25" borderId="30" applyNumberFormat="0" applyFont="0" applyAlignment="0" applyProtection="0"/>
    <xf numFmtId="0" fontId="62" fillId="0" borderId="0" applyNumberFormat="0" applyFill="0" applyBorder="0" applyAlignment="0" applyProtection="0"/>
    <xf numFmtId="0" fontId="63" fillId="0" borderId="31" applyNumberFormat="0" applyFill="0" applyAlignment="0" applyProtection="0"/>
    <xf numFmtId="0" fontId="6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6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64"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64"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64"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65" fillId="21" borderId="0" applyNumberFormat="0" applyBorder="0" applyAlignment="0" applyProtection="0"/>
    <xf numFmtId="0" fontId="64" fillId="29" borderId="0" applyNumberFormat="0" applyBorder="0" applyAlignment="0" applyProtection="0"/>
    <xf numFmtId="0" fontId="64" fillId="33" borderId="0" applyNumberFormat="0" applyBorder="0" applyAlignment="0" applyProtection="0"/>
    <xf numFmtId="0" fontId="64" fillId="37" borderId="0" applyNumberFormat="0" applyBorder="0" applyAlignment="0" applyProtection="0"/>
    <xf numFmtId="0" fontId="64" fillId="41" borderId="0" applyNumberFormat="0" applyBorder="0" applyAlignment="0" applyProtection="0"/>
    <xf numFmtId="0" fontId="64" fillId="45" borderId="0" applyNumberFormat="0" applyBorder="0" applyAlignment="0" applyProtection="0"/>
    <xf numFmtId="0" fontId="64" fillId="49" borderId="0" applyNumberFormat="0" applyBorder="0" applyAlignment="0" applyProtection="0"/>
    <xf numFmtId="0" fontId="3" fillId="0" borderId="0"/>
    <xf numFmtId="0" fontId="3" fillId="0" borderId="0"/>
  </cellStyleXfs>
  <cellXfs count="431">
    <xf numFmtId="0" fontId="0" fillId="0" borderId="0" xfId="0"/>
    <xf numFmtId="0" fontId="10" fillId="0" borderId="0" xfId="0" applyFont="1"/>
    <xf numFmtId="0" fontId="11" fillId="0" borderId="0" xfId="0" applyFont="1"/>
    <xf numFmtId="0" fontId="6" fillId="0" borderId="0" xfId="0" applyFont="1"/>
    <xf numFmtId="0" fontId="2" fillId="0" borderId="0" xfId="0" applyFont="1"/>
    <xf numFmtId="0" fontId="4" fillId="0" borderId="0" xfId="0" applyFont="1"/>
    <xf numFmtId="0" fontId="5" fillId="0" borderId="0" xfId="0" applyFont="1"/>
    <xf numFmtId="0" fontId="7" fillId="0" borderId="0" xfId="0" applyFont="1" applyAlignment="1">
      <alignment horizontal="right"/>
    </xf>
    <xf numFmtId="0" fontId="8" fillId="0" borderId="0" xfId="0" applyFont="1" applyAlignment="1">
      <alignment vertical="center"/>
    </xf>
    <xf numFmtId="0" fontId="13" fillId="0" borderId="0" xfId="0" applyFont="1" applyAlignment="1">
      <alignment horizontal="center"/>
    </xf>
    <xf numFmtId="0" fontId="14" fillId="0" borderId="0" xfId="0" applyFont="1" applyAlignment="1">
      <alignment vertical="center"/>
    </xf>
    <xf numFmtId="0" fontId="15" fillId="0" borderId="0" xfId="0" applyFont="1"/>
    <xf numFmtId="0" fontId="16" fillId="0" borderId="0" xfId="0" applyFont="1"/>
    <xf numFmtId="0" fontId="17" fillId="0" borderId="0" xfId="0" applyFont="1"/>
    <xf numFmtId="0" fontId="18" fillId="0" borderId="0" xfId="0" applyFont="1"/>
    <xf numFmtId="14" fontId="19" fillId="8" borderId="0" xfId="0" applyNumberFormat="1" applyFont="1" applyFill="1"/>
    <xf numFmtId="0" fontId="21" fillId="0" borderId="0" xfId="0" applyFont="1" applyAlignment="1">
      <alignment horizontal="right"/>
    </xf>
    <xf numFmtId="14" fontId="19" fillId="0" borderId="0" xfId="0" applyNumberFormat="1" applyFont="1"/>
    <xf numFmtId="0" fontId="22" fillId="0" borderId="0" xfId="0" applyFont="1"/>
    <xf numFmtId="0" fontId="23" fillId="2" borderId="0" xfId="0" applyFont="1" applyFill="1" applyAlignment="1">
      <alignment horizontal="centerContinuous"/>
    </xf>
    <xf numFmtId="0" fontId="24" fillId="0" borderId="10" xfId="5" applyFont="1" applyBorder="1" applyAlignment="1">
      <alignment horizontal="center"/>
    </xf>
    <xf numFmtId="0" fontId="25" fillId="6" borderId="0" xfId="0" applyFont="1" applyFill="1"/>
    <xf numFmtId="0" fontId="22" fillId="6" borderId="0" xfId="0" applyFont="1" applyFill="1"/>
    <xf numFmtId="0" fontId="23" fillId="0" borderId="0" xfId="0" applyFont="1" applyAlignment="1">
      <alignment horizontal="left" indent="1"/>
    </xf>
    <xf numFmtId="0" fontId="26" fillId="0" borderId="0" xfId="0" applyFont="1"/>
    <xf numFmtId="9" fontId="26" fillId="0" borderId="0" xfId="3" applyFont="1" applyFill="1"/>
    <xf numFmtId="9" fontId="27" fillId="0" borderId="0" xfId="3" applyFont="1" applyFill="1" applyAlignment="1">
      <alignment horizontal="left"/>
    </xf>
    <xf numFmtId="167" fontId="27" fillId="0" borderId="0" xfId="2" applyNumberFormat="1" applyFont="1" applyFill="1" applyAlignment="1">
      <alignment horizontal="left"/>
    </xf>
    <xf numFmtId="1" fontId="26" fillId="0" borderId="0" xfId="2" applyNumberFormat="1" applyFont="1" applyFill="1"/>
    <xf numFmtId="0" fontId="24" fillId="10" borderId="0" xfId="0" applyFont="1" applyFill="1"/>
    <xf numFmtId="0" fontId="27" fillId="10" borderId="0" xfId="0" applyFont="1" applyFill="1"/>
    <xf numFmtId="10" fontId="28" fillId="8" borderId="0" xfId="3" applyNumberFormat="1" applyFont="1" applyFill="1"/>
    <xf numFmtId="0" fontId="29" fillId="0" borderId="0" xfId="0" applyFont="1"/>
    <xf numFmtId="0" fontId="28" fillId="8" borderId="0" xfId="0" applyFont="1" applyFill="1"/>
    <xf numFmtId="0" fontId="22" fillId="0" borderId="0" xfId="0" applyFont="1" applyAlignment="1">
      <alignment horizontal="left" indent="1"/>
    </xf>
    <xf numFmtId="44" fontId="28" fillId="8" borderId="0" xfId="1" applyNumberFormat="1" applyFont="1" applyFill="1"/>
    <xf numFmtId="167" fontId="30" fillId="0" borderId="0" xfId="2" applyNumberFormat="1" applyFont="1" applyFill="1" applyAlignment="1">
      <alignment horizontal="left"/>
    </xf>
    <xf numFmtId="0" fontId="25" fillId="7" borderId="0" xfId="0" applyFont="1" applyFill="1"/>
    <xf numFmtId="0" fontId="22" fillId="7" borderId="0" xfId="0" applyFont="1" applyFill="1"/>
    <xf numFmtId="0" fontId="22" fillId="0" borderId="0" xfId="0" applyFont="1" applyAlignment="1">
      <alignment horizontal="right"/>
    </xf>
    <xf numFmtId="167" fontId="31" fillId="0" borderId="0" xfId="6" applyNumberFormat="1" applyFont="1" applyFill="1" applyAlignment="1">
      <alignment horizontal="left"/>
    </xf>
    <xf numFmtId="14" fontId="28" fillId="8" borderId="0" xfId="0" applyNumberFormat="1" applyFont="1" applyFill="1"/>
    <xf numFmtId="0" fontId="23" fillId="0" borderId="0" xfId="0" applyFont="1" applyAlignment="1">
      <alignment horizontal="centerContinuous"/>
    </xf>
    <xf numFmtId="0" fontId="23" fillId="0" borderId="0" xfId="0" applyFont="1" applyAlignment="1">
      <alignment horizontal="right"/>
    </xf>
    <xf numFmtId="0" fontId="28" fillId="8" borderId="0" xfId="0" applyFont="1" applyFill="1" applyAlignment="1">
      <alignment horizontal="right"/>
    </xf>
    <xf numFmtId="0" fontId="25" fillId="0" borderId="0" xfId="0" applyFont="1"/>
    <xf numFmtId="0" fontId="33" fillId="0" borderId="0" xfId="0" applyFont="1"/>
    <xf numFmtId="14" fontId="28" fillId="0" borderId="0" xfId="0" applyNumberFormat="1" applyFont="1"/>
    <xf numFmtId="0" fontId="25" fillId="0" borderId="0" xfId="0" applyFont="1" applyAlignment="1">
      <alignment horizontal="center"/>
    </xf>
    <xf numFmtId="0" fontId="23" fillId="0" borderId="0" xfId="0" applyFont="1"/>
    <xf numFmtId="0" fontId="34" fillId="0" borderId="0" xfId="6" quotePrefix="1" applyFont="1"/>
    <xf numFmtId="0" fontId="34" fillId="0" borderId="0" xfId="6" quotePrefix="1" applyFont="1" applyFill="1"/>
    <xf numFmtId="0" fontId="34" fillId="0" borderId="0" xfId="6" applyFont="1" applyFill="1"/>
    <xf numFmtId="0" fontId="22" fillId="0" borderId="0" xfId="0" applyFont="1" applyAlignment="1">
      <alignment horizontal="centerContinuous"/>
    </xf>
    <xf numFmtId="0" fontId="35" fillId="0" borderId="0" xfId="0" applyFont="1"/>
    <xf numFmtId="44" fontId="22" fillId="0" borderId="0" xfId="0" applyNumberFormat="1" applyFont="1"/>
    <xf numFmtId="0" fontId="22" fillId="0" borderId="0" xfId="0" applyFont="1" applyAlignment="1">
      <alignment horizontal="center"/>
    </xf>
    <xf numFmtId="165" fontId="22" fillId="0" borderId="0" xfId="0" applyNumberFormat="1" applyFont="1"/>
    <xf numFmtId="0" fontId="23" fillId="0" borderId="10" xfId="0" applyFont="1" applyBorder="1" applyAlignment="1">
      <alignment horizontal="center"/>
    </xf>
    <xf numFmtId="165" fontId="23" fillId="0" borderId="10" xfId="0" applyNumberFormat="1" applyFont="1" applyBorder="1" applyAlignment="1">
      <alignment horizontal="center"/>
    </xf>
    <xf numFmtId="0" fontId="24" fillId="0" borderId="0" xfId="5" applyFont="1" applyAlignment="1">
      <alignment horizontal="center"/>
    </xf>
    <xf numFmtId="0" fontId="23" fillId="0" borderId="0" xfId="0" applyFont="1" applyAlignment="1">
      <alignment horizontal="center"/>
    </xf>
    <xf numFmtId="0" fontId="25" fillId="13" borderId="9" xfId="5" applyFont="1" applyFill="1" applyBorder="1"/>
    <xf numFmtId="0" fontId="23" fillId="13" borderId="9" xfId="5" applyFont="1" applyFill="1" applyBorder="1" applyAlignment="1">
      <alignment horizontal="center"/>
    </xf>
    <xf numFmtId="0" fontId="23" fillId="13" borderId="9" xfId="5" applyFont="1" applyFill="1" applyBorder="1" applyAlignment="1">
      <alignment horizontal="left"/>
    </xf>
    <xf numFmtId="0" fontId="23" fillId="13" borderId="9" xfId="5" applyFont="1" applyFill="1" applyBorder="1"/>
    <xf numFmtId="0" fontId="22" fillId="13" borderId="9" xfId="5" applyFont="1" applyFill="1" applyBorder="1"/>
    <xf numFmtId="165" fontId="22" fillId="13" borderId="9" xfId="5" applyNumberFormat="1" applyFont="1" applyFill="1" applyBorder="1"/>
    <xf numFmtId="165" fontId="23" fillId="0" borderId="0" xfId="0" applyNumberFormat="1" applyFont="1" applyAlignment="1">
      <alignment horizontal="centerContinuous"/>
    </xf>
    <xf numFmtId="0" fontId="24" fillId="10" borderId="0" xfId="5" applyFont="1" applyFill="1" applyAlignment="1">
      <alignment horizontal="left"/>
    </xf>
    <xf numFmtId="0" fontId="24" fillId="10" borderId="0" xfId="5" applyFont="1" applyFill="1" applyAlignment="1">
      <alignment horizontal="center"/>
    </xf>
    <xf numFmtId="0" fontId="23" fillId="10" borderId="0" xfId="0" applyFont="1" applyFill="1" applyAlignment="1">
      <alignment horizontal="center"/>
    </xf>
    <xf numFmtId="165" fontId="23" fillId="10" borderId="0" xfId="0" applyNumberFormat="1" applyFont="1" applyFill="1" applyAlignment="1">
      <alignment horizontal="center"/>
    </xf>
    <xf numFmtId="0" fontId="37" fillId="10" borderId="0" xfId="5" applyFont="1" applyFill="1" applyAlignment="1">
      <alignment horizontal="center"/>
    </xf>
    <xf numFmtId="0" fontId="24" fillId="0" borderId="0" xfId="5" applyFont="1" applyAlignment="1">
      <alignment horizontal="left"/>
    </xf>
    <xf numFmtId="0" fontId="38" fillId="0" borderId="0" xfId="5" applyFont="1" applyAlignment="1">
      <alignment horizontal="center"/>
    </xf>
    <xf numFmtId="165" fontId="28" fillId="8" borderId="0" xfId="1" applyNumberFormat="1" applyFont="1" applyFill="1" applyBorder="1" applyAlignment="1">
      <alignment horizontal="center"/>
    </xf>
    <xf numFmtId="0" fontId="38" fillId="0" borderId="0" xfId="5" applyFont="1" applyAlignment="1">
      <alignment horizontal="left"/>
    </xf>
    <xf numFmtId="44" fontId="28" fillId="8" borderId="0" xfId="2" applyFont="1" applyFill="1" applyBorder="1" applyAlignment="1">
      <alignment horizontal="center"/>
    </xf>
    <xf numFmtId="165" fontId="23" fillId="0" borderId="0" xfId="0" applyNumberFormat="1" applyFont="1"/>
    <xf numFmtId="43" fontId="23" fillId="0" borderId="0" xfId="2" applyNumberFormat="1" applyFont="1" applyBorder="1" applyAlignment="1">
      <alignment horizontal="center"/>
    </xf>
    <xf numFmtId="0" fontId="27" fillId="0" borderId="0" xfId="5" applyFont="1" applyAlignment="1">
      <alignment horizontal="left" indent="1"/>
    </xf>
    <xf numFmtId="44" fontId="22" fillId="0" borderId="0" xfId="2" applyFont="1" applyBorder="1" applyAlignment="1">
      <alignment horizontal="center"/>
    </xf>
    <xf numFmtId="43" fontId="22" fillId="0" borderId="0" xfId="2" applyNumberFormat="1" applyFont="1" applyBorder="1" applyAlignment="1">
      <alignment horizontal="center"/>
    </xf>
    <xf numFmtId="0" fontId="39" fillId="0" borderId="0" xfId="5" applyFont="1" applyAlignment="1">
      <alignment horizontal="center"/>
    </xf>
    <xf numFmtId="43" fontId="40" fillId="0" borderId="0" xfId="2" applyNumberFormat="1" applyFont="1" applyBorder="1" applyAlignment="1">
      <alignment horizontal="center"/>
    </xf>
    <xf numFmtId="0" fontId="25" fillId="5" borderId="9" xfId="5" applyFont="1" applyFill="1" applyBorder="1"/>
    <xf numFmtId="0" fontId="23" fillId="5" borderId="9" xfId="5" applyFont="1" applyFill="1" applyBorder="1" applyAlignment="1">
      <alignment horizontal="center"/>
    </xf>
    <xf numFmtId="0" fontId="23" fillId="5" borderId="9" xfId="5" applyFont="1" applyFill="1" applyBorder="1" applyAlignment="1">
      <alignment horizontal="left"/>
    </xf>
    <xf numFmtId="0" fontId="23" fillId="5" borderId="9" xfId="5" applyFont="1" applyFill="1" applyBorder="1"/>
    <xf numFmtId="0" fontId="22" fillId="5" borderId="9" xfId="5" applyFont="1" applyFill="1" applyBorder="1"/>
    <xf numFmtId="165" fontId="22" fillId="5" borderId="9" xfId="5" applyNumberFormat="1" applyFont="1" applyFill="1" applyBorder="1"/>
    <xf numFmtId="0" fontId="37" fillId="10" borderId="0" xfId="5" applyFont="1" applyFill="1" applyAlignment="1">
      <alignment horizontal="left"/>
    </xf>
    <xf numFmtId="3" fontId="28" fillId="8" borderId="0" xfId="0" applyNumberFormat="1" applyFont="1" applyFill="1"/>
    <xf numFmtId="3" fontId="22" fillId="0" borderId="0" xfId="0" applyNumberFormat="1" applyFont="1"/>
    <xf numFmtId="3" fontId="26" fillId="0" borderId="0" xfId="0" applyNumberFormat="1" applyFont="1"/>
    <xf numFmtId="43" fontId="22" fillId="0" borderId="0" xfId="0" applyNumberFormat="1" applyFont="1"/>
    <xf numFmtId="0" fontId="23" fillId="0" borderId="0" xfId="0" applyFont="1" applyAlignment="1">
      <alignment horizontal="left"/>
    </xf>
    <xf numFmtId="0" fontId="41" fillId="0" borderId="0" xfId="0" applyFont="1" applyAlignment="1">
      <alignment horizontal="center"/>
    </xf>
    <xf numFmtId="0" fontId="41" fillId="0" borderId="0" xfId="0" applyFont="1" applyAlignment="1">
      <alignment horizontal="left"/>
    </xf>
    <xf numFmtId="0" fontId="25" fillId="4" borderId="9" xfId="5" applyFont="1" applyFill="1" applyBorder="1"/>
    <xf numFmtId="0" fontId="23" fillId="4" borderId="9" xfId="5" applyFont="1" applyFill="1" applyBorder="1" applyAlignment="1">
      <alignment horizontal="center"/>
    </xf>
    <xf numFmtId="0" fontId="23" fillId="4" borderId="9" xfId="5" applyFont="1" applyFill="1" applyBorder="1" applyAlignment="1">
      <alignment horizontal="left"/>
    </xf>
    <xf numFmtId="0" fontId="23" fillId="4" borderId="9" xfId="5" applyFont="1" applyFill="1" applyBorder="1"/>
    <xf numFmtId="0" fontId="22" fillId="4" borderId="9" xfId="5" applyFont="1" applyFill="1" applyBorder="1"/>
    <xf numFmtId="165" fontId="22" fillId="4" borderId="9" xfId="5" applyNumberFormat="1" applyFont="1" applyFill="1" applyBorder="1"/>
    <xf numFmtId="0" fontId="23" fillId="3" borderId="0" xfId="0" applyFont="1" applyFill="1" applyAlignment="1">
      <alignment horizontal="centerContinuous"/>
    </xf>
    <xf numFmtId="0" fontId="42" fillId="5" borderId="11" xfId="0" applyFont="1" applyFill="1" applyBorder="1" applyAlignment="1">
      <alignment horizontal="center"/>
    </xf>
    <xf numFmtId="0" fontId="42" fillId="5" borderId="12" xfId="0" applyFont="1" applyFill="1" applyBorder="1" applyAlignment="1">
      <alignment horizontal="center"/>
    </xf>
    <xf numFmtId="0" fontId="43" fillId="5" borderId="12" xfId="0" applyFont="1" applyFill="1" applyBorder="1" applyAlignment="1">
      <alignment horizontal="center"/>
    </xf>
    <xf numFmtId="0" fontId="42" fillId="5" borderId="13" xfId="0" applyFont="1" applyFill="1" applyBorder="1" applyAlignment="1">
      <alignment horizontal="center"/>
    </xf>
    <xf numFmtId="0" fontId="43" fillId="5" borderId="13" xfId="0" quotePrefix="1" applyFont="1" applyFill="1" applyBorder="1" applyAlignment="1">
      <alignment horizontal="center"/>
    </xf>
    <xf numFmtId="0" fontId="23" fillId="11" borderId="0" xfId="0" applyFont="1" applyFill="1"/>
    <xf numFmtId="0" fontId="22" fillId="11" borderId="0" xfId="0" applyFont="1" applyFill="1"/>
    <xf numFmtId="169" fontId="22" fillId="10" borderId="0" xfId="0" applyNumberFormat="1" applyFont="1" applyFill="1" applyAlignment="1">
      <alignment horizontal="right"/>
    </xf>
    <xf numFmtId="167" fontId="22" fillId="10" borderId="0" xfId="2" applyNumberFormat="1" applyFont="1" applyFill="1"/>
    <xf numFmtId="169" fontId="22" fillId="3" borderId="0" xfId="0" applyNumberFormat="1" applyFont="1" applyFill="1" applyAlignment="1">
      <alignment horizontal="right"/>
    </xf>
    <xf numFmtId="167" fontId="22" fillId="0" borderId="0" xfId="2" applyNumberFormat="1" applyFont="1" applyFill="1"/>
    <xf numFmtId="167" fontId="22" fillId="0" borderId="0" xfId="0" applyNumberFormat="1" applyFont="1"/>
    <xf numFmtId="0" fontId="23" fillId="2" borderId="14" xfId="0" applyFont="1" applyFill="1" applyBorder="1"/>
    <xf numFmtId="167" fontId="23" fillId="2" borderId="15" xfId="0" applyNumberFormat="1" applyFont="1" applyFill="1" applyBorder="1"/>
    <xf numFmtId="0" fontId="44" fillId="0" borderId="0" xfId="0" applyFont="1" applyAlignment="1">
      <alignment horizontal="left" indent="1"/>
    </xf>
    <xf numFmtId="0" fontId="35" fillId="0" borderId="0" xfId="0" applyFont="1" applyAlignment="1">
      <alignment horizontal="left" indent="1"/>
    </xf>
    <xf numFmtId="165" fontId="22" fillId="0" borderId="0" xfId="1" applyNumberFormat="1" applyFont="1"/>
    <xf numFmtId="0" fontId="23" fillId="16" borderId="16" xfId="0" applyFont="1" applyFill="1" applyBorder="1" applyAlignment="1">
      <alignment horizontal="centerContinuous"/>
    </xf>
    <xf numFmtId="167" fontId="23" fillId="2" borderId="19" xfId="0" applyNumberFormat="1" applyFont="1" applyFill="1" applyBorder="1"/>
    <xf numFmtId="0" fontId="33" fillId="18" borderId="0" xfId="0" applyFont="1" applyFill="1" applyAlignment="1">
      <alignment horizontal="centerContinuous"/>
    </xf>
    <xf numFmtId="0" fontId="23" fillId="17" borderId="16" xfId="0" applyFont="1" applyFill="1" applyBorder="1" applyAlignment="1">
      <alignment horizontal="centerContinuous"/>
    </xf>
    <xf numFmtId="167" fontId="22" fillId="10" borderId="0" xfId="0" applyNumberFormat="1" applyFont="1" applyFill="1" applyAlignment="1">
      <alignment horizontal="right"/>
    </xf>
    <xf numFmtId="44" fontId="22" fillId="10" borderId="0" xfId="0" applyNumberFormat="1" applyFont="1" applyFill="1" applyAlignment="1">
      <alignment horizontal="right"/>
    </xf>
    <xf numFmtId="167" fontId="22" fillId="3" borderId="0" xfId="0" applyNumberFormat="1" applyFont="1" applyFill="1" applyAlignment="1">
      <alignment horizontal="right"/>
    </xf>
    <xf numFmtId="44" fontId="22" fillId="3" borderId="0" xfId="0" applyNumberFormat="1" applyFont="1" applyFill="1" applyAlignment="1">
      <alignment horizontal="right"/>
    </xf>
    <xf numFmtId="0" fontId="22" fillId="16" borderId="17" xfId="0" applyFont="1" applyFill="1" applyBorder="1" applyAlignment="1">
      <alignment horizontal="centerContinuous"/>
    </xf>
    <xf numFmtId="0" fontId="22" fillId="16" borderId="18" xfId="0" applyFont="1" applyFill="1" applyBorder="1" applyAlignment="1">
      <alignment horizontal="centerContinuous"/>
    </xf>
    <xf numFmtId="0" fontId="22" fillId="17" borderId="17" xfId="0" applyFont="1" applyFill="1" applyBorder="1" applyAlignment="1">
      <alignment horizontal="centerContinuous"/>
    </xf>
    <xf numFmtId="0" fontId="22" fillId="17" borderId="18" xfId="0" applyFont="1" applyFill="1" applyBorder="1" applyAlignment="1">
      <alignment horizontal="centerContinuous"/>
    </xf>
    <xf numFmtId="0" fontId="45" fillId="0" borderId="0" xfId="0" applyFont="1"/>
    <xf numFmtId="0" fontId="46" fillId="0" borderId="0" xfId="0" applyFont="1" applyAlignment="1">
      <alignment horizontal="center"/>
    </xf>
    <xf numFmtId="0" fontId="47" fillId="0" borderId="0" xfId="0" applyFont="1" applyAlignment="1">
      <alignment horizontal="center"/>
    </xf>
    <xf numFmtId="0" fontId="25" fillId="12" borderId="9" xfId="0" applyFont="1" applyFill="1" applyBorder="1" applyAlignment="1">
      <alignment horizontal="center"/>
    </xf>
    <xf numFmtId="0" fontId="23" fillId="10" borderId="0" xfId="0" applyFont="1" applyFill="1" applyAlignment="1">
      <alignment horizontal="left" indent="2"/>
    </xf>
    <xf numFmtId="0" fontId="35" fillId="10" borderId="0" xfId="0" applyFont="1" applyFill="1" applyAlignment="1">
      <alignment horizontal="center"/>
    </xf>
    <xf numFmtId="0" fontId="29" fillId="0" borderId="0" xfId="0" applyFont="1" applyAlignment="1">
      <alignment horizontal="center"/>
    </xf>
    <xf numFmtId="44" fontId="26" fillId="0" borderId="0" xfId="2" applyFont="1" applyFill="1" applyBorder="1"/>
    <xf numFmtId="44" fontId="23" fillId="0" borderId="0" xfId="0" applyNumberFormat="1" applyFont="1" applyAlignment="1">
      <alignment horizontal="center"/>
    </xf>
    <xf numFmtId="44" fontId="35" fillId="10" borderId="0" xfId="0" applyNumberFormat="1" applyFont="1" applyFill="1" applyAlignment="1">
      <alignment horizontal="center"/>
    </xf>
    <xf numFmtId="0" fontId="48" fillId="0" borderId="0" xfId="0" applyFont="1" applyAlignment="1">
      <alignment horizontal="center"/>
    </xf>
    <xf numFmtId="0" fontId="22" fillId="0" borderId="0" xfId="0" applyFont="1" applyAlignment="1">
      <alignment horizontal="left"/>
    </xf>
    <xf numFmtId="167" fontId="23" fillId="2" borderId="20" xfId="0" applyNumberFormat="1" applyFont="1" applyFill="1" applyBorder="1" applyAlignment="1">
      <alignment horizontal="center" vertical="center"/>
    </xf>
    <xf numFmtId="0" fontId="42" fillId="0" borderId="12" xfId="0" applyFont="1" applyBorder="1" applyAlignment="1">
      <alignment horizontal="center"/>
    </xf>
    <xf numFmtId="0" fontId="43" fillId="0" borderId="13" xfId="0" quotePrefix="1" applyFont="1" applyBorder="1" applyAlignment="1">
      <alignment horizontal="center"/>
    </xf>
    <xf numFmtId="44" fontId="22" fillId="0" borderId="0" xfId="0" applyNumberFormat="1" applyFont="1" applyAlignment="1">
      <alignment horizontal="right"/>
    </xf>
    <xf numFmtId="167" fontId="23" fillId="0" borderId="21" xfId="0" applyNumberFormat="1" applyFont="1" applyBorder="1" applyAlignment="1">
      <alignment horizontal="center" vertical="center"/>
    </xf>
    <xf numFmtId="165" fontId="23" fillId="0" borderId="10" xfId="0" applyNumberFormat="1" applyFont="1" applyBorder="1" applyAlignment="1">
      <alignment horizontal="center" wrapText="1"/>
    </xf>
    <xf numFmtId="49" fontId="28" fillId="8" borderId="0" xfId="0" applyNumberFormat="1" applyFont="1" applyFill="1" applyAlignment="1">
      <alignment horizontal="right"/>
    </xf>
    <xf numFmtId="14" fontId="28" fillId="8" borderId="0" xfId="0" applyNumberFormat="1" applyFont="1" applyFill="1" applyAlignment="1">
      <alignment horizontal="right"/>
    </xf>
    <xf numFmtId="167" fontId="28" fillId="8" borderId="0" xfId="2" applyNumberFormat="1" applyFont="1" applyFill="1" applyAlignment="1">
      <alignment horizontal="right"/>
    </xf>
    <xf numFmtId="0" fontId="23" fillId="10" borderId="0" xfId="0" applyFont="1" applyFill="1"/>
    <xf numFmtId="167" fontId="22" fillId="10" borderId="0" xfId="3" applyNumberFormat="1" applyFont="1" applyFill="1"/>
    <xf numFmtId="10" fontId="22" fillId="10" borderId="0" xfId="3" applyNumberFormat="1" applyFont="1" applyFill="1"/>
    <xf numFmtId="44" fontId="22" fillId="10" borderId="0" xfId="2" applyFont="1" applyFill="1"/>
    <xf numFmtId="0" fontId="66" fillId="0" borderId="0" xfId="0" applyFont="1"/>
    <xf numFmtId="167" fontId="67" fillId="0" borderId="0" xfId="2" applyNumberFormat="1" applyFont="1" applyFill="1" applyAlignment="1">
      <alignment horizontal="left"/>
    </xf>
    <xf numFmtId="8" fontId="22" fillId="0" borderId="0" xfId="0" applyNumberFormat="1" applyFont="1"/>
    <xf numFmtId="0" fontId="22" fillId="10" borderId="0" xfId="0" applyFont="1" applyFill="1"/>
    <xf numFmtId="0" fontId="68" fillId="0" borderId="0" xfId="0" applyFont="1" applyAlignment="1">
      <alignment horizontal="center"/>
    </xf>
    <xf numFmtId="0" fontId="23" fillId="50" borderId="0" xfId="0" applyFont="1" applyFill="1" applyAlignment="1">
      <alignment horizontal="centerContinuous"/>
    </xf>
    <xf numFmtId="0" fontId="23" fillId="0" borderId="6" xfId="0" applyFont="1" applyBorder="1" applyAlignment="1">
      <alignment horizontal="centerContinuous"/>
    </xf>
    <xf numFmtId="0" fontId="23" fillId="0" borderId="22" xfId="0" applyFont="1" applyBorder="1"/>
    <xf numFmtId="0" fontId="23" fillId="11" borderId="22" xfId="0" applyFont="1" applyFill="1" applyBorder="1"/>
    <xf numFmtId="44" fontId="66" fillId="0" borderId="0" xfId="2" applyFont="1" applyFill="1"/>
    <xf numFmtId="44" fontId="28" fillId="8" borderId="0" xfId="2" applyFont="1" applyFill="1" applyBorder="1"/>
    <xf numFmtId="9" fontId="22" fillId="0" borderId="0" xfId="3" applyFont="1"/>
    <xf numFmtId="8" fontId="28" fillId="8" borderId="0" xfId="2" applyNumberFormat="1" applyFont="1" applyFill="1" applyBorder="1" applyAlignment="1">
      <alignment horizontal="center"/>
    </xf>
    <xf numFmtId="10" fontId="22" fillId="0" borderId="0" xfId="3" applyNumberFormat="1" applyFont="1"/>
    <xf numFmtId="165" fontId="23" fillId="0" borderId="22" xfId="0" applyNumberFormat="1" applyFont="1" applyBorder="1"/>
    <xf numFmtId="41" fontId="23" fillId="52" borderId="20" xfId="2" applyNumberFormat="1" applyFont="1" applyFill="1" applyBorder="1"/>
    <xf numFmtId="44" fontId="23" fillId="52" borderId="20" xfId="2" applyFont="1" applyFill="1" applyBorder="1" applyAlignment="1">
      <alignment horizontal="right"/>
    </xf>
    <xf numFmtId="165" fontId="23" fillId="52" borderId="0" xfId="1" applyNumberFormat="1" applyFont="1" applyFill="1"/>
    <xf numFmtId="167" fontId="23" fillId="52" borderId="20" xfId="2" applyNumberFormat="1" applyFont="1" applyFill="1" applyBorder="1" applyAlignment="1">
      <alignment horizontal="right"/>
    </xf>
    <xf numFmtId="0" fontId="70" fillId="0" borderId="0" xfId="0" applyFont="1" applyAlignment="1">
      <alignment horizontal="right"/>
    </xf>
    <xf numFmtId="0" fontId="70" fillId="0" borderId="0" xfId="0" applyFont="1"/>
    <xf numFmtId="0" fontId="69" fillId="2" borderId="0" xfId="0" applyFont="1" applyFill="1" applyAlignment="1">
      <alignment horizontal="centerContinuous"/>
    </xf>
    <xf numFmtId="0" fontId="69" fillId="2" borderId="0" xfId="0" applyFont="1" applyFill="1" applyAlignment="1">
      <alignment horizontal="right"/>
    </xf>
    <xf numFmtId="0" fontId="69" fillId="0" borderId="0" xfId="0" applyFont="1" applyAlignment="1">
      <alignment horizontal="centerContinuous"/>
    </xf>
    <xf numFmtId="0" fontId="70" fillId="0" borderId="0" xfId="0" applyFont="1" applyAlignment="1">
      <alignment horizontal="centerContinuous"/>
    </xf>
    <xf numFmtId="0" fontId="70" fillId="0" borderId="1" xfId="0" applyFont="1" applyBorder="1"/>
    <xf numFmtId="0" fontId="70" fillId="0" borderId="2" xfId="0" applyFont="1" applyBorder="1" applyAlignment="1">
      <alignment horizontal="right"/>
    </xf>
    <xf numFmtId="0" fontId="70" fillId="0" borderId="2" xfId="0" applyFont="1" applyBorder="1"/>
    <xf numFmtId="0" fontId="71" fillId="0" borderId="2" xfId="0" applyFont="1" applyBorder="1" applyAlignment="1">
      <alignment horizontal="centerContinuous"/>
    </xf>
    <xf numFmtId="0" fontId="71" fillId="0" borderId="2" xfId="0" applyFont="1" applyBorder="1"/>
    <xf numFmtId="0" fontId="71" fillId="0" borderId="3" xfId="0" applyFont="1" applyBorder="1" applyAlignment="1">
      <alignment horizontal="centerContinuous"/>
    </xf>
    <xf numFmtId="0" fontId="70" fillId="0" borderId="4" xfId="0" applyFont="1" applyBorder="1"/>
    <xf numFmtId="0" fontId="71" fillId="0" borderId="0" xfId="0" applyFont="1" applyAlignment="1">
      <alignment horizontal="centerContinuous"/>
    </xf>
    <xf numFmtId="0" fontId="71" fillId="0" borderId="0" xfId="0" applyFont="1"/>
    <xf numFmtId="0" fontId="71" fillId="0" borderId="5" xfId="0" applyFont="1" applyBorder="1" applyAlignment="1">
      <alignment horizontal="centerContinuous"/>
    </xf>
    <xf numFmtId="0" fontId="69" fillId="0" borderId="6" xfId="0" applyFont="1" applyBorder="1" applyAlignment="1">
      <alignment horizontal="center"/>
    </xf>
    <xf numFmtId="0" fontId="69" fillId="0" borderId="0" xfId="0" applyFont="1" applyAlignment="1">
      <alignment horizontal="center"/>
    </xf>
    <xf numFmtId="0" fontId="70" fillId="0" borderId="4" xfId="0" quotePrefix="1" applyFont="1" applyBorder="1" applyAlignment="1">
      <alignment horizontal="center"/>
    </xf>
    <xf numFmtId="0" fontId="70" fillId="0" borderId="0" xfId="0" quotePrefix="1" applyFont="1" applyAlignment="1">
      <alignment horizontal="right"/>
    </xf>
    <xf numFmtId="0" fontId="70" fillId="0" borderId="0" xfId="0" quotePrefix="1" applyFont="1"/>
    <xf numFmtId="167" fontId="70" fillId="0" borderId="0" xfId="0" quotePrefix="1" applyNumberFormat="1" applyFont="1"/>
    <xf numFmtId="167" fontId="70" fillId="0" borderId="0" xfId="2" applyNumberFormat="1" applyFont="1" applyFill="1" applyBorder="1"/>
    <xf numFmtId="164" fontId="70" fillId="0" borderId="0" xfId="2" applyNumberFormat="1" applyFont="1" applyFill="1" applyBorder="1" applyAlignment="1">
      <alignment horizontal="left" indent="2"/>
    </xf>
    <xf numFmtId="164" fontId="70" fillId="0" borderId="5" xfId="2" applyNumberFormat="1" applyFont="1" applyFill="1" applyBorder="1" applyAlignment="1">
      <alignment horizontal="left" indent="2"/>
    </xf>
    <xf numFmtId="44" fontId="70" fillId="0" borderId="0" xfId="2" applyFont="1"/>
    <xf numFmtId="0" fontId="70" fillId="0" borderId="4" xfId="0" applyFont="1" applyBorder="1" applyAlignment="1">
      <alignment horizontal="center"/>
    </xf>
    <xf numFmtId="167" fontId="70" fillId="0" borderId="0" xfId="2" applyNumberFormat="1" applyFont="1" applyFill="1" applyBorder="1" applyAlignment="1">
      <alignment horizontal="left" indent="2"/>
    </xf>
    <xf numFmtId="167" fontId="70" fillId="0" borderId="0" xfId="0" applyNumberFormat="1" applyFont="1"/>
    <xf numFmtId="167" fontId="70" fillId="0" borderId="0" xfId="0" applyNumberFormat="1" applyFont="1" applyAlignment="1">
      <alignment horizontal="left" indent="3"/>
    </xf>
    <xf numFmtId="167" fontId="70" fillId="0" borderId="0" xfId="0" applyNumberFormat="1" applyFont="1" applyAlignment="1">
      <alignment horizontal="left" indent="2"/>
    </xf>
    <xf numFmtId="0" fontId="70" fillId="0" borderId="5" xfId="0" applyFont="1" applyBorder="1" applyAlignment="1">
      <alignment horizontal="left" indent="2"/>
    </xf>
    <xf numFmtId="0" fontId="70" fillId="0" borderId="0" xfId="0" applyFont="1" applyAlignment="1">
      <alignment horizontal="left" indent="3"/>
    </xf>
    <xf numFmtId="0" fontId="70" fillId="0" borderId="0" xfId="0" applyFont="1" applyAlignment="1">
      <alignment horizontal="left" indent="2"/>
    </xf>
    <xf numFmtId="165" fontId="70" fillId="0" borderId="0" xfId="1" applyNumberFormat="1" applyFont="1" applyFill="1" applyBorder="1"/>
    <xf numFmtId="0" fontId="70" fillId="0" borderId="5" xfId="0" applyFont="1" applyBorder="1"/>
    <xf numFmtId="0" fontId="69" fillId="0" borderId="0" xfId="0" quotePrefix="1" applyFont="1" applyAlignment="1">
      <alignment horizontal="right"/>
    </xf>
    <xf numFmtId="0" fontId="69" fillId="0" borderId="0" xfId="0" applyFont="1"/>
    <xf numFmtId="44" fontId="69" fillId="0" borderId="2" xfId="2" applyFont="1" applyFill="1" applyBorder="1"/>
    <xf numFmtId="0" fontId="69" fillId="0" borderId="2" xfId="0" quotePrefix="1" applyFont="1" applyBorder="1"/>
    <xf numFmtId="0" fontId="69" fillId="0" borderId="0" xfId="0" quotePrefix="1" applyFont="1"/>
    <xf numFmtId="0" fontId="69" fillId="0" borderId="3" xfId="0" quotePrefix="1" applyFont="1" applyBorder="1"/>
    <xf numFmtId="44" fontId="70" fillId="0" borderId="0" xfId="0" applyNumberFormat="1" applyFont="1"/>
    <xf numFmtId="0" fontId="70" fillId="0" borderId="7" xfId="0" applyFont="1" applyBorder="1"/>
    <xf numFmtId="0" fontId="70" fillId="0" borderId="6" xfId="0" applyFont="1" applyBorder="1" applyAlignment="1">
      <alignment horizontal="right"/>
    </xf>
    <xf numFmtId="0" fontId="70" fillId="0" borderId="6" xfId="0" applyFont="1" applyBorder="1"/>
    <xf numFmtId="170" fontId="70" fillId="0" borderId="6" xfId="0" applyNumberFormat="1" applyFont="1" applyBorder="1"/>
    <xf numFmtId="0" fontId="69" fillId="0" borderId="6" xfId="0" quotePrefix="1" applyFont="1" applyBorder="1"/>
    <xf numFmtId="0" fontId="69" fillId="0" borderId="8" xfId="0" quotePrefix="1" applyFont="1" applyBorder="1"/>
    <xf numFmtId="0" fontId="72" fillId="0" borderId="0" xfId="0" applyFont="1"/>
    <xf numFmtId="0" fontId="73" fillId="0" borderId="0" xfId="0" applyFont="1" applyAlignment="1">
      <alignment horizontal="right"/>
    </xf>
    <xf numFmtId="164" fontId="70" fillId="0" borderId="0" xfId="0" applyNumberFormat="1" applyFont="1"/>
    <xf numFmtId="0" fontId="72" fillId="0" borderId="0" xfId="0" applyFont="1" applyAlignment="1">
      <alignment horizontal="right"/>
    </xf>
    <xf numFmtId="43" fontId="70" fillId="0" borderId="0" xfId="0" applyNumberFormat="1" applyFont="1"/>
    <xf numFmtId="167" fontId="70" fillId="0" borderId="0" xfId="2" applyNumberFormat="1" applyFont="1"/>
    <xf numFmtId="167" fontId="72" fillId="0" borderId="0" xfId="0" applyNumberFormat="1" applyFont="1"/>
    <xf numFmtId="167" fontId="74" fillId="0" borderId="0" xfId="0" quotePrefix="1" applyNumberFormat="1" applyFont="1" applyAlignment="1">
      <alignment horizontal="right"/>
    </xf>
    <xf numFmtId="2" fontId="70" fillId="0" borderId="0" xfId="2" applyNumberFormat="1" applyFont="1"/>
    <xf numFmtId="0" fontId="69" fillId="3" borderId="0" xfId="0" applyFont="1" applyFill="1" applyAlignment="1">
      <alignment horizontal="centerContinuous"/>
    </xf>
    <xf numFmtId="0" fontId="70" fillId="3" borderId="0" xfId="0" applyFont="1" applyFill="1" applyAlignment="1">
      <alignment horizontal="centerContinuous"/>
    </xf>
    <xf numFmtId="0" fontId="72" fillId="0" borderId="2" xfId="0" applyFont="1" applyBorder="1" applyAlignment="1">
      <alignment horizontal="left" indent="1"/>
    </xf>
    <xf numFmtId="0" fontId="72" fillId="0" borderId="0" xfId="0" applyFont="1" applyAlignment="1">
      <alignment horizontal="left"/>
    </xf>
    <xf numFmtId="14" fontId="70" fillId="0" borderId="0" xfId="0" applyNumberFormat="1" applyFont="1"/>
    <xf numFmtId="0" fontId="70" fillId="0" borderId="1" xfId="0" applyFont="1" applyBorder="1" applyAlignment="1">
      <alignment horizontal="center" vertical="center"/>
    </xf>
    <xf numFmtId="0" fontId="75" fillId="0" borderId="2" xfId="0" applyFont="1" applyBorder="1" applyAlignment="1">
      <alignment horizontal="left" vertical="center"/>
    </xf>
    <xf numFmtId="0" fontId="69" fillId="0" borderId="2" xfId="0" applyFont="1" applyBorder="1" applyAlignment="1">
      <alignment horizontal="center"/>
    </xf>
    <xf numFmtId="0" fontId="76" fillId="0" borderId="3" xfId="0" applyFont="1" applyBorder="1" applyAlignment="1">
      <alignment horizontal="center"/>
    </xf>
    <xf numFmtId="0" fontId="76" fillId="0" borderId="0" xfId="0" applyFont="1" applyAlignment="1">
      <alignment horizontal="center"/>
    </xf>
    <xf numFmtId="9" fontId="77" fillId="0" borderId="0" xfId="3" applyFont="1" applyFill="1" applyBorder="1" applyAlignment="1">
      <alignment horizontal="center"/>
    </xf>
    <xf numFmtId="0" fontId="76" fillId="0" borderId="5" xfId="0" applyFont="1" applyBorder="1" applyAlignment="1">
      <alignment horizontal="center"/>
    </xf>
    <xf numFmtId="168" fontId="70" fillId="0" borderId="0" xfId="3" applyNumberFormat="1" applyFont="1" applyFill="1" applyBorder="1" applyAlignment="1">
      <alignment horizontal="center"/>
    </xf>
    <xf numFmtId="0" fontId="70" fillId="0" borderId="0" xfId="0" applyFont="1" applyAlignment="1">
      <alignment horizontal="left" indent="1"/>
    </xf>
    <xf numFmtId="167" fontId="77" fillId="0" borderId="0" xfId="2" applyNumberFormat="1" applyFont="1" applyFill="1" applyBorder="1"/>
    <xf numFmtId="0" fontId="72" fillId="0" borderId="0" xfId="0" applyFont="1" applyAlignment="1">
      <alignment horizontal="left" indent="1"/>
    </xf>
    <xf numFmtId="0" fontId="70" fillId="0" borderId="7" xfId="0" applyFont="1" applyBorder="1" applyAlignment="1">
      <alignment horizontal="center"/>
    </xf>
    <xf numFmtId="0" fontId="70" fillId="0" borderId="6" xfId="0" applyFont="1" applyBorder="1" applyAlignment="1">
      <alignment horizontal="left" indent="1"/>
    </xf>
    <xf numFmtId="167" fontId="70" fillId="0" borderId="6" xfId="0" applyNumberFormat="1" applyFont="1" applyBorder="1"/>
    <xf numFmtId="0" fontId="70" fillId="0" borderId="8" xfId="0" applyFont="1" applyBorder="1"/>
    <xf numFmtId="0" fontId="70" fillId="0" borderId="0" xfId="0" applyFont="1" applyAlignment="1">
      <alignment horizontal="center"/>
    </xf>
    <xf numFmtId="0" fontId="27" fillId="0" borderId="34" xfId="0" applyFont="1" applyBorder="1" applyAlignment="1">
      <alignment horizontal="center"/>
    </xf>
    <xf numFmtId="0" fontId="27" fillId="0" borderId="35" xfId="0" applyFont="1" applyBorder="1" applyAlignment="1">
      <alignment horizontal="center"/>
    </xf>
    <xf numFmtId="0" fontId="27" fillId="0" borderId="36" xfId="0" applyFont="1" applyBorder="1" applyAlignment="1">
      <alignment horizontal="center"/>
    </xf>
    <xf numFmtId="0" fontId="78" fillId="0" borderId="35" xfId="0" applyFont="1" applyBorder="1" applyAlignment="1">
      <alignment horizontal="center"/>
    </xf>
    <xf numFmtId="167" fontId="22" fillId="10" borderId="36" xfId="2" applyNumberFormat="1" applyFont="1" applyFill="1" applyBorder="1"/>
    <xf numFmtId="0" fontId="78" fillId="0" borderId="36" xfId="0" quotePrefix="1" applyFont="1" applyBorder="1" applyAlignment="1">
      <alignment horizontal="center"/>
    </xf>
    <xf numFmtId="0" fontId="23" fillId="11" borderId="34" xfId="0" applyFont="1" applyFill="1" applyBorder="1"/>
    <xf numFmtId="169" fontId="22" fillId="10" borderId="35" xfId="0" applyNumberFormat="1" applyFont="1" applyFill="1" applyBorder="1" applyAlignment="1">
      <alignment horizontal="right"/>
    </xf>
    <xf numFmtId="169" fontId="22" fillId="3" borderId="35" xfId="0" applyNumberFormat="1" applyFont="1" applyFill="1" applyBorder="1" applyAlignment="1">
      <alignment horizontal="right"/>
    </xf>
    <xf numFmtId="0" fontId="23" fillId="10" borderId="36" xfId="0" applyFont="1" applyFill="1" applyBorder="1"/>
    <xf numFmtId="0" fontId="22" fillId="11" borderId="34" xfId="0" applyFont="1" applyFill="1" applyBorder="1"/>
    <xf numFmtId="0" fontId="77" fillId="0" borderId="1" xfId="0" applyFont="1" applyBorder="1" applyAlignment="1">
      <alignment horizontal="center"/>
    </xf>
    <xf numFmtId="0" fontId="77" fillId="0" borderId="34" xfId="0" applyFont="1" applyBorder="1" applyAlignment="1">
      <alignment horizontal="center"/>
    </xf>
    <xf numFmtId="0" fontId="77" fillId="0" borderId="4" xfId="0" applyFont="1" applyBorder="1" applyAlignment="1">
      <alignment horizontal="center"/>
    </xf>
    <xf numFmtId="0" fontId="77" fillId="0" borderId="35" xfId="0" applyFont="1" applyBorder="1" applyAlignment="1">
      <alignment horizontal="center"/>
    </xf>
    <xf numFmtId="0" fontId="79" fillId="0" borderId="35" xfId="0" applyFont="1" applyBorder="1" applyAlignment="1">
      <alignment horizontal="center"/>
    </xf>
    <xf numFmtId="166" fontId="79" fillId="0" borderId="35" xfId="2" applyNumberFormat="1" applyFont="1" applyFill="1" applyBorder="1"/>
    <xf numFmtId="10" fontId="79" fillId="0" borderId="35" xfId="3" applyNumberFormat="1" applyFont="1" applyFill="1" applyBorder="1" applyAlignment="1">
      <alignment horizontal="center"/>
    </xf>
    <xf numFmtId="168" fontId="79" fillId="0" borderId="35" xfId="0" applyNumberFormat="1" applyFont="1" applyBorder="1" applyAlignment="1">
      <alignment horizontal="center"/>
    </xf>
    <xf numFmtId="0" fontId="77" fillId="0" borderId="7" xfId="0" applyFont="1" applyBorder="1" applyAlignment="1">
      <alignment horizontal="center"/>
    </xf>
    <xf numFmtId="0" fontId="79" fillId="0" borderId="36" xfId="0" quotePrefix="1" applyFont="1" applyBorder="1" applyAlignment="1">
      <alignment horizontal="center"/>
    </xf>
    <xf numFmtId="0" fontId="79" fillId="0" borderId="36" xfId="0" applyFont="1" applyBorder="1" applyAlignment="1">
      <alignment horizontal="center"/>
    </xf>
    <xf numFmtId="0" fontId="69" fillId="11" borderId="34" xfId="0" applyFont="1" applyFill="1" applyBorder="1"/>
    <xf numFmtId="0" fontId="70" fillId="11" borderId="35" xfId="0" applyFont="1" applyFill="1" applyBorder="1"/>
    <xf numFmtId="0" fontId="70" fillId="11" borderId="34" xfId="0" applyFont="1" applyFill="1" applyBorder="1"/>
    <xf numFmtId="0" fontId="69" fillId="11" borderId="34" xfId="0" applyFont="1" applyFill="1" applyBorder="1" applyAlignment="1">
      <alignment horizontal="right"/>
    </xf>
    <xf numFmtId="167" fontId="69" fillId="11" borderId="34" xfId="2" applyNumberFormat="1" applyFont="1" applyFill="1" applyBorder="1"/>
    <xf numFmtId="169" fontId="70" fillId="10" borderId="35" xfId="0" applyNumberFormat="1" applyFont="1" applyFill="1" applyBorder="1" applyAlignment="1">
      <alignment horizontal="right"/>
    </xf>
    <xf numFmtId="167" fontId="70" fillId="10" borderId="35" xfId="0" applyNumberFormat="1" applyFont="1" applyFill="1" applyBorder="1"/>
    <xf numFmtId="165" fontId="70" fillId="10" borderId="35" xfId="1" applyNumberFormat="1" applyFont="1" applyFill="1" applyBorder="1"/>
    <xf numFmtId="167" fontId="70" fillId="10" borderId="35" xfId="2" applyNumberFormat="1" applyFont="1" applyFill="1" applyBorder="1"/>
    <xf numFmtId="3" fontId="70" fillId="0" borderId="0" xfId="0" applyNumberFormat="1" applyFont="1"/>
    <xf numFmtId="169" fontId="70" fillId="3" borderId="35" xfId="0" applyNumberFormat="1" applyFont="1" applyFill="1" applyBorder="1" applyAlignment="1">
      <alignment horizontal="right"/>
    </xf>
    <xf numFmtId="167" fontId="70" fillId="3" borderId="35" xfId="2" applyNumberFormat="1" applyFont="1" applyFill="1" applyBorder="1"/>
    <xf numFmtId="165" fontId="70" fillId="3" borderId="35" xfId="1" applyNumberFormat="1" applyFont="1" applyFill="1" applyBorder="1"/>
    <xf numFmtId="167" fontId="70" fillId="3" borderId="35" xfId="0" applyNumberFormat="1" applyFont="1" applyFill="1" applyBorder="1"/>
    <xf numFmtId="167" fontId="70" fillId="3" borderId="36" xfId="2" applyNumberFormat="1" applyFont="1" applyFill="1" applyBorder="1"/>
    <xf numFmtId="165" fontId="70" fillId="3" borderId="36" xfId="1" applyNumberFormat="1" applyFont="1" applyFill="1" applyBorder="1"/>
    <xf numFmtId="167" fontId="70" fillId="3" borderId="36" xfId="0" applyNumberFormat="1" applyFont="1" applyFill="1" applyBorder="1"/>
    <xf numFmtId="0" fontId="70" fillId="0" borderId="35" xfId="0" applyFont="1" applyBorder="1"/>
    <xf numFmtId="0" fontId="69" fillId="10" borderId="36" xfId="0" applyFont="1" applyFill="1" applyBorder="1"/>
    <xf numFmtId="167" fontId="70" fillId="10" borderId="36" xfId="2" applyNumberFormat="1" applyFont="1" applyFill="1" applyBorder="1"/>
    <xf numFmtId="165" fontId="70" fillId="10" borderId="36" xfId="1" applyNumberFormat="1" applyFont="1" applyFill="1" applyBorder="1"/>
    <xf numFmtId="167" fontId="70" fillId="10" borderId="36" xfId="0" applyNumberFormat="1" applyFont="1" applyFill="1" applyBorder="1"/>
    <xf numFmtId="167" fontId="70" fillId="0" borderId="0" xfId="2" applyNumberFormat="1" applyFont="1" applyFill="1"/>
    <xf numFmtId="165" fontId="70" fillId="0" borderId="0" xfId="1" applyNumberFormat="1" applyFont="1" applyFill="1"/>
    <xf numFmtId="167" fontId="69" fillId="0" borderId="0" xfId="2" applyNumberFormat="1" applyFont="1" applyFill="1" applyAlignment="1">
      <alignment horizontal="right"/>
    </xf>
    <xf numFmtId="0" fontId="80" fillId="0" borderId="0" xfId="0" applyFont="1" applyAlignment="1">
      <alignment horizontal="left" indent="1"/>
    </xf>
    <xf numFmtId="0" fontId="69" fillId="0" borderId="14" xfId="0" applyFont="1" applyBorder="1"/>
    <xf numFmtId="167" fontId="69" fillId="0" borderId="15" xfId="0" applyNumberFormat="1" applyFont="1" applyBorder="1"/>
    <xf numFmtId="0" fontId="81" fillId="0" borderId="0" xfId="0" applyFont="1" applyAlignment="1">
      <alignment horizontal="left" indent="1"/>
    </xf>
    <xf numFmtId="0" fontId="81" fillId="0" borderId="0" xfId="0" quotePrefix="1" applyFont="1" applyAlignment="1">
      <alignment horizontal="left" indent="4"/>
    </xf>
    <xf numFmtId="165" fontId="70" fillId="0" borderId="0" xfId="0" applyNumberFormat="1" applyFont="1"/>
    <xf numFmtId="0" fontId="72" fillId="0" borderId="0" xfId="0" quotePrefix="1" applyFont="1" applyAlignment="1">
      <alignment horizontal="left" indent="4"/>
    </xf>
    <xf numFmtId="169" fontId="70" fillId="0" borderId="0" xfId="0" applyNumberFormat="1" applyFont="1"/>
    <xf numFmtId="41" fontId="70" fillId="0" borderId="0" xfId="0" applyNumberFormat="1" applyFont="1"/>
    <xf numFmtId="0" fontId="69" fillId="16" borderId="16" xfId="0" applyFont="1" applyFill="1" applyBorder="1" applyAlignment="1">
      <alignment horizontal="centerContinuous"/>
    </xf>
    <xf numFmtId="0" fontId="69" fillId="16" borderId="17" xfId="0" applyFont="1" applyFill="1" applyBorder="1" applyAlignment="1">
      <alignment horizontal="centerContinuous"/>
    </xf>
    <xf numFmtId="0" fontId="69" fillId="16" borderId="18" xfId="0" applyFont="1" applyFill="1" applyBorder="1" applyAlignment="1">
      <alignment horizontal="centerContinuous"/>
    </xf>
    <xf numFmtId="167" fontId="69" fillId="2" borderId="20" xfId="0" applyNumberFormat="1" applyFont="1" applyFill="1" applyBorder="1" applyAlignment="1">
      <alignment horizontal="center" vertical="center"/>
    </xf>
    <xf numFmtId="0" fontId="82" fillId="5" borderId="11" xfId="0" applyFont="1" applyFill="1" applyBorder="1" applyAlignment="1">
      <alignment horizontal="center"/>
    </xf>
    <xf numFmtId="0" fontId="82" fillId="5" borderId="12" xfId="0" applyFont="1" applyFill="1" applyBorder="1" applyAlignment="1">
      <alignment horizontal="center"/>
    </xf>
    <xf numFmtId="0" fontId="83" fillId="5" borderId="12" xfId="0" applyFont="1" applyFill="1" applyBorder="1" applyAlignment="1">
      <alignment horizontal="center"/>
    </xf>
    <xf numFmtId="166" fontId="83" fillId="5" borderId="12" xfId="2" applyNumberFormat="1" applyFont="1" applyFill="1" applyBorder="1"/>
    <xf numFmtId="10" fontId="83" fillId="5" borderId="12" xfId="3" applyNumberFormat="1" applyFont="1" applyFill="1" applyBorder="1" applyAlignment="1">
      <alignment horizontal="center"/>
    </xf>
    <xf numFmtId="168" fontId="83" fillId="5" borderId="12" xfId="0" applyNumberFormat="1" applyFont="1" applyFill="1" applyBorder="1" applyAlignment="1">
      <alignment horizontal="center"/>
    </xf>
    <xf numFmtId="0" fontId="82" fillId="5" borderId="13" xfId="0" applyFont="1" applyFill="1" applyBorder="1" applyAlignment="1">
      <alignment horizontal="center"/>
    </xf>
    <xf numFmtId="0" fontId="83" fillId="5" borderId="13" xfId="0" quotePrefix="1" applyFont="1" applyFill="1" applyBorder="1" applyAlignment="1">
      <alignment horizontal="center"/>
    </xf>
    <xf numFmtId="0" fontId="83" fillId="5" borderId="13" xfId="0" applyFont="1" applyFill="1" applyBorder="1" applyAlignment="1">
      <alignment horizontal="center"/>
    </xf>
    <xf numFmtId="0" fontId="69" fillId="11" borderId="0" xfId="0" applyFont="1" applyFill="1"/>
    <xf numFmtId="0" fontId="70" fillId="11" borderId="0" xfId="0" applyFont="1" applyFill="1"/>
    <xf numFmtId="0" fontId="69" fillId="11" borderId="0" xfId="0" applyFont="1" applyFill="1" applyAlignment="1">
      <alignment horizontal="right"/>
    </xf>
    <xf numFmtId="0" fontId="84" fillId="0" borderId="0" xfId="0" applyFont="1"/>
    <xf numFmtId="169" fontId="70" fillId="10" borderId="0" xfId="0" applyNumberFormat="1" applyFont="1" applyFill="1" applyAlignment="1">
      <alignment horizontal="right"/>
    </xf>
    <xf numFmtId="167" fontId="70" fillId="10" borderId="0" xfId="0" applyNumberFormat="1" applyFont="1" applyFill="1"/>
    <xf numFmtId="165" fontId="70" fillId="10" borderId="0" xfId="1" applyNumberFormat="1" applyFont="1" applyFill="1"/>
    <xf numFmtId="167" fontId="70" fillId="10" borderId="0" xfId="2" applyNumberFormat="1" applyFont="1" applyFill="1"/>
    <xf numFmtId="169" fontId="70" fillId="3" borderId="0" xfId="0" applyNumberFormat="1" applyFont="1" applyFill="1" applyAlignment="1">
      <alignment horizontal="right"/>
    </xf>
    <xf numFmtId="167" fontId="70" fillId="3" borderId="0" xfId="2" applyNumberFormat="1" applyFont="1" applyFill="1"/>
    <xf numFmtId="165" fontId="70" fillId="3" borderId="0" xfId="1" applyNumberFormat="1" applyFont="1" applyFill="1"/>
    <xf numFmtId="167" fontId="70" fillId="3" borderId="0" xfId="0" applyNumberFormat="1" applyFont="1" applyFill="1"/>
    <xf numFmtId="165" fontId="70" fillId="10" borderId="0" xfId="1" applyNumberFormat="1" applyFont="1" applyFill="1" applyBorder="1"/>
    <xf numFmtId="167" fontId="70" fillId="10" borderId="0" xfId="2" applyNumberFormat="1" applyFont="1" applyFill="1" applyBorder="1"/>
    <xf numFmtId="167" fontId="70" fillId="3" borderId="0" xfId="2" applyNumberFormat="1" applyFont="1" applyFill="1" applyBorder="1"/>
    <xf numFmtId="165" fontId="70" fillId="3" borderId="0" xfId="1" applyNumberFormat="1" applyFont="1" applyFill="1" applyBorder="1"/>
    <xf numFmtId="0" fontId="69" fillId="10" borderId="0" xfId="0" applyFont="1" applyFill="1"/>
    <xf numFmtId="167" fontId="69" fillId="2" borderId="19" xfId="0" applyNumberFormat="1" applyFont="1" applyFill="1" applyBorder="1"/>
    <xf numFmtId="0" fontId="85" fillId="0" borderId="0" xfId="0" applyFont="1"/>
    <xf numFmtId="0" fontId="72" fillId="0" borderId="0" xfId="0" quotePrefix="1" applyFont="1" applyAlignment="1">
      <alignment horizontal="left" indent="1"/>
    </xf>
    <xf numFmtId="0" fontId="86" fillId="18" borderId="0" xfId="0" applyFont="1" applyFill="1" applyAlignment="1">
      <alignment horizontal="centerContinuous"/>
    </xf>
    <xf numFmtId="0" fontId="72" fillId="18" borderId="0" xfId="0" quotePrefix="1" applyFont="1" applyFill="1" applyAlignment="1">
      <alignment horizontal="centerContinuous"/>
    </xf>
    <xf numFmtId="0" fontId="70" fillId="18" borderId="0" xfId="0" applyFont="1" applyFill="1" applyAlignment="1">
      <alignment horizontal="centerContinuous"/>
    </xf>
    <xf numFmtId="0" fontId="69" fillId="17" borderId="16" xfId="0" applyFont="1" applyFill="1" applyBorder="1" applyAlignment="1">
      <alignment horizontal="centerContinuous"/>
    </xf>
    <xf numFmtId="0" fontId="69" fillId="17" borderId="17" xfId="0" applyFont="1" applyFill="1" applyBorder="1" applyAlignment="1">
      <alignment horizontal="centerContinuous"/>
    </xf>
    <xf numFmtId="0" fontId="69" fillId="17" borderId="18" xfId="0" applyFont="1" applyFill="1" applyBorder="1" applyAlignment="1">
      <alignment horizontal="centerContinuous"/>
    </xf>
    <xf numFmtId="167" fontId="69" fillId="11" borderId="0" xfId="2" applyNumberFormat="1" applyFont="1" applyFill="1"/>
    <xf numFmtId="0" fontId="84" fillId="0" borderId="0" xfId="0" applyFont="1" applyAlignment="1">
      <alignment horizontal="right"/>
    </xf>
    <xf numFmtId="165" fontId="87" fillId="10" borderId="0" xfId="1" applyNumberFormat="1" applyFont="1" applyFill="1"/>
    <xf numFmtId="167" fontId="87" fillId="10" borderId="0" xfId="0" applyNumberFormat="1" applyFont="1" applyFill="1"/>
    <xf numFmtId="167" fontId="87" fillId="10" borderId="0" xfId="2" applyNumberFormat="1" applyFont="1" applyFill="1"/>
    <xf numFmtId="165" fontId="87" fillId="3" borderId="0" xfId="1" applyNumberFormat="1" applyFont="1" applyFill="1"/>
    <xf numFmtId="167" fontId="87" fillId="3" borderId="0" xfId="2" applyNumberFormat="1" applyFont="1" applyFill="1"/>
    <xf numFmtId="167" fontId="87" fillId="3" borderId="0" xfId="0" applyNumberFormat="1" applyFont="1" applyFill="1"/>
    <xf numFmtId="165" fontId="87" fillId="10" borderId="0" xfId="1" applyNumberFormat="1" applyFont="1" applyFill="1" applyBorder="1"/>
    <xf numFmtId="167" fontId="87" fillId="10" borderId="0" xfId="2" applyNumberFormat="1" applyFont="1" applyFill="1" applyBorder="1"/>
    <xf numFmtId="165" fontId="87" fillId="3" borderId="0" xfId="1" applyNumberFormat="1" applyFont="1" applyFill="1" applyBorder="1"/>
    <xf numFmtId="167" fontId="87" fillId="3" borderId="0" xfId="2" applyNumberFormat="1" applyFont="1" applyFill="1" applyBorder="1"/>
    <xf numFmtId="172" fontId="70" fillId="0" borderId="0" xfId="0" applyNumberFormat="1" applyFont="1"/>
    <xf numFmtId="0" fontId="69" fillId="2" borderId="14" xfId="0" applyFont="1" applyFill="1" applyBorder="1"/>
    <xf numFmtId="167" fontId="69" fillId="2" borderId="15" xfId="0" applyNumberFormat="1" applyFont="1" applyFill="1" applyBorder="1"/>
    <xf numFmtId="0" fontId="88" fillId="0" borderId="0" xfId="0" applyFont="1" applyAlignment="1">
      <alignment horizontal="left" indent="1"/>
    </xf>
    <xf numFmtId="10" fontId="83" fillId="5" borderId="12" xfId="0" applyNumberFormat="1" applyFont="1" applyFill="1" applyBorder="1" applyAlignment="1">
      <alignment horizontal="center"/>
    </xf>
    <xf numFmtId="165" fontId="70" fillId="0" borderId="0" xfId="1" applyNumberFormat="1" applyFont="1"/>
    <xf numFmtId="0" fontId="77" fillId="0" borderId="0" xfId="0" applyFont="1"/>
    <xf numFmtId="0" fontId="77" fillId="0" borderId="36" xfId="0" applyFont="1" applyBorder="1" applyAlignment="1">
      <alignment horizontal="center"/>
    </xf>
    <xf numFmtId="167" fontId="70" fillId="11" borderId="34" xfId="0" applyNumberFormat="1" applyFont="1" applyFill="1" applyBorder="1"/>
    <xf numFmtId="0" fontId="69" fillId="53" borderId="0" xfId="0" applyFont="1" applyFill="1" applyAlignment="1">
      <alignment horizontal="centerContinuous"/>
    </xf>
    <xf numFmtId="0" fontId="69" fillId="53" borderId="37" xfId="0" applyFont="1" applyFill="1" applyBorder="1" applyAlignment="1">
      <alignment horizontal="centerContinuous"/>
    </xf>
    <xf numFmtId="0" fontId="69" fillId="53" borderId="38" xfId="0" applyFont="1" applyFill="1" applyBorder="1" applyAlignment="1">
      <alignment horizontal="centerContinuous"/>
    </xf>
    <xf numFmtId="0" fontId="69" fillId="53" borderId="39" xfId="0" applyFont="1" applyFill="1" applyBorder="1" applyAlignment="1">
      <alignment horizontal="centerContinuous"/>
    </xf>
    <xf numFmtId="0" fontId="69" fillId="53" borderId="40" xfId="0" applyFont="1" applyFill="1" applyBorder="1" applyAlignment="1">
      <alignment horizontal="centerContinuous"/>
    </xf>
    <xf numFmtId="167" fontId="69" fillId="53" borderId="40" xfId="0" applyNumberFormat="1" applyFont="1" applyFill="1" applyBorder="1" applyAlignment="1">
      <alignment horizontal="center" vertical="center"/>
    </xf>
    <xf numFmtId="0" fontId="69" fillId="53" borderId="14" xfId="0" applyFont="1" applyFill="1" applyBorder="1"/>
    <xf numFmtId="167" fontId="69" fillId="53" borderId="15" xfId="0" applyNumberFormat="1" applyFont="1" applyFill="1" applyBorder="1"/>
    <xf numFmtId="0" fontId="70" fillId="53" borderId="0" xfId="0" applyFont="1" applyFill="1"/>
    <xf numFmtId="167" fontId="69" fillId="53" borderId="19" xfId="0" applyNumberFormat="1" applyFont="1" applyFill="1" applyBorder="1"/>
    <xf numFmtId="0" fontId="69" fillId="53" borderId="20" xfId="0" applyFont="1" applyFill="1" applyBorder="1" applyAlignment="1">
      <alignment horizontal="centerContinuous"/>
    </xf>
    <xf numFmtId="167" fontId="69" fillId="53" borderId="20" xfId="0" applyNumberFormat="1" applyFont="1" applyFill="1" applyBorder="1" applyAlignment="1">
      <alignment horizontal="center" vertical="center"/>
    </xf>
    <xf numFmtId="167" fontId="70" fillId="0" borderId="0" xfId="3" applyNumberFormat="1" applyFont="1" applyFill="1"/>
    <xf numFmtId="0" fontId="72" fillId="0" borderId="0" xfId="0" applyFont="1" applyAlignment="1">
      <alignment horizontal="left" indent="3"/>
    </xf>
    <xf numFmtId="171" fontId="70" fillId="0" borderId="0" xfId="0" applyNumberFormat="1" applyFont="1"/>
    <xf numFmtId="167" fontId="70" fillId="10" borderId="35" xfId="0" applyNumberFormat="1" applyFont="1" applyFill="1" applyBorder="1" applyAlignment="1">
      <alignment horizontal="right"/>
    </xf>
    <xf numFmtId="167" fontId="70" fillId="3" borderId="35" xfId="0" applyNumberFormat="1" applyFont="1" applyFill="1" applyBorder="1" applyAlignment="1">
      <alignment horizontal="right"/>
    </xf>
    <xf numFmtId="167" fontId="70" fillId="10" borderId="36" xfId="3" applyNumberFormat="1" applyFont="1" applyFill="1" applyBorder="1"/>
    <xf numFmtId="44" fontId="70" fillId="10" borderId="35" xfId="0" applyNumberFormat="1" applyFont="1" applyFill="1" applyBorder="1" applyAlignment="1">
      <alignment horizontal="right"/>
    </xf>
    <xf numFmtId="44" fontId="70" fillId="3" borderId="35" xfId="0" applyNumberFormat="1" applyFont="1" applyFill="1" applyBorder="1" applyAlignment="1">
      <alignment horizontal="right"/>
    </xf>
    <xf numFmtId="167" fontId="23" fillId="0" borderId="20" xfId="0" applyNumberFormat="1" applyFont="1" applyBorder="1" applyAlignment="1">
      <alignment horizontal="center" vertical="center"/>
    </xf>
    <xf numFmtId="0" fontId="24" fillId="0" borderId="0" xfId="0" applyFont="1" applyAlignment="1">
      <alignment horizontal="centerContinuous"/>
    </xf>
    <xf numFmtId="0" fontId="27" fillId="0" borderId="0" xfId="0" applyFont="1"/>
    <xf numFmtId="0" fontId="23" fillId="0" borderId="16" xfId="0" applyFont="1" applyBorder="1"/>
    <xf numFmtId="167" fontId="23" fillId="0" borderId="18" xfId="0" applyNumberFormat="1" applyFont="1" applyBorder="1"/>
    <xf numFmtId="167" fontId="23" fillId="0" borderId="20" xfId="0" applyNumberFormat="1" applyFont="1" applyBorder="1" applyAlignment="1">
      <alignment horizontal="centerContinuous"/>
    </xf>
    <xf numFmtId="0" fontId="42" fillId="0" borderId="32" xfId="0" applyFont="1" applyBorder="1" applyAlignment="1">
      <alignment horizontal="center"/>
    </xf>
    <xf numFmtId="0" fontId="43" fillId="0" borderId="33" xfId="0" quotePrefix="1" applyFont="1" applyBorder="1" applyAlignment="1">
      <alignment horizontal="center"/>
    </xf>
    <xf numFmtId="0" fontId="24" fillId="0" borderId="37" xfId="0" applyFont="1" applyBorder="1" applyAlignment="1">
      <alignment horizontal="centerContinuous"/>
    </xf>
    <xf numFmtId="0" fontId="27" fillId="0" borderId="38" xfId="0" applyFont="1" applyBorder="1" applyAlignment="1">
      <alignment horizontal="centerContinuous"/>
    </xf>
    <xf numFmtId="0" fontId="27" fillId="0" borderId="39" xfId="0" applyFont="1" applyBorder="1" applyAlignment="1">
      <alignment horizontal="centerContinuous"/>
    </xf>
    <xf numFmtId="0" fontId="24" fillId="0" borderId="40" xfId="0" applyFont="1" applyBorder="1" applyAlignment="1">
      <alignment horizontal="centerContinuous"/>
    </xf>
    <xf numFmtId="167" fontId="24" fillId="0" borderId="40" xfId="0" applyNumberFormat="1" applyFont="1" applyBorder="1" applyAlignment="1">
      <alignment horizontal="center" vertical="center"/>
    </xf>
    <xf numFmtId="0" fontId="27" fillId="0" borderId="2" xfId="0" applyFont="1" applyBorder="1"/>
    <xf numFmtId="0" fontId="27" fillId="0" borderId="6" xfId="0" applyFont="1" applyBorder="1"/>
    <xf numFmtId="167" fontId="22" fillId="10" borderId="35" xfId="0" applyNumberFormat="1" applyFont="1" applyFill="1" applyBorder="1" applyAlignment="1">
      <alignment horizontal="right"/>
    </xf>
    <xf numFmtId="167" fontId="22" fillId="3" borderId="35" xfId="0" applyNumberFormat="1" applyFont="1" applyFill="1" applyBorder="1" applyAlignment="1">
      <alignment horizontal="right"/>
    </xf>
    <xf numFmtId="167" fontId="22" fillId="10" borderId="36" xfId="3" applyNumberFormat="1" applyFont="1" applyFill="1" applyBorder="1"/>
    <xf numFmtId="44" fontId="22" fillId="10" borderId="35" xfId="0" applyNumberFormat="1" applyFont="1" applyFill="1" applyBorder="1" applyAlignment="1">
      <alignment horizontal="right"/>
    </xf>
    <xf numFmtId="44" fontId="22" fillId="3" borderId="35" xfId="0" applyNumberFormat="1" applyFont="1" applyFill="1" applyBorder="1" applyAlignment="1">
      <alignment horizontal="right"/>
    </xf>
    <xf numFmtId="0" fontId="20" fillId="0" borderId="0" xfId="0" applyFont="1" applyAlignment="1">
      <alignment horizontal="center" vertical="center" wrapText="1"/>
    </xf>
    <xf numFmtId="0" fontId="14" fillId="0" borderId="0" xfId="0" applyFont="1" applyAlignment="1">
      <alignment horizontal="left"/>
    </xf>
    <xf numFmtId="0" fontId="8" fillId="0" borderId="0" xfId="0" applyFont="1" applyAlignment="1">
      <alignment horizontal="left"/>
    </xf>
    <xf numFmtId="0" fontId="12" fillId="0" borderId="0" xfId="0" applyFont="1" applyAlignment="1">
      <alignment horizontal="left"/>
    </xf>
    <xf numFmtId="0" fontId="23" fillId="0" borderId="0" xfId="0" applyFont="1" applyAlignment="1">
      <alignment horizontal="center"/>
    </xf>
    <xf numFmtId="0" fontId="25" fillId="14" borderId="0" xfId="0" applyFont="1" applyFill="1" applyAlignment="1">
      <alignment horizontal="center"/>
    </xf>
    <xf numFmtId="0" fontId="25" fillId="9" borderId="0" xfId="0" applyFont="1" applyFill="1" applyAlignment="1">
      <alignment horizontal="center"/>
    </xf>
    <xf numFmtId="0" fontId="24" fillId="10" borderId="0" xfId="0" applyFont="1" applyFill="1" applyAlignment="1">
      <alignment horizontal="center"/>
    </xf>
    <xf numFmtId="0" fontId="23" fillId="0" borderId="6" xfId="0" applyFont="1" applyBorder="1" applyAlignment="1">
      <alignment horizontal="center"/>
    </xf>
    <xf numFmtId="0" fontId="36" fillId="15" borderId="22" xfId="0" applyFont="1" applyFill="1" applyBorder="1" applyAlignment="1">
      <alignment horizontal="center"/>
    </xf>
    <xf numFmtId="0" fontId="23" fillId="51" borderId="22" xfId="0" applyFont="1" applyFill="1" applyBorder="1" applyAlignment="1">
      <alignment horizontal="center"/>
    </xf>
    <xf numFmtId="0" fontId="23" fillId="3" borderId="22" xfId="0" applyFont="1" applyFill="1" applyBorder="1" applyAlignment="1">
      <alignment horizontal="center"/>
    </xf>
    <xf numFmtId="0" fontId="71" fillId="0" borderId="0" xfId="0" applyFont="1" applyAlignment="1">
      <alignment horizontal="center"/>
    </xf>
    <xf numFmtId="0" fontId="69" fillId="0" borderId="6" xfId="0" applyFont="1" applyBorder="1" applyAlignment="1">
      <alignment horizontal="center"/>
    </xf>
    <xf numFmtId="0" fontId="71" fillId="0" borderId="5" xfId="0" applyFont="1" applyBorder="1" applyAlignment="1">
      <alignment horizontal="center"/>
    </xf>
    <xf numFmtId="0" fontId="69" fillId="0" borderId="8" xfId="0" applyFont="1" applyBorder="1" applyAlignment="1">
      <alignment horizontal="center"/>
    </xf>
  </cellXfs>
  <cellStyles count="51">
    <cellStyle name="20% - Accent1" xfId="25" builtinId="30" customBuiltin="1"/>
    <cellStyle name="20% - Accent2" xfId="28" builtinId="34" customBuiltin="1"/>
    <cellStyle name="20% - Accent3" xfId="31" builtinId="38" customBuiltin="1"/>
    <cellStyle name="20% - Accent4" xfId="34" builtinId="42" customBuiltin="1"/>
    <cellStyle name="20% - Accent5" xfId="37" builtinId="46" customBuiltin="1"/>
    <cellStyle name="20% - Accent6" xfId="40" builtinId="50" customBuiltin="1"/>
    <cellStyle name="40% - Accent1" xfId="26" builtinId="31" customBuiltin="1"/>
    <cellStyle name="40% - Accent2" xfId="29" builtinId="35" customBuiltin="1"/>
    <cellStyle name="40% - Accent3" xfId="32" builtinId="39" customBuiltin="1"/>
    <cellStyle name="40% - Accent4" xfId="35" builtinId="43" customBuiltin="1"/>
    <cellStyle name="40% - Accent5" xfId="38" builtinId="47" customBuiltin="1"/>
    <cellStyle name="40% - Accent6" xfId="41" builtinId="51" customBuiltin="1"/>
    <cellStyle name="60% - Accent1 2" xfId="43" xr:uid="{445D9C41-1D5E-455F-8CC7-232339A7C810}"/>
    <cellStyle name="60% - Accent2 2" xfId="44" xr:uid="{D90867AF-A2F1-4059-9EF4-670490571792}"/>
    <cellStyle name="60% - Accent3 2" xfId="45" xr:uid="{1B109D9E-BBF3-4CB8-84AD-A6BF78F62F4E}"/>
    <cellStyle name="60% - Accent4 2" xfId="46" xr:uid="{25E7A770-9DDD-4CCE-BCCF-B32A5C5559F4}"/>
    <cellStyle name="60% - Accent5 2" xfId="47" xr:uid="{7EE7BFFF-A37F-4F5D-BB55-5B9966A72C71}"/>
    <cellStyle name="60% - Accent6 2" xfId="48" xr:uid="{0E1E6B63-CD11-42DA-BE77-F4137442402F}"/>
    <cellStyle name="Accent1" xfId="24" builtinId="29" customBuiltin="1"/>
    <cellStyle name="Accent2" xfId="27" builtinId="33" customBuiltin="1"/>
    <cellStyle name="Accent3" xfId="30" builtinId="37" customBuiltin="1"/>
    <cellStyle name="Accent4" xfId="33" builtinId="41" customBuiltin="1"/>
    <cellStyle name="Accent5" xfId="36" builtinId="45" customBuiltin="1"/>
    <cellStyle name="Accent6" xfId="39" builtinId="49" customBuiltin="1"/>
    <cellStyle name="Bad" xfId="14" builtinId="27" customBuiltin="1"/>
    <cellStyle name="Calculation" xfId="17" builtinId="22" customBuiltin="1"/>
    <cellStyle name="Check Cell" xfId="19" builtinId="23" customBuiltin="1"/>
    <cellStyle name="Comma" xfId="1" builtinId="3"/>
    <cellStyle name="Currency" xfId="2" builtinId="4"/>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6" builtinId="8"/>
    <cellStyle name="Input" xfId="15" builtinId="20" customBuiltin="1"/>
    <cellStyle name="Linked Cell" xfId="18" builtinId="24" customBuiltin="1"/>
    <cellStyle name="Neutral 2" xfId="42" xr:uid="{2D142405-B321-4954-B25A-E1E8AD5DD3AB}"/>
    <cellStyle name="Normal" xfId="0" builtinId="0"/>
    <cellStyle name="Normal 10" xfId="5" xr:uid="{00000000-0005-0000-0000-000004000000}"/>
    <cellStyle name="Normal 2" xfId="4" xr:uid="{00000000-0005-0000-0000-000005000000}"/>
    <cellStyle name="Normal 2 2" xfId="49" xr:uid="{AC821D66-A76D-485E-B325-AFEAB4FD5A56}"/>
    <cellStyle name="Normal 3" xfId="7" xr:uid="{00000000-0005-0000-0000-000006000000}"/>
    <cellStyle name="Normal 3 2" xfId="50" xr:uid="{650E7019-F95F-4365-8F79-787ADC58021D}"/>
    <cellStyle name="Note" xfId="21" builtinId="10" customBuiltin="1"/>
    <cellStyle name="Output" xfId="16" builtinId="21" customBuiltin="1"/>
    <cellStyle name="Percent" xfId="3" builtinId="5"/>
    <cellStyle name="Title" xfId="8" builtinId="15" customBuiltin="1"/>
    <cellStyle name="Total" xfId="23" builtinId="25" customBuiltin="1"/>
    <cellStyle name="Warning Text" xfId="20" builtinId="11" customBuiltin="1"/>
  </cellStyles>
  <dxfs count="0"/>
  <tableStyles count="0" defaultTableStyle="TableStyleMedium2" defaultPivotStyle="PivotStyleLight16"/>
  <colors>
    <mruColors>
      <color rgb="FF0000FF"/>
      <color rgb="FFFFFFCC"/>
      <color rgb="FF006699"/>
      <color rgb="FFADC3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627062</xdr:colOff>
      <xdr:row>9</xdr:row>
      <xdr:rowOff>142875</xdr:rowOff>
    </xdr:from>
    <xdr:to>
      <xdr:col>12</xdr:col>
      <xdr:colOff>676274</xdr:colOff>
      <xdr:row>11</xdr:row>
      <xdr:rowOff>165099</xdr:rowOff>
    </xdr:to>
    <xdr:pic>
      <xdr:nvPicPr>
        <xdr:cNvPr id="3" name="Picture 2" descr="2011 Logo Horizontal Color">
          <a:extLst>
            <a:ext uri="{FF2B5EF4-FFF2-40B4-BE49-F238E27FC236}">
              <a16:creationId xmlns:a16="http://schemas.microsoft.com/office/drawing/2014/main" id="{CA9C3C71-BDA5-40F5-A117-F01869B698DB}"/>
            </a:ext>
          </a:extLst>
        </xdr:cNvPr>
        <xdr:cNvPicPr/>
      </xdr:nvPicPr>
      <xdr:blipFill>
        <a:blip xmlns:r="http://schemas.openxmlformats.org/officeDocument/2006/relationships" r:embed="rId1"/>
        <a:stretch>
          <a:fillRect/>
        </a:stretch>
      </xdr:blipFill>
      <xdr:spPr bwMode="auto">
        <a:xfrm>
          <a:off x="6746875" y="3825875"/>
          <a:ext cx="3033712" cy="466724"/>
        </a:xfrm>
        <a:prstGeom prst="rect">
          <a:avLst/>
        </a:prstGeom>
        <a:noFill/>
        <a:ln w="9525">
          <a:noFill/>
          <a:miter lim="800000"/>
          <a:headEnd/>
          <a:tailEnd/>
        </a:ln>
      </xdr:spPr>
    </xdr:pic>
    <xdr:clientData/>
  </xdr:twoCellAnchor>
  <xdr:oneCellAnchor>
    <xdr:from>
      <xdr:col>0</xdr:col>
      <xdr:colOff>35719</xdr:colOff>
      <xdr:row>0</xdr:row>
      <xdr:rowOff>51594</xdr:rowOff>
    </xdr:from>
    <xdr:ext cx="1587843" cy="700519"/>
    <xdr:pic>
      <xdr:nvPicPr>
        <xdr:cNvPr id="5" name="Picture 4">
          <a:extLst>
            <a:ext uri="{FF2B5EF4-FFF2-40B4-BE49-F238E27FC236}">
              <a16:creationId xmlns:a16="http://schemas.microsoft.com/office/drawing/2014/main" id="{5899742D-38A3-482D-BBEB-5E69DF09155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7280" t="25429" r="17442" b="26888"/>
        <a:stretch/>
      </xdr:blipFill>
      <xdr:spPr>
        <a:xfrm>
          <a:off x="35719" y="51594"/>
          <a:ext cx="1587843" cy="70051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29e39f5313cc976b/Exeter1/103822-2%20PWD%202024%20TAP-R/My%20Testimony/Testimony%20Schedules/PA%20TRR%20Projections%20%20(Schedule%20RFC-3).xlsx" TargetMode="External"/><Relationship Id="rId1" Type="http://schemas.openxmlformats.org/officeDocument/2006/relationships/externalLinkPath" Target="PA%20TRR%20Projections%20%20(Schedule%20RFC-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Table of Contents"/>
      <sheetName val="TRR_Summary"/>
      <sheetName val="TRR_Projections"/>
      <sheetName val="Data Source"/>
      <sheetName val="DR_1"/>
      <sheetName val="DR_2"/>
      <sheetName val="DR_3A Participants"/>
      <sheetName val="DR_4"/>
      <sheetName val="051018 Model_Applications"/>
      <sheetName val="051018 Model_Assumptions"/>
      <sheetName val="051018 Model_Model"/>
      <sheetName val="051018 Model_Cost Estimates"/>
    </sheetNames>
    <sheetDataSet>
      <sheetData sheetId="0"/>
      <sheetData sheetId="1"/>
      <sheetData sheetId="2">
        <row r="4">
          <cell r="B4" t="str">
            <v>$55.49</v>
          </cell>
        </row>
        <row r="5">
          <cell r="B5">
            <v>726</v>
          </cell>
        </row>
      </sheetData>
      <sheetData sheetId="3">
        <row r="5">
          <cell r="AT5">
            <v>55974.139999999992</v>
          </cell>
        </row>
        <row r="24">
          <cell r="AL24">
            <v>1208108.7287983887</v>
          </cell>
          <cell r="AM24">
            <v>1252796.222097802</v>
          </cell>
          <cell r="AN24">
            <v>1371962.8708962372</v>
          </cell>
          <cell r="AO24">
            <v>1610296.1684931074</v>
          </cell>
          <cell r="AP24">
            <v>1848629.4660899779</v>
          </cell>
          <cell r="AQ24">
            <v>1884641.627356865</v>
          </cell>
          <cell r="AR24">
            <v>1884641.627356865</v>
          </cell>
          <cell r="AS24">
            <v>1884641.627356865</v>
          </cell>
          <cell r="AT24">
            <v>1884641.627356865</v>
          </cell>
          <cell r="AU24">
            <v>1884641.627356865</v>
          </cell>
          <cell r="AV24">
            <v>1884641.627356865</v>
          </cell>
          <cell r="AW24">
            <v>1884641.627356865</v>
          </cell>
          <cell r="AX24">
            <v>1884641.627356865</v>
          </cell>
          <cell r="AY24">
            <v>1884641.627356865</v>
          </cell>
          <cell r="AZ24">
            <v>1884641.627356865</v>
          </cell>
          <cell r="BA24">
            <v>1884641.627356865</v>
          </cell>
          <cell r="BB24">
            <v>1884641.627356865</v>
          </cell>
          <cell r="BC24">
            <v>1884641.627356865</v>
          </cell>
          <cell r="BD24">
            <v>1884641.627356865</v>
          </cell>
          <cell r="BE24">
            <v>1884641.627356865</v>
          </cell>
          <cell r="BG24">
            <v>22615699.528282378</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ederalreserve.gov/releases/h15/" TargetMode="External"/><Relationship Id="rId1" Type="http://schemas.openxmlformats.org/officeDocument/2006/relationships/hyperlink" Target="https://www.federalreserve.gov/releases/h1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sheetPr>
  <dimension ref="A1:M13"/>
  <sheetViews>
    <sheetView workbookViewId="0"/>
  </sheetViews>
  <sheetFormatPr defaultColWidth="0" defaultRowHeight="15.75" customHeight="1" zeroHeight="1" x14ac:dyDescent="0.3"/>
  <cols>
    <col min="1" max="3" width="11.109375" customWidth="1"/>
    <col min="4" max="4" width="13.44140625" customWidth="1"/>
    <col min="5" max="13" width="11.109375" customWidth="1"/>
    <col min="14" max="16384" width="9.109375" hidden="1"/>
  </cols>
  <sheetData>
    <row r="1" spans="1:13" ht="18.600000000000001" x14ac:dyDescent="0.45">
      <c r="A1" s="1"/>
      <c r="B1" s="2"/>
      <c r="C1" s="3"/>
      <c r="D1" s="4"/>
      <c r="E1" s="4"/>
      <c r="F1" s="4"/>
      <c r="G1" s="4"/>
      <c r="H1" s="4"/>
      <c r="I1" s="4"/>
      <c r="J1" s="4"/>
      <c r="K1" s="4"/>
      <c r="L1" s="4"/>
      <c r="M1" s="16" t="s">
        <v>0</v>
      </c>
    </row>
    <row r="2" spans="1:13" ht="18.600000000000001" x14ac:dyDescent="0.45">
      <c r="A2" s="1"/>
      <c r="B2" s="2"/>
      <c r="C2" s="3"/>
      <c r="D2" s="4"/>
      <c r="E2" s="4"/>
      <c r="F2" s="4"/>
      <c r="G2" s="4"/>
      <c r="H2" s="4"/>
      <c r="I2" s="4"/>
      <c r="J2" s="4"/>
      <c r="K2" s="4"/>
      <c r="L2" s="4"/>
      <c r="M2" s="16" t="s">
        <v>1</v>
      </c>
    </row>
    <row r="3" spans="1:13" ht="21.6" x14ac:dyDescent="0.45">
      <c r="A3" s="5"/>
      <c r="B3" s="6"/>
      <c r="C3" s="3"/>
      <c r="M3" s="7"/>
    </row>
    <row r="4" spans="1:13" ht="21.6" x14ac:dyDescent="0.45">
      <c r="A4" s="1"/>
      <c r="B4" s="6"/>
      <c r="C4" s="3"/>
      <c r="M4" s="7"/>
    </row>
    <row r="5" spans="1:13" ht="114.75" customHeight="1" x14ac:dyDescent="0.3">
      <c r="A5" s="415" t="s">
        <v>2</v>
      </c>
      <c r="B5" s="415"/>
      <c r="C5" s="415"/>
      <c r="D5" s="415"/>
      <c r="E5" s="415"/>
      <c r="F5" s="415"/>
      <c r="G5" s="415"/>
      <c r="H5" s="415"/>
      <c r="I5" s="415"/>
      <c r="J5" s="415"/>
      <c r="K5" s="415"/>
      <c r="L5" s="415"/>
      <c r="M5" s="415"/>
    </row>
    <row r="6" spans="1:13" ht="21" x14ac:dyDescent="0.4">
      <c r="A6" s="11"/>
      <c r="B6" s="12"/>
      <c r="C6" s="13"/>
      <c r="M6" s="7"/>
    </row>
    <row r="7" spans="1:13" ht="21" x14ac:dyDescent="0.4">
      <c r="A7" s="11"/>
      <c r="B7" s="12"/>
      <c r="C7" s="13"/>
      <c r="M7" s="7"/>
    </row>
    <row r="8" spans="1:13" ht="15.6" x14ac:dyDescent="0.3">
      <c r="A8" s="14" t="s">
        <v>3</v>
      </c>
      <c r="B8" s="13"/>
      <c r="C8" s="13"/>
      <c r="D8" s="15">
        <v>45350</v>
      </c>
      <c r="E8" s="4"/>
      <c r="F8" s="4"/>
      <c r="G8" s="4"/>
      <c r="H8" s="4"/>
      <c r="M8" s="7"/>
    </row>
    <row r="9" spans="1:13" ht="15.6" x14ac:dyDescent="0.3">
      <c r="A9" s="14"/>
      <c r="B9" s="13"/>
      <c r="C9" s="13"/>
      <c r="D9" s="17"/>
      <c r="E9" s="4"/>
      <c r="F9" s="4"/>
      <c r="G9" s="4"/>
      <c r="H9" s="4"/>
      <c r="M9" s="7"/>
    </row>
    <row r="10" spans="1:13" ht="18.600000000000001" x14ac:dyDescent="0.45">
      <c r="A10" s="1"/>
      <c r="B10" s="2"/>
      <c r="C10" s="3"/>
      <c r="D10" s="4"/>
      <c r="E10" s="4"/>
      <c r="F10" s="4"/>
      <c r="G10" s="4"/>
      <c r="H10" s="4"/>
      <c r="M10" s="7"/>
    </row>
    <row r="11" spans="1:13" ht="15.6" x14ac:dyDescent="0.3">
      <c r="A11" s="416" t="s">
        <v>4</v>
      </c>
      <c r="B11" s="417"/>
      <c r="C11" s="417"/>
      <c r="D11" s="417"/>
      <c r="E11" s="417"/>
      <c r="F11" s="417"/>
      <c r="G11" s="418"/>
      <c r="H11" s="418"/>
      <c r="M11" s="7"/>
    </row>
    <row r="12" spans="1:13" ht="15.6" x14ac:dyDescent="0.3">
      <c r="A12" s="10" t="s">
        <v>5</v>
      </c>
      <c r="B12" s="8"/>
      <c r="C12" s="8"/>
      <c r="D12" s="8"/>
      <c r="E12" s="8"/>
      <c r="F12" s="8"/>
      <c r="G12" s="9"/>
      <c r="H12" s="9"/>
      <c r="M12" s="7"/>
    </row>
    <row r="13" spans="1:13" ht="14.4" hidden="1" x14ac:dyDescent="0.3"/>
  </sheetData>
  <mergeCells count="2">
    <mergeCell ref="A5:M5"/>
    <mergeCell ref="A11:H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30EC7-FD91-4EDE-B640-AB737F953BE9}">
  <sheetPr codeName="Sheet10">
    <tabColor theme="4" tint="-0.249977111117893"/>
    <pageSetUpPr fitToPage="1"/>
  </sheetPr>
  <dimension ref="A1:K173"/>
  <sheetViews>
    <sheetView tabSelected="1" zoomScaleNormal="100" workbookViewId="0">
      <selection activeCell="E17" sqref="E17"/>
    </sheetView>
  </sheetViews>
  <sheetFormatPr defaultColWidth="9.109375" defaultRowHeight="14.4" zeroHeight="1" x14ac:dyDescent="0.3"/>
  <cols>
    <col min="1" max="1" width="9.109375" style="18" customWidth="1"/>
    <col min="2" max="2" width="20.5546875" style="18" customWidth="1"/>
    <col min="3" max="5" width="30.5546875" style="18" customWidth="1"/>
    <col min="6" max="6" width="1.88671875" style="18" customWidth="1"/>
    <col min="7" max="7" width="24" style="18" customWidth="1"/>
    <col min="8" max="8" width="23.5546875" style="18" customWidth="1"/>
    <col min="9" max="9" width="30.88671875" style="18" customWidth="1"/>
    <col min="10" max="10" width="1.5546875" style="18" customWidth="1"/>
    <col min="11" max="11" width="15.109375" style="18" customWidth="1"/>
    <col min="12" max="13" width="9.109375" style="18" customWidth="1"/>
    <col min="14" max="16384" width="9.109375" style="18"/>
  </cols>
  <sheetData>
    <row r="1" spans="2:9" x14ac:dyDescent="0.3"/>
    <row r="2" spans="2:9" x14ac:dyDescent="0.3">
      <c r="B2" s="396" t="str">
        <f>B64</f>
        <v xml:space="preserve">Philadelphia Water Department </v>
      </c>
      <c r="C2" s="396"/>
      <c r="D2" s="396"/>
      <c r="E2" s="396"/>
      <c r="F2" s="396"/>
      <c r="G2" s="396"/>
      <c r="H2" s="396"/>
      <c r="I2" s="42"/>
    </row>
    <row r="3" spans="2:9" ht="15" thickBot="1" x14ac:dyDescent="0.35">
      <c r="B3" s="396" t="str">
        <f>B65</f>
        <v xml:space="preserve">Table 4 -W-A - Interest on Experienced &amp; Estimated Net Over/(Under) Collection (I-Factor) for Most Recent Period </v>
      </c>
      <c r="C3" s="396"/>
      <c r="D3" s="396"/>
      <c r="E3" s="396"/>
      <c r="F3" s="396"/>
      <c r="G3" s="396"/>
      <c r="H3" s="396"/>
      <c r="I3" s="42"/>
    </row>
    <row r="4" spans="2:9" x14ac:dyDescent="0.3">
      <c r="B4" s="397"/>
      <c r="C4" s="403" t="str">
        <f t="shared" ref="C4:C9" si="0">C66</f>
        <v>Prior Reconciliation Period with Updated Actuals</v>
      </c>
      <c r="D4" s="404"/>
      <c r="E4" s="405"/>
      <c r="F4" s="397"/>
      <c r="G4" s="406" t="s">
        <v>205</v>
      </c>
      <c r="H4" s="407" t="s">
        <v>206</v>
      </c>
      <c r="I4" s="152"/>
    </row>
    <row r="5" spans="2:9" x14ac:dyDescent="0.3">
      <c r="B5" s="259" t="str">
        <f>B67</f>
        <v>Billing</v>
      </c>
      <c r="C5" s="259" t="str">
        <f t="shared" si="0"/>
        <v>Difference in</v>
      </c>
      <c r="D5" s="259" t="str">
        <f t="shared" ref="D5:E7" si="1">D67</f>
        <v xml:space="preserve">Cumulative </v>
      </c>
      <c r="E5" s="259" t="str">
        <f t="shared" si="1"/>
        <v xml:space="preserve">Estimated Monthly </v>
      </c>
      <c r="F5" s="408"/>
      <c r="G5" s="259" t="s">
        <v>229</v>
      </c>
      <c r="H5" s="259" t="str">
        <f>H67</f>
        <v xml:space="preserve">Cumulative </v>
      </c>
      <c r="I5" s="401"/>
    </row>
    <row r="6" spans="2:9" x14ac:dyDescent="0.3">
      <c r="B6" s="260" t="str">
        <f>B68</f>
        <v>Period</v>
      </c>
      <c r="C6" s="260" t="str">
        <f t="shared" si="0"/>
        <v>Collection</v>
      </c>
      <c r="D6" s="260" t="str">
        <f t="shared" si="1"/>
        <v>Over/(Under) Collection</v>
      </c>
      <c r="E6" s="260" t="str">
        <f t="shared" si="1"/>
        <v>Interest Owed/</v>
      </c>
      <c r="F6" s="397"/>
      <c r="G6" s="260" t="str">
        <f>I68</f>
        <v>Interest Owed/</v>
      </c>
      <c r="H6" s="260" t="str">
        <f t="shared" ref="H6" si="2">H68</f>
        <v>Over/(Under) Collection</v>
      </c>
      <c r="I6" s="401"/>
    </row>
    <row r="7" spans="2:9" x14ac:dyDescent="0.3">
      <c r="B7" s="260"/>
      <c r="C7" s="260" t="str">
        <f t="shared" si="0"/>
        <v>Water Portion</v>
      </c>
      <c r="D7" s="260" t="str">
        <f t="shared" si="1"/>
        <v>Water Portion</v>
      </c>
      <c r="E7" s="260" t="str">
        <f t="shared" si="1"/>
        <v>(Interest to be Recouped)</v>
      </c>
      <c r="F7" s="397"/>
      <c r="G7" s="260" t="str">
        <f>I69</f>
        <v>(Interest to be Recouped)</v>
      </c>
      <c r="H7" s="260" t="str">
        <f t="shared" ref="H7" si="3">H69</f>
        <v>Water Portion</v>
      </c>
      <c r="I7" s="401"/>
    </row>
    <row r="8" spans="2:9" x14ac:dyDescent="0.3">
      <c r="B8" s="260"/>
      <c r="C8" s="260" t="str">
        <f t="shared" si="0"/>
        <v>From Table 3-W-A</v>
      </c>
      <c r="D8" s="262"/>
      <c r="E8" s="260" t="str">
        <f>E70</f>
        <v>Water Portion</v>
      </c>
      <c r="F8" s="397"/>
      <c r="G8" s="260" t="str">
        <f>I70</f>
        <v>Water Portion</v>
      </c>
      <c r="H8" s="260"/>
      <c r="I8" s="401"/>
    </row>
    <row r="9" spans="2:9" x14ac:dyDescent="0.3">
      <c r="B9" s="261"/>
      <c r="C9" s="264" t="str">
        <f t="shared" si="0"/>
        <v>(1)</v>
      </c>
      <c r="D9" s="264" t="str">
        <f>D71</f>
        <v xml:space="preserve">(2) </v>
      </c>
      <c r="E9" s="264" t="str">
        <f>E71</f>
        <v>(3) = (2) * [4.66% / 12]</v>
      </c>
      <c r="F9" s="409"/>
      <c r="G9" s="264" t="s">
        <v>155</v>
      </c>
      <c r="H9" s="264" t="s">
        <v>242</v>
      </c>
      <c r="I9" s="402"/>
    </row>
    <row r="10" spans="2:9" x14ac:dyDescent="0.3">
      <c r="B10" s="265"/>
      <c r="C10" s="269"/>
      <c r="D10" s="269"/>
      <c r="E10" s="269"/>
      <c r="G10" s="269"/>
      <c r="H10" s="269"/>
    </row>
    <row r="11" spans="2:9" x14ac:dyDescent="0.3">
      <c r="B11" s="266">
        <f t="shared" ref="B11:E22" si="4">B73</f>
        <v>44805</v>
      </c>
      <c r="C11" s="410">
        <f t="shared" si="4"/>
        <v>294376.78746120003</v>
      </c>
      <c r="D11" s="410">
        <f t="shared" si="4"/>
        <v>294376.78746120003</v>
      </c>
      <c r="E11" s="413">
        <f t="shared" si="4"/>
        <v>1143.1631913076601</v>
      </c>
      <c r="G11" s="413">
        <f t="shared" ref="G11:G23" si="5">I73</f>
        <v>1143.1647143494401</v>
      </c>
      <c r="H11" s="413">
        <f>E11-G11</f>
        <v>-1.5230417800466967E-3</v>
      </c>
      <c r="I11" s="151"/>
    </row>
    <row r="12" spans="2:9" x14ac:dyDescent="0.3">
      <c r="B12" s="267">
        <f t="shared" si="4"/>
        <v>44835</v>
      </c>
      <c r="C12" s="411">
        <f t="shared" si="4"/>
        <v>206183.26144799992</v>
      </c>
      <c r="D12" s="411">
        <f t="shared" si="4"/>
        <v>500560.04890919995</v>
      </c>
      <c r="E12" s="414">
        <f t="shared" si="4"/>
        <v>1943.84152326406</v>
      </c>
      <c r="G12" s="414">
        <f t="shared" si="5"/>
        <v>1943.84213928344</v>
      </c>
      <c r="H12" s="414">
        <f t="shared" ref="H12:H23" si="6">E12-G12</f>
        <v>-6.1601938000421796E-4</v>
      </c>
      <c r="I12" s="151"/>
    </row>
    <row r="13" spans="2:9" x14ac:dyDescent="0.3">
      <c r="B13" s="266">
        <f t="shared" si="4"/>
        <v>44866</v>
      </c>
      <c r="C13" s="410">
        <f t="shared" si="4"/>
        <v>176632.76750879997</v>
      </c>
      <c r="D13" s="410">
        <f t="shared" si="4"/>
        <v>677192.81641799991</v>
      </c>
      <c r="E13" s="413">
        <f t="shared" si="4"/>
        <v>2629.7654370898999</v>
      </c>
      <c r="G13" s="413">
        <f t="shared" si="5"/>
        <v>2629.7645111712</v>
      </c>
      <c r="H13" s="413">
        <f t="shared" si="6"/>
        <v>9.2591869997704634E-4</v>
      </c>
      <c r="I13" s="151"/>
    </row>
    <row r="14" spans="2:9" x14ac:dyDescent="0.3">
      <c r="B14" s="267">
        <f t="shared" si="4"/>
        <v>44896</v>
      </c>
      <c r="C14" s="411">
        <f t="shared" si="4"/>
        <v>164062.84429199999</v>
      </c>
      <c r="D14" s="411">
        <f t="shared" si="4"/>
        <v>841255.66070999997</v>
      </c>
      <c r="E14" s="414">
        <f t="shared" si="4"/>
        <v>3266.8761490904999</v>
      </c>
      <c r="G14" s="414">
        <f t="shared" si="5"/>
        <v>3351.4907003936</v>
      </c>
      <c r="H14" s="414">
        <f t="shared" si="6"/>
        <v>-84.614551303100143</v>
      </c>
      <c r="I14" s="151"/>
    </row>
    <row r="15" spans="2:9" x14ac:dyDescent="0.3">
      <c r="B15" s="266">
        <f t="shared" si="4"/>
        <v>44927</v>
      </c>
      <c r="C15" s="410">
        <f t="shared" si="4"/>
        <v>148901.19215519994</v>
      </c>
      <c r="D15" s="410">
        <f t="shared" si="4"/>
        <v>990156.85286519991</v>
      </c>
      <c r="E15" s="413">
        <f t="shared" si="4"/>
        <v>3845.10911195986</v>
      </c>
      <c r="G15" s="413">
        <f t="shared" si="5"/>
        <v>3933.1055113984003</v>
      </c>
      <c r="H15" s="413">
        <f t="shared" si="6"/>
        <v>-87.996399438540266</v>
      </c>
      <c r="I15" s="151"/>
    </row>
    <row r="16" spans="2:9" x14ac:dyDescent="0.3">
      <c r="B16" s="267">
        <f t="shared" si="4"/>
        <v>44958</v>
      </c>
      <c r="C16" s="411">
        <f t="shared" si="4"/>
        <v>140682.17266920005</v>
      </c>
      <c r="D16" s="411">
        <f t="shared" si="4"/>
        <v>1130839.0255344</v>
      </c>
      <c r="E16" s="414">
        <f t="shared" si="4"/>
        <v>4391.4248824919205</v>
      </c>
      <c r="G16" s="414">
        <f t="shared" si="5"/>
        <v>4685.261128843229</v>
      </c>
      <c r="H16" s="414">
        <f t="shared" si="6"/>
        <v>-293.83624635130855</v>
      </c>
      <c r="I16" s="151"/>
    </row>
    <row r="17" spans="2:11" x14ac:dyDescent="0.3">
      <c r="B17" s="266">
        <f t="shared" si="4"/>
        <v>44986</v>
      </c>
      <c r="C17" s="410">
        <f t="shared" si="4"/>
        <v>151480.07483519998</v>
      </c>
      <c r="D17" s="410">
        <f t="shared" si="4"/>
        <v>1282319.1003696001</v>
      </c>
      <c r="E17" s="413">
        <f t="shared" si="4"/>
        <v>4979.6725064352804</v>
      </c>
      <c r="G17" s="413">
        <f t="shared" si="5"/>
        <v>5422.6815226906483</v>
      </c>
      <c r="H17" s="413">
        <f t="shared" si="6"/>
        <v>-443.0090162553679</v>
      </c>
      <c r="I17" s="151"/>
    </row>
    <row r="18" spans="2:11" x14ac:dyDescent="0.3">
      <c r="B18" s="267">
        <f t="shared" si="4"/>
        <v>45017</v>
      </c>
      <c r="C18" s="411">
        <f t="shared" si="4"/>
        <v>151256.43931440002</v>
      </c>
      <c r="D18" s="411">
        <f t="shared" si="4"/>
        <v>1433575.5396840002</v>
      </c>
      <c r="E18" s="414">
        <f t="shared" si="4"/>
        <v>5567.0516791062009</v>
      </c>
      <c r="G18" s="414">
        <f t="shared" si="5"/>
        <v>6145.168028386669</v>
      </c>
      <c r="H18" s="414">
        <f t="shared" si="6"/>
        <v>-578.11634928046806</v>
      </c>
      <c r="I18" s="151"/>
    </row>
    <row r="19" spans="2:11" x14ac:dyDescent="0.3">
      <c r="B19" s="266">
        <f t="shared" si="4"/>
        <v>45047</v>
      </c>
      <c r="C19" s="410">
        <f t="shared" si="4"/>
        <v>140020.25068920001</v>
      </c>
      <c r="D19" s="410">
        <f t="shared" si="4"/>
        <v>1573595.7903732001</v>
      </c>
      <c r="E19" s="413">
        <f t="shared" si="4"/>
        <v>6110.7969859492614</v>
      </c>
      <c r="G19" s="413">
        <f t="shared" si="5"/>
        <v>6852.5268635900802</v>
      </c>
      <c r="H19" s="413">
        <f t="shared" si="6"/>
        <v>-741.72987764081881</v>
      </c>
      <c r="I19" s="151"/>
    </row>
    <row r="20" spans="2:11" x14ac:dyDescent="0.3">
      <c r="B20" s="267">
        <f t="shared" si="4"/>
        <v>45078</v>
      </c>
      <c r="C20" s="411">
        <f t="shared" si="4"/>
        <v>117935.69266559993</v>
      </c>
      <c r="D20" s="411">
        <f t="shared" si="4"/>
        <v>1691531.4830388001</v>
      </c>
      <c r="E20" s="414">
        <f t="shared" si="4"/>
        <v>6568.7805924673412</v>
      </c>
      <c r="G20" s="414">
        <f t="shared" si="5"/>
        <v>7544.5539757516708</v>
      </c>
      <c r="H20" s="414">
        <f t="shared" si="6"/>
        <v>-975.77338328432961</v>
      </c>
      <c r="I20" s="151"/>
    </row>
    <row r="21" spans="2:11" x14ac:dyDescent="0.3">
      <c r="B21" s="266">
        <f t="shared" si="4"/>
        <v>45108</v>
      </c>
      <c r="C21" s="410">
        <f t="shared" si="4"/>
        <v>114579.51125279989</v>
      </c>
      <c r="D21" s="410">
        <f t="shared" si="4"/>
        <v>1806110.9942915998</v>
      </c>
      <c r="E21" s="413">
        <f t="shared" si="4"/>
        <v>7013.7310278323794</v>
      </c>
      <c r="G21" s="413">
        <f t="shared" si="5"/>
        <v>8221.0501233057093</v>
      </c>
      <c r="H21" s="413">
        <f t="shared" si="6"/>
        <v>-1207.31909547333</v>
      </c>
      <c r="I21" s="151"/>
    </row>
    <row r="22" spans="2:11" x14ac:dyDescent="0.3">
      <c r="B22" s="267">
        <f t="shared" si="4"/>
        <v>45139</v>
      </c>
      <c r="C22" s="411">
        <f t="shared" si="4"/>
        <v>94808.351815200003</v>
      </c>
      <c r="D22" s="411">
        <f t="shared" si="4"/>
        <v>1900919.3461067998</v>
      </c>
      <c r="E22" s="414">
        <f t="shared" si="4"/>
        <v>7381.9034607147396</v>
      </c>
      <c r="G22" s="414">
        <f t="shared" si="5"/>
        <v>8881.8095015675135</v>
      </c>
      <c r="H22" s="414">
        <f>E22-G22</f>
        <v>-1499.9060408527739</v>
      </c>
      <c r="I22" s="151"/>
    </row>
    <row r="23" spans="2:11" x14ac:dyDescent="0.3">
      <c r="B23" s="268" t="str">
        <f>B85</f>
        <v>Total</v>
      </c>
      <c r="C23" s="263"/>
      <c r="D23" s="412"/>
      <c r="E23" s="263">
        <f>E85</f>
        <v>54842.116547709098</v>
      </c>
      <c r="G23" s="263">
        <f t="shared" si="5"/>
        <v>60754.418720731599</v>
      </c>
      <c r="H23" s="263">
        <f t="shared" si="6"/>
        <v>-5912.3021730225009</v>
      </c>
      <c r="I23" s="117"/>
    </row>
    <row r="24" spans="2:11" ht="5.0999999999999996" customHeight="1" thickBot="1" x14ac:dyDescent="0.35">
      <c r="C24" s="118"/>
      <c r="E24" s="55"/>
      <c r="G24" s="55"/>
      <c r="H24" s="118"/>
      <c r="I24" s="118"/>
    </row>
    <row r="25" spans="2:11" ht="15" thickBot="1" x14ac:dyDescent="0.35">
      <c r="D25" s="398" t="s">
        <v>144</v>
      </c>
      <c r="E25" s="399">
        <f>E23</f>
        <v>54842.116547709098</v>
      </c>
      <c r="F25" s="121"/>
      <c r="G25" s="400">
        <f>G23</f>
        <v>60754.418720731599</v>
      </c>
      <c r="H25" s="395">
        <f>E25-G25</f>
        <v>-5912.3021730225009</v>
      </c>
      <c r="I25" s="49" t="s">
        <v>194</v>
      </c>
    </row>
    <row r="26" spans="2:11" x14ac:dyDescent="0.3">
      <c r="B26" s="54"/>
      <c r="E26" s="55"/>
      <c r="G26" s="54"/>
      <c r="I26" s="55" t="s">
        <v>243</v>
      </c>
      <c r="K26" s="118"/>
    </row>
    <row r="27" spans="2:11" hidden="1" x14ac:dyDescent="0.3">
      <c r="B27" s="54" t="s">
        <v>196</v>
      </c>
      <c r="G27" s="122"/>
    </row>
    <row r="28" spans="2:11" hidden="1" x14ac:dyDescent="0.3">
      <c r="B28" s="122" t="s">
        <v>244</v>
      </c>
    </row>
    <row r="29" spans="2:11" hidden="1" x14ac:dyDescent="0.3">
      <c r="B29" s="122" t="str">
        <f>"(3) Interest calculated monthly based on 1-year interest rate for constant maturity U.S. Treasury Securities as published in the Federal Reserve Statistical Release H.15 (519) on "&amp;TEXT('Assumptions and Inputs'!$C$53,"MMMM DD, YYYY")&amp;"."</f>
        <v>(3) Interest calculated monthly based on 1-year interest rate for constant maturity U.S. Treasury Securities as published in the Federal Reserve Statistical Release H.15 (519) on December 01, 2022.</v>
      </c>
    </row>
    <row r="30" spans="2:11" hidden="1" x14ac:dyDescent="0.3">
      <c r="B30" s="122" t="s">
        <v>245</v>
      </c>
    </row>
    <row r="31" spans="2:11" x14ac:dyDescent="0.3">
      <c r="B31" s="122"/>
    </row>
    <row r="32" spans="2:11" x14ac:dyDescent="0.3">
      <c r="B32" s="396" t="str">
        <f>B93</f>
        <v xml:space="preserve">Philadelphia Water Department </v>
      </c>
      <c r="C32" s="396"/>
      <c r="D32" s="396"/>
      <c r="E32" s="396"/>
      <c r="F32" s="396"/>
      <c r="G32" s="396"/>
      <c r="H32" s="396"/>
      <c r="I32" s="42"/>
    </row>
    <row r="33" spans="2:9" ht="15" thickBot="1" x14ac:dyDescent="0.35">
      <c r="B33" s="396" t="str">
        <f>B94</f>
        <v>Table 4 -WW-A - Interest on Experienced &amp; Estimated Net Over/(Under) Collection (I-Factor) for Most Recent Period</v>
      </c>
      <c r="C33" s="396"/>
      <c r="D33" s="396"/>
      <c r="E33" s="396"/>
      <c r="F33" s="396"/>
      <c r="G33" s="396"/>
      <c r="H33" s="396"/>
      <c r="I33" s="42"/>
    </row>
    <row r="34" spans="2:9" x14ac:dyDescent="0.3">
      <c r="B34" s="397"/>
      <c r="C34" s="403" t="str">
        <f>C95</f>
        <v>Prior Reconciliation Period with Updated Actuals</v>
      </c>
      <c r="D34" s="404"/>
      <c r="E34" s="405"/>
      <c r="F34" s="397"/>
      <c r="G34" s="406" t="s">
        <v>205</v>
      </c>
      <c r="H34" s="407" t="s">
        <v>206</v>
      </c>
      <c r="I34" s="152"/>
    </row>
    <row r="35" spans="2:9" x14ac:dyDescent="0.3">
      <c r="B35" s="259" t="str">
        <f>B96</f>
        <v>Billing</v>
      </c>
      <c r="C35" s="259" t="str">
        <f t="shared" ref="C35:E35" si="7">C96</f>
        <v>Difference in</v>
      </c>
      <c r="D35" s="259" t="str">
        <f t="shared" si="7"/>
        <v xml:space="preserve">Cumulative </v>
      </c>
      <c r="E35" s="259" t="str">
        <f t="shared" si="7"/>
        <v xml:space="preserve">Estimated Monthly </v>
      </c>
      <c r="F35" s="408"/>
      <c r="G35" s="259" t="str">
        <f>I96</f>
        <v xml:space="preserve">Estimated Monthly </v>
      </c>
      <c r="H35" s="259" t="str">
        <f>K96</f>
        <v xml:space="preserve">Delta </v>
      </c>
      <c r="I35" s="149"/>
    </row>
    <row r="36" spans="2:9" x14ac:dyDescent="0.3">
      <c r="B36" s="260" t="str">
        <f t="shared" ref="B36:E36" si="8">B97</f>
        <v>Period</v>
      </c>
      <c r="C36" s="260" t="str">
        <f t="shared" si="8"/>
        <v>Collection</v>
      </c>
      <c r="D36" s="260" t="str">
        <f t="shared" si="8"/>
        <v>Over/(Under) Collection</v>
      </c>
      <c r="E36" s="260" t="str">
        <f t="shared" si="8"/>
        <v>Interest Owed/</v>
      </c>
      <c r="F36" s="397"/>
      <c r="G36" s="260" t="str">
        <f>I97</f>
        <v>Interest Owed/</v>
      </c>
      <c r="H36" s="260" t="str">
        <f>K97</f>
        <v>Prior Period</v>
      </c>
      <c r="I36" s="149"/>
    </row>
    <row r="37" spans="2:9" x14ac:dyDescent="0.3">
      <c r="B37" s="260"/>
      <c r="C37" s="260" t="str">
        <f>C98</f>
        <v>Sewer Portion</v>
      </c>
      <c r="D37" s="260" t="str">
        <f>D98</f>
        <v>Sewer Portion</v>
      </c>
      <c r="E37" s="260" t="str">
        <f>E98</f>
        <v>(Interest to be Recouped)</v>
      </c>
      <c r="F37" s="397"/>
      <c r="G37" s="260" t="str">
        <f>I98</f>
        <v>(Interest to be Recouped)</v>
      </c>
      <c r="H37" s="260" t="str">
        <f>K98</f>
        <v>Estimates</v>
      </c>
      <c r="I37" s="149"/>
    </row>
    <row r="38" spans="2:9" x14ac:dyDescent="0.3">
      <c r="B38" s="260"/>
      <c r="C38" s="260" t="str">
        <f>C99</f>
        <v>From Table 3-WW-A</v>
      </c>
      <c r="D38" s="262"/>
      <c r="E38" s="260" t="str">
        <f>E99</f>
        <v>Sewer Portion</v>
      </c>
      <c r="F38" s="397"/>
      <c r="G38" s="260" t="str">
        <f>I99</f>
        <v>Sewer Portion</v>
      </c>
      <c r="H38" s="260"/>
      <c r="I38" s="149"/>
    </row>
    <row r="39" spans="2:9" x14ac:dyDescent="0.3">
      <c r="B39" s="261"/>
      <c r="C39" s="264" t="str">
        <f>C100</f>
        <v>(1)</v>
      </c>
      <c r="D39" s="264" t="str">
        <f>D100</f>
        <v xml:space="preserve">(2) </v>
      </c>
      <c r="E39" s="264" t="str">
        <f>E100</f>
        <v>(3) = (2) * [4.66% / 12]</v>
      </c>
      <c r="F39" s="409"/>
      <c r="G39" s="264" t="s">
        <v>155</v>
      </c>
      <c r="H39" s="264" t="s">
        <v>242</v>
      </c>
      <c r="I39" s="150"/>
    </row>
    <row r="40" spans="2:9" x14ac:dyDescent="0.3">
      <c r="B40" s="265"/>
      <c r="C40" s="269"/>
      <c r="D40" s="269"/>
      <c r="E40" s="269"/>
      <c r="G40" s="269"/>
      <c r="H40" s="269"/>
    </row>
    <row r="41" spans="2:9" x14ac:dyDescent="0.3">
      <c r="B41" s="266">
        <f t="shared" ref="B41:E41" si="9">B102</f>
        <v>44805</v>
      </c>
      <c r="C41" s="410">
        <f t="shared" si="9"/>
        <v>435670.07036519994</v>
      </c>
      <c r="D41" s="410">
        <f t="shared" si="9"/>
        <v>435670.07036519994</v>
      </c>
      <c r="E41" s="413">
        <f t="shared" si="9"/>
        <v>1691.8521065848599</v>
      </c>
      <c r="G41" s="413">
        <f t="shared" ref="G41:G51" si="10">I102</f>
        <v>1691.8523144441599</v>
      </c>
      <c r="H41" s="413">
        <f>E41-G41</f>
        <v>-2.0785929996236518E-4</v>
      </c>
      <c r="I41" s="151"/>
    </row>
    <row r="42" spans="2:9" x14ac:dyDescent="0.3">
      <c r="B42" s="267">
        <f t="shared" ref="B42:E42" si="11">B103</f>
        <v>44835</v>
      </c>
      <c r="C42" s="411">
        <f t="shared" si="11"/>
        <v>308608.61804160004</v>
      </c>
      <c r="D42" s="411">
        <f t="shared" si="11"/>
        <v>744278.68840679992</v>
      </c>
      <c r="E42" s="414">
        <f t="shared" si="11"/>
        <v>2890.2822399797401</v>
      </c>
      <c r="G42" s="414">
        <f t="shared" si="10"/>
        <v>2890.2815483751601</v>
      </c>
      <c r="H42" s="414">
        <f t="shared" ref="H42:H53" si="12">E42-G42</f>
        <v>6.9160457996986224E-4</v>
      </c>
      <c r="I42" s="151"/>
    </row>
    <row r="43" spans="2:9" x14ac:dyDescent="0.3">
      <c r="B43" s="266">
        <f t="shared" ref="B43:E43" si="13">B104</f>
        <v>44866</v>
      </c>
      <c r="C43" s="410">
        <f t="shared" si="13"/>
        <v>264620.81012759998</v>
      </c>
      <c r="D43" s="410">
        <f t="shared" si="13"/>
        <v>1008899.4985343999</v>
      </c>
      <c r="E43" s="413">
        <f t="shared" si="13"/>
        <v>3917.8930526419194</v>
      </c>
      <c r="G43" s="413">
        <f t="shared" si="10"/>
        <v>3917.8914955868004</v>
      </c>
      <c r="H43" s="413">
        <f t="shared" si="12"/>
        <v>1.5570551190648985E-3</v>
      </c>
      <c r="I43" s="151"/>
    </row>
    <row r="44" spans="2:9" x14ac:dyDescent="0.3">
      <c r="B44" s="267">
        <f t="shared" ref="B44:E44" si="14">B105</f>
        <v>44896</v>
      </c>
      <c r="C44" s="411">
        <f t="shared" si="14"/>
        <v>247869.42703199992</v>
      </c>
      <c r="D44" s="411">
        <f t="shared" si="14"/>
        <v>1256768.9255663999</v>
      </c>
      <c r="E44" s="414">
        <f t="shared" si="14"/>
        <v>4880.4526609495197</v>
      </c>
      <c r="G44" s="414">
        <f t="shared" si="10"/>
        <v>4997.3402143603998</v>
      </c>
      <c r="H44" s="414">
        <f t="shared" si="12"/>
        <v>-116.88755341088017</v>
      </c>
      <c r="I44" s="151"/>
    </row>
    <row r="45" spans="2:9" x14ac:dyDescent="0.3">
      <c r="B45" s="266">
        <f t="shared" ref="B45:E45" si="15">B106</f>
        <v>44927</v>
      </c>
      <c r="C45" s="410">
        <f t="shared" si="15"/>
        <v>227470.66940519999</v>
      </c>
      <c r="D45" s="410">
        <f t="shared" si="15"/>
        <v>1484239.5949716</v>
      </c>
      <c r="E45" s="413">
        <f t="shared" si="15"/>
        <v>5763.7970938063809</v>
      </c>
      <c r="G45" s="413">
        <f t="shared" si="10"/>
        <v>5860.1253178676006</v>
      </c>
      <c r="H45" s="413">
        <f t="shared" si="12"/>
        <v>-96.328224061219771</v>
      </c>
      <c r="I45" s="151"/>
    </row>
    <row r="46" spans="2:9" x14ac:dyDescent="0.3">
      <c r="B46" s="267">
        <f t="shared" ref="B46:E46" si="16">B107</f>
        <v>44958</v>
      </c>
      <c r="C46" s="411">
        <f t="shared" si="16"/>
        <v>212753.28598800005</v>
      </c>
      <c r="D46" s="411">
        <f t="shared" si="16"/>
        <v>1696992.8809596</v>
      </c>
      <c r="E46" s="414">
        <f t="shared" si="16"/>
        <v>6589.9890210597805</v>
      </c>
      <c r="G46" s="414">
        <f t="shared" si="10"/>
        <v>6985.148262664844</v>
      </c>
      <c r="H46" s="414">
        <f t="shared" si="12"/>
        <v>-395.15924160506347</v>
      </c>
      <c r="I46" s="151"/>
    </row>
    <row r="47" spans="2:9" x14ac:dyDescent="0.3">
      <c r="B47" s="266">
        <f t="shared" ref="B47:E47" si="17">B108</f>
        <v>44986</v>
      </c>
      <c r="C47" s="410">
        <f t="shared" si="17"/>
        <v>225355.16714640002</v>
      </c>
      <c r="D47" s="410">
        <f t="shared" si="17"/>
        <v>1922348.0481060001</v>
      </c>
      <c r="E47" s="413">
        <f t="shared" si="17"/>
        <v>7465.1182534783002</v>
      </c>
      <c r="G47" s="413">
        <f t="shared" si="10"/>
        <v>8088.111833555974</v>
      </c>
      <c r="H47" s="413">
        <f t="shared" si="12"/>
        <v>-622.99358007767387</v>
      </c>
      <c r="I47" s="151"/>
    </row>
    <row r="48" spans="2:9" x14ac:dyDescent="0.3">
      <c r="B48" s="267">
        <f t="shared" ref="B48:E48" si="18">B109</f>
        <v>45017</v>
      </c>
      <c r="C48" s="411">
        <f t="shared" si="18"/>
        <v>231644.21230200009</v>
      </c>
      <c r="D48" s="411">
        <f t="shared" si="18"/>
        <v>2153992.2604080001</v>
      </c>
      <c r="E48" s="414">
        <f t="shared" si="18"/>
        <v>8364.6699445844006</v>
      </c>
      <c r="G48" s="414">
        <f t="shared" si="10"/>
        <v>9168.7274818600054</v>
      </c>
      <c r="H48" s="414">
        <f t="shared" si="12"/>
        <v>-804.05753727560477</v>
      </c>
      <c r="I48" s="151"/>
    </row>
    <row r="49" spans="1:11" x14ac:dyDescent="0.3">
      <c r="B49" s="266">
        <f t="shared" ref="B49:E49" si="19">B110</f>
        <v>45047</v>
      </c>
      <c r="C49" s="410">
        <f t="shared" si="19"/>
        <v>211686.50988840003</v>
      </c>
      <c r="D49" s="410">
        <f t="shared" si="19"/>
        <v>2365678.7702963999</v>
      </c>
      <c r="E49" s="413">
        <f t="shared" si="19"/>
        <v>9186.7192246510203</v>
      </c>
      <c r="G49" s="413">
        <f t="shared" si="10"/>
        <v>10226.695085915124</v>
      </c>
      <c r="H49" s="413">
        <f t="shared" si="12"/>
        <v>-1039.9758612641035</v>
      </c>
      <c r="I49" s="151"/>
    </row>
    <row r="50" spans="1:11" x14ac:dyDescent="0.3">
      <c r="B50" s="267">
        <f t="shared" ref="B50:E52" si="20">B111</f>
        <v>45078</v>
      </c>
      <c r="C50" s="411">
        <f t="shared" si="20"/>
        <v>175234.640166</v>
      </c>
      <c r="D50" s="411">
        <f t="shared" si="20"/>
        <v>2540913.4104623999</v>
      </c>
      <c r="E50" s="414">
        <f t="shared" si="20"/>
        <v>9867.2137439623202</v>
      </c>
      <c r="G50" s="414">
        <f t="shared" si="10"/>
        <v>11261.718015047511</v>
      </c>
      <c r="H50" s="414">
        <f t="shared" si="12"/>
        <v>-1394.5042710851903</v>
      </c>
      <c r="I50" s="151"/>
    </row>
    <row r="51" spans="1:11" x14ac:dyDescent="0.3">
      <c r="B51" s="266">
        <f t="shared" ref="B51:E51" si="21">B112</f>
        <v>45108</v>
      </c>
      <c r="C51" s="410">
        <f t="shared" si="21"/>
        <v>167421.42269639985</v>
      </c>
      <c r="D51" s="410">
        <f t="shared" si="21"/>
        <v>2708334.8331587999</v>
      </c>
      <c r="E51" s="413">
        <f t="shared" si="21"/>
        <v>10517.36693543334</v>
      </c>
      <c r="G51" s="413">
        <f t="shared" si="10"/>
        <v>12273.495517278569</v>
      </c>
      <c r="H51" s="413">
        <f t="shared" si="12"/>
        <v>-1756.1285818452288</v>
      </c>
      <c r="I51" s="151"/>
    </row>
    <row r="52" spans="1:11" x14ac:dyDescent="0.3">
      <c r="B52" s="267">
        <f t="shared" si="20"/>
        <v>45139</v>
      </c>
      <c r="C52" s="411">
        <f t="shared" si="20"/>
        <v>139123.67656440008</v>
      </c>
      <c r="D52" s="411">
        <f t="shared" si="20"/>
        <v>2847458.5097232</v>
      </c>
      <c r="E52" s="414">
        <f t="shared" si="20"/>
        <v>11057.630546091759</v>
      </c>
      <c r="G52" s="414">
        <f t="shared" ref="G52" si="22">I113</f>
        <v>13261.715106321275</v>
      </c>
      <c r="H52" s="414">
        <f>E52-G52</f>
        <v>-2204.0845602295158</v>
      </c>
      <c r="I52" s="151"/>
    </row>
    <row r="53" spans="1:11" x14ac:dyDescent="0.3">
      <c r="B53" s="268" t="str">
        <f t="shared" ref="B53" si="23">B114</f>
        <v>Total</v>
      </c>
      <c r="C53" s="263"/>
      <c r="D53" s="412"/>
      <c r="E53" s="263">
        <f>E114</f>
        <v>82192.984823223349</v>
      </c>
      <c r="G53" s="263">
        <f>I114</f>
        <v>90623.102193277431</v>
      </c>
      <c r="H53" s="263">
        <f t="shared" si="12"/>
        <v>-8430.1173700540821</v>
      </c>
      <c r="I53" s="117"/>
    </row>
    <row r="54" spans="1:11" ht="5.0999999999999996" customHeight="1" thickBot="1" x14ac:dyDescent="0.35">
      <c r="C54" s="118"/>
      <c r="E54" s="55"/>
      <c r="G54" s="55"/>
      <c r="H54" s="118"/>
      <c r="I54" s="118"/>
    </row>
    <row r="55" spans="1:11" ht="15" thickBot="1" x14ac:dyDescent="0.35">
      <c r="D55" s="398" t="s">
        <v>144</v>
      </c>
      <c r="E55" s="399">
        <f>E53</f>
        <v>82192.984823223349</v>
      </c>
      <c r="F55" s="121"/>
      <c r="G55" s="400">
        <f>G53</f>
        <v>90623.102193277431</v>
      </c>
      <c r="H55" s="395">
        <f>E55-G55</f>
        <v>-8430.1173700540821</v>
      </c>
      <c r="I55" s="49" t="s">
        <v>194</v>
      </c>
    </row>
    <row r="56" spans="1:11" x14ac:dyDescent="0.3">
      <c r="B56" s="54"/>
      <c r="E56" s="55"/>
      <c r="G56" s="54"/>
      <c r="I56" s="55" t="s">
        <v>246</v>
      </c>
    </row>
    <row r="57" spans="1:11" x14ac:dyDescent="0.3">
      <c r="B57" s="54" t="s">
        <v>196</v>
      </c>
      <c r="G57" s="122"/>
    </row>
    <row r="58" spans="1:11" x14ac:dyDescent="0.3">
      <c r="B58" s="122" t="s">
        <v>247</v>
      </c>
    </row>
    <row r="59" spans="1:11" x14ac:dyDescent="0.3">
      <c r="B59" s="122" t="str">
        <f>"(3) Interest calculated monthly based on 1-year interest rate for constant maturity U.S. Treasury Securities as published in the Federal Reserve Statistical Release H.15 (519) on "&amp;TEXT('Assumptions and Inputs'!$C$53,"MMMM DD, YYYY")&amp;"."</f>
        <v>(3) Interest calculated monthly based on 1-year interest rate for constant maturity U.S. Treasury Securities as published in the Federal Reserve Statistical Release H.15 (519) on December 01, 2022.</v>
      </c>
    </row>
    <row r="60" spans="1:11" x14ac:dyDescent="0.3">
      <c r="B60" s="122" t="s">
        <v>248</v>
      </c>
    </row>
    <row r="61" spans="1:11" x14ac:dyDescent="0.3"/>
    <row r="62" spans="1:11" x14ac:dyDescent="0.3">
      <c r="A62" s="126" t="s">
        <v>214</v>
      </c>
      <c r="B62" s="126"/>
      <c r="C62" s="126"/>
      <c r="D62" s="126"/>
      <c r="E62" s="126"/>
      <c r="F62" s="126"/>
      <c r="G62" s="126"/>
      <c r="H62" s="126"/>
      <c r="I62" s="126"/>
      <c r="J62" s="126"/>
      <c r="K62" s="126"/>
    </row>
    <row r="63" spans="1:11" x14ac:dyDescent="0.3"/>
    <row r="64" spans="1:11" x14ac:dyDescent="0.3">
      <c r="B64" s="106" t="s">
        <v>31</v>
      </c>
      <c r="C64" s="106"/>
      <c r="D64" s="106"/>
      <c r="E64" s="106"/>
      <c r="F64" s="106"/>
      <c r="G64" s="106"/>
      <c r="H64" s="106"/>
      <c r="I64" s="106"/>
      <c r="J64" s="106"/>
      <c r="K64" s="106"/>
    </row>
    <row r="65" spans="2:11" ht="15" thickBot="1" x14ac:dyDescent="0.35">
      <c r="B65" s="106" t="s">
        <v>249</v>
      </c>
      <c r="C65" s="106"/>
      <c r="D65" s="106"/>
      <c r="E65" s="106"/>
      <c r="F65" s="106"/>
      <c r="G65" s="106"/>
      <c r="H65" s="106"/>
      <c r="I65" s="106"/>
      <c r="J65" s="106"/>
      <c r="K65" s="106"/>
    </row>
    <row r="66" spans="2:11" ht="15" thickBot="1" x14ac:dyDescent="0.35">
      <c r="C66" s="124" t="s">
        <v>216</v>
      </c>
      <c r="D66" s="132"/>
      <c r="E66" s="133"/>
      <c r="G66" s="127" t="s">
        <v>217</v>
      </c>
      <c r="H66" s="134"/>
      <c r="I66" s="135"/>
      <c r="K66" s="148" t="s">
        <v>206</v>
      </c>
    </row>
    <row r="67" spans="2:11" x14ac:dyDescent="0.3">
      <c r="B67" s="107" t="s">
        <v>171</v>
      </c>
      <c r="C67" s="108" t="s">
        <v>227</v>
      </c>
      <c r="D67" s="108" t="s">
        <v>228</v>
      </c>
      <c r="E67" s="108" t="s">
        <v>229</v>
      </c>
      <c r="G67" s="108" t="s">
        <v>227</v>
      </c>
      <c r="H67" s="108" t="s">
        <v>228</v>
      </c>
      <c r="I67" s="108" t="s">
        <v>229</v>
      </c>
      <c r="K67" s="108" t="s">
        <v>218</v>
      </c>
    </row>
    <row r="68" spans="2:11" x14ac:dyDescent="0.3">
      <c r="B68" s="108" t="s">
        <v>170</v>
      </c>
      <c r="C68" s="108" t="s">
        <v>185</v>
      </c>
      <c r="D68" s="108" t="s">
        <v>230</v>
      </c>
      <c r="E68" s="108" t="s">
        <v>231</v>
      </c>
      <c r="G68" s="108" t="s">
        <v>185</v>
      </c>
      <c r="H68" s="108" t="s">
        <v>230</v>
      </c>
      <c r="I68" s="108" t="s">
        <v>231</v>
      </c>
      <c r="K68" s="108" t="s">
        <v>219</v>
      </c>
    </row>
    <row r="69" spans="2:11" x14ac:dyDescent="0.3">
      <c r="B69" s="108"/>
      <c r="C69" s="108" t="s">
        <v>232</v>
      </c>
      <c r="D69" s="108" t="s">
        <v>232</v>
      </c>
      <c r="E69" s="108" t="s">
        <v>233</v>
      </c>
      <c r="G69" s="108" t="s">
        <v>232</v>
      </c>
      <c r="H69" s="108" t="s">
        <v>232</v>
      </c>
      <c r="I69" s="108" t="s">
        <v>233</v>
      </c>
      <c r="K69" s="108" t="s">
        <v>250</v>
      </c>
    </row>
    <row r="70" spans="2:11" x14ac:dyDescent="0.3">
      <c r="B70" s="108"/>
      <c r="C70" s="108" t="s">
        <v>195</v>
      </c>
      <c r="D70" s="109"/>
      <c r="E70" s="108" t="s">
        <v>232</v>
      </c>
      <c r="G70" s="108" t="s">
        <v>234</v>
      </c>
      <c r="H70" s="109"/>
      <c r="I70" s="108" t="s">
        <v>232</v>
      </c>
      <c r="K70" s="108"/>
    </row>
    <row r="71" spans="2:11" x14ac:dyDescent="0.3">
      <c r="B71" s="110"/>
      <c r="C71" s="111" t="s">
        <v>152</v>
      </c>
      <c r="D71" s="111" t="s">
        <v>235</v>
      </c>
      <c r="E71" s="111" t="str">
        <f>"(3) = (2) * ["&amp;FIXED('Assumptions and Inputs'!$C$52*100,2,TRUE)&amp;"% / 12]"</f>
        <v>(3) = (2) * [4.66% / 12]</v>
      </c>
      <c r="G71" s="111" t="s">
        <v>152</v>
      </c>
      <c r="H71" s="111" t="s">
        <v>235</v>
      </c>
      <c r="I71" s="111" t="s">
        <v>271</v>
      </c>
      <c r="K71" s="111" t="s">
        <v>251</v>
      </c>
    </row>
    <row r="72" spans="2:11" x14ac:dyDescent="0.3">
      <c r="B72" s="112"/>
      <c r="C72" s="113"/>
      <c r="D72" s="113"/>
      <c r="E72" s="113"/>
      <c r="G72" s="113"/>
      <c r="H72" s="113"/>
      <c r="I72" s="113"/>
      <c r="K72" s="113"/>
    </row>
    <row r="73" spans="2:11" x14ac:dyDescent="0.3">
      <c r="B73" s="114">
        <f>'E-Factor PRIOR'!B83</f>
        <v>44805</v>
      </c>
      <c r="C73" s="128">
        <f>'E-Factor PRIOR'!J83</f>
        <v>294376.78746120003</v>
      </c>
      <c r="D73" s="128">
        <f>C73</f>
        <v>294376.78746120003</v>
      </c>
      <c r="E73" s="129">
        <f>D73*('Assumptions and Inputs'!$C$52)/12</f>
        <v>1143.1631913076601</v>
      </c>
      <c r="G73" s="128">
        <v>294377.17966080003</v>
      </c>
      <c r="H73" s="128">
        <v>294377.17966080003</v>
      </c>
      <c r="I73" s="129">
        <v>1143.1647143494401</v>
      </c>
      <c r="K73" s="129">
        <f t="shared" ref="K73:K85" si="24">E73-I73</f>
        <v>-1.5230417800466967E-3</v>
      </c>
    </row>
    <row r="74" spans="2:11" x14ac:dyDescent="0.3">
      <c r="B74" s="116">
        <f>'E-Factor PRIOR'!B84</f>
        <v>44835</v>
      </c>
      <c r="C74" s="130">
        <f>'E-Factor PRIOR'!J84</f>
        <v>206183.26144799992</v>
      </c>
      <c r="D74" s="130">
        <f>D73+C74</f>
        <v>500560.04890919995</v>
      </c>
      <c r="E74" s="131">
        <f>D74*('Assumptions and Inputs'!$C$52)/12</f>
        <v>1943.84152326406</v>
      </c>
      <c r="G74" s="130">
        <v>206183.02787999995</v>
      </c>
      <c r="H74" s="130">
        <v>500560.20754079998</v>
      </c>
      <c r="I74" s="131">
        <v>1943.84213928344</v>
      </c>
      <c r="K74" s="131">
        <f t="shared" si="24"/>
        <v>-6.1601938000421796E-4</v>
      </c>
    </row>
    <row r="75" spans="2:11" x14ac:dyDescent="0.3">
      <c r="B75" s="114">
        <f>'E-Factor PRIOR'!B85</f>
        <v>44866</v>
      </c>
      <c r="C75" s="128">
        <f>'E-Factor PRIOR'!J85</f>
        <v>176632.76750879997</v>
      </c>
      <c r="D75" s="128">
        <f t="shared" ref="D75:D83" si="25">D74+C75</f>
        <v>677192.81641799991</v>
      </c>
      <c r="E75" s="129">
        <f>D75*('Assumptions and Inputs'!$C$52)/12</f>
        <v>2629.7654370898999</v>
      </c>
      <c r="G75" s="128">
        <v>176632.37044319999</v>
      </c>
      <c r="H75" s="128">
        <v>677192.57798399997</v>
      </c>
      <c r="I75" s="129">
        <v>2629.7645111712</v>
      </c>
      <c r="K75" s="129">
        <f t="shared" si="24"/>
        <v>9.2591869997704634E-4</v>
      </c>
    </row>
    <row r="76" spans="2:11" x14ac:dyDescent="0.3">
      <c r="B76" s="116">
        <f>'E-Factor PRIOR'!B86</f>
        <v>44896</v>
      </c>
      <c r="C76" s="130">
        <f>'E-Factor PRIOR'!J86</f>
        <v>164062.84429199999</v>
      </c>
      <c r="D76" s="130">
        <f t="shared" si="25"/>
        <v>841255.66070999997</v>
      </c>
      <c r="E76" s="131">
        <f>D76*('Assumptions and Inputs'!$C$52)/12</f>
        <v>3266.8761490904999</v>
      </c>
      <c r="G76" s="130">
        <v>185852.23756799998</v>
      </c>
      <c r="H76" s="130">
        <v>863044.81555199996</v>
      </c>
      <c r="I76" s="131">
        <v>3351.4907003936</v>
      </c>
      <c r="K76" s="131">
        <f t="shared" si="24"/>
        <v>-84.614551303100143</v>
      </c>
    </row>
    <row r="77" spans="2:11" x14ac:dyDescent="0.3">
      <c r="B77" s="114">
        <f>'E-Factor PRIOR'!B87</f>
        <v>44927</v>
      </c>
      <c r="C77" s="128">
        <f>'E-Factor PRIOR'!J87</f>
        <v>148901.19215519994</v>
      </c>
      <c r="D77" s="128">
        <f t="shared" si="25"/>
        <v>990156.85286519991</v>
      </c>
      <c r="E77" s="129">
        <f>D77*('Assumptions and Inputs'!$C$52)/12</f>
        <v>3845.10911195986</v>
      </c>
      <c r="G77" s="128">
        <v>149772.05433599994</v>
      </c>
      <c r="H77" s="128">
        <v>1012816.869888</v>
      </c>
      <c r="I77" s="129">
        <v>3933.1055113984003</v>
      </c>
      <c r="K77" s="129">
        <f t="shared" si="24"/>
        <v>-87.996399438540266</v>
      </c>
    </row>
    <row r="78" spans="2:11" x14ac:dyDescent="0.3">
      <c r="B78" s="116">
        <f>'E-Factor PRIOR'!B88</f>
        <v>44958</v>
      </c>
      <c r="C78" s="130">
        <f>'E-Factor PRIOR'!J88</f>
        <v>140682.17266920005</v>
      </c>
      <c r="D78" s="130">
        <f t="shared" si="25"/>
        <v>1130839.0255344</v>
      </c>
      <c r="E78" s="131">
        <f>D78*('Assumptions and Inputs'!$C$52)/12</f>
        <v>4391.4248824919205</v>
      </c>
      <c r="G78" s="130">
        <v>193688.14183128643</v>
      </c>
      <c r="H78" s="130">
        <v>1206505.0117192864</v>
      </c>
      <c r="I78" s="131">
        <v>4685.261128843229</v>
      </c>
      <c r="K78" s="131">
        <f t="shared" si="24"/>
        <v>-293.83624635130855</v>
      </c>
    </row>
    <row r="79" spans="2:11" x14ac:dyDescent="0.3">
      <c r="B79" s="114">
        <f>'E-Factor PRIOR'!B89</f>
        <v>44986</v>
      </c>
      <c r="C79" s="128">
        <f>'E-Factor PRIOR'!J89</f>
        <v>151480.07483519998</v>
      </c>
      <c r="D79" s="128">
        <f t="shared" si="25"/>
        <v>1282319.1003696001</v>
      </c>
      <c r="E79" s="129">
        <f>D79*('Assumptions and Inputs'!$C$52)/12</f>
        <v>4979.6725064352804</v>
      </c>
      <c r="G79" s="128">
        <v>189893.66365169606</v>
      </c>
      <c r="H79" s="128">
        <v>1396398.6753709824</v>
      </c>
      <c r="I79" s="129">
        <v>5422.6815226906483</v>
      </c>
      <c r="K79" s="129">
        <f t="shared" si="24"/>
        <v>-443.0090162553679</v>
      </c>
    </row>
    <row r="80" spans="2:11" x14ac:dyDescent="0.3">
      <c r="B80" s="116">
        <f>'E-Factor PRIOR'!B90</f>
        <v>45017</v>
      </c>
      <c r="C80" s="130">
        <f>'E-Factor PRIOR'!J90</f>
        <v>151256.43931440002</v>
      </c>
      <c r="D80" s="130">
        <f t="shared" si="25"/>
        <v>1433575.5396840002</v>
      </c>
      <c r="E80" s="131">
        <f>D80*('Assumptions and Inputs'!$C$52)/12</f>
        <v>5567.0516791062009</v>
      </c>
      <c r="G80" s="130">
        <v>186048.02721785952</v>
      </c>
      <c r="H80" s="130">
        <v>1582446.7025888418</v>
      </c>
      <c r="I80" s="131">
        <v>6145.168028386669</v>
      </c>
      <c r="K80" s="131">
        <f t="shared" si="24"/>
        <v>-578.11634928046806</v>
      </c>
    </row>
    <row r="81" spans="2:11" x14ac:dyDescent="0.3">
      <c r="B81" s="114">
        <f>'E-Factor PRIOR'!B91</f>
        <v>45047</v>
      </c>
      <c r="C81" s="128">
        <f>'E-Factor PRIOR'!J91</f>
        <v>140020.25068920001</v>
      </c>
      <c r="D81" s="128">
        <f t="shared" si="25"/>
        <v>1573595.7903732001</v>
      </c>
      <c r="E81" s="129">
        <f>D81*('Assumptions and Inputs'!$C$52)/12</f>
        <v>6110.7969859492614</v>
      </c>
      <c r="G81" s="128">
        <v>182152.48975195159</v>
      </c>
      <c r="H81" s="128">
        <v>1764599.1923407933</v>
      </c>
      <c r="I81" s="129">
        <v>6852.5268635900802</v>
      </c>
      <c r="K81" s="129">
        <f t="shared" si="24"/>
        <v>-741.72987764081881</v>
      </c>
    </row>
    <row r="82" spans="2:11" x14ac:dyDescent="0.3">
      <c r="B82" s="116">
        <f>'E-Factor PRIOR'!B92</f>
        <v>45078</v>
      </c>
      <c r="C82" s="130">
        <f>'E-Factor PRIOR'!J92</f>
        <v>117935.69266559993</v>
      </c>
      <c r="D82" s="130">
        <f t="shared" si="25"/>
        <v>1691531.4830388001</v>
      </c>
      <c r="E82" s="131">
        <f>D82*('Assumptions and Inputs'!$C$52)/12</f>
        <v>6568.7805924673412</v>
      </c>
      <c r="G82" s="130">
        <v>178204.40656521631</v>
      </c>
      <c r="H82" s="130">
        <v>1942803.5989060097</v>
      </c>
      <c r="I82" s="131">
        <v>7544.5539757516708</v>
      </c>
      <c r="K82" s="131">
        <f t="shared" si="24"/>
        <v>-975.77338328432961</v>
      </c>
    </row>
    <row r="83" spans="2:11" x14ac:dyDescent="0.3">
      <c r="B83" s="114">
        <f>'E-Factor PRIOR'!B93</f>
        <v>45108</v>
      </c>
      <c r="C83" s="128">
        <f>'E-Factor PRIOR'!J93</f>
        <v>114579.51125279989</v>
      </c>
      <c r="D83" s="128">
        <f t="shared" si="25"/>
        <v>1806110.9942915998</v>
      </c>
      <c r="E83" s="129">
        <f>D83*('Assumptions and Inputs'!$C$52)/12</f>
        <v>7013.7310278323794</v>
      </c>
      <c r="G83" s="128">
        <v>174205.01653752051</v>
      </c>
      <c r="H83" s="128">
        <v>2117008.61544353</v>
      </c>
      <c r="I83" s="129">
        <v>8221.0501233057093</v>
      </c>
      <c r="K83" s="129">
        <f t="shared" si="24"/>
        <v>-1207.31909547333</v>
      </c>
    </row>
    <row r="84" spans="2:11" x14ac:dyDescent="0.3">
      <c r="B84" s="116">
        <f>'E-Factor PRIOR'!B94</f>
        <v>45139</v>
      </c>
      <c r="C84" s="130">
        <f>'E-Factor PRIOR'!J94</f>
        <v>94808.351815200003</v>
      </c>
      <c r="D84" s="130">
        <f t="shared" ref="D84" si="26">D83+C84</f>
        <v>1900919.3461067998</v>
      </c>
      <c r="E84" s="131">
        <f>D84*('Assumptions and Inputs'!$C$52)/12</f>
        <v>7381.9034607147396</v>
      </c>
      <c r="G84" s="130">
        <v>170152.62959531456</v>
      </c>
      <c r="H84" s="130">
        <v>2287161.2450388446</v>
      </c>
      <c r="I84" s="131">
        <v>8881.8095015675135</v>
      </c>
      <c r="K84" s="131">
        <f t="shared" si="24"/>
        <v>-1499.9060408527739</v>
      </c>
    </row>
    <row r="85" spans="2:11" x14ac:dyDescent="0.3">
      <c r="B85" s="157" t="s">
        <v>144</v>
      </c>
      <c r="C85" s="115"/>
      <c r="D85" s="158"/>
      <c r="E85" s="115">
        <f>SUM(E73:E84)</f>
        <v>54842.116547709098</v>
      </c>
      <c r="G85" s="115"/>
      <c r="H85" s="158"/>
      <c r="I85" s="115">
        <v>60754.418720731599</v>
      </c>
      <c r="K85" s="160">
        <f t="shared" si="24"/>
        <v>-5912.3021730225009</v>
      </c>
    </row>
    <row r="86" spans="2:11" x14ac:dyDescent="0.3">
      <c r="C86" s="118"/>
      <c r="E86" s="55"/>
      <c r="G86" s="118"/>
      <c r="I86" s="55"/>
      <c r="K86" s="118"/>
    </row>
    <row r="87" spans="2:11" x14ac:dyDescent="0.3">
      <c r="D87" s="119" t="s">
        <v>236</v>
      </c>
      <c r="E87" s="120">
        <f>E85</f>
        <v>54842.116547709098</v>
      </c>
      <c r="F87" s="121"/>
      <c r="H87" s="119" t="s">
        <v>236</v>
      </c>
      <c r="I87" s="120">
        <f>I85</f>
        <v>60754.418720731599</v>
      </c>
      <c r="K87" s="125">
        <f>E87-I87</f>
        <v>-5912.3021730225009</v>
      </c>
    </row>
    <row r="88" spans="2:11" x14ac:dyDescent="0.3">
      <c r="B88" s="54" t="s">
        <v>196</v>
      </c>
      <c r="E88" s="55"/>
      <c r="G88" s="54"/>
      <c r="I88" s="55"/>
      <c r="K88" s="118"/>
    </row>
    <row r="89" spans="2:11" x14ac:dyDescent="0.3">
      <c r="B89" s="122" t="s">
        <v>244</v>
      </c>
      <c r="G89" s="122"/>
    </row>
    <row r="90" spans="2:11" x14ac:dyDescent="0.3">
      <c r="B90" s="122" t="str">
        <f>"(3) Interest calculated monthly based on 1-year interest rate for constant maturity U.S. Treasury Securities as published in the Federal Reserve Statistical Release H.15 (519) on "&amp;TEXT('Assumptions and Inputs'!$C$53,"MMMM DD, YYYY")&amp;"."</f>
        <v>(3) Interest calculated monthly based on 1-year interest rate for constant maturity U.S. Treasury Securities as published in the Federal Reserve Statistical Release H.15 (519) on December 01, 2022.</v>
      </c>
    </row>
    <row r="91" spans="2:11" x14ac:dyDescent="0.3">
      <c r="B91" s="122" t="s">
        <v>245</v>
      </c>
    </row>
    <row r="92" spans="2:11" x14ac:dyDescent="0.3">
      <c r="B92" s="122"/>
    </row>
    <row r="93" spans="2:11" x14ac:dyDescent="0.3">
      <c r="B93" s="106" t="s">
        <v>31</v>
      </c>
      <c r="C93" s="106"/>
      <c r="D93" s="106"/>
      <c r="E93" s="106"/>
      <c r="F93" s="106"/>
      <c r="G93" s="106"/>
      <c r="H93" s="106"/>
      <c r="I93" s="106"/>
      <c r="J93" s="106"/>
      <c r="K93" s="106"/>
    </row>
    <row r="94" spans="2:11" ht="15" thickBot="1" x14ac:dyDescent="0.35">
      <c r="B94" s="106" t="s">
        <v>252</v>
      </c>
      <c r="C94" s="106"/>
      <c r="D94" s="106"/>
      <c r="E94" s="106"/>
      <c r="F94" s="106"/>
      <c r="G94" s="106"/>
      <c r="H94" s="106"/>
      <c r="I94" s="106"/>
      <c r="J94" s="106"/>
      <c r="K94" s="106"/>
    </row>
    <row r="95" spans="2:11" ht="15" thickBot="1" x14ac:dyDescent="0.35">
      <c r="C95" s="124" t="s">
        <v>216</v>
      </c>
      <c r="D95" s="132"/>
      <c r="E95" s="133"/>
      <c r="G95" s="127" t="s">
        <v>217</v>
      </c>
      <c r="H95" s="134"/>
      <c r="I95" s="135"/>
      <c r="K95" s="148" t="s">
        <v>206</v>
      </c>
    </row>
    <row r="96" spans="2:11" x14ac:dyDescent="0.3">
      <c r="B96" s="107" t="s">
        <v>171</v>
      </c>
      <c r="C96" s="107" t="s">
        <v>227</v>
      </c>
      <c r="D96" s="107" t="s">
        <v>228</v>
      </c>
      <c r="E96" s="107" t="s">
        <v>229</v>
      </c>
      <c r="G96" s="107" t="s">
        <v>227</v>
      </c>
      <c r="H96" s="107" t="s">
        <v>228</v>
      </c>
      <c r="I96" s="107" t="s">
        <v>229</v>
      </c>
      <c r="K96" s="108" t="s">
        <v>218</v>
      </c>
    </row>
    <row r="97" spans="2:11" x14ac:dyDescent="0.3">
      <c r="B97" s="108" t="s">
        <v>170</v>
      </c>
      <c r="C97" s="108" t="s">
        <v>185</v>
      </c>
      <c r="D97" s="108" t="s">
        <v>230</v>
      </c>
      <c r="E97" s="108" t="s">
        <v>231</v>
      </c>
      <c r="G97" s="108" t="s">
        <v>185</v>
      </c>
      <c r="H97" s="108" t="s">
        <v>230</v>
      </c>
      <c r="I97" s="108" t="s">
        <v>231</v>
      </c>
      <c r="K97" s="108" t="s">
        <v>219</v>
      </c>
    </row>
    <row r="98" spans="2:11" x14ac:dyDescent="0.3">
      <c r="B98" s="108"/>
      <c r="C98" s="108" t="s">
        <v>239</v>
      </c>
      <c r="D98" s="108" t="s">
        <v>239</v>
      </c>
      <c r="E98" s="108" t="s">
        <v>233</v>
      </c>
      <c r="G98" s="108" t="s">
        <v>239</v>
      </c>
      <c r="H98" s="108" t="s">
        <v>239</v>
      </c>
      <c r="I98" s="108" t="s">
        <v>233</v>
      </c>
      <c r="K98" s="108" t="s">
        <v>250</v>
      </c>
    </row>
    <row r="99" spans="2:11" x14ac:dyDescent="0.3">
      <c r="B99" s="108"/>
      <c r="C99" s="108" t="s">
        <v>204</v>
      </c>
      <c r="D99" s="109"/>
      <c r="E99" s="108" t="s">
        <v>239</v>
      </c>
      <c r="G99" s="108" t="s">
        <v>240</v>
      </c>
      <c r="H99" s="109"/>
      <c r="I99" s="108" t="s">
        <v>239</v>
      </c>
      <c r="K99" s="108"/>
    </row>
    <row r="100" spans="2:11" x14ac:dyDescent="0.3">
      <c r="B100" s="110"/>
      <c r="C100" s="111" t="s">
        <v>152</v>
      </c>
      <c r="D100" s="111" t="s">
        <v>235</v>
      </c>
      <c r="E100" s="111" t="str">
        <f>"(3) = (2) * ["&amp;FIXED('Assumptions and Inputs'!$C$52*100,2,TRUE)&amp;"% / 12]"</f>
        <v>(3) = (2) * [4.66% / 12]</v>
      </c>
      <c r="G100" s="111" t="s">
        <v>152</v>
      </c>
      <c r="H100" s="111" t="s">
        <v>235</v>
      </c>
      <c r="I100" s="111" t="s">
        <v>271</v>
      </c>
      <c r="K100" s="111" t="s">
        <v>251</v>
      </c>
    </row>
    <row r="101" spans="2:11" x14ac:dyDescent="0.3">
      <c r="B101" s="112"/>
      <c r="C101" s="113"/>
      <c r="D101" s="113"/>
      <c r="E101" s="113"/>
      <c r="G101" s="113"/>
      <c r="H101" s="113"/>
      <c r="I101" s="113"/>
      <c r="K101" s="113"/>
    </row>
    <row r="102" spans="2:11" x14ac:dyDescent="0.3">
      <c r="B102" s="114">
        <f>+'E-Factor PRIOR'!B123</f>
        <v>44805</v>
      </c>
      <c r="C102" s="128">
        <f>'E-Factor PRIOR'!J123</f>
        <v>435670.07036519994</v>
      </c>
      <c r="D102" s="128">
        <f>C102</f>
        <v>435670.07036519994</v>
      </c>
      <c r="E102" s="129">
        <f>D102*('Assumptions and Inputs'!$C$52)/12</f>
        <v>1691.8521065848599</v>
      </c>
      <c r="G102" s="128">
        <v>435670.12389119994</v>
      </c>
      <c r="H102" s="128">
        <v>435670.12389119994</v>
      </c>
      <c r="I102" s="129">
        <v>1691.8523144441599</v>
      </c>
      <c r="K102" s="129">
        <f t="shared" ref="K102:K114" si="27">E102-I102</f>
        <v>-2.0785929996236518E-4</v>
      </c>
    </row>
    <row r="103" spans="2:11" x14ac:dyDescent="0.3">
      <c r="B103" s="116">
        <f>+'E-Factor PRIOR'!B124</f>
        <v>44835</v>
      </c>
      <c r="C103" s="130">
        <f>'E-Factor PRIOR'!J124</f>
        <v>308608.61804160004</v>
      </c>
      <c r="D103" s="130">
        <f>D102+C103</f>
        <v>744278.68840679992</v>
      </c>
      <c r="E103" s="131">
        <f>D103*('Assumptions and Inputs'!$C$52)/12</f>
        <v>2890.2822399797401</v>
      </c>
      <c r="G103" s="130">
        <v>308608.38642000005</v>
      </c>
      <c r="H103" s="130">
        <v>744278.51031120005</v>
      </c>
      <c r="I103" s="131">
        <v>2890.2815483751601</v>
      </c>
      <c r="K103" s="131">
        <f t="shared" si="27"/>
        <v>6.9160457996986224E-4</v>
      </c>
    </row>
    <row r="104" spans="2:11" x14ac:dyDescent="0.3">
      <c r="B104" s="114">
        <f>+'E-Factor PRIOR'!B125</f>
        <v>44866</v>
      </c>
      <c r="C104" s="128">
        <f>'E-Factor PRIOR'!J125</f>
        <v>264620.81012759998</v>
      </c>
      <c r="D104" s="128">
        <f t="shared" ref="D104:D112" si="28">D103+C104</f>
        <v>1008899.4985343999</v>
      </c>
      <c r="E104" s="129">
        <f>D104*('Assumptions and Inputs'!$C$52)/12</f>
        <v>3917.8930526419194</v>
      </c>
      <c r="G104" s="128">
        <v>264620.58726479998</v>
      </c>
      <c r="H104" s="128">
        <v>1008899.097576</v>
      </c>
      <c r="I104" s="129">
        <v>3917.8914955868004</v>
      </c>
      <c r="K104" s="129">
        <f t="shared" si="27"/>
        <v>1.5570551190648985E-3</v>
      </c>
    </row>
    <row r="105" spans="2:11" x14ac:dyDescent="0.3">
      <c r="B105" s="116">
        <f>+'E-Factor PRIOR'!B126</f>
        <v>44896</v>
      </c>
      <c r="C105" s="130">
        <f>'E-Factor PRIOR'!J126</f>
        <v>247869.42703199992</v>
      </c>
      <c r="D105" s="130">
        <f t="shared" si="28"/>
        <v>1256768.9255663999</v>
      </c>
      <c r="E105" s="131">
        <f>D105*('Assumptions and Inputs'!$C$52)/12</f>
        <v>4880.4526609495197</v>
      </c>
      <c r="G105" s="130">
        <v>277969.62715199997</v>
      </c>
      <c r="H105" s="130">
        <v>1286868.7247279999</v>
      </c>
      <c r="I105" s="131">
        <v>4997.3402143603998</v>
      </c>
      <c r="K105" s="131">
        <f t="shared" si="27"/>
        <v>-116.88755341088017</v>
      </c>
    </row>
    <row r="106" spans="2:11" x14ac:dyDescent="0.3">
      <c r="B106" s="114">
        <f>+'E-Factor PRIOR'!B127</f>
        <v>44927</v>
      </c>
      <c r="C106" s="128">
        <f>'E-Factor PRIOR'!J127</f>
        <v>227470.66940519999</v>
      </c>
      <c r="D106" s="128">
        <f t="shared" si="28"/>
        <v>1484239.5949716</v>
      </c>
      <c r="E106" s="129">
        <f>D106*('Assumptions and Inputs'!$C$52)/12</f>
        <v>5763.7970938063809</v>
      </c>
      <c r="G106" s="128">
        <v>222176.42150399997</v>
      </c>
      <c r="H106" s="128">
        <v>1509045.1462319999</v>
      </c>
      <c r="I106" s="129">
        <v>5860.1253178676006</v>
      </c>
      <c r="K106" s="129">
        <f t="shared" si="27"/>
        <v>-96.328224061219771</v>
      </c>
    </row>
    <row r="107" spans="2:11" x14ac:dyDescent="0.3">
      <c r="B107" s="116">
        <f>+'E-Factor PRIOR'!B128</f>
        <v>44958</v>
      </c>
      <c r="C107" s="130">
        <f>'E-Factor PRIOR'!J128</f>
        <v>212753.28598800005</v>
      </c>
      <c r="D107" s="130">
        <f t="shared" si="28"/>
        <v>1696992.8809596</v>
      </c>
      <c r="E107" s="131">
        <f>D107*('Assumptions and Inputs'!$C$52)/12</f>
        <v>6589.9890210597805</v>
      </c>
      <c r="G107" s="130">
        <v>289705.47934692976</v>
      </c>
      <c r="H107" s="130">
        <v>1798750.6255789297</v>
      </c>
      <c r="I107" s="131">
        <v>6985.148262664844</v>
      </c>
      <c r="K107" s="131">
        <f t="shared" si="27"/>
        <v>-395.15924160506347</v>
      </c>
    </row>
    <row r="108" spans="2:11" x14ac:dyDescent="0.3">
      <c r="B108" s="114">
        <f>+'E-Factor PRIOR'!B129</f>
        <v>44986</v>
      </c>
      <c r="C108" s="128">
        <f>'E-Factor PRIOR'!J129</f>
        <v>225355.16714640002</v>
      </c>
      <c r="D108" s="128">
        <f t="shared" si="28"/>
        <v>1922348.0481060001</v>
      </c>
      <c r="E108" s="129">
        <f>D108*('Assumptions and Inputs'!$C$52)/12</f>
        <v>7465.1182534783002</v>
      </c>
      <c r="G108" s="128">
        <v>284024.95387754421</v>
      </c>
      <c r="H108" s="128">
        <v>2082775.5794564739</v>
      </c>
      <c r="I108" s="129">
        <v>8088.111833555974</v>
      </c>
      <c r="K108" s="129">
        <f t="shared" si="27"/>
        <v>-622.99358007767387</v>
      </c>
    </row>
    <row r="109" spans="2:11" x14ac:dyDescent="0.3">
      <c r="B109" s="116">
        <f>+'E-Factor PRIOR'!B130</f>
        <v>45017</v>
      </c>
      <c r="C109" s="130">
        <f>'E-Factor PRIOR'!J130</f>
        <v>231644.21230200009</v>
      </c>
      <c r="D109" s="130">
        <f t="shared" si="28"/>
        <v>2153992.2604080001</v>
      </c>
      <c r="E109" s="131">
        <f>D109*('Assumptions and Inputs'!$C$52)/12</f>
        <v>8364.6699445844006</v>
      </c>
      <c r="G109" s="130">
        <v>278270.12402678933</v>
      </c>
      <c r="H109" s="130">
        <v>2361045.703483263</v>
      </c>
      <c r="I109" s="131">
        <v>9168.7274818600054</v>
      </c>
      <c r="K109" s="131">
        <f t="shared" si="27"/>
        <v>-804.05753727560477</v>
      </c>
    </row>
    <row r="110" spans="2:11" x14ac:dyDescent="0.3">
      <c r="B110" s="114">
        <f>+'E-Factor PRIOR'!B131</f>
        <v>45047</v>
      </c>
      <c r="C110" s="128">
        <f>'E-Factor PRIOR'!J131</f>
        <v>211686.50988840003</v>
      </c>
      <c r="D110" s="128">
        <f t="shared" si="28"/>
        <v>2365678.7702963999</v>
      </c>
      <c r="E110" s="129">
        <f>D110*('Assumptions and Inputs'!$C$52)/12</f>
        <v>9186.7192246510203</v>
      </c>
      <c r="G110" s="128">
        <v>272438.00962792744</v>
      </c>
      <c r="H110" s="128">
        <v>2633483.7131111906</v>
      </c>
      <c r="I110" s="129">
        <v>10226.695085915124</v>
      </c>
      <c r="K110" s="129">
        <f t="shared" si="27"/>
        <v>-1039.9758612641035</v>
      </c>
    </row>
    <row r="111" spans="2:11" x14ac:dyDescent="0.3">
      <c r="B111" s="116">
        <f>+'E-Factor PRIOR'!B132</f>
        <v>45078</v>
      </c>
      <c r="C111" s="130">
        <f>'E-Factor PRIOR'!J132</f>
        <v>175234.640166</v>
      </c>
      <c r="D111" s="130">
        <f t="shared" si="28"/>
        <v>2540913.4104623999</v>
      </c>
      <c r="E111" s="131">
        <f>D111*('Assumptions and Inputs'!$C$52)/12</f>
        <v>9867.2137439623202</v>
      </c>
      <c r="G111" s="130">
        <v>266529.50964782469</v>
      </c>
      <c r="H111" s="130">
        <v>2900013.2227590154</v>
      </c>
      <c r="I111" s="131">
        <v>11261.718015047511</v>
      </c>
      <c r="K111" s="131">
        <f t="shared" si="27"/>
        <v>-1394.5042710851903</v>
      </c>
    </row>
    <row r="112" spans="2:11" x14ac:dyDescent="0.3">
      <c r="B112" s="114">
        <f>+'E-Factor PRIOR'!B133</f>
        <v>45108</v>
      </c>
      <c r="C112" s="128">
        <f>'E-Factor PRIOR'!J133</f>
        <v>167421.42269639985</v>
      </c>
      <c r="D112" s="128">
        <f t="shared" si="28"/>
        <v>2708334.8331587999</v>
      </c>
      <c r="E112" s="129">
        <f>D112*('Assumptions and Inputs'!$C$52)/12</f>
        <v>10517.36693543334</v>
      </c>
      <c r="G112" s="128">
        <v>260543.5628062808</v>
      </c>
      <c r="H112" s="128">
        <v>3160556.7855652962</v>
      </c>
      <c r="I112" s="129">
        <v>12273.495517278569</v>
      </c>
      <c r="K112" s="129">
        <f t="shared" si="27"/>
        <v>-1756.1285818452288</v>
      </c>
    </row>
    <row r="113" spans="2:11" x14ac:dyDescent="0.3">
      <c r="B113" s="116">
        <f>+'E-Factor PRIOR'!B134</f>
        <v>45139</v>
      </c>
      <c r="C113" s="130">
        <f>'E-Factor PRIOR'!J134</f>
        <v>139123.67656440008</v>
      </c>
      <c r="D113" s="130">
        <f t="shared" ref="D113" si="29">D112+C113</f>
        <v>2847458.5097232</v>
      </c>
      <c r="E113" s="131">
        <f>D113*('Assumptions and Inputs'!$C$52)/12</f>
        <v>11057.630546091759</v>
      </c>
      <c r="G113" s="130">
        <v>254477.14739297191</v>
      </c>
      <c r="H113" s="130">
        <v>3415033.9329582681</v>
      </c>
      <c r="I113" s="131">
        <v>13261.715106321275</v>
      </c>
      <c r="K113" s="131">
        <f t="shared" si="27"/>
        <v>-2204.0845602295158</v>
      </c>
    </row>
    <row r="114" spans="2:11" x14ac:dyDescent="0.3">
      <c r="B114" s="157" t="s">
        <v>144</v>
      </c>
      <c r="C114" s="115"/>
      <c r="D114" s="159"/>
      <c r="E114" s="115">
        <f>SUM(E102:E113)</f>
        <v>82192.984823223349</v>
      </c>
      <c r="G114" s="115"/>
      <c r="H114" s="159"/>
      <c r="I114" s="115">
        <v>90623.102193277431</v>
      </c>
      <c r="K114" s="129">
        <f t="shared" si="27"/>
        <v>-8430.1173700540821</v>
      </c>
    </row>
    <row r="115" spans="2:11" x14ac:dyDescent="0.3">
      <c r="E115" s="55"/>
      <c r="I115" s="55"/>
      <c r="K115" s="55"/>
    </row>
    <row r="116" spans="2:11" x14ac:dyDescent="0.3">
      <c r="D116" s="119" t="s">
        <v>236</v>
      </c>
      <c r="E116" s="120">
        <f>E114</f>
        <v>82192.984823223349</v>
      </c>
      <c r="F116" s="121"/>
      <c r="H116" s="119" t="s">
        <v>236</v>
      </c>
      <c r="I116" s="120">
        <f>I114</f>
        <v>90623.102193277431</v>
      </c>
      <c r="K116" s="125">
        <f>E116-I116</f>
        <v>-8430.1173700540821</v>
      </c>
    </row>
    <row r="117" spans="2:11" x14ac:dyDescent="0.3">
      <c r="B117" s="54" t="s">
        <v>196</v>
      </c>
      <c r="E117" s="55"/>
      <c r="G117" s="54"/>
      <c r="I117" s="55"/>
    </row>
    <row r="118" spans="2:11" x14ac:dyDescent="0.3">
      <c r="B118" s="122" t="s">
        <v>247</v>
      </c>
    </row>
    <row r="119" spans="2:11" x14ac:dyDescent="0.3">
      <c r="B119" s="122" t="str">
        <f>"(3) Interest calculated monthly based on 1-year interest rate for constant maturity U.S. Treasury Securities as published in the Federal Reserve Statistical Release H.15 (519) on "&amp;TEXT('Assumptions and Inputs'!$C$53,"MMMM DD, YYYY")&amp;"."</f>
        <v>(3) Interest calculated monthly based on 1-year interest rate for constant maturity U.S. Treasury Securities as published in the Federal Reserve Statistical Release H.15 (519) on December 01, 2022.</v>
      </c>
    </row>
    <row r="120" spans="2:11" x14ac:dyDescent="0.3">
      <c r="B120" s="122" t="s">
        <v>248</v>
      </c>
    </row>
    <row r="121" spans="2:11" x14ac:dyDescent="0.3">
      <c r="B121" s="122"/>
    </row>
    <row r="122" spans="2:11" x14ac:dyDescent="0.3"/>
    <row r="123" spans="2:11" x14ac:dyDescent="0.3"/>
    <row r="124" spans="2:11" x14ac:dyDescent="0.3"/>
    <row r="125" spans="2:11" x14ac:dyDescent="0.3"/>
    <row r="126" spans="2:11" x14ac:dyDescent="0.3"/>
    <row r="127" spans="2:11" x14ac:dyDescent="0.3"/>
    <row r="128" spans="2:11"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sheetData>
  <printOptions horizontalCentered="1"/>
  <pageMargins left="0.7" right="0.7" top="0.5" bottom="0.5" header="0.3" footer="0.3"/>
  <pageSetup scale="74" orientation="landscape" r:id="rId1"/>
  <headerFooter>
    <oddHeader xml:space="preserve">&amp;RSchedule LKM-TAP-R-6
</oddHeader>
  </headerFooter>
  <ignoredErrors>
    <ignoredError sqref="C71:D71 G9 G39 C100:D10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4" tint="-0.249977111117893"/>
  </sheetPr>
  <dimension ref="B2:J19"/>
  <sheetViews>
    <sheetView workbookViewId="0"/>
  </sheetViews>
  <sheetFormatPr defaultColWidth="9.109375" defaultRowHeight="14.4" x14ac:dyDescent="0.3"/>
  <cols>
    <col min="1" max="1" width="9.109375" style="18"/>
    <col min="2" max="2" width="8.5546875" style="18" customWidth="1"/>
    <col min="3" max="3" width="27.109375" style="18" customWidth="1"/>
    <col min="4" max="4" width="18.88671875" style="18" customWidth="1"/>
    <col min="5" max="5" width="20.88671875" style="18" bestFit="1" customWidth="1"/>
    <col min="6" max="6" width="15" style="18" customWidth="1"/>
    <col min="7" max="7" width="4.109375" style="18" customWidth="1"/>
    <col min="8" max="8" width="4.44140625" style="18" customWidth="1"/>
    <col min="9" max="16384" width="9.109375" style="18"/>
  </cols>
  <sheetData>
    <row r="2" spans="2:10" hidden="1" x14ac:dyDescent="0.3">
      <c r="B2" s="19" t="s">
        <v>31</v>
      </c>
      <c r="C2" s="19"/>
      <c r="D2" s="19"/>
      <c r="E2" s="19"/>
      <c r="F2" s="19"/>
    </row>
    <row r="3" spans="2:10" x14ac:dyDescent="0.3">
      <c r="B3" s="19" t="str">
        <f>"Table 5 - Application of TAP Rate Rider Adjustment Effective "&amp;TEXT('Assumptions and Inputs'!C65,"MMMM DD, YYYY")</f>
        <v>Table 5 - Application of TAP Rate Rider Adjustment Effective September 01, 2024</v>
      </c>
      <c r="C3" s="19"/>
      <c r="D3" s="19"/>
      <c r="E3" s="19"/>
      <c r="F3" s="19"/>
    </row>
    <row r="4" spans="2:10" ht="15.6" x14ac:dyDescent="0.3">
      <c r="B4" s="56"/>
      <c r="C4" s="136"/>
      <c r="D4" s="137" t="s">
        <v>253</v>
      </c>
      <c r="E4" s="137" t="s">
        <v>254</v>
      </c>
      <c r="F4" s="138" t="s">
        <v>144</v>
      </c>
    </row>
    <row r="5" spans="2:10" x14ac:dyDescent="0.3">
      <c r="B5" s="139"/>
      <c r="C5" s="139" t="s">
        <v>29</v>
      </c>
      <c r="D5" s="139" t="s">
        <v>275</v>
      </c>
      <c r="E5" s="139" t="s">
        <v>255</v>
      </c>
      <c r="F5" s="139" t="s">
        <v>144</v>
      </c>
    </row>
    <row r="6" spans="2:10" x14ac:dyDescent="0.3">
      <c r="B6" s="140"/>
      <c r="C6" s="71" t="s">
        <v>256</v>
      </c>
      <c r="D6" s="141" t="s">
        <v>257</v>
      </c>
      <c r="E6" s="141" t="s">
        <v>257</v>
      </c>
      <c r="F6" s="141" t="s">
        <v>257</v>
      </c>
    </row>
    <row r="7" spans="2:10" x14ac:dyDescent="0.3">
      <c r="B7" s="142">
        <v>1</v>
      </c>
      <c r="C7" s="142" t="s">
        <v>258</v>
      </c>
      <c r="D7" s="171">
        <v>64.319999999999993</v>
      </c>
      <c r="E7" s="143">
        <f>Summary!$G$21</f>
        <v>2.5499999999999998</v>
      </c>
      <c r="F7" s="143">
        <f>D7+E7</f>
        <v>66.86999999999999</v>
      </c>
      <c r="J7" s="172"/>
    </row>
    <row r="8" spans="2:10" x14ac:dyDescent="0.3">
      <c r="B8" s="142">
        <f>B7+1</f>
        <v>2</v>
      </c>
      <c r="C8" s="142" t="s">
        <v>259</v>
      </c>
      <c r="D8" s="171">
        <v>57.88</v>
      </c>
      <c r="E8" s="143">
        <f>Summary!$G$21</f>
        <v>2.5499999999999998</v>
      </c>
      <c r="F8" s="143">
        <f t="shared" ref="F8:F10" si="0">D8+E8</f>
        <v>60.43</v>
      </c>
    </row>
    <row r="9" spans="2:10" x14ac:dyDescent="0.3">
      <c r="B9" s="142">
        <f>B8+1</f>
        <v>3</v>
      </c>
      <c r="C9" s="142" t="s">
        <v>260</v>
      </c>
      <c r="D9" s="171">
        <v>44.84</v>
      </c>
      <c r="E9" s="143">
        <f>Summary!$G$21</f>
        <v>2.5499999999999998</v>
      </c>
      <c r="F9" s="143">
        <f t="shared" si="0"/>
        <v>47.39</v>
      </c>
    </row>
    <row r="10" spans="2:10" x14ac:dyDescent="0.3">
      <c r="B10" s="142">
        <f>B9+1</f>
        <v>4</v>
      </c>
      <c r="C10" s="142" t="s">
        <v>261</v>
      </c>
      <c r="D10" s="171">
        <v>43.62</v>
      </c>
      <c r="E10" s="143">
        <f>Summary!$G$21</f>
        <v>2.5499999999999998</v>
      </c>
      <c r="F10" s="143">
        <f t="shared" si="0"/>
        <v>46.169999999999995</v>
      </c>
    </row>
    <row r="11" spans="2:10" ht="15.6" x14ac:dyDescent="0.3">
      <c r="B11" s="56"/>
      <c r="C11" s="136"/>
      <c r="D11" s="61"/>
      <c r="E11" s="144"/>
      <c r="F11" s="144"/>
    </row>
    <row r="12" spans="2:10" x14ac:dyDescent="0.3">
      <c r="B12" s="140"/>
      <c r="C12" s="140" t="s">
        <v>262</v>
      </c>
      <c r="D12" s="141" t="s">
        <v>257</v>
      </c>
      <c r="E12" s="145" t="s">
        <v>257</v>
      </c>
      <c r="F12" s="145" t="s">
        <v>257</v>
      </c>
    </row>
    <row r="13" spans="2:10" x14ac:dyDescent="0.3">
      <c r="B13" s="56">
        <f>B10+1</f>
        <v>5</v>
      </c>
      <c r="C13" s="56" t="s">
        <v>263</v>
      </c>
      <c r="D13" s="171">
        <v>41.11</v>
      </c>
      <c r="E13" s="143">
        <f>Summary!$J$21</f>
        <v>3.64</v>
      </c>
      <c r="F13" s="143">
        <f>D13+E13</f>
        <v>44.75</v>
      </c>
    </row>
    <row r="14" spans="2:10" x14ac:dyDescent="0.3">
      <c r="B14" s="56"/>
      <c r="C14" s="56"/>
      <c r="D14" s="143"/>
      <c r="E14" s="143"/>
      <c r="F14" s="143"/>
    </row>
    <row r="15" spans="2:10" x14ac:dyDescent="0.3">
      <c r="B15" s="54" t="s">
        <v>196</v>
      </c>
      <c r="D15" s="146"/>
    </row>
    <row r="16" spans="2:10" x14ac:dyDescent="0.3">
      <c r="B16" s="122" t="str">
        <f>"Base Rates reflect the quantity charges adopted per the "&amp;TEXT('Assumptions and Inputs'!C69,)&amp;" and "&amp;TEXT('Assumptions and Inputs'!C71,)&amp;" Rate Proceeding."</f>
        <v>Base Rates reflect the quantity charges adopted per the FY 2024 and FY 2025 Rate Proceeding.</v>
      </c>
    </row>
    <row r="17" spans="2:2" x14ac:dyDescent="0.3">
      <c r="B17" s="122" t="str">
        <f>"TAP-R Rates are proposed to be effective on "&amp;TEXT('Assumptions and Inputs'!C65,"MMMM DD, YYYY")&amp;"."</f>
        <v>TAP-R Rates are proposed to be effective on September 01, 2024.</v>
      </c>
    </row>
    <row r="18" spans="2:2" x14ac:dyDescent="0.3">
      <c r="B18" s="122" t="s">
        <v>264</v>
      </c>
    </row>
    <row r="19" spans="2:2" x14ac:dyDescent="0.3">
      <c r="B19" s="147"/>
    </row>
  </sheetData>
  <printOptions horizontalCentered="1"/>
  <pageMargins left="0.7" right="0.7" top="0.75" bottom="0.75" header="0.3" footer="0.3"/>
  <pageSetup scale="97"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pageSetUpPr fitToPage="1"/>
  </sheetPr>
  <dimension ref="A1:B19"/>
  <sheetViews>
    <sheetView workbookViewId="0">
      <selection sqref="A1:B1"/>
    </sheetView>
  </sheetViews>
  <sheetFormatPr defaultColWidth="0" defaultRowHeight="14.4" zeroHeight="1" x14ac:dyDescent="0.3"/>
  <cols>
    <col min="1" max="1" width="43.5546875" style="18" customWidth="1"/>
    <col min="2" max="2" width="124" style="18" bestFit="1" customWidth="1"/>
    <col min="3" max="16384" width="9.109375" style="18" hidden="1"/>
  </cols>
  <sheetData>
    <row r="1" spans="1:2" x14ac:dyDescent="0.3">
      <c r="A1" s="419" t="s">
        <v>6</v>
      </c>
      <c r="B1" s="419"/>
    </row>
    <row r="2" spans="1:2" x14ac:dyDescent="0.3">
      <c r="A2" s="420" t="s">
        <v>7</v>
      </c>
      <c r="B2" s="420"/>
    </row>
    <row r="3" spans="1:2" x14ac:dyDescent="0.3">
      <c r="A3" s="421"/>
      <c r="B3" s="421"/>
    </row>
    <row r="4" spans="1:2" x14ac:dyDescent="0.3">
      <c r="A4" s="422"/>
      <c r="B4" s="422"/>
    </row>
    <row r="5" spans="1:2" x14ac:dyDescent="0.3">
      <c r="A5" s="48"/>
      <c r="B5" s="48"/>
    </row>
    <row r="6" spans="1:2" x14ac:dyDescent="0.3">
      <c r="A6" s="49" t="s">
        <v>8</v>
      </c>
      <c r="B6" s="49" t="s">
        <v>9</v>
      </c>
    </row>
    <row r="7" spans="1:2" x14ac:dyDescent="0.3">
      <c r="A7" s="50" t="s">
        <v>10</v>
      </c>
      <c r="B7" s="18" t="s">
        <v>11</v>
      </c>
    </row>
    <row r="8" spans="1:2" x14ac:dyDescent="0.3">
      <c r="A8" s="51" t="s">
        <v>12</v>
      </c>
      <c r="B8" s="18" t="s">
        <v>12</v>
      </c>
    </row>
    <row r="9" spans="1:2" x14ac:dyDescent="0.3">
      <c r="A9" s="51" t="s">
        <v>13</v>
      </c>
      <c r="B9" s="18" t="s">
        <v>14</v>
      </c>
    </row>
    <row r="10" spans="1:2" x14ac:dyDescent="0.3">
      <c r="A10" s="52" t="s">
        <v>15</v>
      </c>
      <c r="B10" s="18" t="s">
        <v>16</v>
      </c>
    </row>
    <row r="11" spans="1:2" x14ac:dyDescent="0.3">
      <c r="A11" s="52" t="s">
        <v>17</v>
      </c>
      <c r="B11" s="18" t="s">
        <v>18</v>
      </c>
    </row>
    <row r="12" spans="1:2" x14ac:dyDescent="0.3">
      <c r="A12" s="52" t="s">
        <v>19</v>
      </c>
      <c r="B12" s="18" t="s">
        <v>20</v>
      </c>
    </row>
    <row r="13" spans="1:2" x14ac:dyDescent="0.3">
      <c r="A13" s="52" t="s">
        <v>21</v>
      </c>
      <c r="B13" s="18" t="s">
        <v>22</v>
      </c>
    </row>
    <row r="14" spans="1:2" x14ac:dyDescent="0.3">
      <c r="A14" s="52" t="s">
        <v>23</v>
      </c>
      <c r="B14" s="18" t="s">
        <v>24</v>
      </c>
    </row>
    <row r="15" spans="1:2" x14ac:dyDescent="0.3">
      <c r="A15" s="52" t="s">
        <v>25</v>
      </c>
      <c r="B15" s="18" t="s">
        <v>26</v>
      </c>
    </row>
    <row r="16" spans="1:2" x14ac:dyDescent="0.3">
      <c r="A16" s="52" t="s">
        <v>27</v>
      </c>
      <c r="B16" s="18" t="s">
        <v>28</v>
      </c>
    </row>
    <row r="17" spans="1:2" x14ac:dyDescent="0.3">
      <c r="A17" s="52" t="s">
        <v>29</v>
      </c>
      <c r="B17" s="18" t="s">
        <v>30</v>
      </c>
    </row>
    <row r="18" spans="1:2" x14ac:dyDescent="0.3"/>
    <row r="19" spans="1:2" x14ac:dyDescent="0.3"/>
  </sheetData>
  <mergeCells count="4">
    <mergeCell ref="A1:B1"/>
    <mergeCell ref="A2:B2"/>
    <mergeCell ref="A3:B3"/>
    <mergeCell ref="A4:B4"/>
  </mergeCells>
  <hyperlinks>
    <hyperlink ref="A7" location="Home!A1" display="Home" xr:uid="{00000000-0004-0000-0100-000000000000}"/>
    <hyperlink ref="A8" location="'Table of Contents'!A1" display="Table of Contents" xr:uid="{00000000-0004-0000-0100-000001000000}"/>
    <hyperlink ref="A9" location="'Assumptions and Inputs'!A1" display="Assumptions and Inputs " xr:uid="{00000000-0004-0000-0100-000002000000}"/>
    <hyperlink ref="A10" location="Customer!A1" display="Customer" xr:uid="{00000000-0004-0000-0100-000003000000}"/>
    <hyperlink ref="A11" location="Summary!A1" display="Summary " xr:uid="{00000000-0004-0000-0100-000004000000}"/>
    <hyperlink ref="A12" location="'C-Factor'!A1" display="C-Factor" xr:uid="{00000000-0004-0000-0100-000005000000}"/>
    <hyperlink ref="A13" location="'E-Factor'!A1" display="E-Factor" xr:uid="{00000000-0004-0000-0100-000006000000}"/>
    <hyperlink ref="A15" location="'I-Factor'!A1" display="I-Factor" xr:uid="{00000000-0004-0000-0100-000007000000}"/>
    <hyperlink ref="A17" location="Rates!A1" display="Rates" xr:uid="{00000000-0004-0000-0100-000008000000}"/>
    <hyperlink ref="A14" location="'E-Factor PRIOR'!A1" display="E-Factor Prior" xr:uid="{D98F2539-414F-44E7-AD81-67F9A6AE3DB6}"/>
    <hyperlink ref="A16" location="'I-Factor PRIOR'!A1" display="I-Factor Prior" xr:uid="{80DC8295-C8A1-4AF9-86EA-2F65B4B95CC8}"/>
  </hyperlinks>
  <pageMargins left="0.7" right="0.7" top="0.75" bottom="0.75" header="0.3" footer="0.3"/>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Z126"/>
  <sheetViews>
    <sheetView topLeftCell="A4" workbookViewId="0">
      <selection activeCell="C15" sqref="C15"/>
    </sheetView>
  </sheetViews>
  <sheetFormatPr defaultColWidth="0" defaultRowHeight="14.4" zeroHeight="1" x14ac:dyDescent="0.3"/>
  <cols>
    <col min="1" max="1" width="4.88671875" style="18" customWidth="1"/>
    <col min="2" max="2" width="53.109375" style="18" customWidth="1"/>
    <col min="3" max="3" width="20.88671875" style="18" customWidth="1"/>
    <col min="4" max="4" width="12.5546875" style="18" customWidth="1"/>
    <col min="5" max="5" width="3.109375" style="18" customWidth="1"/>
    <col min="6" max="6" width="66.5546875" style="18" customWidth="1"/>
    <col min="7" max="7" width="33" style="18" customWidth="1"/>
    <col min="8" max="8" width="62.109375" style="18" customWidth="1"/>
    <col min="9" max="25" width="9.109375" style="18" customWidth="1"/>
    <col min="26" max="26" width="0" style="18" hidden="1" customWidth="1"/>
    <col min="27" max="16384" width="9.109375" style="18" hidden="1"/>
  </cols>
  <sheetData>
    <row r="1" spans="2:8" x14ac:dyDescent="0.3"/>
    <row r="2" spans="2:8" x14ac:dyDescent="0.3">
      <c r="B2" s="19" t="s">
        <v>31</v>
      </c>
      <c r="C2" s="19"/>
      <c r="D2" s="19"/>
      <c r="E2" s="19"/>
      <c r="F2" s="19"/>
      <c r="G2" s="19"/>
      <c r="H2" s="19"/>
    </row>
    <row r="3" spans="2:8" x14ac:dyDescent="0.3">
      <c r="B3" s="19" t="s">
        <v>32</v>
      </c>
      <c r="C3" s="19"/>
      <c r="D3" s="19"/>
      <c r="E3" s="19"/>
      <c r="F3" s="19"/>
      <c r="G3" s="19"/>
      <c r="H3" s="19"/>
    </row>
    <row r="4" spans="2:8" x14ac:dyDescent="0.3"/>
    <row r="5" spans="2:8" x14ac:dyDescent="0.3">
      <c r="B5" s="20" t="s">
        <v>33</v>
      </c>
      <c r="C5" s="20"/>
      <c r="D5" s="20"/>
      <c r="E5" s="20"/>
      <c r="F5" s="20" t="s">
        <v>34</v>
      </c>
      <c r="G5" s="20" t="s">
        <v>35</v>
      </c>
      <c r="H5" s="20" t="s">
        <v>36</v>
      </c>
    </row>
    <row r="6" spans="2:8" x14ac:dyDescent="0.3"/>
    <row r="7" spans="2:8" x14ac:dyDescent="0.3">
      <c r="B7" s="21" t="s">
        <v>37</v>
      </c>
      <c r="C7" s="22"/>
      <c r="D7" s="22"/>
      <c r="E7" s="22"/>
      <c r="F7" s="22"/>
      <c r="G7" s="22"/>
      <c r="H7" s="22"/>
    </row>
    <row r="8" spans="2:8" ht="15" thickBot="1" x14ac:dyDescent="0.35">
      <c r="B8" s="23"/>
      <c r="D8" s="24"/>
      <c r="E8" s="25"/>
      <c r="F8" s="26"/>
      <c r="G8" s="27"/>
      <c r="H8" s="27"/>
    </row>
    <row r="9" spans="2:8" ht="15" thickBot="1" x14ac:dyDescent="0.35">
      <c r="B9" s="23" t="s">
        <v>38</v>
      </c>
      <c r="C9" s="177" t="str">
        <f>[1]TRR_Summary!$B$4</f>
        <v>$55.49</v>
      </c>
      <c r="E9" s="25"/>
      <c r="F9" s="27" t="s">
        <v>39</v>
      </c>
      <c r="G9" s="27" t="s">
        <v>285</v>
      </c>
      <c r="H9" s="27"/>
    </row>
    <row r="10" spans="2:8" ht="15" thickBot="1" x14ac:dyDescent="0.35">
      <c r="B10" s="23"/>
      <c r="C10" s="170"/>
      <c r="E10" s="25"/>
      <c r="F10" s="26"/>
      <c r="G10" s="27"/>
      <c r="H10" s="27"/>
    </row>
    <row r="11" spans="2:8" ht="15" thickBot="1" x14ac:dyDescent="0.35">
      <c r="B11" s="23" t="s">
        <v>40</v>
      </c>
      <c r="C11" s="176">
        <f>[1]TRR_Summary!$B$5</f>
        <v>726</v>
      </c>
      <c r="E11" s="25"/>
      <c r="F11" s="27" t="s">
        <v>39</v>
      </c>
      <c r="G11" s="27" t="s">
        <v>285</v>
      </c>
      <c r="H11" s="27"/>
    </row>
    <row r="12" spans="2:8" x14ac:dyDescent="0.3">
      <c r="B12" s="23"/>
      <c r="C12" s="28"/>
      <c r="E12" s="25"/>
      <c r="F12" s="27"/>
      <c r="G12" s="27"/>
      <c r="H12" s="27"/>
    </row>
    <row r="13" spans="2:8" x14ac:dyDescent="0.3">
      <c r="B13" s="23" t="s">
        <v>41</v>
      </c>
      <c r="C13" s="178">
        <f>[1]TRR_Projections!$AT$5</f>
        <v>55974.139999999992</v>
      </c>
      <c r="E13" s="25"/>
      <c r="F13" s="27" t="s">
        <v>39</v>
      </c>
      <c r="G13" s="27" t="s">
        <v>285</v>
      </c>
      <c r="H13" s="27"/>
    </row>
    <row r="14" spans="2:8" ht="15" thickBot="1" x14ac:dyDescent="0.35">
      <c r="B14" s="23"/>
      <c r="C14" s="163"/>
      <c r="E14" s="25"/>
      <c r="F14" s="27"/>
      <c r="G14" s="27"/>
      <c r="H14" s="27"/>
    </row>
    <row r="15" spans="2:8" ht="15" thickBot="1" x14ac:dyDescent="0.35">
      <c r="B15" s="23" t="s">
        <v>42</v>
      </c>
      <c r="C15" s="179">
        <f>[1]TRR_Projections!$BG$24</f>
        <v>22615699.528282378</v>
      </c>
      <c r="E15" s="25"/>
      <c r="F15" s="27" t="s">
        <v>39</v>
      </c>
      <c r="G15" s="27" t="s">
        <v>285</v>
      </c>
      <c r="H15" s="27"/>
    </row>
    <row r="16" spans="2:8" x14ac:dyDescent="0.3">
      <c r="C16" s="55"/>
    </row>
    <row r="17" spans="2:14" x14ac:dyDescent="0.3">
      <c r="B17" s="29" t="s">
        <v>43</v>
      </c>
      <c r="C17" s="30"/>
      <c r="D17" s="30"/>
      <c r="E17" s="30"/>
      <c r="F17" s="30"/>
      <c r="G17" s="30"/>
      <c r="H17" s="30"/>
    </row>
    <row r="18" spans="2:14" x14ac:dyDescent="0.3"/>
    <row r="19" spans="2:14" x14ac:dyDescent="0.3">
      <c r="B19" s="18" t="s">
        <v>44</v>
      </c>
      <c r="C19" s="31">
        <v>0</v>
      </c>
      <c r="F19" s="18" t="s">
        <v>45</v>
      </c>
      <c r="G19" s="36"/>
      <c r="J19" s="36"/>
      <c r="N19" s="36"/>
    </row>
    <row r="20" spans="2:14" x14ac:dyDescent="0.3">
      <c r="G20" s="32"/>
    </row>
    <row r="21" spans="2:14" x14ac:dyDescent="0.3">
      <c r="B21" s="18" t="s">
        <v>46</v>
      </c>
      <c r="C21" s="33">
        <v>10</v>
      </c>
    </row>
    <row r="22" spans="2:14" x14ac:dyDescent="0.3"/>
    <row r="23" spans="2:14" x14ac:dyDescent="0.3">
      <c r="B23" s="21" t="s">
        <v>47</v>
      </c>
      <c r="C23" s="22"/>
      <c r="D23" s="22"/>
      <c r="E23" s="22"/>
      <c r="F23" s="22"/>
      <c r="G23" s="22"/>
      <c r="H23" s="22"/>
    </row>
    <row r="24" spans="2:14" x14ac:dyDescent="0.3">
      <c r="B24" s="21"/>
      <c r="C24" s="22"/>
      <c r="D24" s="22"/>
      <c r="E24" s="22"/>
      <c r="F24" s="22"/>
      <c r="G24" s="22"/>
      <c r="H24" s="22"/>
    </row>
    <row r="25" spans="2:14" x14ac:dyDescent="0.3">
      <c r="B25" s="45"/>
    </row>
    <row r="26" spans="2:14" x14ac:dyDescent="0.3">
      <c r="B26" s="46" t="s">
        <v>48</v>
      </c>
    </row>
    <row r="27" spans="2:14" x14ac:dyDescent="0.3">
      <c r="B27" s="34" t="s">
        <v>49</v>
      </c>
      <c r="C27" s="35">
        <v>1.03</v>
      </c>
      <c r="D27" s="18" t="s">
        <v>50</v>
      </c>
      <c r="F27" s="36" t="s">
        <v>51</v>
      </c>
      <c r="G27" s="36" t="s">
        <v>52</v>
      </c>
      <c r="H27" s="36"/>
    </row>
    <row r="28" spans="2:14" x14ac:dyDescent="0.3">
      <c r="B28" s="34"/>
    </row>
    <row r="29" spans="2:14" x14ac:dyDescent="0.3">
      <c r="B29" s="34" t="s">
        <v>53</v>
      </c>
      <c r="C29" s="35">
        <v>1.63</v>
      </c>
      <c r="D29" s="18" t="s">
        <v>50</v>
      </c>
      <c r="F29" s="36" t="s">
        <v>51</v>
      </c>
      <c r="G29" s="36" t="s">
        <v>54</v>
      </c>
      <c r="H29" s="36"/>
    </row>
    <row r="30" spans="2:14" x14ac:dyDescent="0.3">
      <c r="F30" s="36"/>
      <c r="G30" s="36"/>
      <c r="H30" s="36"/>
    </row>
    <row r="31" spans="2:14" x14ac:dyDescent="0.3">
      <c r="B31" s="46" t="s">
        <v>55</v>
      </c>
      <c r="F31" s="36"/>
      <c r="G31" s="36"/>
      <c r="H31" s="36"/>
    </row>
    <row r="32" spans="2:14" x14ac:dyDescent="0.3">
      <c r="B32" s="34" t="s">
        <v>49</v>
      </c>
      <c r="C32" s="35">
        <v>0.15</v>
      </c>
      <c r="D32" s="18" t="s">
        <v>50</v>
      </c>
      <c r="F32" s="36" t="s">
        <v>58</v>
      </c>
      <c r="G32" s="36" t="s">
        <v>52</v>
      </c>
      <c r="H32" s="36"/>
    </row>
    <row r="33" spans="2:8" x14ac:dyDescent="0.3">
      <c r="B33" s="34"/>
      <c r="H33" s="36"/>
    </row>
    <row r="34" spans="2:8" x14ac:dyDescent="0.3">
      <c r="B34" s="34" t="s">
        <v>53</v>
      </c>
      <c r="C34" s="35">
        <v>0.24</v>
      </c>
      <c r="D34" s="18" t="s">
        <v>50</v>
      </c>
      <c r="F34" s="36" t="s">
        <v>58</v>
      </c>
      <c r="G34" s="36" t="s">
        <v>54</v>
      </c>
      <c r="H34" s="36"/>
    </row>
    <row r="35" spans="2:8" x14ac:dyDescent="0.3"/>
    <row r="36" spans="2:8" x14ac:dyDescent="0.3">
      <c r="B36" s="37" t="s">
        <v>56</v>
      </c>
      <c r="C36" s="38"/>
      <c r="D36" s="38"/>
      <c r="E36" s="38"/>
      <c r="F36" s="38"/>
      <c r="G36" s="38"/>
      <c r="H36" s="38"/>
    </row>
    <row r="37" spans="2:8" x14ac:dyDescent="0.3"/>
    <row r="38" spans="2:8" x14ac:dyDescent="0.3">
      <c r="B38" s="23" t="s">
        <v>57</v>
      </c>
      <c r="C38" s="31">
        <v>0.96989999999999998</v>
      </c>
      <c r="F38" s="36" t="s">
        <v>58</v>
      </c>
      <c r="G38" s="36" t="s">
        <v>59</v>
      </c>
      <c r="H38" s="36"/>
    </row>
    <row r="39" spans="2:8" x14ac:dyDescent="0.3">
      <c r="C39" s="161"/>
    </row>
    <row r="40" spans="2:8" x14ac:dyDescent="0.3">
      <c r="B40" s="23" t="s">
        <v>60</v>
      </c>
      <c r="C40" s="31">
        <v>0.42</v>
      </c>
      <c r="F40" s="36" t="s">
        <v>58</v>
      </c>
      <c r="G40" s="36" t="s">
        <v>61</v>
      </c>
      <c r="H40" s="36"/>
    </row>
    <row r="41" spans="2:8" x14ac:dyDescent="0.3">
      <c r="B41" s="23"/>
      <c r="F41" s="36"/>
      <c r="G41" s="36"/>
      <c r="H41" s="36"/>
    </row>
    <row r="42" spans="2:8" x14ac:dyDescent="0.3">
      <c r="B42" s="23" t="s">
        <v>62</v>
      </c>
      <c r="C42" s="31">
        <v>0.57999999999999996</v>
      </c>
      <c r="F42" s="36" t="s">
        <v>58</v>
      </c>
      <c r="G42" s="36" t="s">
        <v>63</v>
      </c>
      <c r="H42" s="36"/>
    </row>
    <row r="43" spans="2:8" x14ac:dyDescent="0.3">
      <c r="B43" s="23"/>
      <c r="C43" s="161"/>
      <c r="F43" s="162"/>
      <c r="G43" s="36"/>
      <c r="H43" s="36"/>
    </row>
    <row r="44" spans="2:8" x14ac:dyDescent="0.3">
      <c r="B44" s="46" t="s">
        <v>64</v>
      </c>
      <c r="C44" s="161"/>
      <c r="F44" s="36"/>
      <c r="G44" s="36"/>
      <c r="H44" s="36"/>
    </row>
    <row r="45" spans="2:8" x14ac:dyDescent="0.3">
      <c r="B45" s="23" t="s">
        <v>57</v>
      </c>
      <c r="C45" s="31">
        <v>0.97319999999999995</v>
      </c>
      <c r="F45" s="36" t="s">
        <v>51</v>
      </c>
      <c r="G45" s="36" t="s">
        <v>59</v>
      </c>
      <c r="H45" s="36"/>
    </row>
    <row r="46" spans="2:8" x14ac:dyDescent="0.3">
      <c r="C46" s="161"/>
      <c r="H46" s="36"/>
    </row>
    <row r="47" spans="2:8" x14ac:dyDescent="0.3">
      <c r="B47" s="23" t="s">
        <v>60</v>
      </c>
      <c r="C47" s="31">
        <v>0.4</v>
      </c>
      <c r="F47" s="36" t="s">
        <v>51</v>
      </c>
      <c r="G47" s="36" t="s">
        <v>61</v>
      </c>
      <c r="H47" s="36"/>
    </row>
    <row r="48" spans="2:8" x14ac:dyDescent="0.3">
      <c r="B48" s="23"/>
      <c r="C48" s="161"/>
      <c r="F48" s="36"/>
      <c r="G48" s="36"/>
      <c r="H48" s="36"/>
    </row>
    <row r="49" spans="2:8" x14ac:dyDescent="0.3">
      <c r="B49" s="23" t="s">
        <v>62</v>
      </c>
      <c r="C49" s="31">
        <v>0.6</v>
      </c>
      <c r="F49" s="36" t="s">
        <v>51</v>
      </c>
      <c r="G49" s="36" t="s">
        <v>63</v>
      </c>
      <c r="H49" s="36"/>
    </row>
    <row r="50" spans="2:8" x14ac:dyDescent="0.3">
      <c r="B50" s="23"/>
      <c r="F50" s="36"/>
      <c r="G50" s="36"/>
      <c r="H50" s="36"/>
    </row>
    <row r="51" spans="2:8" x14ac:dyDescent="0.3">
      <c r="B51" s="46" t="s">
        <v>64</v>
      </c>
    </row>
    <row r="52" spans="2:8" ht="16.2" x14ac:dyDescent="0.45">
      <c r="B52" s="23" t="s">
        <v>65</v>
      </c>
      <c r="C52" s="31">
        <v>4.6600000000000003E-2</v>
      </c>
      <c r="D52" s="39"/>
      <c r="F52" s="36" t="s">
        <v>51</v>
      </c>
      <c r="G52" s="36" t="s">
        <v>66</v>
      </c>
      <c r="H52" s="40" t="s">
        <v>67</v>
      </c>
    </row>
    <row r="53" spans="2:8" x14ac:dyDescent="0.3">
      <c r="B53" s="39" t="s">
        <v>68</v>
      </c>
      <c r="C53" s="41">
        <v>44896</v>
      </c>
      <c r="F53" s="161"/>
    </row>
    <row r="54" spans="2:8" x14ac:dyDescent="0.3">
      <c r="B54" s="39"/>
      <c r="C54" s="47"/>
    </row>
    <row r="55" spans="2:8" x14ac:dyDescent="0.3">
      <c r="B55" s="46" t="s">
        <v>69</v>
      </c>
    </row>
    <row r="56" spans="2:8" ht="16.2" x14ac:dyDescent="0.45">
      <c r="B56" s="23" t="s">
        <v>65</v>
      </c>
      <c r="C56" s="31">
        <v>4.8000000000000001E-2</v>
      </c>
      <c r="D56" s="39"/>
      <c r="F56" s="36" t="s">
        <v>58</v>
      </c>
      <c r="G56" s="36" t="s">
        <v>66</v>
      </c>
      <c r="H56" s="40" t="s">
        <v>67</v>
      </c>
    </row>
    <row r="57" spans="2:8" x14ac:dyDescent="0.3">
      <c r="B57" s="39" t="s">
        <v>68</v>
      </c>
      <c r="C57" s="41">
        <v>45293</v>
      </c>
      <c r="H57" s="18" t="s">
        <v>281</v>
      </c>
    </row>
    <row r="58" spans="2:8" x14ac:dyDescent="0.3"/>
    <row r="59" spans="2:8" x14ac:dyDescent="0.3">
      <c r="B59" s="29" t="s">
        <v>70</v>
      </c>
      <c r="C59" s="30"/>
      <c r="D59" s="30"/>
      <c r="E59" s="30"/>
      <c r="F59" s="30"/>
      <c r="G59" s="30"/>
      <c r="H59" s="30"/>
    </row>
    <row r="60" spans="2:8" x14ac:dyDescent="0.3">
      <c r="C60" s="42"/>
      <c r="D60" s="42"/>
    </row>
    <row r="61" spans="2:8" x14ac:dyDescent="0.3">
      <c r="B61" s="43" t="s">
        <v>71</v>
      </c>
      <c r="C61" s="44">
        <v>12</v>
      </c>
    </row>
    <row r="62" spans="2:8" x14ac:dyDescent="0.3"/>
    <row r="63" spans="2:8" x14ac:dyDescent="0.3">
      <c r="B63" s="29" t="s">
        <v>72</v>
      </c>
      <c r="C63" s="30"/>
      <c r="D63" s="30"/>
      <c r="E63" s="30"/>
      <c r="F63" s="30"/>
      <c r="G63" s="30"/>
      <c r="H63" s="30"/>
    </row>
    <row r="64" spans="2:8" x14ac:dyDescent="0.3"/>
    <row r="65" spans="2:6" x14ac:dyDescent="0.3">
      <c r="B65" s="43" t="s">
        <v>73</v>
      </c>
      <c r="C65" s="155">
        <v>45536</v>
      </c>
    </row>
    <row r="66" spans="2:6" x14ac:dyDescent="0.3"/>
    <row r="67" spans="2:6" x14ac:dyDescent="0.3">
      <c r="B67" s="43" t="s">
        <v>74</v>
      </c>
      <c r="C67" s="155">
        <v>45900</v>
      </c>
    </row>
    <row r="68" spans="2:6" x14ac:dyDescent="0.3"/>
    <row r="69" spans="2:6" x14ac:dyDescent="0.3">
      <c r="B69" s="43" t="s">
        <v>75</v>
      </c>
      <c r="C69" s="44" t="s">
        <v>272</v>
      </c>
    </row>
    <row r="70" spans="2:6" x14ac:dyDescent="0.3"/>
    <row r="71" spans="2:6" x14ac:dyDescent="0.3">
      <c r="B71" s="43" t="s">
        <v>77</v>
      </c>
      <c r="C71" s="44" t="s">
        <v>76</v>
      </c>
    </row>
    <row r="72" spans="2:6" x14ac:dyDescent="0.3"/>
    <row r="73" spans="2:6" x14ac:dyDescent="0.3">
      <c r="B73" s="43" t="s">
        <v>78</v>
      </c>
      <c r="C73" s="154" t="s">
        <v>284</v>
      </c>
    </row>
    <row r="74" spans="2:6" x14ac:dyDescent="0.3"/>
    <row r="75" spans="2:6" x14ac:dyDescent="0.3">
      <c r="B75" s="43" t="s">
        <v>79</v>
      </c>
      <c r="C75" s="154" t="s">
        <v>80</v>
      </c>
    </row>
    <row r="76" spans="2:6" x14ac:dyDescent="0.3"/>
    <row r="77" spans="2:6" x14ac:dyDescent="0.3">
      <c r="B77" s="46" t="s">
        <v>81</v>
      </c>
    </row>
    <row r="78" spans="2:6" x14ac:dyDescent="0.3">
      <c r="B78" s="43" t="s">
        <v>82</v>
      </c>
    </row>
    <row r="79" spans="2:6" x14ac:dyDescent="0.3">
      <c r="B79" s="39" t="s">
        <v>83</v>
      </c>
      <c r="C79" s="156">
        <v>3073156</v>
      </c>
      <c r="F79" s="32" t="s">
        <v>84</v>
      </c>
    </row>
    <row r="80" spans="2:6" x14ac:dyDescent="0.3">
      <c r="B80" s="39" t="s">
        <v>85</v>
      </c>
      <c r="C80" s="156">
        <v>4597456</v>
      </c>
      <c r="F80" s="32" t="s">
        <v>86</v>
      </c>
    </row>
    <row r="81" spans="2:6" x14ac:dyDescent="0.3"/>
    <row r="82" spans="2:6" x14ac:dyDescent="0.3">
      <c r="B82" s="43" t="s">
        <v>87</v>
      </c>
    </row>
    <row r="83" spans="2:6" x14ac:dyDescent="0.3">
      <c r="B83" s="39" t="s">
        <v>83</v>
      </c>
      <c r="C83" s="156">
        <v>61361</v>
      </c>
      <c r="F83" s="32" t="s">
        <v>88</v>
      </c>
    </row>
    <row r="84" spans="2:6" x14ac:dyDescent="0.3">
      <c r="B84" s="39" t="s">
        <v>85</v>
      </c>
      <c r="C84" s="156">
        <v>91546</v>
      </c>
      <c r="F84" s="32" t="s">
        <v>89</v>
      </c>
    </row>
    <row r="85" spans="2:6" x14ac:dyDescent="0.3"/>
    <row r="86" spans="2:6" x14ac:dyDescent="0.3"/>
    <row r="87" spans="2:6" x14ac:dyDescent="0.3"/>
    <row r="88" spans="2:6" x14ac:dyDescent="0.3"/>
    <row r="89" spans="2:6" x14ac:dyDescent="0.3"/>
    <row r="90" spans="2:6" x14ac:dyDescent="0.3"/>
    <row r="91" spans="2:6" x14ac:dyDescent="0.3"/>
    <row r="92" spans="2:6" x14ac:dyDescent="0.3"/>
    <row r="93" spans="2:6" x14ac:dyDescent="0.3"/>
    <row r="94" spans="2:6" x14ac:dyDescent="0.3"/>
    <row r="95" spans="2:6" x14ac:dyDescent="0.3"/>
    <row r="96" spans="2: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sheetData>
  <hyperlinks>
    <hyperlink ref="H52" r:id="rId1" display="https://www.federalreserve.gov/releases/h15/" xr:uid="{00000000-0004-0000-0200-000000000000}"/>
    <hyperlink ref="H56" r:id="rId2" display="https://www.federalreserve.gov/releases/h15/" xr:uid="{7AD51F90-01FF-4DC8-BE14-85147F35CADC}"/>
  </hyperlinks>
  <pageMargins left="0.7" right="0.7" top="0.75" bottom="0.75" header="0.3" footer="0.3"/>
  <pageSetup scale="3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DO120"/>
  <sheetViews>
    <sheetView workbookViewId="0">
      <pane xSplit="2" ySplit="3" topLeftCell="BP4" activePane="bottomRight" state="frozen"/>
      <selection pane="topRight" activeCell="C1" sqref="C1"/>
      <selection pane="bottomLeft" activeCell="A4" sqref="A4"/>
      <selection pane="bottomRight" activeCell="BP11" sqref="BP11"/>
    </sheetView>
  </sheetViews>
  <sheetFormatPr defaultColWidth="0" defaultRowHeight="14.4" zeroHeight="1" outlineLevelCol="1" x14ac:dyDescent="0.3"/>
  <cols>
    <col min="1" max="1" width="5.44140625" style="18" customWidth="1"/>
    <col min="2" max="2" width="40.88671875" style="18" customWidth="1"/>
    <col min="3" max="3" width="5.5546875" style="56" customWidth="1"/>
    <col min="4" max="53" width="15.5546875" style="18" hidden="1" customWidth="1" outlineLevel="1"/>
    <col min="54" max="63" width="16.44140625" style="18" hidden="1" customWidth="1" outlineLevel="1"/>
    <col min="64" max="64" width="16.44140625" style="18" customWidth="1" collapsed="1"/>
    <col min="65" max="72" width="16.44140625" style="18" customWidth="1"/>
    <col min="73" max="73" width="18.5546875" style="18" customWidth="1"/>
    <col min="74" max="84" width="16.44140625" style="18" customWidth="1"/>
    <col min="85" max="85" width="19.109375" style="18" customWidth="1"/>
    <col min="86" max="87" width="16.44140625" style="18" customWidth="1"/>
    <col min="88" max="88" width="1.5546875" style="57" customWidth="1"/>
    <col min="89" max="89" width="23" style="57" customWidth="1"/>
    <col min="90" max="90" width="2.5546875" style="57" customWidth="1"/>
    <col min="91" max="91" width="23" style="57" customWidth="1"/>
    <col min="92" max="92" width="1.5546875" style="57" customWidth="1"/>
    <col min="93" max="93" width="30" style="18" customWidth="1"/>
    <col min="94" max="94" width="59.109375" style="18" customWidth="1"/>
    <col min="95" max="99" width="9.109375" style="18" customWidth="1"/>
    <col min="100" max="100" width="16.88671875" style="18" customWidth="1"/>
    <col min="101" max="101" width="15.44140625" style="18" customWidth="1"/>
    <col min="102" max="102" width="12.88671875" style="18" customWidth="1"/>
    <col min="103" max="103" width="9.109375" style="18" customWidth="1"/>
    <col min="104" max="104" width="14.88671875" style="18" customWidth="1"/>
    <col min="105" max="107" width="9.109375" style="18" customWidth="1"/>
    <col min="108" max="108" width="14.88671875" style="18" customWidth="1"/>
    <col min="109" max="113" width="9.109375" style="18" customWidth="1"/>
    <col min="114" max="119" width="0" style="18" hidden="1" customWidth="1"/>
    <col min="120" max="16384" width="9.109375" style="18" hidden="1"/>
  </cols>
  <sheetData>
    <row r="1" spans="2:109" x14ac:dyDescent="0.3">
      <c r="D1" s="419" t="s">
        <v>90</v>
      </c>
      <c r="E1" s="419"/>
      <c r="F1" s="419"/>
      <c r="G1" s="419"/>
      <c r="H1" s="419"/>
      <c r="I1" s="419"/>
      <c r="J1" s="419"/>
      <c r="K1" s="419"/>
      <c r="L1" s="419"/>
      <c r="M1" s="419"/>
      <c r="N1" s="419"/>
      <c r="O1" s="419"/>
      <c r="P1" s="419" t="s">
        <v>91</v>
      </c>
      <c r="Q1" s="419"/>
      <c r="R1" s="419"/>
      <c r="S1" s="419"/>
      <c r="T1" s="419"/>
      <c r="U1" s="419"/>
      <c r="V1" s="419"/>
      <c r="W1" s="419"/>
      <c r="X1" s="419"/>
      <c r="Y1" s="419"/>
      <c r="Z1" s="419"/>
      <c r="AA1" s="419"/>
      <c r="AB1" s="419" t="s">
        <v>92</v>
      </c>
      <c r="AC1" s="419"/>
      <c r="AD1" s="419"/>
      <c r="AE1" s="419"/>
      <c r="AF1" s="419"/>
      <c r="AG1" s="419"/>
      <c r="AH1" s="419"/>
      <c r="AI1" s="419"/>
      <c r="AJ1" s="419"/>
      <c r="AK1" s="419"/>
      <c r="AL1" s="419"/>
      <c r="AM1" s="419"/>
      <c r="AN1" s="419" t="s">
        <v>93</v>
      </c>
      <c r="AO1" s="419"/>
      <c r="AP1" s="419"/>
      <c r="AQ1" s="419"/>
      <c r="AR1" s="419"/>
      <c r="AS1" s="419"/>
      <c r="AT1" s="419"/>
      <c r="AU1" s="419"/>
      <c r="AV1" s="419"/>
      <c r="AW1" s="419"/>
      <c r="AX1" s="419"/>
      <c r="AY1" s="419"/>
      <c r="AZ1" s="48"/>
      <c r="BA1" s="48"/>
      <c r="BB1" s="48"/>
      <c r="BC1" s="48"/>
      <c r="BD1" s="48"/>
      <c r="BE1" s="48"/>
      <c r="BF1" s="48"/>
      <c r="BG1" s="48"/>
      <c r="BH1" s="48"/>
      <c r="BI1" s="48"/>
      <c r="BJ1" s="48"/>
      <c r="BK1" s="48"/>
      <c r="BL1" s="421" t="s">
        <v>94</v>
      </c>
      <c r="BM1" s="421"/>
      <c r="BN1" s="421"/>
      <c r="BO1" s="421"/>
      <c r="BP1" s="421"/>
      <c r="BQ1" s="421"/>
      <c r="BR1" s="421"/>
      <c r="BS1" s="421"/>
      <c r="BT1" s="421"/>
      <c r="BU1" s="421"/>
      <c r="BV1" s="421"/>
      <c r="BW1" s="421"/>
      <c r="BX1" s="166" t="s">
        <v>95</v>
      </c>
      <c r="BY1" s="166"/>
      <c r="BZ1" s="166"/>
      <c r="CA1" s="166"/>
      <c r="CB1" s="166"/>
      <c r="CC1" s="166"/>
      <c r="CD1" s="166"/>
      <c r="CE1" s="166"/>
      <c r="CF1" s="166"/>
      <c r="CG1" s="166"/>
      <c r="CH1" s="166"/>
      <c r="CI1" s="166"/>
    </row>
    <row r="2" spans="2:109" x14ac:dyDescent="0.3">
      <c r="D2" s="42">
        <v>2018</v>
      </c>
      <c r="E2" s="53"/>
      <c r="F2" s="53"/>
      <c r="G2" s="53"/>
      <c r="H2" s="42">
        <v>2019</v>
      </c>
      <c r="I2" s="53"/>
      <c r="J2" s="53"/>
      <c r="K2" s="53"/>
      <c r="L2" s="53"/>
      <c r="M2" s="53"/>
      <c r="N2" s="53"/>
      <c r="O2" s="53"/>
      <c r="P2" s="53"/>
      <c r="Q2" s="53"/>
      <c r="R2" s="53"/>
      <c r="S2" s="53"/>
      <c r="T2" s="423">
        <v>2020</v>
      </c>
      <c r="U2" s="423"/>
      <c r="V2" s="423"/>
      <c r="W2" s="423"/>
      <c r="X2" s="423"/>
      <c r="Y2" s="423"/>
      <c r="Z2" s="423"/>
      <c r="AA2" s="423"/>
      <c r="AB2" s="423"/>
      <c r="AC2" s="423"/>
      <c r="AD2" s="423"/>
      <c r="AE2" s="423"/>
      <c r="AF2" s="423">
        <v>2021</v>
      </c>
      <c r="AG2" s="423"/>
      <c r="AH2" s="423"/>
      <c r="AI2" s="423"/>
      <c r="AJ2" s="423"/>
      <c r="AK2" s="423"/>
      <c r="AL2" s="423"/>
      <c r="AM2" s="423"/>
      <c r="AN2" s="423"/>
      <c r="AO2" s="423"/>
      <c r="AP2" s="423"/>
      <c r="AQ2" s="423"/>
      <c r="AR2" s="423">
        <v>2022</v>
      </c>
      <c r="AS2" s="423"/>
      <c r="AT2" s="423"/>
      <c r="AU2" s="423"/>
      <c r="AV2" s="423"/>
      <c r="AW2" s="423"/>
      <c r="AX2" s="423"/>
      <c r="AY2" s="423"/>
      <c r="AZ2" s="423"/>
      <c r="BA2" s="423"/>
      <c r="BB2" s="423"/>
      <c r="BC2" s="423"/>
      <c r="BD2" s="423">
        <v>2023</v>
      </c>
      <c r="BE2" s="423"/>
      <c r="BF2" s="423"/>
      <c r="BG2" s="423"/>
      <c r="BH2" s="423"/>
      <c r="BI2" s="423"/>
      <c r="BJ2" s="423"/>
      <c r="BK2" s="423"/>
      <c r="BL2" s="423"/>
      <c r="BM2" s="423"/>
      <c r="BN2" s="423"/>
      <c r="BO2" s="423"/>
      <c r="BP2" s="167">
        <v>2024</v>
      </c>
      <c r="BQ2" s="167"/>
      <c r="BR2" s="167"/>
      <c r="BS2" s="167"/>
      <c r="BT2" s="167"/>
      <c r="BU2" s="167"/>
      <c r="BV2" s="167"/>
      <c r="BW2" s="167"/>
      <c r="BX2" s="167"/>
      <c r="BY2" s="167"/>
      <c r="BZ2" s="167"/>
      <c r="CA2" s="42"/>
      <c r="CB2" s="42">
        <v>2025</v>
      </c>
      <c r="CC2" s="42"/>
      <c r="CD2" s="42"/>
      <c r="CE2" s="42"/>
      <c r="CF2" s="42"/>
      <c r="CG2" s="42"/>
      <c r="CH2" s="42"/>
      <c r="CI2" s="42"/>
    </row>
    <row r="3" spans="2:109" ht="28.8" x14ac:dyDescent="0.3">
      <c r="B3" s="20" t="s">
        <v>33</v>
      </c>
      <c r="C3" s="20"/>
      <c r="D3" s="58" t="s">
        <v>96</v>
      </c>
      <c r="E3" s="58" t="s">
        <v>97</v>
      </c>
      <c r="F3" s="58" t="s">
        <v>98</v>
      </c>
      <c r="G3" s="58" t="s">
        <v>99</v>
      </c>
      <c r="H3" s="58" t="s">
        <v>100</v>
      </c>
      <c r="I3" s="58" t="s">
        <v>101</v>
      </c>
      <c r="J3" s="58" t="s">
        <v>102</v>
      </c>
      <c r="K3" s="58" t="s">
        <v>103</v>
      </c>
      <c r="L3" s="58" t="s">
        <v>104</v>
      </c>
      <c r="M3" s="58" t="s">
        <v>105</v>
      </c>
      <c r="N3" s="58" t="s">
        <v>106</v>
      </c>
      <c r="O3" s="58" t="s">
        <v>107</v>
      </c>
      <c r="P3" s="58" t="s">
        <v>96</v>
      </c>
      <c r="Q3" s="58" t="s">
        <v>97</v>
      </c>
      <c r="R3" s="58" t="s">
        <v>98</v>
      </c>
      <c r="S3" s="58" t="s">
        <v>99</v>
      </c>
      <c r="T3" s="58" t="s">
        <v>100</v>
      </c>
      <c r="U3" s="58" t="s">
        <v>101</v>
      </c>
      <c r="V3" s="58" t="s">
        <v>102</v>
      </c>
      <c r="W3" s="58" t="s">
        <v>103</v>
      </c>
      <c r="X3" s="58" t="s">
        <v>104</v>
      </c>
      <c r="Y3" s="58" t="s">
        <v>105</v>
      </c>
      <c r="Z3" s="58" t="s">
        <v>106</v>
      </c>
      <c r="AA3" s="58" t="s">
        <v>107</v>
      </c>
      <c r="AB3" s="58" t="s">
        <v>96</v>
      </c>
      <c r="AC3" s="58" t="s">
        <v>108</v>
      </c>
      <c r="AD3" s="58" t="s">
        <v>98</v>
      </c>
      <c r="AE3" s="58" t="s">
        <v>109</v>
      </c>
      <c r="AF3" s="58" t="s">
        <v>110</v>
      </c>
      <c r="AG3" s="58" t="s">
        <v>111</v>
      </c>
      <c r="AH3" s="58" t="s">
        <v>102</v>
      </c>
      <c r="AI3" s="58" t="s">
        <v>103</v>
      </c>
      <c r="AJ3" s="58" t="s">
        <v>112</v>
      </c>
      <c r="AK3" s="58" t="s">
        <v>105</v>
      </c>
      <c r="AL3" s="58" t="s">
        <v>113</v>
      </c>
      <c r="AM3" s="58" t="s">
        <v>107</v>
      </c>
      <c r="AN3" s="58" t="s">
        <v>96</v>
      </c>
      <c r="AO3" s="58" t="s">
        <v>108</v>
      </c>
      <c r="AP3" s="58" t="s">
        <v>98</v>
      </c>
      <c r="AQ3" s="58" t="s">
        <v>109</v>
      </c>
      <c r="AR3" s="58" t="s">
        <v>110</v>
      </c>
      <c r="AS3" s="58" t="s">
        <v>101</v>
      </c>
      <c r="AT3" s="58" t="s">
        <v>102</v>
      </c>
      <c r="AU3" s="58" t="s">
        <v>103</v>
      </c>
      <c r="AV3" s="58" t="s">
        <v>112</v>
      </c>
      <c r="AW3" s="58" t="s">
        <v>105</v>
      </c>
      <c r="AX3" s="58" t="s">
        <v>113</v>
      </c>
      <c r="AY3" s="58" t="s">
        <v>107</v>
      </c>
      <c r="AZ3" s="58" t="s">
        <v>96</v>
      </c>
      <c r="BA3" s="58" t="s">
        <v>108</v>
      </c>
      <c r="BB3" s="58" t="s">
        <v>98</v>
      </c>
      <c r="BC3" s="58" t="s">
        <v>109</v>
      </c>
      <c r="BD3" s="58" t="s">
        <v>110</v>
      </c>
      <c r="BE3" s="58" t="s">
        <v>101</v>
      </c>
      <c r="BF3" s="58" t="s">
        <v>102</v>
      </c>
      <c r="BG3" s="58" t="s">
        <v>103</v>
      </c>
      <c r="BH3" s="58" t="s">
        <v>112</v>
      </c>
      <c r="BI3" s="58" t="s">
        <v>105</v>
      </c>
      <c r="BJ3" s="58" t="s">
        <v>113</v>
      </c>
      <c r="BK3" s="58" t="s">
        <v>107</v>
      </c>
      <c r="BL3" s="58" t="s">
        <v>96</v>
      </c>
      <c r="BM3" s="58" t="s">
        <v>108</v>
      </c>
      <c r="BN3" s="58" t="s">
        <v>98</v>
      </c>
      <c r="BO3" s="58" t="s">
        <v>109</v>
      </c>
      <c r="BP3" s="58" t="s">
        <v>110</v>
      </c>
      <c r="BQ3" s="58" t="s">
        <v>101</v>
      </c>
      <c r="BR3" s="58" t="s">
        <v>102</v>
      </c>
      <c r="BS3" s="58" t="s">
        <v>103</v>
      </c>
      <c r="BT3" s="58" t="s">
        <v>112</v>
      </c>
      <c r="BU3" s="58" t="s">
        <v>105</v>
      </c>
      <c r="BV3" s="58" t="s">
        <v>113</v>
      </c>
      <c r="BW3" s="58" t="s">
        <v>107</v>
      </c>
      <c r="BX3" s="58" t="s">
        <v>96</v>
      </c>
      <c r="BY3" s="58" t="s">
        <v>108</v>
      </c>
      <c r="BZ3" s="58" t="s">
        <v>98</v>
      </c>
      <c r="CA3" s="58" t="s">
        <v>109</v>
      </c>
      <c r="CB3" s="58" t="s">
        <v>110</v>
      </c>
      <c r="CC3" s="58" t="s">
        <v>101</v>
      </c>
      <c r="CD3" s="58" t="s">
        <v>102</v>
      </c>
      <c r="CE3" s="58" t="s">
        <v>103</v>
      </c>
      <c r="CF3" s="58" t="s">
        <v>112</v>
      </c>
      <c r="CG3" s="58" t="s">
        <v>105</v>
      </c>
      <c r="CH3" s="58" t="s">
        <v>113</v>
      </c>
      <c r="CI3" s="58" t="s">
        <v>107</v>
      </c>
      <c r="CJ3" s="59"/>
      <c r="CK3" s="153" t="s">
        <v>114</v>
      </c>
      <c r="CL3" s="153"/>
      <c r="CM3" s="153" t="s">
        <v>115</v>
      </c>
      <c r="CN3" s="59"/>
      <c r="CO3" s="20" t="s">
        <v>116</v>
      </c>
      <c r="CP3" s="20" t="s">
        <v>117</v>
      </c>
    </row>
    <row r="4" spans="2:109" x14ac:dyDescent="0.3">
      <c r="B4" s="60"/>
      <c r="C4" s="60"/>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165">
        <v>1</v>
      </c>
      <c r="BA4" s="165">
        <v>2</v>
      </c>
      <c r="BB4" s="165">
        <v>3</v>
      </c>
      <c r="BC4" s="165">
        <v>4</v>
      </c>
      <c r="BD4" s="165">
        <v>5</v>
      </c>
      <c r="BE4" s="165">
        <v>6</v>
      </c>
      <c r="BF4" s="165">
        <v>7</v>
      </c>
      <c r="BG4" s="165">
        <v>8</v>
      </c>
      <c r="BH4" s="165">
        <v>9</v>
      </c>
      <c r="BI4" s="165">
        <v>10</v>
      </c>
      <c r="BJ4" s="165">
        <v>11</v>
      </c>
      <c r="BK4" s="165">
        <v>12</v>
      </c>
      <c r="BL4" s="165">
        <v>1</v>
      </c>
      <c r="BM4" s="165">
        <v>2</v>
      </c>
      <c r="BN4" s="165">
        <v>3</v>
      </c>
      <c r="BO4" s="165">
        <v>4</v>
      </c>
      <c r="BP4" s="165">
        <v>5</v>
      </c>
      <c r="BQ4" s="165">
        <v>6</v>
      </c>
      <c r="BR4" s="165">
        <v>7</v>
      </c>
      <c r="BS4" s="165">
        <v>8</v>
      </c>
      <c r="BT4" s="165">
        <v>9</v>
      </c>
      <c r="BU4" s="165">
        <v>10</v>
      </c>
      <c r="BV4" s="165">
        <v>11</v>
      </c>
      <c r="BW4" s="165">
        <v>12</v>
      </c>
      <c r="BX4" s="61"/>
      <c r="BY4" s="61"/>
      <c r="BZ4" s="61"/>
      <c r="CA4" s="61"/>
      <c r="CB4" s="61"/>
      <c r="CC4" s="61"/>
      <c r="CD4" s="61"/>
      <c r="CE4" s="61"/>
      <c r="CF4" s="61"/>
      <c r="CG4" s="61"/>
      <c r="CH4" s="61"/>
      <c r="CI4" s="61"/>
      <c r="CO4" s="60"/>
    </row>
    <row r="5" spans="2:109" x14ac:dyDescent="0.3">
      <c r="B5" s="62" t="s">
        <v>118</v>
      </c>
      <c r="C5" s="63"/>
      <c r="D5" s="64"/>
      <c r="E5" s="64"/>
      <c r="F5" s="64"/>
      <c r="G5" s="64"/>
      <c r="H5" s="65"/>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7"/>
      <c r="CK5" s="67"/>
      <c r="CL5" s="67"/>
      <c r="CM5" s="67"/>
      <c r="CN5" s="67"/>
      <c r="CO5" s="64"/>
      <c r="CP5" s="64"/>
    </row>
    <row r="6" spans="2:109" x14ac:dyDescent="0.3">
      <c r="B6" s="60"/>
      <c r="C6" s="60"/>
      <c r="D6" s="424" t="s">
        <v>119</v>
      </c>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5" t="s">
        <v>120</v>
      </c>
      <c r="AS6" s="425"/>
      <c r="AT6" s="425"/>
      <c r="AU6" s="425"/>
      <c r="AV6" s="425"/>
      <c r="AW6" s="425"/>
      <c r="AX6" s="425"/>
      <c r="AY6" s="425"/>
      <c r="AZ6" s="426" t="s">
        <v>121</v>
      </c>
      <c r="BA6" s="426"/>
      <c r="BB6" s="426"/>
      <c r="BC6" s="169" t="s">
        <v>122</v>
      </c>
      <c r="BD6" s="169"/>
      <c r="BE6" s="169"/>
      <c r="BF6" s="169"/>
      <c r="BG6" s="169"/>
      <c r="BH6" s="169"/>
      <c r="BI6" s="169"/>
      <c r="BJ6" s="169"/>
      <c r="BK6" s="169"/>
      <c r="BL6" s="169"/>
      <c r="BM6" s="169"/>
      <c r="BN6" s="169"/>
      <c r="BO6" s="169"/>
      <c r="BP6" s="168" t="s">
        <v>123</v>
      </c>
      <c r="BQ6" s="168"/>
      <c r="BR6" s="168"/>
      <c r="BS6" s="168"/>
      <c r="BT6" s="168"/>
      <c r="BU6" s="175">
        <f>BU8-BO8</f>
        <v>34280.14</v>
      </c>
      <c r="BV6" s="168"/>
      <c r="BW6" s="168"/>
      <c r="BX6" s="61"/>
      <c r="BY6" s="61"/>
      <c r="BZ6" s="61"/>
      <c r="CA6" s="61"/>
      <c r="CB6" s="61"/>
      <c r="CC6" s="61"/>
      <c r="CD6" s="61"/>
      <c r="CE6" s="61"/>
      <c r="CF6" s="61"/>
      <c r="CG6" s="61"/>
      <c r="CH6" s="61"/>
      <c r="CI6" s="61"/>
      <c r="CJ6" s="68"/>
      <c r="CK6" s="68"/>
      <c r="CL6" s="68"/>
      <c r="CM6" s="68"/>
      <c r="CN6" s="68"/>
      <c r="CO6" s="60"/>
      <c r="CP6" s="60"/>
    </row>
    <row r="7" spans="2:109" x14ac:dyDescent="0.3">
      <c r="B7" s="69" t="s">
        <v>124</v>
      </c>
      <c r="C7" s="70"/>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c r="CK7" s="72"/>
      <c r="CL7" s="72"/>
      <c r="CM7" s="72"/>
      <c r="CN7" s="72"/>
      <c r="CO7" s="73" t="s">
        <v>125</v>
      </c>
      <c r="CP7" s="70"/>
    </row>
    <row r="8" spans="2:109" x14ac:dyDescent="0.3">
      <c r="B8" s="74" t="s">
        <v>126</v>
      </c>
      <c r="C8" s="75"/>
      <c r="D8" s="76">
        <v>13900</v>
      </c>
      <c r="E8" s="76">
        <v>15208</v>
      </c>
      <c r="F8" s="76">
        <v>15724</v>
      </c>
      <c r="G8" s="76">
        <v>15856</v>
      </c>
      <c r="H8" s="76">
        <v>15942</v>
      </c>
      <c r="I8" s="76">
        <v>14412</v>
      </c>
      <c r="J8" s="76">
        <v>14687</v>
      </c>
      <c r="K8" s="76">
        <v>15025</v>
      </c>
      <c r="L8" s="76">
        <v>15386</v>
      </c>
      <c r="M8" s="76">
        <v>15652</v>
      </c>
      <c r="N8" s="76">
        <v>15665</v>
      </c>
      <c r="O8" s="76">
        <v>15057</v>
      </c>
      <c r="P8" s="76">
        <v>15050</v>
      </c>
      <c r="Q8" s="76">
        <v>15337</v>
      </c>
      <c r="R8" s="76">
        <v>13533</v>
      </c>
      <c r="S8" s="76">
        <v>15251</v>
      </c>
      <c r="T8" s="76">
        <v>15180</v>
      </c>
      <c r="U8" s="76">
        <v>14252</v>
      </c>
      <c r="V8" s="76">
        <v>15151</v>
      </c>
      <c r="W8" s="76">
        <v>15159</v>
      </c>
      <c r="X8" s="76">
        <v>15420</v>
      </c>
      <c r="Y8" s="76">
        <v>15735</v>
      </c>
      <c r="Z8" s="76">
        <v>15942</v>
      </c>
      <c r="AA8" s="76">
        <v>16072</v>
      </c>
      <c r="AB8" s="76">
        <v>14503</v>
      </c>
      <c r="AC8" s="76">
        <v>14177</v>
      </c>
      <c r="AD8" s="76">
        <v>13384</v>
      </c>
      <c r="AE8" s="76">
        <v>16428</v>
      </c>
      <c r="AF8" s="76">
        <v>15480</v>
      </c>
      <c r="AG8" s="76">
        <v>15810</v>
      </c>
      <c r="AH8" s="76">
        <v>16670</v>
      </c>
      <c r="AI8" s="76">
        <v>16737</v>
      </c>
      <c r="AJ8" s="76">
        <v>16766</v>
      </c>
      <c r="AK8" s="76">
        <v>16725</v>
      </c>
      <c r="AL8" s="76">
        <v>16762</v>
      </c>
      <c r="AM8" s="76">
        <v>16702</v>
      </c>
      <c r="AN8" s="76">
        <v>15852</v>
      </c>
      <c r="AO8" s="76">
        <v>16998</v>
      </c>
      <c r="AP8" s="76">
        <v>17028</v>
      </c>
      <c r="AQ8" s="76">
        <v>17148</v>
      </c>
      <c r="AR8" s="76">
        <v>15187</v>
      </c>
      <c r="AS8" s="76">
        <v>13294</v>
      </c>
      <c r="AT8" s="76">
        <v>12813</v>
      </c>
      <c r="AU8" s="76">
        <v>10920</v>
      </c>
      <c r="AV8" s="76">
        <v>10111</v>
      </c>
      <c r="AW8" s="76">
        <v>10044</v>
      </c>
      <c r="AX8" s="76">
        <v>10919</v>
      </c>
      <c r="AY8" s="76">
        <v>12048</v>
      </c>
      <c r="AZ8" s="76">
        <v>13123</v>
      </c>
      <c r="BA8" s="76">
        <v>13761</v>
      </c>
      <c r="BB8" s="76">
        <v>14318</v>
      </c>
      <c r="BC8" s="76">
        <v>14633</v>
      </c>
      <c r="BD8" s="76">
        <v>14980</v>
      </c>
      <c r="BE8" s="76">
        <v>13996</v>
      </c>
      <c r="BF8" s="76">
        <v>15609</v>
      </c>
      <c r="BG8" s="76">
        <v>14848</v>
      </c>
      <c r="BH8" s="76">
        <v>16391</v>
      </c>
      <c r="BI8" s="76">
        <v>18489</v>
      </c>
      <c r="BJ8" s="76">
        <v>19084</v>
      </c>
      <c r="BK8" s="76">
        <v>19679</v>
      </c>
      <c r="BL8" s="76">
        <v>20177</v>
      </c>
      <c r="BM8" s="76">
        <v>20809</v>
      </c>
      <c r="BN8" s="76">
        <v>21341</v>
      </c>
      <c r="BO8" s="76">
        <v>21694</v>
      </c>
      <c r="BP8" s="76">
        <v>21910.94</v>
      </c>
      <c r="BQ8" s="76">
        <v>24160.94</v>
      </c>
      <c r="BR8" s="76">
        <v>30160.939999999995</v>
      </c>
      <c r="BS8" s="76">
        <v>42160.939999999995</v>
      </c>
      <c r="BT8" s="76">
        <v>54160.939999999995</v>
      </c>
      <c r="BU8" s="76">
        <v>55974.14</v>
      </c>
      <c r="BV8" s="76">
        <v>55974.14</v>
      </c>
      <c r="BW8" s="76">
        <v>55974.14</v>
      </c>
      <c r="BX8" s="76">
        <v>55974.14</v>
      </c>
      <c r="BY8" s="76">
        <v>55974.14</v>
      </c>
      <c r="BZ8" s="76">
        <v>55974.14</v>
      </c>
      <c r="CA8" s="76">
        <v>55974.14</v>
      </c>
      <c r="CB8" s="76">
        <v>55974.14</v>
      </c>
      <c r="CC8" s="76">
        <v>55974.14</v>
      </c>
      <c r="CD8" s="76">
        <v>55974.14</v>
      </c>
      <c r="CE8" s="76">
        <v>55974.14</v>
      </c>
      <c r="CF8" s="76">
        <v>55974.14</v>
      </c>
      <c r="CG8" s="76">
        <v>55974.14</v>
      </c>
      <c r="CH8" s="76">
        <v>55974.14</v>
      </c>
      <c r="CI8" s="76">
        <v>55974.14</v>
      </c>
      <c r="CK8" s="57">
        <f>SUM(BL8:BW8)</f>
        <v>424498.12000000005</v>
      </c>
      <c r="CM8" s="57">
        <f>SUM(BX8:CI8)</f>
        <v>671689.68</v>
      </c>
      <c r="CO8" s="77"/>
      <c r="CP8" s="18" t="s">
        <v>286</v>
      </c>
      <c r="CT8" s="57"/>
      <c r="CU8" s="57"/>
      <c r="CV8" s="57"/>
      <c r="CW8" s="57"/>
      <c r="CX8" s="57"/>
      <c r="CY8" s="57"/>
      <c r="CZ8" s="57"/>
      <c r="DA8" s="57"/>
      <c r="DB8" s="57"/>
      <c r="DC8" s="57"/>
      <c r="DD8" s="57"/>
      <c r="DE8" s="57"/>
    </row>
    <row r="9" spans="2:109" x14ac:dyDescent="0.3">
      <c r="B9" s="74"/>
      <c r="C9" s="60"/>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O9" s="60"/>
    </row>
    <row r="10" spans="2:109" x14ac:dyDescent="0.3">
      <c r="B10" s="69" t="s">
        <v>127</v>
      </c>
      <c r="C10" s="70"/>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2"/>
      <c r="CK10" s="72"/>
      <c r="CL10" s="72"/>
      <c r="CM10" s="72"/>
      <c r="CN10" s="72"/>
      <c r="CO10" s="73" t="s">
        <v>128</v>
      </c>
      <c r="CP10" s="70"/>
    </row>
    <row r="11" spans="2:109" x14ac:dyDescent="0.3">
      <c r="B11" s="74" t="s">
        <v>126</v>
      </c>
      <c r="C11" s="75"/>
      <c r="D11" s="78">
        <v>839632.13</v>
      </c>
      <c r="E11" s="78">
        <v>771033.54</v>
      </c>
      <c r="F11" s="78">
        <v>820363.48</v>
      </c>
      <c r="G11" s="78">
        <v>788793.4</v>
      </c>
      <c r="H11" s="78">
        <v>783095.51</v>
      </c>
      <c r="I11" s="78">
        <v>720950.1</v>
      </c>
      <c r="J11" s="78">
        <v>733379.39</v>
      </c>
      <c r="K11" s="78">
        <v>676146.93</v>
      </c>
      <c r="L11" s="78">
        <v>734220.92999999993</v>
      </c>
      <c r="M11" s="78">
        <v>793729.82000000007</v>
      </c>
      <c r="N11" s="78">
        <v>746115</v>
      </c>
      <c r="O11" s="78">
        <v>785359.29</v>
      </c>
      <c r="P11" s="78">
        <v>816998.5</v>
      </c>
      <c r="Q11" s="78">
        <v>798192.83</v>
      </c>
      <c r="R11" s="78">
        <v>692787.06</v>
      </c>
      <c r="S11" s="78">
        <v>778209.04</v>
      </c>
      <c r="T11" s="78">
        <v>812659.76</v>
      </c>
      <c r="U11" s="78">
        <v>642016.74</v>
      </c>
      <c r="V11" s="78">
        <v>623115.18000000005</v>
      </c>
      <c r="W11" s="78">
        <v>730044.19</v>
      </c>
      <c r="X11" s="78">
        <v>741830.58000000007</v>
      </c>
      <c r="Y11" s="78">
        <v>767896.73</v>
      </c>
      <c r="Z11" s="78">
        <v>800416.19</v>
      </c>
      <c r="AA11" s="78">
        <v>894776.26</v>
      </c>
      <c r="AB11" s="78">
        <v>843412.92999999993</v>
      </c>
      <c r="AC11" s="78">
        <v>859239.03</v>
      </c>
      <c r="AD11" s="78">
        <v>686582.92</v>
      </c>
      <c r="AE11" s="78">
        <v>840529.30999999994</v>
      </c>
      <c r="AF11" s="78">
        <v>758686.98</v>
      </c>
      <c r="AG11" s="78">
        <v>745020.53</v>
      </c>
      <c r="AH11" s="78">
        <v>757291.83</v>
      </c>
      <c r="AI11" s="78">
        <v>817113.80999999994</v>
      </c>
      <c r="AJ11" s="78">
        <v>705764.33</v>
      </c>
      <c r="AK11" s="78">
        <v>751604.4</v>
      </c>
      <c r="AL11" s="78">
        <v>834529.91999999993</v>
      </c>
      <c r="AM11" s="78">
        <v>814091.6100000001</v>
      </c>
      <c r="AN11" s="78">
        <v>835658.59</v>
      </c>
      <c r="AO11" s="78">
        <v>938301.55999999994</v>
      </c>
      <c r="AP11" s="78">
        <v>836422.27</v>
      </c>
      <c r="AQ11" s="78">
        <v>824266.72000000009</v>
      </c>
      <c r="AR11" s="78">
        <v>785601.92999999993</v>
      </c>
      <c r="AS11" s="78">
        <v>622228.81999999995</v>
      </c>
      <c r="AT11" s="78">
        <v>606470.18999999994</v>
      </c>
      <c r="AU11" s="78">
        <v>495915.07999999996</v>
      </c>
      <c r="AV11" s="78">
        <v>461158.94999999995</v>
      </c>
      <c r="AW11" s="78">
        <v>482182.81999999995</v>
      </c>
      <c r="AX11" s="78">
        <v>547266.26</v>
      </c>
      <c r="AY11" s="78">
        <v>587972.77</v>
      </c>
      <c r="AZ11" s="78">
        <v>784780.64</v>
      </c>
      <c r="BA11" s="78">
        <v>759935.25</v>
      </c>
      <c r="BB11" s="78">
        <v>735888.81</v>
      </c>
      <c r="BC11" s="78">
        <v>781726.6100000001</v>
      </c>
      <c r="BD11" s="78">
        <v>874629.5</v>
      </c>
      <c r="BE11" s="78">
        <v>698340.42999999993</v>
      </c>
      <c r="BF11" s="78">
        <v>857502.97</v>
      </c>
      <c r="BG11" s="78">
        <v>721143.21</v>
      </c>
      <c r="BH11" s="78">
        <v>758915.37</v>
      </c>
      <c r="BI11" s="78">
        <v>981261.94000000006</v>
      </c>
      <c r="BJ11" s="78">
        <v>1068904.6600000001</v>
      </c>
      <c r="BK11" s="78">
        <v>1032289.3999999999</v>
      </c>
      <c r="BL11" s="78">
        <v>1238813.6199999999</v>
      </c>
      <c r="BM11" s="78">
        <v>1197429.9099999999</v>
      </c>
      <c r="BN11" s="78">
        <v>1275042.5899999999</v>
      </c>
      <c r="BO11" s="78">
        <v>1343484.21</v>
      </c>
      <c r="BP11" s="173">
        <f>[1]TRR_Projections!$AL$24</f>
        <v>1208108.7287983887</v>
      </c>
      <c r="BQ11" s="173">
        <f>[1]TRR_Projections!$AM$24</f>
        <v>1252796.222097802</v>
      </c>
      <c r="BR11" s="173">
        <f>[1]TRR_Projections!$AN$24</f>
        <v>1371962.8708962372</v>
      </c>
      <c r="BS11" s="173">
        <f>[1]TRR_Projections!$AO$24</f>
        <v>1610296.1684931074</v>
      </c>
      <c r="BT11" s="173">
        <f>[1]TRR_Projections!$AP$24</f>
        <v>1848629.4660899779</v>
      </c>
      <c r="BU11" s="173">
        <f>[1]TRR_Projections!$AQ$24</f>
        <v>1884641.627356865</v>
      </c>
      <c r="BV11" s="173">
        <f>[1]TRR_Projections!$AR$24</f>
        <v>1884641.627356865</v>
      </c>
      <c r="BW11" s="173">
        <f>[1]TRR_Projections!$AS$24</f>
        <v>1884641.627356865</v>
      </c>
      <c r="BX11" s="173">
        <f>[1]TRR_Projections!$AT$24</f>
        <v>1884641.627356865</v>
      </c>
      <c r="BY11" s="173">
        <f>[1]TRR_Projections!$AU$24</f>
        <v>1884641.627356865</v>
      </c>
      <c r="BZ11" s="173">
        <f>[1]TRR_Projections!$AV$24</f>
        <v>1884641.627356865</v>
      </c>
      <c r="CA11" s="173">
        <f>[1]TRR_Projections!$AW$24</f>
        <v>1884641.627356865</v>
      </c>
      <c r="CB11" s="173">
        <f>[1]TRR_Projections!$AX$24</f>
        <v>1884641.627356865</v>
      </c>
      <c r="CC11" s="173">
        <f>[1]TRR_Projections!$AY$24</f>
        <v>1884641.627356865</v>
      </c>
      <c r="CD11" s="173">
        <f>[1]TRR_Projections!$AZ$24</f>
        <v>1884641.627356865</v>
      </c>
      <c r="CE11" s="173">
        <f>[1]TRR_Projections!$BA$24</f>
        <v>1884641.627356865</v>
      </c>
      <c r="CF11" s="173">
        <f>[1]TRR_Projections!$BB$24</f>
        <v>1884641.627356865</v>
      </c>
      <c r="CG11" s="173">
        <f>[1]TRR_Projections!$BC$24</f>
        <v>1884641.627356865</v>
      </c>
      <c r="CH11" s="173">
        <f>[1]TRR_Projections!$BD$24</f>
        <v>1884641.627356865</v>
      </c>
      <c r="CI11" s="173">
        <f>[1]TRR_Projections!$BE$24</f>
        <v>1884641.627356865</v>
      </c>
      <c r="CJ11" s="79"/>
      <c r="CK11" s="57">
        <f>SUM(BL11:BW11)</f>
        <v>18000488.668446105</v>
      </c>
      <c r="CM11" s="57">
        <f>SUM(BX11:CI11)</f>
        <v>22615699.528282378</v>
      </c>
      <c r="CN11" s="79"/>
      <c r="CO11" s="77"/>
      <c r="CP11" s="18" t="s">
        <v>286</v>
      </c>
      <c r="CT11" s="55"/>
      <c r="CU11" s="55"/>
      <c r="CV11" s="55"/>
      <c r="CW11" s="55"/>
      <c r="CX11" s="55"/>
      <c r="CY11" s="55"/>
      <c r="CZ11" s="55"/>
      <c r="DA11" s="55"/>
      <c r="DB11" s="55"/>
      <c r="DC11" s="55"/>
      <c r="DD11" s="55"/>
      <c r="DE11" s="55"/>
    </row>
    <row r="12" spans="2:109" x14ac:dyDescent="0.3">
      <c r="B12" s="74"/>
      <c r="C12" s="6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f>SUM(AX11:BI11)</f>
        <v>9089363.7599999998</v>
      </c>
      <c r="BJ12" s="80"/>
      <c r="BK12" s="80"/>
      <c r="BL12" s="80"/>
      <c r="BM12" s="80"/>
      <c r="BN12" s="80"/>
      <c r="BO12" s="80"/>
      <c r="BP12" s="80"/>
      <c r="BQ12" s="80"/>
      <c r="BR12" s="80"/>
      <c r="BS12" s="80"/>
      <c r="BT12" s="80"/>
      <c r="BU12" s="80">
        <f>SUM(BJ11:BU11)</f>
        <v>16332399.473732375</v>
      </c>
      <c r="BV12" s="80"/>
      <c r="BW12" s="80"/>
      <c r="BX12" s="80"/>
      <c r="BY12" s="80"/>
      <c r="BZ12" s="80"/>
      <c r="CA12" s="80"/>
      <c r="CB12" s="80"/>
      <c r="CC12" s="80"/>
      <c r="CD12" s="80"/>
      <c r="CE12" s="80"/>
      <c r="CF12" s="80"/>
      <c r="CG12" s="80">
        <f>SUM(BV11:CG11)</f>
        <v>22615699.528282378</v>
      </c>
      <c r="CH12" s="80"/>
      <c r="CI12" s="80"/>
      <c r="CO12" s="60"/>
    </row>
    <row r="13" spans="2:109" x14ac:dyDescent="0.3">
      <c r="B13" s="69" t="s">
        <v>129</v>
      </c>
      <c r="C13" s="70"/>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row>
    <row r="14" spans="2:109" x14ac:dyDescent="0.3">
      <c r="B14" s="81" t="str">
        <f>"Water  - "&amp;FIXED(('Assumptions and Inputs'!$C$40)*100,0,TRUE)&amp;" %"</f>
        <v>Water  - 42 %</v>
      </c>
      <c r="C14" s="60"/>
      <c r="D14" s="82">
        <f>D$11*'Assumptions and Inputs'!$C$40</f>
        <v>352645.49459999998</v>
      </c>
      <c r="E14" s="82">
        <f>E$11*'Assumptions and Inputs'!$C$40</f>
        <v>323834.08679999999</v>
      </c>
      <c r="F14" s="82">
        <f>F$11*'Assumptions and Inputs'!$C$40</f>
        <v>344552.66159999999</v>
      </c>
      <c r="G14" s="82">
        <f>G$11*'Assumptions and Inputs'!$C$40</f>
        <v>331293.228</v>
      </c>
      <c r="H14" s="82">
        <f>H$11*'Assumptions and Inputs'!$C$40</f>
        <v>328900.11420000001</v>
      </c>
      <c r="I14" s="82">
        <f>I$11*'Assumptions and Inputs'!$C$40</f>
        <v>302799.04199999996</v>
      </c>
      <c r="J14" s="82">
        <f>J$11*'Assumptions and Inputs'!$C$40</f>
        <v>308019.34379999997</v>
      </c>
      <c r="K14" s="82">
        <f>K$11*'Assumptions and Inputs'!$C$40</f>
        <v>283981.71059999999</v>
      </c>
      <c r="L14" s="82">
        <f>L$11*'Assumptions and Inputs'!$C$40</f>
        <v>308372.79059999995</v>
      </c>
      <c r="M14" s="82">
        <f>M$11*'Assumptions and Inputs'!$C$40</f>
        <v>333366.52439999999</v>
      </c>
      <c r="N14" s="82">
        <f>N$11*'Assumptions and Inputs'!$C$40</f>
        <v>313368.3</v>
      </c>
      <c r="O14" s="82">
        <f>O$11*'Assumptions and Inputs'!$C$40</f>
        <v>329850.90179999999</v>
      </c>
      <c r="P14" s="82">
        <f>P$11*'Assumptions and Inputs'!$C$40</f>
        <v>343139.37</v>
      </c>
      <c r="Q14" s="82">
        <f>Q$11*'Assumptions and Inputs'!$C$40</f>
        <v>335240.98859999998</v>
      </c>
      <c r="R14" s="82">
        <f>R$11*'Assumptions and Inputs'!$C$40</f>
        <v>290970.56520000001</v>
      </c>
      <c r="S14" s="82">
        <f>S$11*'Assumptions and Inputs'!$C$40</f>
        <v>326847.79680000001</v>
      </c>
      <c r="T14" s="82">
        <f>T$11*'Assumptions and Inputs'!$C$40</f>
        <v>341317.0992</v>
      </c>
      <c r="U14" s="82">
        <f>U$11*'Assumptions and Inputs'!$C$40</f>
        <v>269647.03080000001</v>
      </c>
      <c r="V14" s="82">
        <f>V$11*'Assumptions and Inputs'!$C$40</f>
        <v>261708.3756</v>
      </c>
      <c r="W14" s="82">
        <f>W$11*'Assumptions and Inputs'!$C$40</f>
        <v>306618.55979999999</v>
      </c>
      <c r="X14" s="82">
        <f>X$11*'Assumptions and Inputs'!$C$40</f>
        <v>311568.84360000002</v>
      </c>
      <c r="Y14" s="82">
        <f>Y$11*'Assumptions and Inputs'!$C$40</f>
        <v>322516.62659999996</v>
      </c>
      <c r="Z14" s="82">
        <f>Z$11*'Assumptions and Inputs'!$C$40</f>
        <v>336174.79979999998</v>
      </c>
      <c r="AA14" s="82">
        <f>AA$11*'Assumptions and Inputs'!$C$40</f>
        <v>375806.02919999999</v>
      </c>
      <c r="AB14" s="82">
        <f>AB$11*'Assumptions and Inputs'!$C$40</f>
        <v>354233.43059999996</v>
      </c>
      <c r="AC14" s="82">
        <f>AC$11*'Assumptions and Inputs'!$C$40</f>
        <v>360880.39260000002</v>
      </c>
      <c r="AD14" s="82">
        <f>AD$11*'Assumptions and Inputs'!$C$40</f>
        <v>288364.82640000002</v>
      </c>
      <c r="AE14" s="82">
        <f>AE$11*'Assumptions and Inputs'!$C$40</f>
        <v>353022.31019999995</v>
      </c>
      <c r="AF14" s="82">
        <f>AF$11*'Assumptions and Inputs'!$C$40</f>
        <v>318648.53159999999</v>
      </c>
      <c r="AG14" s="82">
        <f>AG$11*'Assumptions and Inputs'!$C$40</f>
        <v>312908.6226</v>
      </c>
      <c r="AH14" s="82">
        <f>AH$11*'Assumptions and Inputs'!$C$40</f>
        <v>318062.5686</v>
      </c>
      <c r="AI14" s="82">
        <f>AI$11*'Assumptions and Inputs'!$C$40</f>
        <v>343187.80019999994</v>
      </c>
      <c r="AJ14" s="82">
        <f>AJ$11*'Assumptions and Inputs'!$C$40</f>
        <v>296421.01859999995</v>
      </c>
      <c r="AK14" s="82">
        <f>AK$11*'Assumptions and Inputs'!$C$40</f>
        <v>315673.848</v>
      </c>
      <c r="AL14" s="82">
        <f>AL$11*'Assumptions and Inputs'!$C$40</f>
        <v>350502.56639999995</v>
      </c>
      <c r="AM14" s="82">
        <f>AM$11*'Assumptions and Inputs'!$C$40</f>
        <v>341918.47620000003</v>
      </c>
      <c r="AN14" s="82">
        <f>AN$11*'Assumptions and Inputs'!$C$40</f>
        <v>350976.6078</v>
      </c>
      <c r="AO14" s="82">
        <f>AO$11*'Assumptions and Inputs'!$C$40</f>
        <v>394086.65519999998</v>
      </c>
      <c r="AP14" s="82">
        <f>AP$11*'Assumptions and Inputs'!$C$40</f>
        <v>351297.35340000002</v>
      </c>
      <c r="AQ14" s="82">
        <f>AQ$11*'Assumptions and Inputs'!$C$40</f>
        <v>346192.02240000002</v>
      </c>
      <c r="AR14" s="82">
        <f>AR$11*'Assumptions and Inputs'!$C$40</f>
        <v>329952.81059999997</v>
      </c>
      <c r="AS14" s="82">
        <f>AS$11*'Assumptions and Inputs'!$C$40</f>
        <v>261336.10439999998</v>
      </c>
      <c r="AT14" s="82">
        <f>AT$11*'Assumptions and Inputs'!$C$40</f>
        <v>254717.47979999997</v>
      </c>
      <c r="AU14" s="82">
        <f>AU$11*'Assumptions and Inputs'!$C$40</f>
        <v>208284.33359999998</v>
      </c>
      <c r="AV14" s="82">
        <f>AV$11*'Assumptions and Inputs'!$C$40</f>
        <v>193686.75899999996</v>
      </c>
      <c r="AW14" s="82">
        <f>AW$11*'Assumptions and Inputs'!$C$40</f>
        <v>202516.78439999997</v>
      </c>
      <c r="AX14" s="82">
        <f>AX$11*'Assumptions and Inputs'!$C$40</f>
        <v>229851.82920000001</v>
      </c>
      <c r="AY14" s="82">
        <f>AY$11*'Assumptions and Inputs'!$C$40</f>
        <v>246948.56339999998</v>
      </c>
      <c r="AZ14" s="82">
        <f>AZ$11*'Assumptions and Inputs'!$C$40</f>
        <v>329607.8688</v>
      </c>
      <c r="BA14" s="82">
        <f>BA$11*'Assumptions and Inputs'!$C$40</f>
        <v>319172.80499999999</v>
      </c>
      <c r="BB14" s="82">
        <f>BB$11*'Assumptions and Inputs'!$C$40</f>
        <v>309073.3002</v>
      </c>
      <c r="BC14" s="82">
        <f>BC$11*'Assumptions and Inputs'!$C$40</f>
        <v>328325.17620000005</v>
      </c>
      <c r="BD14" s="82">
        <f>BD$11*'Assumptions and Inputs'!$C$40</f>
        <v>367344.39</v>
      </c>
      <c r="BE14" s="82">
        <f>BE$11*'Assumptions and Inputs'!$C$40</f>
        <v>293302.98059999995</v>
      </c>
      <c r="BF14" s="82">
        <f>BF$11*'Assumptions and Inputs'!$C$40</f>
        <v>360151.24739999999</v>
      </c>
      <c r="BG14" s="82">
        <f>BG$11*'Assumptions and Inputs'!$C$40</f>
        <v>302880.1482</v>
      </c>
      <c r="BH14" s="82">
        <f>BH$11*'Assumptions and Inputs'!$C$40</f>
        <v>318744.45539999998</v>
      </c>
      <c r="BI14" s="82">
        <f>BI$11*'Assumptions and Inputs'!$C$40</f>
        <v>412130.0148</v>
      </c>
      <c r="BJ14" s="82">
        <f>BJ$11*'Assumptions and Inputs'!$C$40</f>
        <v>448939.95720000006</v>
      </c>
      <c r="BK14" s="82">
        <f>BK$11*'Assumptions and Inputs'!$C$40</f>
        <v>433561.54799999995</v>
      </c>
      <c r="BL14" s="82">
        <f>BL$11*'Assumptions and Inputs'!$C$40</f>
        <v>520301.72039999993</v>
      </c>
      <c r="BM14" s="82">
        <f>BM$11*'Assumptions and Inputs'!$C$40</f>
        <v>502920.56219999993</v>
      </c>
      <c r="BN14" s="82">
        <f>BN$11*'Assumptions and Inputs'!$C$40</f>
        <v>535517.88779999991</v>
      </c>
      <c r="BO14" s="82">
        <f>BO$11*'Assumptions and Inputs'!$C$40</f>
        <v>564263.36819999991</v>
      </c>
      <c r="BP14" s="82">
        <f>BP$11*'Assumptions and Inputs'!$C$40</f>
        <v>507405.66609532328</v>
      </c>
      <c r="BQ14" s="82">
        <f>BQ$11*'Assumptions and Inputs'!$C$40</f>
        <v>526174.41328107682</v>
      </c>
      <c r="BR14" s="82">
        <f>BR$11*'Assumptions and Inputs'!$C$40</f>
        <v>576224.40577641956</v>
      </c>
      <c r="BS14" s="82">
        <f>BS$11*'Assumptions and Inputs'!$C$40</f>
        <v>676324.39076710504</v>
      </c>
      <c r="BT14" s="82">
        <f>BT$11*'Assumptions and Inputs'!$C$40</f>
        <v>776424.37575779064</v>
      </c>
      <c r="BU14" s="82">
        <f>BU$11*'Assumptions and Inputs'!$C$40</f>
        <v>791549.48348988325</v>
      </c>
      <c r="BV14" s="82">
        <f>BV$11*'Assumptions and Inputs'!$C$40</f>
        <v>791549.48348988325</v>
      </c>
      <c r="BW14" s="82">
        <f>BW$11*'Assumptions and Inputs'!$C$40</f>
        <v>791549.48348988325</v>
      </c>
      <c r="BX14" s="82">
        <f>BX$11*'Assumptions and Inputs'!$C$40</f>
        <v>791549.48348988325</v>
      </c>
      <c r="BY14" s="82">
        <f>BY$11*'Assumptions and Inputs'!$C$40</f>
        <v>791549.48348988325</v>
      </c>
      <c r="BZ14" s="82">
        <f>BZ$11*'Assumptions and Inputs'!$C$40</f>
        <v>791549.48348988325</v>
      </c>
      <c r="CA14" s="82">
        <f>CA$11*'Assumptions and Inputs'!$C$40</f>
        <v>791549.48348988325</v>
      </c>
      <c r="CB14" s="82">
        <f>CB$11*'Assumptions and Inputs'!$C$40</f>
        <v>791549.48348988325</v>
      </c>
      <c r="CC14" s="82">
        <f>CC$11*'Assumptions and Inputs'!$C$40</f>
        <v>791549.48348988325</v>
      </c>
      <c r="CD14" s="82">
        <f>CD$11*'Assumptions and Inputs'!$C$40</f>
        <v>791549.48348988325</v>
      </c>
      <c r="CE14" s="82">
        <f>CE$11*'Assumptions and Inputs'!$C$40</f>
        <v>791549.48348988325</v>
      </c>
      <c r="CF14" s="82">
        <f>CF$11*'Assumptions and Inputs'!$C$40</f>
        <v>791549.48348988325</v>
      </c>
      <c r="CG14" s="82">
        <f>CG$11*'Assumptions and Inputs'!$C$40</f>
        <v>791549.48348988325</v>
      </c>
      <c r="CH14" s="82">
        <f>CH$11*'Assumptions and Inputs'!$C$40</f>
        <v>791549.48348988325</v>
      </c>
      <c r="CI14" s="82">
        <f>CI$11*'Assumptions and Inputs'!$C$40</f>
        <v>791549.48348988325</v>
      </c>
      <c r="CK14" s="57">
        <f t="shared" ref="CK14:CK16" si="0">SUM(BL14:BW14)</f>
        <v>7560205.2407473652</v>
      </c>
      <c r="CM14" s="57">
        <f>SUM(BX14:CI14)</f>
        <v>9498593.8018785994</v>
      </c>
      <c r="CO14" s="60"/>
      <c r="CP14" s="18" t="s">
        <v>130</v>
      </c>
    </row>
    <row r="15" spans="2:109" x14ac:dyDescent="0.3">
      <c r="B15" s="81" t="str">
        <f>"Wastewater  - "&amp;FIXED(('Assumptions and Inputs'!$C$42)*100,0,TRUE)&amp;" %"</f>
        <v>Wastewater  - 58 %</v>
      </c>
      <c r="C15" s="60"/>
      <c r="D15" s="83">
        <f>D$11*'Assumptions and Inputs'!$C$42</f>
        <v>486986.63539999997</v>
      </c>
      <c r="E15" s="83">
        <f>E$11*'Assumptions and Inputs'!$C$42</f>
        <v>447199.45319999999</v>
      </c>
      <c r="F15" s="83">
        <f>F$11*'Assumptions and Inputs'!$C$42</f>
        <v>475810.81839999993</v>
      </c>
      <c r="G15" s="83">
        <f>G$11*'Assumptions and Inputs'!$C$42</f>
        <v>457500.17199999996</v>
      </c>
      <c r="H15" s="83">
        <f>H$11*'Assumptions and Inputs'!$C$42</f>
        <v>454195.3958</v>
      </c>
      <c r="I15" s="83">
        <f>I$11*'Assumptions and Inputs'!$C$42</f>
        <v>418151.05799999996</v>
      </c>
      <c r="J15" s="83">
        <f>J$11*'Assumptions and Inputs'!$C$42</f>
        <v>425360.04619999998</v>
      </c>
      <c r="K15" s="83">
        <f>K$11*'Assumptions and Inputs'!$C$42</f>
        <v>392165.2194</v>
      </c>
      <c r="L15" s="83">
        <f>L$11*'Assumptions and Inputs'!$C$42</f>
        <v>425848.13939999993</v>
      </c>
      <c r="M15" s="83">
        <f>M$11*'Assumptions and Inputs'!$C$42</f>
        <v>460363.29560000001</v>
      </c>
      <c r="N15" s="83">
        <f>N$11*'Assumptions and Inputs'!$C$42</f>
        <v>432746.69999999995</v>
      </c>
      <c r="O15" s="83">
        <f>O$11*'Assumptions and Inputs'!$C$42</f>
        <v>455508.38819999999</v>
      </c>
      <c r="P15" s="83">
        <f>P$11*'Assumptions and Inputs'!$C$42</f>
        <v>473859.12999999995</v>
      </c>
      <c r="Q15" s="83">
        <f>Q$11*'Assumptions and Inputs'!$C$42</f>
        <v>462951.84139999992</v>
      </c>
      <c r="R15" s="83">
        <f>R$11*'Assumptions and Inputs'!$C$42</f>
        <v>401816.49479999999</v>
      </c>
      <c r="S15" s="83">
        <f>S$11*'Assumptions and Inputs'!$C$42</f>
        <v>451361.24319999997</v>
      </c>
      <c r="T15" s="83">
        <f>T$11*'Assumptions and Inputs'!$C$42</f>
        <v>471342.66079999995</v>
      </c>
      <c r="U15" s="83">
        <f>U$11*'Assumptions and Inputs'!$C$42</f>
        <v>372369.70919999998</v>
      </c>
      <c r="V15" s="83">
        <f>V$11*'Assumptions and Inputs'!$C$42</f>
        <v>361406.80440000002</v>
      </c>
      <c r="W15" s="83">
        <f>W$11*'Assumptions and Inputs'!$C$42</f>
        <v>423425.63019999996</v>
      </c>
      <c r="X15" s="83">
        <f>X$11*'Assumptions and Inputs'!$C$42</f>
        <v>430261.73639999999</v>
      </c>
      <c r="Y15" s="83">
        <f>Y$11*'Assumptions and Inputs'!$C$42</f>
        <v>445380.10339999996</v>
      </c>
      <c r="Z15" s="83">
        <f>Z$11*'Assumptions and Inputs'!$C$42</f>
        <v>464241.39019999991</v>
      </c>
      <c r="AA15" s="83">
        <f>AA$11*'Assumptions and Inputs'!$C$42</f>
        <v>518970.23079999996</v>
      </c>
      <c r="AB15" s="83">
        <f>AB$11*'Assumptions and Inputs'!$C$42</f>
        <v>489179.49939999991</v>
      </c>
      <c r="AC15" s="83">
        <f>AC$11*'Assumptions and Inputs'!$C$42</f>
        <v>498358.63740000001</v>
      </c>
      <c r="AD15" s="83">
        <f>AD$11*'Assumptions and Inputs'!$C$42</f>
        <v>398218.09360000002</v>
      </c>
      <c r="AE15" s="83">
        <f>AE$11*'Assumptions and Inputs'!$C$42</f>
        <v>487506.99979999993</v>
      </c>
      <c r="AF15" s="83">
        <f>AF$11*'Assumptions and Inputs'!$C$42</f>
        <v>440038.44839999994</v>
      </c>
      <c r="AG15" s="83">
        <f>AG$11*'Assumptions and Inputs'!$C$42</f>
        <v>432111.90739999997</v>
      </c>
      <c r="AH15" s="83">
        <f>AH$11*'Assumptions and Inputs'!$C$42</f>
        <v>439229.26139999996</v>
      </c>
      <c r="AI15" s="83">
        <f>AI$11*'Assumptions and Inputs'!$C$42</f>
        <v>473926.00979999994</v>
      </c>
      <c r="AJ15" s="83">
        <f>AJ$11*'Assumptions and Inputs'!$C$42</f>
        <v>409343.31139999995</v>
      </c>
      <c r="AK15" s="83">
        <f>AK$11*'Assumptions and Inputs'!$C$42</f>
        <v>435930.55199999997</v>
      </c>
      <c r="AL15" s="83">
        <f>AL$11*'Assumptions and Inputs'!$C$42</f>
        <v>484027.35359999991</v>
      </c>
      <c r="AM15" s="83">
        <f>AM$11*'Assumptions and Inputs'!$C$42</f>
        <v>472173.13380000001</v>
      </c>
      <c r="AN15" s="83">
        <f>AN$11*'Assumptions and Inputs'!$C$42</f>
        <v>484681.98219999997</v>
      </c>
      <c r="AO15" s="83">
        <f>AO$11*'Assumptions and Inputs'!$C$42</f>
        <v>544214.9047999999</v>
      </c>
      <c r="AP15" s="83">
        <f>AP$11*'Assumptions and Inputs'!$C$42</f>
        <v>485124.9166</v>
      </c>
      <c r="AQ15" s="83">
        <f>AQ$11*'Assumptions and Inputs'!$C$42</f>
        <v>478074.69760000001</v>
      </c>
      <c r="AR15" s="83">
        <f>AR$11*'Assumptions and Inputs'!$C$42</f>
        <v>455649.11939999991</v>
      </c>
      <c r="AS15" s="83">
        <f>AS$11*'Assumptions and Inputs'!$C$42</f>
        <v>360892.71559999994</v>
      </c>
      <c r="AT15" s="83">
        <f>AT$11*'Assumptions and Inputs'!$C$42</f>
        <v>351752.71019999997</v>
      </c>
      <c r="AU15" s="83">
        <f>AU$11*'Assumptions and Inputs'!$C$42</f>
        <v>287630.74639999995</v>
      </c>
      <c r="AV15" s="83">
        <f>AV$11*'Assumptions and Inputs'!$C$42</f>
        <v>267472.19099999993</v>
      </c>
      <c r="AW15" s="83">
        <f>AW$11*'Assumptions and Inputs'!$C$42</f>
        <v>279666.03559999994</v>
      </c>
      <c r="AX15" s="83">
        <f>AX$11*'Assumptions and Inputs'!$C$42</f>
        <v>317414.43079999997</v>
      </c>
      <c r="AY15" s="83">
        <f>AY$11*'Assumptions and Inputs'!$C$42</f>
        <v>341024.20659999998</v>
      </c>
      <c r="AZ15" s="83">
        <f>AZ$11*'Assumptions and Inputs'!$C$42</f>
        <v>455172.77119999996</v>
      </c>
      <c r="BA15" s="83">
        <f>BA$11*'Assumptions and Inputs'!$C$42</f>
        <v>440762.44499999995</v>
      </c>
      <c r="BB15" s="83">
        <f>BB$11*'Assumptions and Inputs'!$C$42</f>
        <v>426815.5098</v>
      </c>
      <c r="BC15" s="83">
        <f>BC$11*'Assumptions and Inputs'!$C$42</f>
        <v>453401.43380000006</v>
      </c>
      <c r="BD15" s="83">
        <f>BD$11*'Assumptions and Inputs'!$C$42</f>
        <v>507285.11</v>
      </c>
      <c r="BE15" s="83">
        <f>BE$11*'Assumptions and Inputs'!$C$42</f>
        <v>405037.44939999992</v>
      </c>
      <c r="BF15" s="83">
        <f>BF$11*'Assumptions and Inputs'!$C$42</f>
        <v>497351.72259999992</v>
      </c>
      <c r="BG15" s="83">
        <f>BG$11*'Assumptions and Inputs'!$C$42</f>
        <v>418263.06179999997</v>
      </c>
      <c r="BH15" s="83">
        <f>BH$11*'Assumptions and Inputs'!$C$42</f>
        <v>440170.91459999996</v>
      </c>
      <c r="BI15" s="83">
        <f>BI$11*'Assumptions and Inputs'!$C$42</f>
        <v>569131.92519999994</v>
      </c>
      <c r="BJ15" s="83">
        <f>BJ$11*'Assumptions and Inputs'!$C$42</f>
        <v>619964.70280000009</v>
      </c>
      <c r="BK15" s="83">
        <f>BK$11*'Assumptions and Inputs'!$C$42</f>
        <v>598727.85199999996</v>
      </c>
      <c r="BL15" s="83">
        <f>BL$11*'Assumptions and Inputs'!$C$42</f>
        <v>718511.89959999989</v>
      </c>
      <c r="BM15" s="83">
        <f>BM$11*'Assumptions and Inputs'!$C$42</f>
        <v>694509.34779999987</v>
      </c>
      <c r="BN15" s="83">
        <f>BN$11*'Assumptions and Inputs'!$C$42</f>
        <v>739524.70219999983</v>
      </c>
      <c r="BO15" s="83">
        <f>BO$11*'Assumptions and Inputs'!$C$42</f>
        <v>779220.84179999994</v>
      </c>
      <c r="BP15" s="83">
        <f>BP$11*'Assumptions and Inputs'!$C$42</f>
        <v>700703.06270306546</v>
      </c>
      <c r="BQ15" s="83">
        <f>BQ$11*'Assumptions and Inputs'!$C$42</f>
        <v>726621.80881672504</v>
      </c>
      <c r="BR15" s="83">
        <f>BR$11*'Assumptions and Inputs'!$C$42</f>
        <v>795738.46511981753</v>
      </c>
      <c r="BS15" s="83">
        <f>BS$11*'Assumptions and Inputs'!$C$42</f>
        <v>933971.77772600227</v>
      </c>
      <c r="BT15" s="83">
        <f>BT$11*'Assumptions and Inputs'!$C$42</f>
        <v>1072205.090332187</v>
      </c>
      <c r="BU15" s="83">
        <f>BU$11*'Assumptions and Inputs'!$C$42</f>
        <v>1093092.1438669816</v>
      </c>
      <c r="BV15" s="83">
        <f>BV$11*'Assumptions and Inputs'!$C$42</f>
        <v>1093092.1438669816</v>
      </c>
      <c r="BW15" s="83">
        <f>BW$11*'Assumptions and Inputs'!$C$42</f>
        <v>1093092.1438669816</v>
      </c>
      <c r="BX15" s="83">
        <f>BX$11*'Assumptions and Inputs'!$C$42</f>
        <v>1093092.1438669816</v>
      </c>
      <c r="BY15" s="83">
        <f>BY$11*'Assumptions and Inputs'!$C$42</f>
        <v>1093092.1438669816</v>
      </c>
      <c r="BZ15" s="83">
        <f>BZ$11*'Assumptions and Inputs'!$C$42</f>
        <v>1093092.1438669816</v>
      </c>
      <c r="CA15" s="83">
        <f>CA$11*'Assumptions and Inputs'!$C$42</f>
        <v>1093092.1438669816</v>
      </c>
      <c r="CB15" s="83">
        <f>CB$11*'Assumptions and Inputs'!$C$42</f>
        <v>1093092.1438669816</v>
      </c>
      <c r="CC15" s="83">
        <f>CC$11*'Assumptions and Inputs'!$C$42</f>
        <v>1093092.1438669816</v>
      </c>
      <c r="CD15" s="83">
        <f>CD$11*'Assumptions and Inputs'!$C$42</f>
        <v>1093092.1438669816</v>
      </c>
      <c r="CE15" s="83">
        <f>CE$11*'Assumptions and Inputs'!$C$42</f>
        <v>1093092.1438669816</v>
      </c>
      <c r="CF15" s="83">
        <f>CF$11*'Assumptions and Inputs'!$C$42</f>
        <v>1093092.1438669816</v>
      </c>
      <c r="CG15" s="83">
        <f>CG$11*'Assumptions and Inputs'!$C$42</f>
        <v>1093092.1438669816</v>
      </c>
      <c r="CH15" s="83">
        <f>CH$11*'Assumptions and Inputs'!$C$42</f>
        <v>1093092.1438669816</v>
      </c>
      <c r="CI15" s="83">
        <f>CI$11*'Assumptions and Inputs'!$C$42</f>
        <v>1093092.1438669816</v>
      </c>
      <c r="CK15" s="57">
        <f t="shared" si="0"/>
        <v>10440283.427698743</v>
      </c>
      <c r="CM15" s="57">
        <f>SUM(BX15:CI15)</f>
        <v>13117105.726403782</v>
      </c>
      <c r="CO15" s="60"/>
      <c r="CP15" s="18" t="s">
        <v>131</v>
      </c>
    </row>
    <row r="16" spans="2:109" x14ac:dyDescent="0.3">
      <c r="B16" s="84" t="s">
        <v>132</v>
      </c>
      <c r="C16" s="84"/>
      <c r="D16" s="85">
        <f>SUM(D14:D15)-D11</f>
        <v>0</v>
      </c>
      <c r="E16" s="85">
        <f t="shared" ref="E16:O16" si="1">SUM(E14:E15)-E11</f>
        <v>0</v>
      </c>
      <c r="F16" s="85">
        <f t="shared" si="1"/>
        <v>0</v>
      </c>
      <c r="G16" s="85">
        <f t="shared" si="1"/>
        <v>0</v>
      </c>
      <c r="H16" s="85">
        <f t="shared" si="1"/>
        <v>0</v>
      </c>
      <c r="I16" s="85">
        <f t="shared" si="1"/>
        <v>0</v>
      </c>
      <c r="J16" s="85">
        <f t="shared" si="1"/>
        <v>0</v>
      </c>
      <c r="K16" s="85">
        <f t="shared" si="1"/>
        <v>0</v>
      </c>
      <c r="L16" s="85">
        <f t="shared" si="1"/>
        <v>0</v>
      </c>
      <c r="M16" s="85">
        <f t="shared" si="1"/>
        <v>0</v>
      </c>
      <c r="N16" s="85">
        <f t="shared" si="1"/>
        <v>0</v>
      </c>
      <c r="O16" s="85">
        <f t="shared" si="1"/>
        <v>0</v>
      </c>
      <c r="P16" s="85">
        <f t="shared" ref="P16:AA16" si="2">SUM(P14:P15)-P11</f>
        <v>0</v>
      </c>
      <c r="Q16" s="85">
        <f t="shared" si="2"/>
        <v>0</v>
      </c>
      <c r="R16" s="85">
        <f t="shared" si="2"/>
        <v>0</v>
      </c>
      <c r="S16" s="85">
        <f t="shared" si="2"/>
        <v>0</v>
      </c>
      <c r="T16" s="85">
        <f t="shared" si="2"/>
        <v>0</v>
      </c>
      <c r="U16" s="85">
        <f t="shared" si="2"/>
        <v>0</v>
      </c>
      <c r="V16" s="85">
        <f t="shared" si="2"/>
        <v>0</v>
      </c>
      <c r="W16" s="85">
        <f t="shared" si="2"/>
        <v>0</v>
      </c>
      <c r="X16" s="85">
        <f t="shared" si="2"/>
        <v>0</v>
      </c>
      <c r="Y16" s="85">
        <f t="shared" si="2"/>
        <v>0</v>
      </c>
      <c r="Z16" s="85">
        <f t="shared" si="2"/>
        <v>0</v>
      </c>
      <c r="AA16" s="85">
        <f t="shared" si="2"/>
        <v>0</v>
      </c>
      <c r="AB16" s="85">
        <f t="shared" ref="AB16:AM16" si="3">SUM(AB14:AB15)-AB11</f>
        <v>0</v>
      </c>
      <c r="AC16" s="85">
        <f t="shared" si="3"/>
        <v>0</v>
      </c>
      <c r="AD16" s="85">
        <f t="shared" si="3"/>
        <v>0</v>
      </c>
      <c r="AE16" s="85">
        <f t="shared" si="3"/>
        <v>0</v>
      </c>
      <c r="AF16" s="85">
        <f t="shared" si="3"/>
        <v>0</v>
      </c>
      <c r="AG16" s="85">
        <f t="shared" si="3"/>
        <v>0</v>
      </c>
      <c r="AH16" s="85">
        <f t="shared" si="3"/>
        <v>0</v>
      </c>
      <c r="AI16" s="85">
        <f t="shared" si="3"/>
        <v>0</v>
      </c>
      <c r="AJ16" s="85">
        <f t="shared" si="3"/>
        <v>0</v>
      </c>
      <c r="AK16" s="85">
        <f t="shared" si="3"/>
        <v>0</v>
      </c>
      <c r="AL16" s="85">
        <f t="shared" si="3"/>
        <v>0</v>
      </c>
      <c r="AM16" s="85">
        <f t="shared" si="3"/>
        <v>0</v>
      </c>
      <c r="AN16" s="85">
        <f t="shared" ref="AN16:AY16" si="4">SUM(AN14:AN15)-AN11</f>
        <v>0</v>
      </c>
      <c r="AO16" s="85">
        <f t="shared" si="4"/>
        <v>0</v>
      </c>
      <c r="AP16" s="85">
        <f t="shared" si="4"/>
        <v>0</v>
      </c>
      <c r="AQ16" s="85">
        <f t="shared" si="4"/>
        <v>0</v>
      </c>
      <c r="AR16" s="85">
        <f t="shared" si="4"/>
        <v>0</v>
      </c>
      <c r="AS16" s="85">
        <f t="shared" si="4"/>
        <v>0</v>
      </c>
      <c r="AT16" s="85">
        <f t="shared" si="4"/>
        <v>0</v>
      </c>
      <c r="AU16" s="85">
        <f t="shared" si="4"/>
        <v>0</v>
      </c>
      <c r="AV16" s="85">
        <f t="shared" si="4"/>
        <v>0</v>
      </c>
      <c r="AW16" s="85">
        <f t="shared" si="4"/>
        <v>0</v>
      </c>
      <c r="AX16" s="85">
        <f t="shared" si="4"/>
        <v>0</v>
      </c>
      <c r="AY16" s="85">
        <f t="shared" si="4"/>
        <v>0</v>
      </c>
      <c r="AZ16" s="85">
        <f t="shared" ref="AZ16:BK16" si="5">SUM(AZ14:AZ15)-AZ11</f>
        <v>0</v>
      </c>
      <c r="BA16" s="85">
        <f t="shared" si="5"/>
        <v>0</v>
      </c>
      <c r="BB16" s="85">
        <f t="shared" si="5"/>
        <v>0</v>
      </c>
      <c r="BC16" s="85">
        <f t="shared" si="5"/>
        <v>0</v>
      </c>
      <c r="BD16" s="85">
        <f t="shared" si="5"/>
        <v>0</v>
      </c>
      <c r="BE16" s="85">
        <f t="shared" si="5"/>
        <v>0</v>
      </c>
      <c r="BF16" s="85">
        <f t="shared" si="5"/>
        <v>0</v>
      </c>
      <c r="BG16" s="85">
        <f t="shared" si="5"/>
        <v>0</v>
      </c>
      <c r="BH16" s="85">
        <f t="shared" si="5"/>
        <v>0</v>
      </c>
      <c r="BI16" s="85">
        <f t="shared" si="5"/>
        <v>0</v>
      </c>
      <c r="BJ16" s="85">
        <f t="shared" si="5"/>
        <v>0</v>
      </c>
      <c r="BK16" s="85">
        <f t="shared" si="5"/>
        <v>0</v>
      </c>
      <c r="BL16" s="85">
        <f t="shared" ref="BL16:BW16" si="6">SUM(BL14:BL15)-BL11</f>
        <v>0</v>
      </c>
      <c r="BM16" s="85">
        <f t="shared" si="6"/>
        <v>0</v>
      </c>
      <c r="BN16" s="85">
        <f t="shared" si="6"/>
        <v>0</v>
      </c>
      <c r="BO16" s="85">
        <f t="shared" si="6"/>
        <v>0</v>
      </c>
      <c r="BP16" s="85">
        <f t="shared" si="6"/>
        <v>0</v>
      </c>
      <c r="BQ16" s="85">
        <f t="shared" si="6"/>
        <v>0</v>
      </c>
      <c r="BR16" s="85">
        <f t="shared" si="6"/>
        <v>0</v>
      </c>
      <c r="BS16" s="85">
        <f t="shared" si="6"/>
        <v>0</v>
      </c>
      <c r="BT16" s="85">
        <f t="shared" si="6"/>
        <v>0</v>
      </c>
      <c r="BU16" s="85">
        <f t="shared" si="6"/>
        <v>0</v>
      </c>
      <c r="BV16" s="85">
        <f t="shared" si="6"/>
        <v>0</v>
      </c>
      <c r="BW16" s="85">
        <f t="shared" si="6"/>
        <v>0</v>
      </c>
      <c r="BX16" s="85">
        <f t="shared" ref="BX16:CI16" si="7">SUM(BX14:BX15)-BX11</f>
        <v>0</v>
      </c>
      <c r="BY16" s="85">
        <f t="shared" si="7"/>
        <v>0</v>
      </c>
      <c r="BZ16" s="85">
        <f t="shared" si="7"/>
        <v>0</v>
      </c>
      <c r="CA16" s="85">
        <f t="shared" si="7"/>
        <v>0</v>
      </c>
      <c r="CB16" s="85">
        <f t="shared" si="7"/>
        <v>0</v>
      </c>
      <c r="CC16" s="85">
        <f t="shared" si="7"/>
        <v>0</v>
      </c>
      <c r="CD16" s="85">
        <f t="shared" si="7"/>
        <v>0</v>
      </c>
      <c r="CE16" s="85">
        <f t="shared" si="7"/>
        <v>0</v>
      </c>
      <c r="CF16" s="85">
        <f t="shared" si="7"/>
        <v>0</v>
      </c>
      <c r="CG16" s="85">
        <f t="shared" si="7"/>
        <v>0</v>
      </c>
      <c r="CH16" s="85">
        <f t="shared" si="7"/>
        <v>0</v>
      </c>
      <c r="CI16" s="85">
        <f t="shared" si="7"/>
        <v>0</v>
      </c>
      <c r="CK16" s="57">
        <f t="shared" si="0"/>
        <v>0</v>
      </c>
      <c r="CL16" s="85"/>
      <c r="CM16" s="57">
        <f>SUM(BX16:CI16)</f>
        <v>0</v>
      </c>
      <c r="CO16" s="84"/>
    </row>
    <row r="17" spans="2:113" x14ac:dyDescent="0.3"/>
    <row r="18" spans="2:113" x14ac:dyDescent="0.3">
      <c r="B18" s="86" t="s">
        <v>133</v>
      </c>
      <c r="C18" s="87"/>
      <c r="D18" s="88"/>
      <c r="E18" s="88"/>
      <c r="F18" s="88"/>
      <c r="G18" s="88"/>
      <c r="H18" s="89"/>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1"/>
      <c r="CK18" s="91"/>
      <c r="CL18" s="91"/>
      <c r="CM18" s="91"/>
      <c r="CN18" s="91"/>
      <c r="CO18" s="88"/>
      <c r="CP18" s="88"/>
    </row>
    <row r="19" spans="2:113" x14ac:dyDescent="0.3"/>
    <row r="20" spans="2:113" x14ac:dyDescent="0.3">
      <c r="B20" s="69" t="s">
        <v>134</v>
      </c>
      <c r="C20" s="70"/>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92" t="s">
        <v>135</v>
      </c>
      <c r="CP20" s="69"/>
    </row>
    <row r="21" spans="2:113" x14ac:dyDescent="0.3">
      <c r="B21" s="34" t="s">
        <v>136</v>
      </c>
      <c r="D21" s="93">
        <v>125292</v>
      </c>
      <c r="E21" s="93">
        <v>116321</v>
      </c>
      <c r="F21" s="93">
        <v>123998</v>
      </c>
      <c r="G21" s="93">
        <v>120173</v>
      </c>
      <c r="H21" s="93">
        <v>119891</v>
      </c>
      <c r="I21" s="93">
        <v>110548</v>
      </c>
      <c r="J21" s="93">
        <v>112511</v>
      </c>
      <c r="K21" s="93">
        <v>104488</v>
      </c>
      <c r="L21" s="93">
        <v>113669</v>
      </c>
      <c r="M21" s="93">
        <v>122924</v>
      </c>
      <c r="N21" s="93">
        <v>116438</v>
      </c>
      <c r="O21" s="93">
        <v>122239</v>
      </c>
      <c r="P21" s="93">
        <v>126658</v>
      </c>
      <c r="Q21" s="93">
        <v>123645</v>
      </c>
      <c r="R21" s="93">
        <v>107145</v>
      </c>
      <c r="S21" s="93">
        <v>120669</v>
      </c>
      <c r="T21" s="93">
        <v>126488</v>
      </c>
      <c r="U21" s="93">
        <v>101034</v>
      </c>
      <c r="V21" s="93">
        <v>98932</v>
      </c>
      <c r="W21" s="93">
        <v>114718</v>
      </c>
      <c r="X21" s="93">
        <v>115895</v>
      </c>
      <c r="Y21" s="93">
        <v>120388</v>
      </c>
      <c r="Z21" s="93">
        <v>125154</v>
      </c>
      <c r="AA21" s="93">
        <v>138990</v>
      </c>
      <c r="AB21" s="93">
        <v>126956</v>
      </c>
      <c r="AC21" s="93">
        <v>128016</v>
      </c>
      <c r="AD21" s="93">
        <v>103048</v>
      </c>
      <c r="AE21" s="93">
        <v>149519</v>
      </c>
      <c r="AF21" s="93">
        <v>119298</v>
      </c>
      <c r="AG21" s="93">
        <v>117079</v>
      </c>
      <c r="AH21" s="93">
        <v>119671</v>
      </c>
      <c r="AI21" s="93">
        <v>128468</v>
      </c>
      <c r="AJ21" s="93">
        <v>111859</v>
      </c>
      <c r="AK21" s="93">
        <v>117705</v>
      </c>
      <c r="AL21" s="93">
        <v>130526</v>
      </c>
      <c r="AM21" s="93">
        <v>127795</v>
      </c>
      <c r="AN21" s="93">
        <v>127608</v>
      </c>
      <c r="AO21" s="93">
        <v>137900</v>
      </c>
      <c r="AP21" s="93">
        <v>122893</v>
      </c>
      <c r="AQ21" s="93">
        <v>121566</v>
      </c>
      <c r="AR21" s="93">
        <v>115589</v>
      </c>
      <c r="AS21" s="93">
        <v>92454</v>
      </c>
      <c r="AT21" s="93">
        <v>91051</v>
      </c>
      <c r="AU21" s="93">
        <v>74605</v>
      </c>
      <c r="AV21" s="93">
        <v>70157</v>
      </c>
      <c r="AW21" s="93">
        <v>72630</v>
      </c>
      <c r="AX21" s="93">
        <v>81622</v>
      </c>
      <c r="AY21" s="93">
        <v>88479</v>
      </c>
      <c r="AZ21" s="93">
        <v>111525</v>
      </c>
      <c r="BA21" s="93">
        <v>104033</v>
      </c>
      <c r="BB21" s="93">
        <v>100995</v>
      </c>
      <c r="BC21" s="93">
        <v>107322</v>
      </c>
      <c r="BD21" s="93">
        <v>120663</v>
      </c>
      <c r="BE21" s="93">
        <v>96006</v>
      </c>
      <c r="BF21" s="93">
        <v>118982</v>
      </c>
      <c r="BG21" s="93">
        <v>99561</v>
      </c>
      <c r="BH21" s="93">
        <v>105104</v>
      </c>
      <c r="BI21" s="93">
        <v>134135</v>
      </c>
      <c r="BJ21" s="93">
        <v>145788</v>
      </c>
      <c r="BK21" s="93">
        <v>140128</v>
      </c>
      <c r="BL21" s="93">
        <v>158661</v>
      </c>
      <c r="BM21" s="93">
        <v>144272</v>
      </c>
      <c r="BN21" s="93">
        <v>153159</v>
      </c>
      <c r="BO21" s="93">
        <v>160462</v>
      </c>
      <c r="BP21" s="93">
        <v>159073.42439999999</v>
      </c>
      <c r="BQ21" s="93">
        <v>175408.42439999999</v>
      </c>
      <c r="BR21" s="93">
        <v>218968.42439999999</v>
      </c>
      <c r="BS21" s="93">
        <v>306088.42439999996</v>
      </c>
      <c r="BT21" s="93">
        <v>393208.42439999996</v>
      </c>
      <c r="BU21" s="93">
        <v>406372.25640000001</v>
      </c>
      <c r="BV21" s="93">
        <v>406372.25640000001</v>
      </c>
      <c r="BW21" s="93">
        <v>406372.25640000001</v>
      </c>
      <c r="BX21" s="93">
        <v>406372.25640000001</v>
      </c>
      <c r="BY21" s="93">
        <v>406372.25640000001</v>
      </c>
      <c r="BZ21" s="93">
        <v>406372.25640000001</v>
      </c>
      <c r="CA21" s="93">
        <v>406372.25640000001</v>
      </c>
      <c r="CB21" s="93">
        <v>406372.25640000001</v>
      </c>
      <c r="CC21" s="93">
        <v>406372.25640000001</v>
      </c>
      <c r="CD21" s="93">
        <v>406372.25640000001</v>
      </c>
      <c r="CE21" s="93">
        <v>406372.25640000001</v>
      </c>
      <c r="CF21" s="93">
        <v>406372.25640000001</v>
      </c>
      <c r="CG21" s="93">
        <v>406372.25640000001</v>
      </c>
      <c r="CH21" s="93">
        <v>406372.25640000001</v>
      </c>
      <c r="CI21" s="93">
        <v>406372.25640000001</v>
      </c>
      <c r="CK21" s="57">
        <f>SUM(BL21:BW21)</f>
        <v>3088417.8911999995</v>
      </c>
      <c r="CM21" s="57">
        <f>SUM(BX21:CI21)</f>
        <v>4876467.0767999999</v>
      </c>
      <c r="CP21" s="18" t="s">
        <v>286</v>
      </c>
      <c r="CT21" s="94"/>
      <c r="CU21" s="94"/>
      <c r="CV21" s="94"/>
      <c r="CW21" s="94"/>
      <c r="CX21" s="94"/>
      <c r="CY21" s="94"/>
      <c r="CZ21" s="94"/>
      <c r="DA21" s="94"/>
      <c r="DB21" s="94"/>
      <c r="DC21" s="94"/>
      <c r="DD21" s="94"/>
      <c r="DE21" s="94"/>
      <c r="DF21" s="94"/>
      <c r="DG21" s="94"/>
      <c r="DH21" s="94"/>
      <c r="DI21" s="94"/>
    </row>
    <row r="22" spans="2:113" x14ac:dyDescent="0.3">
      <c r="D22" s="24"/>
      <c r="E22" s="95"/>
      <c r="F22" s="95"/>
      <c r="G22" s="95"/>
      <c r="H22" s="95"/>
      <c r="I22" s="95"/>
      <c r="J22" s="96"/>
    </row>
    <row r="23" spans="2:113" x14ac:dyDescent="0.3">
      <c r="B23" s="69" t="s">
        <v>137</v>
      </c>
      <c r="C23" s="70"/>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92" t="s">
        <v>138</v>
      </c>
      <c r="CP23" s="69"/>
    </row>
    <row r="24" spans="2:113" x14ac:dyDescent="0.3">
      <c r="B24" s="34" t="s">
        <v>139</v>
      </c>
      <c r="D24" s="93">
        <v>95775</v>
      </c>
      <c r="E24" s="93">
        <v>85299</v>
      </c>
      <c r="F24" s="93">
        <v>84738</v>
      </c>
      <c r="G24" s="93">
        <v>82080</v>
      </c>
      <c r="H24" s="93">
        <v>82128</v>
      </c>
      <c r="I24" s="93">
        <v>80098</v>
      </c>
      <c r="J24" s="93">
        <v>87572</v>
      </c>
      <c r="K24" s="93">
        <v>78824</v>
      </c>
      <c r="L24" s="93">
        <v>85340</v>
      </c>
      <c r="M24" s="93">
        <v>86158</v>
      </c>
      <c r="N24" s="93">
        <v>78920</v>
      </c>
      <c r="O24" s="93">
        <v>91703</v>
      </c>
      <c r="P24" s="93">
        <v>92833</v>
      </c>
      <c r="Q24" s="93">
        <v>88988</v>
      </c>
      <c r="R24" s="93">
        <v>73533</v>
      </c>
      <c r="S24" s="93">
        <v>85323</v>
      </c>
      <c r="T24" s="93">
        <v>88691</v>
      </c>
      <c r="U24" s="93">
        <v>72657</v>
      </c>
      <c r="V24" s="93">
        <v>70612</v>
      </c>
      <c r="W24" s="93">
        <v>81774</v>
      </c>
      <c r="X24" s="93">
        <v>76033</v>
      </c>
      <c r="Y24" s="93">
        <v>79633</v>
      </c>
      <c r="Z24" s="93">
        <v>82560</v>
      </c>
      <c r="AA24" s="93">
        <v>89090</v>
      </c>
      <c r="AB24" s="93">
        <v>81866</v>
      </c>
      <c r="AC24" s="93">
        <v>84663</v>
      </c>
      <c r="AD24" s="93">
        <v>68434</v>
      </c>
      <c r="AE24" s="93">
        <v>83261</v>
      </c>
      <c r="AF24" s="93">
        <v>74597</v>
      </c>
      <c r="AG24" s="93">
        <v>71339</v>
      </c>
      <c r="AH24" s="93">
        <v>74624</v>
      </c>
      <c r="AI24" s="93">
        <v>75201</v>
      </c>
      <c r="AJ24" s="93">
        <v>66094</v>
      </c>
      <c r="AK24" s="93">
        <v>70502</v>
      </c>
      <c r="AL24" s="93">
        <v>77941</v>
      </c>
      <c r="AM24" s="93">
        <v>76404</v>
      </c>
      <c r="AN24" s="93">
        <v>76074</v>
      </c>
      <c r="AO24" s="93">
        <v>77342</v>
      </c>
      <c r="AP24" s="93">
        <v>70202</v>
      </c>
      <c r="AQ24" s="93">
        <v>70380</v>
      </c>
      <c r="AR24" s="93">
        <v>79554</v>
      </c>
      <c r="AS24" s="93">
        <v>72469</v>
      </c>
      <c r="AT24" s="93">
        <v>82665</v>
      </c>
      <c r="AU24" s="93">
        <v>82194</v>
      </c>
      <c r="AV24" s="93">
        <v>78946</v>
      </c>
      <c r="AW24" s="93">
        <v>83508</v>
      </c>
      <c r="AX24" s="93">
        <v>85787</v>
      </c>
      <c r="AY24" s="93">
        <v>79715</v>
      </c>
      <c r="AZ24" s="93">
        <v>88538</v>
      </c>
      <c r="BA24" s="93">
        <v>76017</v>
      </c>
      <c r="BB24" s="93">
        <v>75059</v>
      </c>
      <c r="BC24" s="93">
        <v>81041</v>
      </c>
      <c r="BD24" s="93">
        <v>87698</v>
      </c>
      <c r="BE24" s="93">
        <v>69360</v>
      </c>
      <c r="BF24" s="93">
        <v>84073</v>
      </c>
      <c r="BG24" s="93">
        <v>66050</v>
      </c>
      <c r="BH24" s="93">
        <v>66016</v>
      </c>
      <c r="BI24" s="93">
        <v>82339</v>
      </c>
      <c r="BJ24" s="93">
        <v>77953</v>
      </c>
      <c r="BK24" s="93">
        <v>71181</v>
      </c>
      <c r="BL24" s="93">
        <v>76704</v>
      </c>
      <c r="BM24" s="93">
        <v>67282</v>
      </c>
      <c r="BN24" s="93">
        <v>70565</v>
      </c>
      <c r="BO24" s="93">
        <v>68438</v>
      </c>
      <c r="BP24" s="94">
        <f t="shared" ref="BP24:BZ26" si="8">AVERAGE($BD24:$BO24)</f>
        <v>73971.583333333328</v>
      </c>
      <c r="BQ24" s="94">
        <f t="shared" si="8"/>
        <v>73971.583333333328</v>
      </c>
      <c r="BR24" s="94">
        <f t="shared" si="8"/>
        <v>73971.583333333328</v>
      </c>
      <c r="BS24" s="94">
        <f t="shared" si="8"/>
        <v>73971.583333333328</v>
      </c>
      <c r="BT24" s="94">
        <f t="shared" si="8"/>
        <v>73971.583333333328</v>
      </c>
      <c r="BU24" s="94">
        <f t="shared" si="8"/>
        <v>73971.583333333328</v>
      </c>
      <c r="BV24" s="94">
        <f t="shared" si="8"/>
        <v>73971.583333333328</v>
      </c>
      <c r="BW24" s="94">
        <f t="shared" si="8"/>
        <v>73971.583333333328</v>
      </c>
      <c r="BX24" s="94">
        <f t="shared" si="8"/>
        <v>73971.583333333328</v>
      </c>
      <c r="BY24" s="94">
        <f t="shared" si="8"/>
        <v>73971.583333333328</v>
      </c>
      <c r="BZ24" s="94">
        <f t="shared" si="8"/>
        <v>73971.583333333328</v>
      </c>
      <c r="CA24" s="94">
        <f t="shared" ref="CA24:CI26" si="9">AVERAGE($BD24:$BO24)</f>
        <v>73971.583333333328</v>
      </c>
      <c r="CB24" s="94">
        <f t="shared" si="9"/>
        <v>73971.583333333328</v>
      </c>
      <c r="CC24" s="94">
        <f t="shared" si="9"/>
        <v>73971.583333333328</v>
      </c>
      <c r="CD24" s="94">
        <f t="shared" si="9"/>
        <v>73971.583333333328</v>
      </c>
      <c r="CE24" s="94">
        <f t="shared" si="9"/>
        <v>73971.583333333328</v>
      </c>
      <c r="CF24" s="94">
        <f t="shared" si="9"/>
        <v>73971.583333333328</v>
      </c>
      <c r="CG24" s="94">
        <f t="shared" si="9"/>
        <v>73971.583333333328</v>
      </c>
      <c r="CH24" s="94">
        <f t="shared" si="9"/>
        <v>73971.583333333328</v>
      </c>
      <c r="CI24" s="94">
        <f t="shared" si="9"/>
        <v>73971.583333333328</v>
      </c>
      <c r="CK24" s="57">
        <f t="shared" ref="CK24:CK27" si="10">SUM(BL24:BW24)</f>
        <v>874761.66666666674</v>
      </c>
      <c r="CM24" s="57">
        <f>SUM(BX24:CI24)</f>
        <v>887659.00000000012</v>
      </c>
      <c r="CP24" s="18" t="s">
        <v>140</v>
      </c>
      <c r="CT24" s="94"/>
      <c r="CU24" s="94"/>
      <c r="CV24" s="94"/>
      <c r="CW24" s="94"/>
      <c r="CX24" s="94"/>
      <c r="CY24" s="94"/>
      <c r="CZ24" s="94"/>
      <c r="DA24" s="94"/>
      <c r="DB24" s="94"/>
      <c r="DC24" s="94"/>
      <c r="DD24" s="94"/>
      <c r="DE24" s="94"/>
      <c r="DF24" s="94"/>
      <c r="DG24" s="94"/>
      <c r="DH24" s="94"/>
      <c r="DI24" s="94"/>
    </row>
    <row r="25" spans="2:113" x14ac:dyDescent="0.3">
      <c r="B25" s="34" t="s">
        <v>141</v>
      </c>
      <c r="D25" s="93">
        <v>159146</v>
      </c>
      <c r="E25" s="93">
        <v>124229</v>
      </c>
      <c r="F25" s="93">
        <v>129788</v>
      </c>
      <c r="G25" s="93">
        <v>123552</v>
      </c>
      <c r="H25" s="93">
        <v>123004</v>
      </c>
      <c r="I25" s="93">
        <v>117002</v>
      </c>
      <c r="J25" s="93">
        <v>115251</v>
      </c>
      <c r="K25" s="93">
        <v>107073</v>
      </c>
      <c r="L25" s="93">
        <v>112715</v>
      </c>
      <c r="M25" s="93">
        <v>172455</v>
      </c>
      <c r="N25" s="93">
        <v>123093</v>
      </c>
      <c r="O25" s="93">
        <v>136708</v>
      </c>
      <c r="P25" s="93">
        <v>132293</v>
      </c>
      <c r="Q25" s="93">
        <v>123397</v>
      </c>
      <c r="R25" s="93">
        <v>128474</v>
      </c>
      <c r="S25" s="93">
        <v>120913</v>
      </c>
      <c r="T25" s="93">
        <v>125720</v>
      </c>
      <c r="U25" s="93">
        <v>113887</v>
      </c>
      <c r="V25" s="93">
        <v>100436</v>
      </c>
      <c r="W25" s="93">
        <v>107951</v>
      </c>
      <c r="X25" s="93">
        <v>114132</v>
      </c>
      <c r="Y25" s="93">
        <v>118990</v>
      </c>
      <c r="Z25" s="93">
        <v>126380</v>
      </c>
      <c r="AA25" s="93">
        <v>142304</v>
      </c>
      <c r="AB25" s="93">
        <v>131628</v>
      </c>
      <c r="AC25" s="93">
        <v>127552</v>
      </c>
      <c r="AD25" s="93">
        <v>113166</v>
      </c>
      <c r="AE25" s="93">
        <v>104301</v>
      </c>
      <c r="AF25" s="93">
        <v>122975</v>
      </c>
      <c r="AG25" s="93">
        <v>119916</v>
      </c>
      <c r="AH25" s="93">
        <v>112029</v>
      </c>
      <c r="AI25" s="93">
        <v>123343</v>
      </c>
      <c r="AJ25" s="93">
        <v>114660</v>
      </c>
      <c r="AK25" s="93">
        <v>116203</v>
      </c>
      <c r="AL25" s="93">
        <v>132262</v>
      </c>
      <c r="AM25" s="93">
        <v>129317</v>
      </c>
      <c r="AN25" s="93">
        <v>132474</v>
      </c>
      <c r="AO25" s="93">
        <v>131439</v>
      </c>
      <c r="AP25" s="93">
        <v>122755</v>
      </c>
      <c r="AQ25" s="93">
        <v>124347</v>
      </c>
      <c r="AR25" s="93">
        <v>138850</v>
      </c>
      <c r="AS25" s="93">
        <v>124003</v>
      </c>
      <c r="AT25" s="93">
        <v>125728</v>
      </c>
      <c r="AU25" s="93">
        <v>136537</v>
      </c>
      <c r="AV25" s="93">
        <v>118682</v>
      </c>
      <c r="AW25" s="93">
        <v>131452</v>
      </c>
      <c r="AX25" s="93">
        <v>139576</v>
      </c>
      <c r="AY25" s="93">
        <v>135221</v>
      </c>
      <c r="AZ25" s="93">
        <v>306137</v>
      </c>
      <c r="BA25" s="93">
        <v>148512</v>
      </c>
      <c r="BB25" s="93">
        <v>124884</v>
      </c>
      <c r="BC25" s="93">
        <v>141077</v>
      </c>
      <c r="BD25" s="93">
        <v>148080</v>
      </c>
      <c r="BE25" s="93">
        <v>123902</v>
      </c>
      <c r="BF25" s="93">
        <v>125201</v>
      </c>
      <c r="BG25" s="93">
        <v>119399</v>
      </c>
      <c r="BH25" s="93">
        <v>106731</v>
      </c>
      <c r="BI25" s="93">
        <v>124900</v>
      </c>
      <c r="BJ25" s="93">
        <v>128308</v>
      </c>
      <c r="BK25" s="93">
        <v>121560</v>
      </c>
      <c r="BL25" s="93">
        <v>129691</v>
      </c>
      <c r="BM25" s="93">
        <v>115529</v>
      </c>
      <c r="BN25" s="93">
        <v>117102</v>
      </c>
      <c r="BO25" s="93">
        <v>119211</v>
      </c>
      <c r="BP25" s="94">
        <f t="shared" si="8"/>
        <v>123301.16666666667</v>
      </c>
      <c r="BQ25" s="94">
        <f t="shared" si="8"/>
        <v>123301.16666666667</v>
      </c>
      <c r="BR25" s="94">
        <f t="shared" si="8"/>
        <v>123301.16666666667</v>
      </c>
      <c r="BS25" s="94">
        <f t="shared" si="8"/>
        <v>123301.16666666667</v>
      </c>
      <c r="BT25" s="94">
        <f t="shared" si="8"/>
        <v>123301.16666666667</v>
      </c>
      <c r="BU25" s="94">
        <f t="shared" si="8"/>
        <v>123301.16666666667</v>
      </c>
      <c r="BV25" s="94">
        <f t="shared" si="8"/>
        <v>123301.16666666667</v>
      </c>
      <c r="BW25" s="94">
        <f t="shared" si="8"/>
        <v>123301.16666666667</v>
      </c>
      <c r="BX25" s="94">
        <f t="shared" si="8"/>
        <v>123301.16666666667</v>
      </c>
      <c r="BY25" s="94">
        <f t="shared" si="8"/>
        <v>123301.16666666667</v>
      </c>
      <c r="BZ25" s="94">
        <f t="shared" si="8"/>
        <v>123301.16666666667</v>
      </c>
      <c r="CA25" s="94">
        <f t="shared" si="9"/>
        <v>123301.16666666667</v>
      </c>
      <c r="CB25" s="94">
        <f t="shared" si="9"/>
        <v>123301.16666666667</v>
      </c>
      <c r="CC25" s="94">
        <f t="shared" si="9"/>
        <v>123301.16666666667</v>
      </c>
      <c r="CD25" s="94">
        <f t="shared" si="9"/>
        <v>123301.16666666667</v>
      </c>
      <c r="CE25" s="94">
        <f t="shared" si="9"/>
        <v>123301.16666666667</v>
      </c>
      <c r="CF25" s="94">
        <f t="shared" si="9"/>
        <v>123301.16666666667</v>
      </c>
      <c r="CG25" s="94">
        <f t="shared" si="9"/>
        <v>123301.16666666667</v>
      </c>
      <c r="CH25" s="94">
        <f t="shared" si="9"/>
        <v>123301.16666666667</v>
      </c>
      <c r="CI25" s="94">
        <f t="shared" si="9"/>
        <v>123301.16666666667</v>
      </c>
      <c r="CK25" s="57">
        <f t="shared" si="10"/>
        <v>1467942.3333333335</v>
      </c>
      <c r="CM25" s="57">
        <f>SUM(BX25:CI25)</f>
        <v>1479614.0000000002</v>
      </c>
      <c r="CP25" s="18" t="s">
        <v>140</v>
      </c>
      <c r="CT25" s="94"/>
      <c r="CU25" s="94"/>
      <c r="CV25" s="94"/>
      <c r="CW25" s="94"/>
      <c r="CX25" s="94"/>
      <c r="CY25" s="94"/>
      <c r="CZ25" s="94"/>
      <c r="DA25" s="94"/>
      <c r="DB25" s="94"/>
      <c r="DC25" s="94"/>
      <c r="DD25" s="94"/>
      <c r="DE25" s="94"/>
      <c r="DF25" s="94"/>
      <c r="DG25" s="94"/>
      <c r="DH25" s="94"/>
      <c r="DI25" s="94"/>
    </row>
    <row r="26" spans="2:113" x14ac:dyDescent="0.3">
      <c r="B26" s="34" t="s">
        <v>142</v>
      </c>
      <c r="D26" s="93">
        <v>443544</v>
      </c>
      <c r="E26" s="93">
        <v>396523</v>
      </c>
      <c r="F26" s="93">
        <v>457894</v>
      </c>
      <c r="G26" s="93">
        <v>315094</v>
      </c>
      <c r="H26" s="93">
        <v>292239</v>
      </c>
      <c r="I26" s="93">
        <v>316099</v>
      </c>
      <c r="J26" s="93">
        <v>325075</v>
      </c>
      <c r="K26" s="93">
        <v>324474</v>
      </c>
      <c r="L26" s="93">
        <v>369471</v>
      </c>
      <c r="M26" s="93">
        <v>369369</v>
      </c>
      <c r="N26" s="93">
        <v>349598</v>
      </c>
      <c r="O26" s="93">
        <v>468605</v>
      </c>
      <c r="P26" s="93">
        <v>367991</v>
      </c>
      <c r="Q26" s="93">
        <v>380655</v>
      </c>
      <c r="R26" s="93">
        <v>429531</v>
      </c>
      <c r="S26" s="93">
        <v>364305</v>
      </c>
      <c r="T26" s="93">
        <v>330476</v>
      </c>
      <c r="U26" s="93">
        <v>228033</v>
      </c>
      <c r="V26" s="93">
        <v>207944</v>
      </c>
      <c r="W26" s="93">
        <v>187638</v>
      </c>
      <c r="X26" s="93">
        <v>140174</v>
      </c>
      <c r="Y26" s="93">
        <v>162947</v>
      </c>
      <c r="Z26" s="93">
        <v>188408</v>
      </c>
      <c r="AA26" s="93">
        <v>221527</v>
      </c>
      <c r="AB26" s="93">
        <v>201479</v>
      </c>
      <c r="AC26" s="93">
        <v>187482</v>
      </c>
      <c r="AD26" s="93">
        <v>150637</v>
      </c>
      <c r="AE26" s="93">
        <v>171385</v>
      </c>
      <c r="AF26" s="93">
        <v>165545</v>
      </c>
      <c r="AG26" s="93">
        <v>133423</v>
      </c>
      <c r="AH26" s="93">
        <v>168240</v>
      </c>
      <c r="AI26" s="93">
        <v>148974</v>
      </c>
      <c r="AJ26" s="93">
        <v>154456</v>
      </c>
      <c r="AK26" s="93">
        <v>186764</v>
      </c>
      <c r="AL26" s="93">
        <v>205175</v>
      </c>
      <c r="AM26" s="93">
        <v>220298</v>
      </c>
      <c r="AN26" s="93">
        <v>230635</v>
      </c>
      <c r="AO26" s="93">
        <v>216483</v>
      </c>
      <c r="AP26" s="93">
        <v>190578</v>
      </c>
      <c r="AQ26" s="93">
        <v>196958</v>
      </c>
      <c r="AR26" s="93">
        <v>186777</v>
      </c>
      <c r="AS26" s="93">
        <v>144463</v>
      </c>
      <c r="AT26" s="93">
        <v>199943</v>
      </c>
      <c r="AU26" s="93">
        <v>175953</v>
      </c>
      <c r="AV26" s="93">
        <v>218814</v>
      </c>
      <c r="AW26" s="93">
        <v>197037</v>
      </c>
      <c r="AX26" s="93">
        <v>208026</v>
      </c>
      <c r="AY26" s="93">
        <v>235611</v>
      </c>
      <c r="AZ26" s="93">
        <v>288304</v>
      </c>
      <c r="BA26" s="93">
        <v>203778</v>
      </c>
      <c r="BB26" s="93">
        <v>192780</v>
      </c>
      <c r="BC26" s="93">
        <v>162998</v>
      </c>
      <c r="BD26" s="93">
        <v>170126</v>
      </c>
      <c r="BE26" s="93">
        <v>144384</v>
      </c>
      <c r="BF26" s="93">
        <v>184508</v>
      </c>
      <c r="BG26" s="93">
        <v>178632</v>
      </c>
      <c r="BH26" s="93">
        <v>168196</v>
      </c>
      <c r="BI26" s="93">
        <v>199011</v>
      </c>
      <c r="BJ26" s="93">
        <v>210805</v>
      </c>
      <c r="BK26" s="93">
        <v>198553</v>
      </c>
      <c r="BL26" s="93">
        <v>253092</v>
      </c>
      <c r="BM26" s="93">
        <v>193993</v>
      </c>
      <c r="BN26" s="93">
        <v>192705</v>
      </c>
      <c r="BO26" s="93">
        <v>168761</v>
      </c>
      <c r="BP26" s="94">
        <f t="shared" si="8"/>
        <v>188563.83333333334</v>
      </c>
      <c r="BQ26" s="94">
        <f t="shared" si="8"/>
        <v>188563.83333333334</v>
      </c>
      <c r="BR26" s="94">
        <f t="shared" si="8"/>
        <v>188563.83333333334</v>
      </c>
      <c r="BS26" s="94">
        <f t="shared" si="8"/>
        <v>188563.83333333334</v>
      </c>
      <c r="BT26" s="94">
        <f t="shared" si="8"/>
        <v>188563.83333333334</v>
      </c>
      <c r="BU26" s="94">
        <f t="shared" si="8"/>
        <v>188563.83333333334</v>
      </c>
      <c r="BV26" s="94">
        <f t="shared" si="8"/>
        <v>188563.83333333334</v>
      </c>
      <c r="BW26" s="94">
        <f t="shared" si="8"/>
        <v>188563.83333333334</v>
      </c>
      <c r="BX26" s="94">
        <f t="shared" si="8"/>
        <v>188563.83333333334</v>
      </c>
      <c r="BY26" s="94">
        <f t="shared" si="8"/>
        <v>188563.83333333334</v>
      </c>
      <c r="BZ26" s="94">
        <f t="shared" si="8"/>
        <v>188563.83333333334</v>
      </c>
      <c r="CA26" s="94">
        <f t="shared" si="9"/>
        <v>188563.83333333334</v>
      </c>
      <c r="CB26" s="94">
        <f t="shared" si="9"/>
        <v>188563.83333333334</v>
      </c>
      <c r="CC26" s="94">
        <f t="shared" si="9"/>
        <v>188563.83333333334</v>
      </c>
      <c r="CD26" s="94">
        <f t="shared" si="9"/>
        <v>188563.83333333334</v>
      </c>
      <c r="CE26" s="94">
        <f t="shared" si="9"/>
        <v>188563.83333333334</v>
      </c>
      <c r="CF26" s="94">
        <f t="shared" si="9"/>
        <v>188563.83333333334</v>
      </c>
      <c r="CG26" s="94">
        <f t="shared" si="9"/>
        <v>188563.83333333334</v>
      </c>
      <c r="CH26" s="94">
        <f t="shared" si="9"/>
        <v>188563.83333333334</v>
      </c>
      <c r="CI26" s="94">
        <f t="shared" si="9"/>
        <v>188563.83333333334</v>
      </c>
      <c r="CK26" s="57">
        <f t="shared" si="10"/>
        <v>2317061.6666666665</v>
      </c>
      <c r="CM26" s="57">
        <f>SUM(BX26:CI26)</f>
        <v>2262765.9999999995</v>
      </c>
      <c r="CP26" s="18" t="s">
        <v>140</v>
      </c>
      <c r="CT26" s="94"/>
      <c r="CU26" s="94"/>
      <c r="CV26" s="94"/>
      <c r="CW26" s="94"/>
      <c r="CX26" s="94"/>
      <c r="CY26" s="94"/>
      <c r="CZ26" s="94"/>
      <c r="DA26" s="94"/>
      <c r="DB26" s="94"/>
      <c r="DC26" s="94"/>
      <c r="DD26" s="94"/>
      <c r="DE26" s="94"/>
      <c r="DF26" s="94"/>
      <c r="DG26" s="94"/>
      <c r="DH26" s="94"/>
      <c r="DI26" s="94"/>
    </row>
    <row r="27" spans="2:113" x14ac:dyDescent="0.3">
      <c r="B27" s="34" t="s">
        <v>143</v>
      </c>
      <c r="D27" s="93">
        <v>4841437</v>
      </c>
      <c r="E27" s="93">
        <v>4279138</v>
      </c>
      <c r="F27" s="93">
        <v>4274207</v>
      </c>
      <c r="G27" s="93">
        <v>4094436</v>
      </c>
      <c r="H27" s="93">
        <v>3971894</v>
      </c>
      <c r="I27" s="93">
        <v>3865198</v>
      </c>
      <c r="J27" s="93">
        <v>4049227</v>
      </c>
      <c r="K27" s="93">
        <v>3846053</v>
      </c>
      <c r="L27" s="93">
        <v>4102004</v>
      </c>
      <c r="M27" s="93">
        <v>4317966</v>
      </c>
      <c r="N27" s="93">
        <v>4080301</v>
      </c>
      <c r="O27" s="93">
        <v>4701098</v>
      </c>
      <c r="P27" s="93">
        <v>4609834</v>
      </c>
      <c r="Q27" s="93">
        <v>4416729</v>
      </c>
      <c r="R27" s="93">
        <v>4102786</v>
      </c>
      <c r="S27" s="93">
        <v>4278702</v>
      </c>
      <c r="T27" s="93">
        <v>4466022</v>
      </c>
      <c r="U27" s="93">
        <v>3876306</v>
      </c>
      <c r="V27" s="93">
        <v>3847290</v>
      </c>
      <c r="W27" s="93">
        <v>4011072</v>
      </c>
      <c r="X27" s="93">
        <v>3881152</v>
      </c>
      <c r="Y27" s="93">
        <v>4161469</v>
      </c>
      <c r="Z27" s="93">
        <v>4440874</v>
      </c>
      <c r="AA27" s="93">
        <v>4900467</v>
      </c>
      <c r="AB27" s="93">
        <v>4521158</v>
      </c>
      <c r="AC27" s="93">
        <v>4663351</v>
      </c>
      <c r="AD27" s="93">
        <v>3985594</v>
      </c>
      <c r="AE27" s="93">
        <v>4346216</v>
      </c>
      <c r="AF27" s="93">
        <v>4038439</v>
      </c>
      <c r="AG27" s="93">
        <v>3832728</v>
      </c>
      <c r="AH27" s="93">
        <v>4012010</v>
      </c>
      <c r="AI27" s="93">
        <v>4243793</v>
      </c>
      <c r="AJ27" s="93">
        <v>4086070</v>
      </c>
      <c r="AK27" s="93">
        <v>4293086</v>
      </c>
      <c r="AL27" s="93">
        <v>4693314</v>
      </c>
      <c r="AM27" s="93">
        <v>4633239</v>
      </c>
      <c r="AN27" s="93">
        <v>4603998</v>
      </c>
      <c r="AO27" s="93">
        <v>4727100</v>
      </c>
      <c r="AP27" s="93">
        <v>4151236</v>
      </c>
      <c r="AQ27" s="93">
        <v>4210608</v>
      </c>
      <c r="AR27" s="93">
        <v>4398754</v>
      </c>
      <c r="AS27" s="93">
        <v>3844281</v>
      </c>
      <c r="AT27" s="93">
        <v>4236949</v>
      </c>
      <c r="AU27" s="93">
        <v>4186241</v>
      </c>
      <c r="AV27" s="93">
        <v>3999119</v>
      </c>
      <c r="AW27" s="93">
        <v>4341778</v>
      </c>
      <c r="AX27" s="93">
        <v>4640217</v>
      </c>
      <c r="AY27" s="93">
        <v>4745722</v>
      </c>
      <c r="AZ27" s="93">
        <v>5189920</v>
      </c>
      <c r="BA27" s="93">
        <v>4475773</v>
      </c>
      <c r="BB27" s="93">
        <v>4126213</v>
      </c>
      <c r="BC27" s="93">
        <v>4180102</v>
      </c>
      <c r="BD27" s="93">
        <v>4355508</v>
      </c>
      <c r="BE27" s="93">
        <v>3681805</v>
      </c>
      <c r="BF27" s="93">
        <v>4328526</v>
      </c>
      <c r="BG27" s="93">
        <v>3845861</v>
      </c>
      <c r="BH27" s="93">
        <v>3898050</v>
      </c>
      <c r="BI27" s="93">
        <v>4446878</v>
      </c>
      <c r="BJ27" s="93">
        <v>4731290</v>
      </c>
      <c r="BK27" s="93">
        <v>4423288</v>
      </c>
      <c r="BL27" s="93">
        <v>4807571</v>
      </c>
      <c r="BM27" s="93">
        <v>4059135</v>
      </c>
      <c r="BN27" s="93">
        <v>4097312</v>
      </c>
      <c r="BO27" s="93">
        <v>4223238</v>
      </c>
      <c r="BP27" s="94">
        <f>AVERAGE($BD27:$BO27)</f>
        <v>4241538.5</v>
      </c>
      <c r="BQ27" s="94">
        <f t="shared" ref="BQ27:BZ27" si="11">AVERAGE($BD27:$BO27)-(BQ29-$BP29)</f>
        <v>4225203.5</v>
      </c>
      <c r="BR27" s="94">
        <f t="shared" si="11"/>
        <v>4181643.5</v>
      </c>
      <c r="BS27" s="94">
        <f t="shared" si="11"/>
        <v>4094523.5</v>
      </c>
      <c r="BT27" s="94">
        <f t="shared" si="11"/>
        <v>4007403.5</v>
      </c>
      <c r="BU27" s="94">
        <f t="shared" si="11"/>
        <v>3994239.6680000001</v>
      </c>
      <c r="BV27" s="94">
        <f t="shared" si="11"/>
        <v>3994239.6680000001</v>
      </c>
      <c r="BW27" s="94">
        <f t="shared" si="11"/>
        <v>3994239.6680000001</v>
      </c>
      <c r="BX27" s="94">
        <f t="shared" si="11"/>
        <v>3994239.6680000001</v>
      </c>
      <c r="BY27" s="94">
        <f t="shared" si="11"/>
        <v>3994239.6680000001</v>
      </c>
      <c r="BZ27" s="94">
        <f t="shared" si="11"/>
        <v>3994239.6680000001</v>
      </c>
      <c r="CA27" s="94">
        <f t="shared" ref="CA27:CI27" si="12">AVERAGE($BD27:$BO27)-(CA29-$BP29)</f>
        <v>3994239.6680000001</v>
      </c>
      <c r="CB27" s="94">
        <f t="shared" si="12"/>
        <v>3994239.6680000001</v>
      </c>
      <c r="CC27" s="94">
        <f t="shared" si="12"/>
        <v>3994239.6680000001</v>
      </c>
      <c r="CD27" s="94">
        <f t="shared" si="12"/>
        <v>3994239.6680000001</v>
      </c>
      <c r="CE27" s="94">
        <f t="shared" si="12"/>
        <v>3994239.6680000001</v>
      </c>
      <c r="CF27" s="94">
        <f t="shared" si="12"/>
        <v>3994239.6680000001</v>
      </c>
      <c r="CG27" s="94">
        <f t="shared" si="12"/>
        <v>3994239.6680000001</v>
      </c>
      <c r="CH27" s="94">
        <f t="shared" si="12"/>
        <v>3994239.6680000001</v>
      </c>
      <c r="CI27" s="94">
        <f t="shared" si="12"/>
        <v>3994239.6680000001</v>
      </c>
      <c r="CK27" s="57">
        <f t="shared" si="10"/>
        <v>49920287.503999993</v>
      </c>
      <c r="CM27" s="57">
        <f>SUM(BX27:CI27)</f>
        <v>47930876.015999995</v>
      </c>
      <c r="CP27" s="18" t="s">
        <v>282</v>
      </c>
      <c r="CT27" s="94"/>
      <c r="CU27" s="94"/>
      <c r="CV27" s="94"/>
      <c r="CW27" s="94"/>
      <c r="CX27" s="94"/>
      <c r="CY27" s="94"/>
      <c r="CZ27" s="94"/>
      <c r="DA27" s="94"/>
      <c r="DB27" s="94"/>
      <c r="DC27" s="94"/>
      <c r="DD27" s="94"/>
      <c r="DE27" s="94"/>
      <c r="DF27" s="94"/>
      <c r="DG27" s="94"/>
      <c r="DH27" s="94"/>
      <c r="DI27" s="94"/>
    </row>
    <row r="28" spans="2:113" x14ac:dyDescent="0.3">
      <c r="B28" s="34"/>
      <c r="D28" s="24"/>
      <c r="E28" s="95"/>
      <c r="F28" s="95"/>
      <c r="G28" s="95"/>
      <c r="H28" s="95"/>
      <c r="I28" s="95"/>
    </row>
    <row r="29" spans="2:113" x14ac:dyDescent="0.3">
      <c r="B29" s="97" t="s">
        <v>134</v>
      </c>
      <c r="C29" s="75"/>
      <c r="D29" s="94">
        <f t="shared" ref="D29:O29" si="13">SUM(D21:D21)</f>
        <v>125292</v>
      </c>
      <c r="E29" s="94">
        <f t="shared" si="13"/>
        <v>116321</v>
      </c>
      <c r="F29" s="94">
        <f t="shared" si="13"/>
        <v>123998</v>
      </c>
      <c r="G29" s="94">
        <f t="shared" si="13"/>
        <v>120173</v>
      </c>
      <c r="H29" s="94">
        <f t="shared" si="13"/>
        <v>119891</v>
      </c>
      <c r="I29" s="94">
        <f t="shared" si="13"/>
        <v>110548</v>
      </c>
      <c r="J29" s="94">
        <f>SUM(J21:J21)</f>
        <v>112511</v>
      </c>
      <c r="K29" s="94">
        <f t="shared" si="13"/>
        <v>104488</v>
      </c>
      <c r="L29" s="94">
        <f t="shared" si="13"/>
        <v>113669</v>
      </c>
      <c r="M29" s="94">
        <f t="shared" si="13"/>
        <v>122924</v>
      </c>
      <c r="N29" s="94">
        <f t="shared" si="13"/>
        <v>116438</v>
      </c>
      <c r="O29" s="94">
        <f t="shared" si="13"/>
        <v>122239</v>
      </c>
      <c r="P29" s="94">
        <f t="shared" ref="P29:AA29" si="14">SUM(P21:P21)</f>
        <v>126658</v>
      </c>
      <c r="Q29" s="94">
        <f t="shared" si="14"/>
        <v>123645</v>
      </c>
      <c r="R29" s="94">
        <f t="shared" si="14"/>
        <v>107145</v>
      </c>
      <c r="S29" s="94">
        <f t="shared" si="14"/>
        <v>120669</v>
      </c>
      <c r="T29" s="94">
        <f t="shared" si="14"/>
        <v>126488</v>
      </c>
      <c r="U29" s="94">
        <f t="shared" si="14"/>
        <v>101034</v>
      </c>
      <c r="V29" s="94">
        <f t="shared" si="14"/>
        <v>98932</v>
      </c>
      <c r="W29" s="94">
        <f t="shared" si="14"/>
        <v>114718</v>
      </c>
      <c r="X29" s="94">
        <f t="shared" si="14"/>
        <v>115895</v>
      </c>
      <c r="Y29" s="94">
        <f t="shared" si="14"/>
        <v>120388</v>
      </c>
      <c r="Z29" s="94">
        <f t="shared" si="14"/>
        <v>125154</v>
      </c>
      <c r="AA29" s="94">
        <f t="shared" si="14"/>
        <v>138990</v>
      </c>
      <c r="AB29" s="94">
        <f t="shared" ref="AB29:AC29" si="15">SUM(AB21:AB21)</f>
        <v>126956</v>
      </c>
      <c r="AC29" s="94">
        <f t="shared" si="15"/>
        <v>128016</v>
      </c>
      <c r="AD29" s="94">
        <f t="shared" ref="AD29:AM29" si="16">SUM(AD21:AD21)</f>
        <v>103048</v>
      </c>
      <c r="AE29" s="94">
        <f t="shared" si="16"/>
        <v>149519</v>
      </c>
      <c r="AF29" s="94">
        <f t="shared" si="16"/>
        <v>119298</v>
      </c>
      <c r="AG29" s="94">
        <f t="shared" si="16"/>
        <v>117079</v>
      </c>
      <c r="AH29" s="94">
        <f t="shared" si="16"/>
        <v>119671</v>
      </c>
      <c r="AI29" s="94">
        <f t="shared" si="16"/>
        <v>128468</v>
      </c>
      <c r="AJ29" s="94">
        <f t="shared" si="16"/>
        <v>111859</v>
      </c>
      <c r="AK29" s="94">
        <f t="shared" si="16"/>
        <v>117705</v>
      </c>
      <c r="AL29" s="94">
        <f t="shared" si="16"/>
        <v>130526</v>
      </c>
      <c r="AM29" s="94">
        <f t="shared" si="16"/>
        <v>127795</v>
      </c>
      <c r="AN29" s="94">
        <f t="shared" ref="AN29:AY29" si="17">SUM(AN21:AN21)</f>
        <v>127608</v>
      </c>
      <c r="AO29" s="94">
        <f t="shared" si="17"/>
        <v>137900</v>
      </c>
      <c r="AP29" s="94">
        <f t="shared" si="17"/>
        <v>122893</v>
      </c>
      <c r="AQ29" s="94">
        <f t="shared" si="17"/>
        <v>121566</v>
      </c>
      <c r="AR29" s="94">
        <f t="shared" si="17"/>
        <v>115589</v>
      </c>
      <c r="AS29" s="94">
        <f t="shared" si="17"/>
        <v>92454</v>
      </c>
      <c r="AT29" s="94">
        <f t="shared" si="17"/>
        <v>91051</v>
      </c>
      <c r="AU29" s="94">
        <f t="shared" si="17"/>
        <v>74605</v>
      </c>
      <c r="AV29" s="94">
        <f t="shared" si="17"/>
        <v>70157</v>
      </c>
      <c r="AW29" s="94">
        <f t="shared" si="17"/>
        <v>72630</v>
      </c>
      <c r="AX29" s="94">
        <f t="shared" si="17"/>
        <v>81622</v>
      </c>
      <c r="AY29" s="94">
        <f t="shared" si="17"/>
        <v>88479</v>
      </c>
      <c r="AZ29" s="94">
        <f t="shared" ref="AZ29:BK29" si="18">SUM(AZ21:AZ21)</f>
        <v>111525</v>
      </c>
      <c r="BA29" s="94">
        <f t="shared" si="18"/>
        <v>104033</v>
      </c>
      <c r="BB29" s="94">
        <f t="shared" si="18"/>
        <v>100995</v>
      </c>
      <c r="BC29" s="94">
        <f t="shared" si="18"/>
        <v>107322</v>
      </c>
      <c r="BD29" s="94">
        <f t="shared" si="18"/>
        <v>120663</v>
      </c>
      <c r="BE29" s="94">
        <f t="shared" si="18"/>
        <v>96006</v>
      </c>
      <c r="BF29" s="94">
        <f t="shared" si="18"/>
        <v>118982</v>
      </c>
      <c r="BG29" s="94">
        <f t="shared" si="18"/>
        <v>99561</v>
      </c>
      <c r="BH29" s="94">
        <f t="shared" si="18"/>
        <v>105104</v>
      </c>
      <c r="BI29" s="94">
        <f t="shared" si="18"/>
        <v>134135</v>
      </c>
      <c r="BJ29" s="94">
        <f t="shared" si="18"/>
        <v>145788</v>
      </c>
      <c r="BK29" s="94">
        <f t="shared" si="18"/>
        <v>140128</v>
      </c>
      <c r="BL29" s="94">
        <f t="shared" ref="BL29:BW29" si="19">SUM(BL21:BL21)</f>
        <v>158661</v>
      </c>
      <c r="BM29" s="94">
        <f t="shared" si="19"/>
        <v>144272</v>
      </c>
      <c r="BN29" s="94">
        <f t="shared" si="19"/>
        <v>153159</v>
      </c>
      <c r="BO29" s="94">
        <f t="shared" si="19"/>
        <v>160462</v>
      </c>
      <c r="BP29" s="94">
        <f t="shared" si="19"/>
        <v>159073.42439999999</v>
      </c>
      <c r="BQ29" s="94">
        <f t="shared" si="19"/>
        <v>175408.42439999999</v>
      </c>
      <c r="BR29" s="94">
        <f t="shared" si="19"/>
        <v>218968.42439999999</v>
      </c>
      <c r="BS29" s="94">
        <f t="shared" si="19"/>
        <v>306088.42439999996</v>
      </c>
      <c r="BT29" s="94">
        <f t="shared" si="19"/>
        <v>393208.42439999996</v>
      </c>
      <c r="BU29" s="94">
        <f t="shared" si="19"/>
        <v>406372.25640000001</v>
      </c>
      <c r="BV29" s="94">
        <f t="shared" si="19"/>
        <v>406372.25640000001</v>
      </c>
      <c r="BW29" s="94">
        <f t="shared" si="19"/>
        <v>406372.25640000001</v>
      </c>
      <c r="BX29" s="94">
        <f t="shared" ref="BX29:CI29" si="20">SUM(BX21:BX21)</f>
        <v>406372.25640000001</v>
      </c>
      <c r="BY29" s="94">
        <f t="shared" si="20"/>
        <v>406372.25640000001</v>
      </c>
      <c r="BZ29" s="94">
        <f t="shared" si="20"/>
        <v>406372.25640000001</v>
      </c>
      <c r="CA29" s="94">
        <f t="shared" si="20"/>
        <v>406372.25640000001</v>
      </c>
      <c r="CB29" s="94">
        <f t="shared" si="20"/>
        <v>406372.25640000001</v>
      </c>
      <c r="CC29" s="94">
        <f t="shared" si="20"/>
        <v>406372.25640000001</v>
      </c>
      <c r="CD29" s="94">
        <f t="shared" si="20"/>
        <v>406372.25640000001</v>
      </c>
      <c r="CE29" s="94">
        <f t="shared" si="20"/>
        <v>406372.25640000001</v>
      </c>
      <c r="CF29" s="94">
        <f t="shared" si="20"/>
        <v>406372.25640000001</v>
      </c>
      <c r="CG29" s="94">
        <f t="shared" si="20"/>
        <v>406372.25640000001</v>
      </c>
      <c r="CH29" s="94">
        <f t="shared" si="20"/>
        <v>406372.25640000001</v>
      </c>
      <c r="CI29" s="94">
        <f t="shared" si="20"/>
        <v>406372.25640000001</v>
      </c>
      <c r="CK29" s="57">
        <f t="shared" ref="CK29:CK30" si="21">SUM(BL29:BW29)</f>
        <v>3088417.8911999995</v>
      </c>
      <c r="CM29" s="57">
        <f>SUM(BX29:CI29)</f>
        <v>4876467.0767999999</v>
      </c>
      <c r="CO29" s="77"/>
      <c r="CT29" s="94"/>
      <c r="CU29" s="94"/>
      <c r="CV29" s="94"/>
      <c r="CW29" s="94"/>
      <c r="CX29" s="94"/>
      <c r="CY29" s="94"/>
      <c r="CZ29" s="94"/>
      <c r="DA29" s="94"/>
      <c r="DB29" s="94"/>
      <c r="DC29" s="94"/>
      <c r="DD29" s="94"/>
      <c r="DE29" s="94"/>
      <c r="DF29" s="94"/>
      <c r="DG29" s="94"/>
      <c r="DH29" s="94"/>
      <c r="DI29" s="94"/>
    </row>
    <row r="30" spans="2:113" x14ac:dyDescent="0.3">
      <c r="B30" s="97" t="s">
        <v>137</v>
      </c>
      <c r="C30" s="98"/>
      <c r="D30" s="94">
        <f t="shared" ref="D30:O30" si="22">SUM(D24:D27)</f>
        <v>5539902</v>
      </c>
      <c r="E30" s="94">
        <f t="shared" si="22"/>
        <v>4885189</v>
      </c>
      <c r="F30" s="94">
        <f t="shared" si="22"/>
        <v>4946627</v>
      </c>
      <c r="G30" s="94">
        <f t="shared" si="22"/>
        <v>4615162</v>
      </c>
      <c r="H30" s="94">
        <f t="shared" si="22"/>
        <v>4469265</v>
      </c>
      <c r="I30" s="94">
        <f t="shared" si="22"/>
        <v>4378397</v>
      </c>
      <c r="J30" s="94">
        <f t="shared" si="22"/>
        <v>4577125</v>
      </c>
      <c r="K30" s="94">
        <f t="shared" si="22"/>
        <v>4356424</v>
      </c>
      <c r="L30" s="94">
        <f t="shared" si="22"/>
        <v>4669530</v>
      </c>
      <c r="M30" s="94">
        <f t="shared" si="22"/>
        <v>4945948</v>
      </c>
      <c r="N30" s="94">
        <f t="shared" si="22"/>
        <v>4631912</v>
      </c>
      <c r="O30" s="94">
        <f t="shared" si="22"/>
        <v>5398114</v>
      </c>
      <c r="P30" s="94">
        <f t="shared" ref="P30:AA30" si="23">SUM(P24:P27)</f>
        <v>5202951</v>
      </c>
      <c r="Q30" s="94">
        <f t="shared" si="23"/>
        <v>5009769</v>
      </c>
      <c r="R30" s="94">
        <f t="shared" si="23"/>
        <v>4734324</v>
      </c>
      <c r="S30" s="94">
        <f t="shared" si="23"/>
        <v>4849243</v>
      </c>
      <c r="T30" s="94">
        <f t="shared" si="23"/>
        <v>5010909</v>
      </c>
      <c r="U30" s="94">
        <f t="shared" si="23"/>
        <v>4290883</v>
      </c>
      <c r="V30" s="94">
        <f t="shared" si="23"/>
        <v>4226282</v>
      </c>
      <c r="W30" s="94">
        <f t="shared" si="23"/>
        <v>4388435</v>
      </c>
      <c r="X30" s="94">
        <f t="shared" si="23"/>
        <v>4211491</v>
      </c>
      <c r="Y30" s="94">
        <f t="shared" si="23"/>
        <v>4523039</v>
      </c>
      <c r="Z30" s="94">
        <f t="shared" si="23"/>
        <v>4838222</v>
      </c>
      <c r="AA30" s="94">
        <f t="shared" si="23"/>
        <v>5353388</v>
      </c>
      <c r="AB30" s="94">
        <f t="shared" ref="AB30:AC30" si="24">SUM(AB24:AB27)</f>
        <v>4936131</v>
      </c>
      <c r="AC30" s="94">
        <f t="shared" si="24"/>
        <v>5063048</v>
      </c>
      <c r="AD30" s="94">
        <f t="shared" ref="AD30:AM30" si="25">SUM(AD24:AD27)</f>
        <v>4317831</v>
      </c>
      <c r="AE30" s="94">
        <f t="shared" si="25"/>
        <v>4705163</v>
      </c>
      <c r="AF30" s="94">
        <f t="shared" si="25"/>
        <v>4401556</v>
      </c>
      <c r="AG30" s="94">
        <f t="shared" si="25"/>
        <v>4157406</v>
      </c>
      <c r="AH30" s="94">
        <f t="shared" si="25"/>
        <v>4366903</v>
      </c>
      <c r="AI30" s="94">
        <f t="shared" si="25"/>
        <v>4591311</v>
      </c>
      <c r="AJ30" s="94">
        <f t="shared" si="25"/>
        <v>4421280</v>
      </c>
      <c r="AK30" s="94">
        <f t="shared" si="25"/>
        <v>4666555</v>
      </c>
      <c r="AL30" s="94">
        <f t="shared" si="25"/>
        <v>5108692</v>
      </c>
      <c r="AM30" s="94">
        <f t="shared" si="25"/>
        <v>5059258</v>
      </c>
      <c r="AN30" s="94">
        <f t="shared" ref="AN30:AY30" si="26">SUM(AN24:AN27)</f>
        <v>5043181</v>
      </c>
      <c r="AO30" s="94">
        <f t="shared" si="26"/>
        <v>5152364</v>
      </c>
      <c r="AP30" s="94">
        <f t="shared" si="26"/>
        <v>4534771</v>
      </c>
      <c r="AQ30" s="94">
        <f t="shared" si="26"/>
        <v>4602293</v>
      </c>
      <c r="AR30" s="94">
        <f t="shared" si="26"/>
        <v>4803935</v>
      </c>
      <c r="AS30" s="94">
        <f t="shared" si="26"/>
        <v>4185216</v>
      </c>
      <c r="AT30" s="94">
        <f t="shared" si="26"/>
        <v>4645285</v>
      </c>
      <c r="AU30" s="94">
        <f t="shared" si="26"/>
        <v>4580925</v>
      </c>
      <c r="AV30" s="94">
        <f t="shared" si="26"/>
        <v>4415561</v>
      </c>
      <c r="AW30" s="94">
        <f t="shared" si="26"/>
        <v>4753775</v>
      </c>
      <c r="AX30" s="94">
        <f t="shared" si="26"/>
        <v>5073606</v>
      </c>
      <c r="AY30" s="94">
        <f t="shared" si="26"/>
        <v>5196269</v>
      </c>
      <c r="AZ30" s="94">
        <f t="shared" ref="AZ30:BK30" si="27">SUM(AZ24:AZ27)</f>
        <v>5872899</v>
      </c>
      <c r="BA30" s="94">
        <f t="shared" si="27"/>
        <v>4904080</v>
      </c>
      <c r="BB30" s="94">
        <f t="shared" si="27"/>
        <v>4518936</v>
      </c>
      <c r="BC30" s="94">
        <f>SUM(BC24:BC27)</f>
        <v>4565218</v>
      </c>
      <c r="BD30" s="94">
        <f t="shared" si="27"/>
        <v>4761412</v>
      </c>
      <c r="BE30" s="94">
        <f t="shared" si="27"/>
        <v>4019451</v>
      </c>
      <c r="BF30" s="94">
        <f t="shared" si="27"/>
        <v>4722308</v>
      </c>
      <c r="BG30" s="94">
        <f t="shared" si="27"/>
        <v>4209942</v>
      </c>
      <c r="BH30" s="94">
        <f t="shared" si="27"/>
        <v>4238993</v>
      </c>
      <c r="BI30" s="94">
        <f t="shared" si="27"/>
        <v>4853128</v>
      </c>
      <c r="BJ30" s="94">
        <f t="shared" si="27"/>
        <v>5148356</v>
      </c>
      <c r="BK30" s="94">
        <f t="shared" si="27"/>
        <v>4814582</v>
      </c>
      <c r="BL30" s="94">
        <f t="shared" ref="BL30:CI30" si="28">SUM(BL24:BL27)</f>
        <v>5267058</v>
      </c>
      <c r="BM30" s="94">
        <f t="shared" si="28"/>
        <v>4435939</v>
      </c>
      <c r="BN30" s="94">
        <f t="shared" si="28"/>
        <v>4477684</v>
      </c>
      <c r="BO30" s="94">
        <f t="shared" si="28"/>
        <v>4579648</v>
      </c>
      <c r="BP30" s="94">
        <f t="shared" si="28"/>
        <v>4627375.083333333</v>
      </c>
      <c r="BQ30" s="94">
        <f t="shared" si="28"/>
        <v>4611040.083333333</v>
      </c>
      <c r="BR30" s="94">
        <f t="shared" si="28"/>
        <v>4567480.083333333</v>
      </c>
      <c r="BS30" s="94">
        <f t="shared" si="28"/>
        <v>4480360.083333333</v>
      </c>
      <c r="BT30" s="94">
        <f t="shared" si="28"/>
        <v>4393240.083333333</v>
      </c>
      <c r="BU30" s="94">
        <f t="shared" si="28"/>
        <v>4380076.2513333336</v>
      </c>
      <c r="BV30" s="94">
        <f t="shared" si="28"/>
        <v>4380076.2513333336</v>
      </c>
      <c r="BW30" s="94">
        <f t="shared" si="28"/>
        <v>4380076.2513333336</v>
      </c>
      <c r="BX30" s="94">
        <f t="shared" si="28"/>
        <v>4380076.2513333336</v>
      </c>
      <c r="BY30" s="94">
        <f t="shared" si="28"/>
        <v>4380076.2513333336</v>
      </c>
      <c r="BZ30" s="94">
        <f t="shared" si="28"/>
        <v>4380076.2513333336</v>
      </c>
      <c r="CA30" s="94">
        <f t="shared" si="28"/>
        <v>4380076.2513333336</v>
      </c>
      <c r="CB30" s="94">
        <f t="shared" si="28"/>
        <v>4380076.2513333336</v>
      </c>
      <c r="CC30" s="94">
        <f t="shared" si="28"/>
        <v>4380076.2513333336</v>
      </c>
      <c r="CD30" s="94">
        <f t="shared" si="28"/>
        <v>4380076.2513333336</v>
      </c>
      <c r="CE30" s="94">
        <f t="shared" si="28"/>
        <v>4380076.2513333336</v>
      </c>
      <c r="CF30" s="94">
        <f t="shared" si="28"/>
        <v>4380076.2513333336</v>
      </c>
      <c r="CG30" s="94">
        <f t="shared" si="28"/>
        <v>4380076.2513333336</v>
      </c>
      <c r="CH30" s="94">
        <f t="shared" si="28"/>
        <v>4380076.2513333336</v>
      </c>
      <c r="CI30" s="94">
        <f t="shared" si="28"/>
        <v>4380076.2513333336</v>
      </c>
      <c r="CK30" s="57">
        <f t="shared" si="21"/>
        <v>54580053.170666665</v>
      </c>
      <c r="CM30" s="57">
        <f>SUM(BX30:CI30)</f>
        <v>52560915.016000003</v>
      </c>
      <c r="CO30" s="99"/>
      <c r="CT30" s="94"/>
      <c r="CU30" s="94"/>
      <c r="CV30" s="94"/>
      <c r="CW30" s="94"/>
      <c r="CX30" s="94"/>
      <c r="CY30" s="94"/>
      <c r="CZ30" s="94"/>
      <c r="DA30" s="94"/>
      <c r="DB30" s="94"/>
      <c r="DC30" s="94"/>
      <c r="DD30" s="94"/>
      <c r="DE30" s="94"/>
      <c r="DF30" s="94"/>
      <c r="DG30" s="94"/>
      <c r="DH30" s="94"/>
      <c r="DI30" s="94"/>
    </row>
    <row r="31" spans="2:113" x14ac:dyDescent="0.3">
      <c r="B31" s="97"/>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row>
    <row r="32" spans="2:113" x14ac:dyDescent="0.3">
      <c r="B32" s="49" t="s">
        <v>144</v>
      </c>
      <c r="D32" s="94">
        <f t="shared" ref="D32:O32" si="29">SUM(D29:D30)</f>
        <v>5665194</v>
      </c>
      <c r="E32" s="94">
        <f t="shared" si="29"/>
        <v>5001510</v>
      </c>
      <c r="F32" s="94">
        <f t="shared" si="29"/>
        <v>5070625</v>
      </c>
      <c r="G32" s="94">
        <f t="shared" si="29"/>
        <v>4735335</v>
      </c>
      <c r="H32" s="94">
        <f t="shared" si="29"/>
        <v>4589156</v>
      </c>
      <c r="I32" s="94">
        <f t="shared" si="29"/>
        <v>4488945</v>
      </c>
      <c r="J32" s="94">
        <f t="shared" si="29"/>
        <v>4689636</v>
      </c>
      <c r="K32" s="94">
        <f t="shared" si="29"/>
        <v>4460912</v>
      </c>
      <c r="L32" s="94">
        <f t="shared" si="29"/>
        <v>4783199</v>
      </c>
      <c r="M32" s="94">
        <f t="shared" si="29"/>
        <v>5068872</v>
      </c>
      <c r="N32" s="94">
        <f t="shared" si="29"/>
        <v>4748350</v>
      </c>
      <c r="O32" s="94">
        <f t="shared" si="29"/>
        <v>5520353</v>
      </c>
      <c r="P32" s="94">
        <f t="shared" ref="P32:AA32" si="30">SUM(P29:P30)</f>
        <v>5329609</v>
      </c>
      <c r="Q32" s="94">
        <f t="shared" si="30"/>
        <v>5133414</v>
      </c>
      <c r="R32" s="94">
        <f t="shared" si="30"/>
        <v>4841469</v>
      </c>
      <c r="S32" s="94">
        <f t="shared" si="30"/>
        <v>4969912</v>
      </c>
      <c r="T32" s="94">
        <f t="shared" si="30"/>
        <v>5137397</v>
      </c>
      <c r="U32" s="94">
        <f t="shared" si="30"/>
        <v>4391917</v>
      </c>
      <c r="V32" s="94">
        <f t="shared" si="30"/>
        <v>4325214</v>
      </c>
      <c r="W32" s="94">
        <f t="shared" si="30"/>
        <v>4503153</v>
      </c>
      <c r="X32" s="94">
        <f t="shared" si="30"/>
        <v>4327386</v>
      </c>
      <c r="Y32" s="94">
        <f t="shared" si="30"/>
        <v>4643427</v>
      </c>
      <c r="Z32" s="94">
        <f t="shared" si="30"/>
        <v>4963376</v>
      </c>
      <c r="AA32" s="94">
        <f t="shared" si="30"/>
        <v>5492378</v>
      </c>
      <c r="AB32" s="94">
        <f t="shared" ref="AB32:AC32" si="31">SUM(AB29:AB30)</f>
        <v>5063087</v>
      </c>
      <c r="AC32" s="94">
        <f t="shared" si="31"/>
        <v>5191064</v>
      </c>
      <c r="AD32" s="94">
        <f t="shared" ref="AD32:AM32" si="32">SUM(AD29:AD30)</f>
        <v>4420879</v>
      </c>
      <c r="AE32" s="94">
        <f t="shared" si="32"/>
        <v>4854682</v>
      </c>
      <c r="AF32" s="94">
        <f t="shared" si="32"/>
        <v>4520854</v>
      </c>
      <c r="AG32" s="94">
        <f t="shared" si="32"/>
        <v>4274485</v>
      </c>
      <c r="AH32" s="94">
        <f t="shared" si="32"/>
        <v>4486574</v>
      </c>
      <c r="AI32" s="94">
        <f t="shared" si="32"/>
        <v>4719779</v>
      </c>
      <c r="AJ32" s="94">
        <f t="shared" si="32"/>
        <v>4533139</v>
      </c>
      <c r="AK32" s="94">
        <f t="shared" si="32"/>
        <v>4784260</v>
      </c>
      <c r="AL32" s="94">
        <f t="shared" si="32"/>
        <v>5239218</v>
      </c>
      <c r="AM32" s="94">
        <f t="shared" si="32"/>
        <v>5187053</v>
      </c>
      <c r="AN32" s="94">
        <f t="shared" ref="AN32:BK32" si="33">SUM(AN29:AN30)</f>
        <v>5170789</v>
      </c>
      <c r="AO32" s="94">
        <f t="shared" si="33"/>
        <v>5290264</v>
      </c>
      <c r="AP32" s="94">
        <f t="shared" si="33"/>
        <v>4657664</v>
      </c>
      <c r="AQ32" s="94">
        <f t="shared" si="33"/>
        <v>4723859</v>
      </c>
      <c r="AR32" s="94">
        <f t="shared" si="33"/>
        <v>4919524</v>
      </c>
      <c r="AS32" s="94">
        <f t="shared" si="33"/>
        <v>4277670</v>
      </c>
      <c r="AT32" s="94">
        <f t="shared" si="33"/>
        <v>4736336</v>
      </c>
      <c r="AU32" s="94">
        <f t="shared" si="33"/>
        <v>4655530</v>
      </c>
      <c r="AV32" s="94">
        <f t="shared" si="33"/>
        <v>4485718</v>
      </c>
      <c r="AW32" s="94">
        <f t="shared" si="33"/>
        <v>4826405</v>
      </c>
      <c r="AX32" s="94">
        <f t="shared" si="33"/>
        <v>5155228</v>
      </c>
      <c r="AY32" s="94">
        <f t="shared" si="33"/>
        <v>5284748</v>
      </c>
      <c r="AZ32" s="94">
        <f t="shared" si="33"/>
        <v>5984424</v>
      </c>
      <c r="BA32" s="94">
        <f t="shared" si="33"/>
        <v>5008113</v>
      </c>
      <c r="BB32" s="94">
        <f t="shared" si="33"/>
        <v>4619931</v>
      </c>
      <c r="BC32" s="94">
        <f t="shared" si="33"/>
        <v>4672540</v>
      </c>
      <c r="BD32" s="94">
        <f t="shared" si="33"/>
        <v>4882075</v>
      </c>
      <c r="BE32" s="94">
        <f t="shared" si="33"/>
        <v>4115457</v>
      </c>
      <c r="BF32" s="94">
        <f t="shared" si="33"/>
        <v>4841290</v>
      </c>
      <c r="BG32" s="94">
        <f t="shared" si="33"/>
        <v>4309503</v>
      </c>
      <c r="BH32" s="94">
        <f t="shared" si="33"/>
        <v>4344097</v>
      </c>
      <c r="BI32" s="94">
        <f t="shared" si="33"/>
        <v>4987263</v>
      </c>
      <c r="BJ32" s="94">
        <f t="shared" si="33"/>
        <v>5294144</v>
      </c>
      <c r="BK32" s="94">
        <f t="shared" si="33"/>
        <v>4954710</v>
      </c>
      <c r="BL32" s="94">
        <f t="shared" ref="BL32:BW32" si="34">SUM(BL29:BL30)</f>
        <v>5425719</v>
      </c>
      <c r="BM32" s="94">
        <f t="shared" si="34"/>
        <v>4580211</v>
      </c>
      <c r="BN32" s="94">
        <f t="shared" si="34"/>
        <v>4630843</v>
      </c>
      <c r="BO32" s="94">
        <f t="shared" si="34"/>
        <v>4740110</v>
      </c>
      <c r="BP32" s="94">
        <f t="shared" si="34"/>
        <v>4786448.5077333329</v>
      </c>
      <c r="BQ32" s="94">
        <f t="shared" si="34"/>
        <v>4786448.5077333329</v>
      </c>
      <c r="BR32" s="94">
        <f t="shared" si="34"/>
        <v>4786448.5077333329</v>
      </c>
      <c r="BS32" s="94">
        <f t="shared" si="34"/>
        <v>4786448.5077333329</v>
      </c>
      <c r="BT32" s="94">
        <f t="shared" si="34"/>
        <v>4786448.5077333329</v>
      </c>
      <c r="BU32" s="94">
        <f t="shared" si="34"/>
        <v>4786448.5077333339</v>
      </c>
      <c r="BV32" s="94">
        <f t="shared" si="34"/>
        <v>4786448.5077333339</v>
      </c>
      <c r="BW32" s="94">
        <f t="shared" si="34"/>
        <v>4786448.5077333339</v>
      </c>
      <c r="BX32" s="94">
        <f t="shared" ref="BX32:CI32" si="35">SUM(BX29:BX30)</f>
        <v>4786448.5077333339</v>
      </c>
      <c r="BY32" s="94">
        <f t="shared" si="35"/>
        <v>4786448.5077333339</v>
      </c>
      <c r="BZ32" s="94">
        <f t="shared" si="35"/>
        <v>4786448.5077333339</v>
      </c>
      <c r="CA32" s="94">
        <f t="shared" si="35"/>
        <v>4786448.5077333339</v>
      </c>
      <c r="CB32" s="94">
        <f t="shared" si="35"/>
        <v>4786448.5077333339</v>
      </c>
      <c r="CC32" s="94">
        <f t="shared" si="35"/>
        <v>4786448.5077333339</v>
      </c>
      <c r="CD32" s="94">
        <f t="shared" si="35"/>
        <v>4786448.5077333339</v>
      </c>
      <c r="CE32" s="94">
        <f t="shared" si="35"/>
        <v>4786448.5077333339</v>
      </c>
      <c r="CF32" s="94">
        <f t="shared" si="35"/>
        <v>4786448.5077333339</v>
      </c>
      <c r="CG32" s="94">
        <f t="shared" si="35"/>
        <v>4786448.5077333339</v>
      </c>
      <c r="CH32" s="94">
        <f t="shared" si="35"/>
        <v>4786448.5077333339</v>
      </c>
      <c r="CI32" s="94">
        <f t="shared" si="35"/>
        <v>4786448.5077333339</v>
      </c>
      <c r="CK32" s="57">
        <f>SUM(BL32:BW32)</f>
        <v>57668471.061866656</v>
      </c>
      <c r="CM32" s="57">
        <f>SUM(BX32:CI32)</f>
        <v>57437382.092799991</v>
      </c>
    </row>
    <row r="33" spans="2:109" x14ac:dyDescent="0.3">
      <c r="B33" s="49"/>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row>
    <row r="34" spans="2:109" x14ac:dyDescent="0.3">
      <c r="B34" s="49" t="s">
        <v>145</v>
      </c>
      <c r="D34" s="94">
        <f t="shared" ref="D34:O34" si="36">D30</f>
        <v>5539902</v>
      </c>
      <c r="E34" s="94">
        <f t="shared" si="36"/>
        <v>4885189</v>
      </c>
      <c r="F34" s="94">
        <f t="shared" si="36"/>
        <v>4946627</v>
      </c>
      <c r="G34" s="94">
        <f t="shared" si="36"/>
        <v>4615162</v>
      </c>
      <c r="H34" s="94">
        <f t="shared" si="36"/>
        <v>4469265</v>
      </c>
      <c r="I34" s="94">
        <f t="shared" si="36"/>
        <v>4378397</v>
      </c>
      <c r="J34" s="94">
        <f t="shared" si="36"/>
        <v>4577125</v>
      </c>
      <c r="K34" s="94">
        <f t="shared" si="36"/>
        <v>4356424</v>
      </c>
      <c r="L34" s="94">
        <f t="shared" si="36"/>
        <v>4669530</v>
      </c>
      <c r="M34" s="94">
        <f t="shared" si="36"/>
        <v>4945948</v>
      </c>
      <c r="N34" s="94">
        <f t="shared" si="36"/>
        <v>4631912</v>
      </c>
      <c r="O34" s="94">
        <f t="shared" si="36"/>
        <v>5398114</v>
      </c>
      <c r="P34" s="94">
        <f t="shared" ref="P34:AA34" si="37">P30</f>
        <v>5202951</v>
      </c>
      <c r="Q34" s="94">
        <f t="shared" si="37"/>
        <v>5009769</v>
      </c>
      <c r="R34" s="94">
        <f t="shared" si="37"/>
        <v>4734324</v>
      </c>
      <c r="S34" s="94">
        <f t="shared" si="37"/>
        <v>4849243</v>
      </c>
      <c r="T34" s="94">
        <f t="shared" si="37"/>
        <v>5010909</v>
      </c>
      <c r="U34" s="94">
        <f t="shared" si="37"/>
        <v>4290883</v>
      </c>
      <c r="V34" s="94">
        <f t="shared" si="37"/>
        <v>4226282</v>
      </c>
      <c r="W34" s="94">
        <f t="shared" si="37"/>
        <v>4388435</v>
      </c>
      <c r="X34" s="94">
        <f t="shared" si="37"/>
        <v>4211491</v>
      </c>
      <c r="Y34" s="94">
        <f t="shared" si="37"/>
        <v>4523039</v>
      </c>
      <c r="Z34" s="94">
        <f t="shared" si="37"/>
        <v>4838222</v>
      </c>
      <c r="AA34" s="94">
        <f t="shared" si="37"/>
        <v>5353388</v>
      </c>
      <c r="AB34" s="94">
        <f t="shared" ref="AB34:AC34" si="38">AB30</f>
        <v>4936131</v>
      </c>
      <c r="AC34" s="94">
        <f t="shared" si="38"/>
        <v>5063048</v>
      </c>
      <c r="AD34" s="94">
        <f t="shared" ref="AD34:AM34" si="39">AD30</f>
        <v>4317831</v>
      </c>
      <c r="AE34" s="94">
        <f t="shared" si="39"/>
        <v>4705163</v>
      </c>
      <c r="AF34" s="94">
        <f t="shared" si="39"/>
        <v>4401556</v>
      </c>
      <c r="AG34" s="94">
        <f t="shared" si="39"/>
        <v>4157406</v>
      </c>
      <c r="AH34" s="94">
        <f t="shared" si="39"/>
        <v>4366903</v>
      </c>
      <c r="AI34" s="94">
        <f t="shared" si="39"/>
        <v>4591311</v>
      </c>
      <c r="AJ34" s="94">
        <f t="shared" si="39"/>
        <v>4421280</v>
      </c>
      <c r="AK34" s="94">
        <f t="shared" si="39"/>
        <v>4666555</v>
      </c>
      <c r="AL34" s="94">
        <f t="shared" si="39"/>
        <v>5108692</v>
      </c>
      <c r="AM34" s="94">
        <f t="shared" si="39"/>
        <v>5059258</v>
      </c>
      <c r="AN34" s="94">
        <f t="shared" ref="AN34:BW34" si="40">AN30</f>
        <v>5043181</v>
      </c>
      <c r="AO34" s="94">
        <f t="shared" si="40"/>
        <v>5152364</v>
      </c>
      <c r="AP34" s="94">
        <f t="shared" si="40"/>
        <v>4534771</v>
      </c>
      <c r="AQ34" s="94">
        <f t="shared" si="40"/>
        <v>4602293</v>
      </c>
      <c r="AR34" s="94">
        <f t="shared" si="40"/>
        <v>4803935</v>
      </c>
      <c r="AS34" s="94">
        <f t="shared" si="40"/>
        <v>4185216</v>
      </c>
      <c r="AT34" s="94">
        <f t="shared" si="40"/>
        <v>4645285</v>
      </c>
      <c r="AU34" s="94">
        <f t="shared" si="40"/>
        <v>4580925</v>
      </c>
      <c r="AV34" s="94">
        <f t="shared" si="40"/>
        <v>4415561</v>
      </c>
      <c r="AW34" s="94">
        <f t="shared" si="40"/>
        <v>4753775</v>
      </c>
      <c r="AX34" s="94">
        <f t="shared" si="40"/>
        <v>5073606</v>
      </c>
      <c r="AY34" s="94">
        <f t="shared" si="40"/>
        <v>5196269</v>
      </c>
      <c r="AZ34" s="94">
        <f t="shared" si="40"/>
        <v>5872899</v>
      </c>
      <c r="BA34" s="94">
        <f t="shared" si="40"/>
        <v>4904080</v>
      </c>
      <c r="BB34" s="94">
        <f t="shared" si="40"/>
        <v>4518936</v>
      </c>
      <c r="BC34" s="94">
        <f>BC30</f>
        <v>4565218</v>
      </c>
      <c r="BD34" s="94">
        <f t="shared" si="40"/>
        <v>4761412</v>
      </c>
      <c r="BE34" s="94">
        <f t="shared" si="40"/>
        <v>4019451</v>
      </c>
      <c r="BF34" s="94">
        <f t="shared" si="40"/>
        <v>4722308</v>
      </c>
      <c r="BG34" s="94">
        <f t="shared" si="40"/>
        <v>4209942</v>
      </c>
      <c r="BH34" s="94">
        <f t="shared" si="40"/>
        <v>4238993</v>
      </c>
      <c r="BI34" s="94">
        <f t="shared" si="40"/>
        <v>4853128</v>
      </c>
      <c r="BJ34" s="94">
        <f t="shared" si="40"/>
        <v>5148356</v>
      </c>
      <c r="BK34" s="94">
        <f t="shared" si="40"/>
        <v>4814582</v>
      </c>
      <c r="BL34" s="94">
        <f t="shared" si="40"/>
        <v>5267058</v>
      </c>
      <c r="BM34" s="94">
        <f t="shared" si="40"/>
        <v>4435939</v>
      </c>
      <c r="BN34" s="94">
        <f t="shared" si="40"/>
        <v>4477684</v>
      </c>
      <c r="BO34" s="94">
        <f t="shared" si="40"/>
        <v>4579648</v>
      </c>
      <c r="BP34" s="94">
        <f t="shared" si="40"/>
        <v>4627375.083333333</v>
      </c>
      <c r="BQ34" s="94">
        <f t="shared" si="40"/>
        <v>4611040.083333333</v>
      </c>
      <c r="BR34" s="94">
        <f t="shared" si="40"/>
        <v>4567480.083333333</v>
      </c>
      <c r="BS34" s="94">
        <f t="shared" si="40"/>
        <v>4480360.083333333</v>
      </c>
      <c r="BT34" s="94">
        <f t="shared" si="40"/>
        <v>4393240.083333333</v>
      </c>
      <c r="BU34" s="94">
        <f t="shared" si="40"/>
        <v>4380076.2513333336</v>
      </c>
      <c r="BV34" s="94">
        <f t="shared" si="40"/>
        <v>4380076.2513333336</v>
      </c>
      <c r="BW34" s="94">
        <f t="shared" si="40"/>
        <v>4380076.2513333336</v>
      </c>
      <c r="BX34" s="94">
        <f t="shared" ref="BX34:CI34" si="41">BX30</f>
        <v>4380076.2513333336</v>
      </c>
      <c r="BY34" s="94">
        <f t="shared" si="41"/>
        <v>4380076.2513333336</v>
      </c>
      <c r="BZ34" s="94">
        <f t="shared" si="41"/>
        <v>4380076.2513333336</v>
      </c>
      <c r="CA34" s="94">
        <f t="shared" si="41"/>
        <v>4380076.2513333336</v>
      </c>
      <c r="CB34" s="94">
        <f t="shared" si="41"/>
        <v>4380076.2513333336</v>
      </c>
      <c r="CC34" s="94">
        <f t="shared" si="41"/>
        <v>4380076.2513333336</v>
      </c>
      <c r="CD34" s="94">
        <f t="shared" si="41"/>
        <v>4380076.2513333336</v>
      </c>
      <c r="CE34" s="94">
        <f t="shared" si="41"/>
        <v>4380076.2513333336</v>
      </c>
      <c r="CF34" s="94">
        <f t="shared" si="41"/>
        <v>4380076.2513333336</v>
      </c>
      <c r="CG34" s="94">
        <f t="shared" si="41"/>
        <v>4380076.2513333336</v>
      </c>
      <c r="CH34" s="94">
        <f t="shared" si="41"/>
        <v>4380076.2513333336</v>
      </c>
      <c r="CI34" s="94">
        <f t="shared" si="41"/>
        <v>4380076.2513333336</v>
      </c>
      <c r="CK34" s="57">
        <f>SUM(BL34:BW34)</f>
        <v>54580053.170666665</v>
      </c>
      <c r="CM34" s="57">
        <f>SUM(BX34:CI34)</f>
        <v>52560915.016000003</v>
      </c>
      <c r="CP34" s="18" t="s">
        <v>287</v>
      </c>
      <c r="CV34" s="94"/>
      <c r="CW34" s="94"/>
      <c r="CX34" s="94"/>
      <c r="CY34" s="94"/>
      <c r="CZ34" s="94"/>
    </row>
    <row r="35" spans="2:109" x14ac:dyDescent="0.3">
      <c r="B35" s="49"/>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V35" s="123"/>
      <c r="CW35" s="123"/>
      <c r="CX35" s="123"/>
      <c r="CY35" s="123"/>
      <c r="CZ35" s="123"/>
      <c r="DD35" s="123"/>
      <c r="DE35" s="57"/>
    </row>
    <row r="36" spans="2:109" x14ac:dyDescent="0.3">
      <c r="BQ36" s="94"/>
      <c r="BR36" s="94"/>
      <c r="BS36" s="94"/>
      <c r="BT36" s="94"/>
      <c r="BU36" s="94"/>
      <c r="BV36" s="94"/>
      <c r="BW36" s="94"/>
      <c r="BX36" s="94"/>
      <c r="BY36" s="94"/>
      <c r="BZ36" s="94"/>
      <c r="CA36" s="94"/>
      <c r="CB36" s="94"/>
    </row>
    <row r="37" spans="2:109" x14ac:dyDescent="0.3">
      <c r="B37" s="100" t="s">
        <v>146</v>
      </c>
      <c r="C37" s="101"/>
      <c r="D37" s="102"/>
      <c r="E37" s="102"/>
      <c r="F37" s="102"/>
      <c r="G37" s="102"/>
      <c r="H37" s="103"/>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5"/>
      <c r="CK37" s="105"/>
      <c r="CL37" s="105"/>
      <c r="CM37" s="105"/>
      <c r="CN37" s="105"/>
      <c r="CO37" s="102"/>
      <c r="CP37" s="102"/>
    </row>
    <row r="38" spans="2:109" x14ac:dyDescent="0.3"/>
    <row r="39" spans="2:109" x14ac:dyDescent="0.3">
      <c r="B39" s="69" t="s">
        <v>134</v>
      </c>
      <c r="C39" s="70"/>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92" t="s">
        <v>147</v>
      </c>
      <c r="CP39" s="69"/>
    </row>
    <row r="40" spans="2:109" x14ac:dyDescent="0.3">
      <c r="B40" s="34" t="s">
        <v>134</v>
      </c>
      <c r="D40" s="93">
        <v>125285</v>
      </c>
      <c r="E40" s="93">
        <v>116303</v>
      </c>
      <c r="F40" s="93">
        <v>123993</v>
      </c>
      <c r="G40" s="93">
        <v>120167</v>
      </c>
      <c r="H40" s="93">
        <v>119885</v>
      </c>
      <c r="I40" s="93">
        <v>110543</v>
      </c>
      <c r="J40" s="93">
        <v>112507</v>
      </c>
      <c r="K40" s="93">
        <v>104483</v>
      </c>
      <c r="L40" s="93">
        <v>113650</v>
      </c>
      <c r="M40" s="93">
        <v>122903</v>
      </c>
      <c r="N40" s="93">
        <v>116379</v>
      </c>
      <c r="O40" s="93">
        <v>122207</v>
      </c>
      <c r="P40" s="93">
        <v>126622</v>
      </c>
      <c r="Q40" s="93">
        <v>123617</v>
      </c>
      <c r="R40" s="93">
        <v>107112</v>
      </c>
      <c r="S40" s="93">
        <v>120637</v>
      </c>
      <c r="T40" s="93">
        <v>126447</v>
      </c>
      <c r="U40" s="93">
        <v>100997</v>
      </c>
      <c r="V40" s="93">
        <v>98894</v>
      </c>
      <c r="W40" s="93">
        <v>114666</v>
      </c>
      <c r="X40" s="93">
        <v>115835</v>
      </c>
      <c r="Y40" s="93">
        <v>120333</v>
      </c>
      <c r="Z40" s="93">
        <v>125084</v>
      </c>
      <c r="AA40" s="93">
        <v>138940</v>
      </c>
      <c r="AB40" s="93">
        <v>126907</v>
      </c>
      <c r="AC40" s="93">
        <v>127968</v>
      </c>
      <c r="AD40" s="93">
        <v>103001</v>
      </c>
      <c r="AE40" s="93">
        <v>149471</v>
      </c>
      <c r="AF40" s="93">
        <v>119244</v>
      </c>
      <c r="AG40" s="93">
        <v>117032</v>
      </c>
      <c r="AH40" s="93">
        <v>119623</v>
      </c>
      <c r="AI40" s="93">
        <v>128429</v>
      </c>
      <c r="AJ40" s="93">
        <v>111814</v>
      </c>
      <c r="AK40" s="93">
        <v>117666</v>
      </c>
      <c r="AL40" s="93">
        <v>130474</v>
      </c>
      <c r="AM40" s="93">
        <v>127760</v>
      </c>
      <c r="AN40" s="93">
        <v>127581</v>
      </c>
      <c r="AO40" s="93">
        <v>137864</v>
      </c>
      <c r="AP40" s="93">
        <v>122864</v>
      </c>
      <c r="AQ40" s="93">
        <v>121542</v>
      </c>
      <c r="AR40" s="93">
        <v>115578</v>
      </c>
      <c r="AS40" s="93">
        <v>92445</v>
      </c>
      <c r="AT40" s="93">
        <v>91038</v>
      </c>
      <c r="AU40" s="93">
        <v>74596</v>
      </c>
      <c r="AV40" s="93">
        <v>70157</v>
      </c>
      <c r="AW40" s="93">
        <v>72629</v>
      </c>
      <c r="AX40" s="93">
        <v>81615</v>
      </c>
      <c r="AY40" s="93">
        <v>88467</v>
      </c>
      <c r="AZ40" s="93">
        <v>111515</v>
      </c>
      <c r="BA40" s="93">
        <v>104026</v>
      </c>
      <c r="BB40" s="93">
        <v>100983</v>
      </c>
      <c r="BC40" s="93">
        <v>107302</v>
      </c>
      <c r="BD40" s="93">
        <v>120647</v>
      </c>
      <c r="BE40" s="93">
        <v>95996</v>
      </c>
      <c r="BF40" s="93">
        <v>118968</v>
      </c>
      <c r="BG40" s="93">
        <v>99547</v>
      </c>
      <c r="BH40" s="93">
        <v>105093</v>
      </c>
      <c r="BI40" s="93">
        <v>134113</v>
      </c>
      <c r="BJ40" s="93">
        <v>145771</v>
      </c>
      <c r="BK40" s="93">
        <v>140089</v>
      </c>
      <c r="BL40" s="93">
        <v>158618</v>
      </c>
      <c r="BM40" s="93">
        <v>144210</v>
      </c>
      <c r="BN40" s="93">
        <v>153114</v>
      </c>
      <c r="BO40" s="93">
        <v>160412</v>
      </c>
      <c r="BP40" s="93">
        <v>159073.42439999999</v>
      </c>
      <c r="BQ40" s="93">
        <v>175408.42439999999</v>
      </c>
      <c r="BR40" s="93">
        <v>218968.42439999999</v>
      </c>
      <c r="BS40" s="93">
        <v>306088.42439999996</v>
      </c>
      <c r="BT40" s="93">
        <v>393208.42439999996</v>
      </c>
      <c r="BU40" s="93">
        <v>406372.25640000001</v>
      </c>
      <c r="BV40" s="93">
        <v>406372.25640000001</v>
      </c>
      <c r="BW40" s="93">
        <v>406372.25640000001</v>
      </c>
      <c r="BX40" s="93">
        <v>406372.25640000001</v>
      </c>
      <c r="BY40" s="93">
        <v>406372.25640000001</v>
      </c>
      <c r="BZ40" s="93">
        <v>406372.25640000001</v>
      </c>
      <c r="CA40" s="93">
        <v>406372.25640000001</v>
      </c>
      <c r="CB40" s="93">
        <v>406372.25640000001</v>
      </c>
      <c r="CC40" s="93">
        <v>406372.25640000001</v>
      </c>
      <c r="CD40" s="93">
        <v>406372.25640000001</v>
      </c>
      <c r="CE40" s="93">
        <v>406372.25640000001</v>
      </c>
      <c r="CF40" s="93">
        <v>406372.25640000001</v>
      </c>
      <c r="CG40" s="93">
        <v>406372.25640000001</v>
      </c>
      <c r="CH40" s="93">
        <v>406372.25640000001</v>
      </c>
      <c r="CI40" s="93">
        <v>406372.25640000001</v>
      </c>
      <c r="CK40" s="57">
        <f>SUM(BL40:BW40)</f>
        <v>3088217.8911999995</v>
      </c>
      <c r="CM40" s="57">
        <f>SUM(BX40:CI40)</f>
        <v>4876467.0767999999</v>
      </c>
      <c r="CP40" s="18" t="s">
        <v>286</v>
      </c>
      <c r="CT40" s="94"/>
      <c r="CU40" s="94"/>
      <c r="CV40" s="94"/>
      <c r="CW40" s="94"/>
      <c r="CX40" s="94"/>
      <c r="CY40" s="94"/>
      <c r="CZ40" s="94"/>
      <c r="DA40" s="94"/>
      <c r="DB40" s="94"/>
      <c r="DC40" s="94"/>
      <c r="DD40" s="94"/>
      <c r="DE40" s="94"/>
    </row>
    <row r="41" spans="2:109" x14ac:dyDescent="0.3">
      <c r="D41" s="24"/>
      <c r="E41" s="95"/>
      <c r="F41" s="95"/>
      <c r="G41" s="95"/>
      <c r="H41" s="95"/>
      <c r="I41" s="95"/>
    </row>
    <row r="42" spans="2:109" x14ac:dyDescent="0.3">
      <c r="B42" s="69" t="s">
        <v>137</v>
      </c>
      <c r="C42" s="70"/>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92" t="s">
        <v>147</v>
      </c>
      <c r="CP42" s="69"/>
    </row>
    <row r="43" spans="2:109" x14ac:dyDescent="0.3">
      <c r="B43" s="34" t="s">
        <v>139</v>
      </c>
      <c r="D43" s="93">
        <v>95691</v>
      </c>
      <c r="E43" s="93">
        <v>85228</v>
      </c>
      <c r="F43" s="93">
        <v>84654</v>
      </c>
      <c r="G43" s="93">
        <v>81991</v>
      </c>
      <c r="H43" s="93">
        <v>82047</v>
      </c>
      <c r="I43" s="93">
        <v>80014</v>
      </c>
      <c r="J43" s="93">
        <v>87476</v>
      </c>
      <c r="K43" s="93">
        <v>78727</v>
      </c>
      <c r="L43" s="93">
        <v>85250</v>
      </c>
      <c r="M43" s="93">
        <v>86065</v>
      </c>
      <c r="N43" s="93">
        <v>78842</v>
      </c>
      <c r="O43" s="93">
        <v>91543</v>
      </c>
      <c r="P43" s="93">
        <v>92688</v>
      </c>
      <c r="Q43" s="93">
        <v>88900</v>
      </c>
      <c r="R43" s="93">
        <v>73446</v>
      </c>
      <c r="S43" s="93">
        <v>85239</v>
      </c>
      <c r="T43" s="93">
        <v>88618</v>
      </c>
      <c r="U43" s="93">
        <v>72583</v>
      </c>
      <c r="V43" s="93">
        <v>70543</v>
      </c>
      <c r="W43" s="93">
        <v>81697</v>
      </c>
      <c r="X43" s="93">
        <v>75972</v>
      </c>
      <c r="Y43" s="93">
        <v>79552</v>
      </c>
      <c r="Z43" s="93">
        <v>82478</v>
      </c>
      <c r="AA43" s="93">
        <v>89013</v>
      </c>
      <c r="AB43" s="93">
        <v>81783</v>
      </c>
      <c r="AC43" s="93">
        <v>84585</v>
      </c>
      <c r="AD43" s="93">
        <v>68370</v>
      </c>
      <c r="AE43" s="93">
        <v>83188</v>
      </c>
      <c r="AF43" s="93">
        <v>74527</v>
      </c>
      <c r="AG43" s="93">
        <v>71277</v>
      </c>
      <c r="AH43" s="93">
        <v>74560</v>
      </c>
      <c r="AI43" s="93">
        <v>75126</v>
      </c>
      <c r="AJ43" s="93">
        <v>66033</v>
      </c>
      <c r="AK43" s="93">
        <v>70433</v>
      </c>
      <c r="AL43" s="93">
        <v>77890</v>
      </c>
      <c r="AM43" s="93">
        <v>76338</v>
      </c>
      <c r="AN43" s="93">
        <v>76005</v>
      </c>
      <c r="AO43" s="93">
        <v>77257</v>
      </c>
      <c r="AP43" s="93">
        <v>70143</v>
      </c>
      <c r="AQ43" s="93">
        <v>70315</v>
      </c>
      <c r="AR43" s="93">
        <v>79472</v>
      </c>
      <c r="AS43" s="93">
        <v>72383</v>
      </c>
      <c r="AT43" s="93">
        <v>82573</v>
      </c>
      <c r="AU43" s="93">
        <v>82098</v>
      </c>
      <c r="AV43" s="93">
        <v>78856</v>
      </c>
      <c r="AW43" s="93">
        <v>83401</v>
      </c>
      <c r="AX43" s="93">
        <v>85687</v>
      </c>
      <c r="AY43" s="93">
        <v>79623</v>
      </c>
      <c r="AZ43" s="93">
        <v>88451</v>
      </c>
      <c r="BA43" s="93">
        <v>75923</v>
      </c>
      <c r="BB43" s="93">
        <v>74966</v>
      </c>
      <c r="BC43" s="93">
        <v>80946</v>
      </c>
      <c r="BD43" s="93">
        <v>87600</v>
      </c>
      <c r="BE43" s="93">
        <v>69272</v>
      </c>
      <c r="BF43" s="93">
        <v>83989</v>
      </c>
      <c r="BG43" s="93">
        <v>65977</v>
      </c>
      <c r="BH43" s="93">
        <v>65921</v>
      </c>
      <c r="BI43" s="93">
        <v>82233</v>
      </c>
      <c r="BJ43" s="93">
        <v>77868</v>
      </c>
      <c r="BK43" s="93">
        <v>71094</v>
      </c>
      <c r="BL43" s="93">
        <v>76625</v>
      </c>
      <c r="BM43" s="93">
        <v>67200</v>
      </c>
      <c r="BN43" s="93">
        <v>70497</v>
      </c>
      <c r="BO43" s="93">
        <v>68394</v>
      </c>
      <c r="BP43" s="94">
        <f>AVERAGE($BD43:$BO43)</f>
        <v>73889.166666666672</v>
      </c>
      <c r="BQ43" s="94">
        <f t="shared" ref="BQ43:CI45" si="42">AVERAGE($BD43:$BO43)</f>
        <v>73889.166666666672</v>
      </c>
      <c r="BR43" s="94">
        <f t="shared" si="42"/>
        <v>73889.166666666672</v>
      </c>
      <c r="BS43" s="94">
        <f t="shared" si="42"/>
        <v>73889.166666666672</v>
      </c>
      <c r="BT43" s="94">
        <f t="shared" si="42"/>
        <v>73889.166666666672</v>
      </c>
      <c r="BU43" s="94">
        <f t="shared" si="42"/>
        <v>73889.166666666672</v>
      </c>
      <c r="BV43" s="94">
        <f t="shared" si="42"/>
        <v>73889.166666666672</v>
      </c>
      <c r="BW43" s="94">
        <f t="shared" si="42"/>
        <v>73889.166666666672</v>
      </c>
      <c r="BX43" s="94">
        <f t="shared" si="42"/>
        <v>73889.166666666672</v>
      </c>
      <c r="BY43" s="94">
        <f t="shared" si="42"/>
        <v>73889.166666666672</v>
      </c>
      <c r="BZ43" s="94">
        <f t="shared" si="42"/>
        <v>73889.166666666672</v>
      </c>
      <c r="CA43" s="94">
        <f t="shared" si="42"/>
        <v>73889.166666666672</v>
      </c>
      <c r="CB43" s="94">
        <f t="shared" si="42"/>
        <v>73889.166666666672</v>
      </c>
      <c r="CC43" s="94">
        <f t="shared" si="42"/>
        <v>73889.166666666672</v>
      </c>
      <c r="CD43" s="94">
        <f t="shared" si="42"/>
        <v>73889.166666666672</v>
      </c>
      <c r="CE43" s="94">
        <f t="shared" si="42"/>
        <v>73889.166666666672</v>
      </c>
      <c r="CF43" s="94">
        <f t="shared" si="42"/>
        <v>73889.166666666672</v>
      </c>
      <c r="CG43" s="94">
        <f t="shared" si="42"/>
        <v>73889.166666666672</v>
      </c>
      <c r="CH43" s="94">
        <f t="shared" si="42"/>
        <v>73889.166666666672</v>
      </c>
      <c r="CI43" s="94">
        <f t="shared" si="42"/>
        <v>73889.166666666672</v>
      </c>
      <c r="CK43" s="57">
        <f t="shared" ref="CK43:CK46" si="43">SUM(BL43:BW43)</f>
        <v>873829.33333333326</v>
      </c>
      <c r="CM43" s="57">
        <f>SUM(BX43:CI43)</f>
        <v>886669.99999999988</v>
      </c>
      <c r="CP43" s="18" t="s">
        <v>140</v>
      </c>
      <c r="CV43" s="94"/>
      <c r="CW43" s="94"/>
      <c r="CX43" s="94"/>
      <c r="CZ43" s="94"/>
    </row>
    <row r="44" spans="2:109" x14ac:dyDescent="0.3">
      <c r="B44" s="34" t="s">
        <v>141</v>
      </c>
      <c r="D44" s="93">
        <v>158993</v>
      </c>
      <c r="E44" s="93">
        <v>124198</v>
      </c>
      <c r="F44" s="93">
        <v>129788</v>
      </c>
      <c r="G44" s="93">
        <v>123552</v>
      </c>
      <c r="H44" s="93">
        <v>123004</v>
      </c>
      <c r="I44" s="93">
        <v>117002</v>
      </c>
      <c r="J44" s="93">
        <v>297628</v>
      </c>
      <c r="K44" s="93">
        <v>294832</v>
      </c>
      <c r="L44" s="93">
        <v>337151</v>
      </c>
      <c r="M44" s="93">
        <v>335121</v>
      </c>
      <c r="N44" s="93">
        <v>316655</v>
      </c>
      <c r="O44" s="93">
        <v>423378</v>
      </c>
      <c r="P44" s="93">
        <v>350254</v>
      </c>
      <c r="Q44" s="93">
        <v>360520</v>
      </c>
      <c r="R44" s="93">
        <v>363121</v>
      </c>
      <c r="S44" s="93">
        <v>337640</v>
      </c>
      <c r="T44" s="93">
        <v>300907</v>
      </c>
      <c r="U44" s="93">
        <v>220778</v>
      </c>
      <c r="V44" s="93">
        <v>100436</v>
      </c>
      <c r="W44" s="93">
        <v>107950</v>
      </c>
      <c r="X44" s="93">
        <v>114132</v>
      </c>
      <c r="Y44" s="93">
        <v>118990</v>
      </c>
      <c r="Z44" s="93">
        <v>126345</v>
      </c>
      <c r="AA44" s="93">
        <v>142162</v>
      </c>
      <c r="AB44" s="93">
        <v>131539</v>
      </c>
      <c r="AC44" s="93">
        <v>127515</v>
      </c>
      <c r="AD44" s="93">
        <v>113166</v>
      </c>
      <c r="AE44" s="93">
        <v>104301</v>
      </c>
      <c r="AF44" s="93">
        <v>122975</v>
      </c>
      <c r="AG44" s="93">
        <v>119916</v>
      </c>
      <c r="AH44" s="93">
        <v>112029</v>
      </c>
      <c r="AI44" s="93">
        <v>123343</v>
      </c>
      <c r="AJ44" s="93">
        <v>114660</v>
      </c>
      <c r="AK44" s="93">
        <v>116092</v>
      </c>
      <c r="AL44" s="93">
        <v>132132</v>
      </c>
      <c r="AM44" s="93">
        <v>129186</v>
      </c>
      <c r="AN44" s="93">
        <v>132328</v>
      </c>
      <c r="AO44" s="93">
        <v>131313</v>
      </c>
      <c r="AP44" s="93">
        <v>122686</v>
      </c>
      <c r="AQ44" s="93">
        <v>124347</v>
      </c>
      <c r="AR44" s="93">
        <v>138850</v>
      </c>
      <c r="AS44" s="93">
        <v>124003</v>
      </c>
      <c r="AT44" s="93">
        <v>125728</v>
      </c>
      <c r="AU44" s="93">
        <v>136537</v>
      </c>
      <c r="AV44" s="93">
        <v>118681</v>
      </c>
      <c r="AW44" s="93">
        <v>131404</v>
      </c>
      <c r="AX44" s="93">
        <v>139472</v>
      </c>
      <c r="AY44" s="93">
        <v>135162</v>
      </c>
      <c r="AZ44" s="93">
        <v>306075</v>
      </c>
      <c r="BA44" s="93">
        <v>148436</v>
      </c>
      <c r="BB44" s="93">
        <v>124852</v>
      </c>
      <c r="BC44" s="93">
        <v>141077</v>
      </c>
      <c r="BD44" s="93">
        <v>148080</v>
      </c>
      <c r="BE44" s="93">
        <v>123902</v>
      </c>
      <c r="BF44" s="93">
        <v>125201</v>
      </c>
      <c r="BG44" s="93">
        <v>119398</v>
      </c>
      <c r="BH44" s="93">
        <v>106731</v>
      </c>
      <c r="BI44" s="93">
        <v>124867</v>
      </c>
      <c r="BJ44" s="93">
        <v>128239</v>
      </c>
      <c r="BK44" s="93">
        <v>121498</v>
      </c>
      <c r="BL44" s="93">
        <v>129619</v>
      </c>
      <c r="BM44" s="93">
        <v>115468</v>
      </c>
      <c r="BN44" s="93">
        <v>117039</v>
      </c>
      <c r="BO44" s="93">
        <v>119198</v>
      </c>
      <c r="BP44" s="94">
        <f>AVERAGE($BD44:$BO44)</f>
        <v>123270</v>
      </c>
      <c r="BQ44" s="94">
        <f t="shared" si="42"/>
        <v>123270</v>
      </c>
      <c r="BR44" s="94">
        <f t="shared" si="42"/>
        <v>123270</v>
      </c>
      <c r="BS44" s="94">
        <f t="shared" si="42"/>
        <v>123270</v>
      </c>
      <c r="BT44" s="94">
        <f t="shared" si="42"/>
        <v>123270</v>
      </c>
      <c r="BU44" s="94">
        <f t="shared" si="42"/>
        <v>123270</v>
      </c>
      <c r="BV44" s="94">
        <f t="shared" si="42"/>
        <v>123270</v>
      </c>
      <c r="BW44" s="94">
        <f t="shared" si="42"/>
        <v>123270</v>
      </c>
      <c r="BX44" s="94">
        <f t="shared" si="42"/>
        <v>123270</v>
      </c>
      <c r="BY44" s="94">
        <f t="shared" si="42"/>
        <v>123270</v>
      </c>
      <c r="BZ44" s="94">
        <f t="shared" si="42"/>
        <v>123270</v>
      </c>
      <c r="CA44" s="94">
        <f t="shared" si="42"/>
        <v>123270</v>
      </c>
      <c r="CB44" s="94">
        <f t="shared" si="42"/>
        <v>123270</v>
      </c>
      <c r="CC44" s="94">
        <f t="shared" si="42"/>
        <v>123270</v>
      </c>
      <c r="CD44" s="94">
        <f t="shared" si="42"/>
        <v>123270</v>
      </c>
      <c r="CE44" s="94">
        <f t="shared" si="42"/>
        <v>123270</v>
      </c>
      <c r="CF44" s="94">
        <f t="shared" si="42"/>
        <v>123270</v>
      </c>
      <c r="CG44" s="94">
        <f t="shared" si="42"/>
        <v>123270</v>
      </c>
      <c r="CH44" s="94">
        <f t="shared" si="42"/>
        <v>123270</v>
      </c>
      <c r="CI44" s="94">
        <f t="shared" si="42"/>
        <v>123270</v>
      </c>
      <c r="CK44" s="57">
        <f t="shared" si="43"/>
        <v>1467484</v>
      </c>
      <c r="CM44" s="57">
        <f>SUM(BX44:CI44)</f>
        <v>1479240</v>
      </c>
      <c r="CP44" s="18" t="s">
        <v>140</v>
      </c>
      <c r="CV44" s="94"/>
      <c r="CW44" s="94"/>
      <c r="CX44" s="94"/>
      <c r="CZ44" s="94"/>
    </row>
    <row r="45" spans="2:109" x14ac:dyDescent="0.3">
      <c r="B45" s="34" t="s">
        <v>142</v>
      </c>
      <c r="D45" s="93">
        <v>389372</v>
      </c>
      <c r="E45" s="93">
        <v>381456</v>
      </c>
      <c r="F45" s="93">
        <v>425310</v>
      </c>
      <c r="G45" s="93">
        <v>295045</v>
      </c>
      <c r="H45" s="93">
        <v>272370</v>
      </c>
      <c r="I45" s="93">
        <v>292509</v>
      </c>
      <c r="J45" s="93">
        <v>115251</v>
      </c>
      <c r="K45" s="93">
        <v>107073</v>
      </c>
      <c r="L45" s="93">
        <v>112655</v>
      </c>
      <c r="M45" s="93">
        <v>172310</v>
      </c>
      <c r="N45" s="93">
        <v>122990</v>
      </c>
      <c r="O45" s="93">
        <v>136580</v>
      </c>
      <c r="P45" s="93">
        <v>132158</v>
      </c>
      <c r="Q45" s="93">
        <v>123257</v>
      </c>
      <c r="R45" s="93">
        <v>128426</v>
      </c>
      <c r="S45" s="93">
        <v>120913</v>
      </c>
      <c r="T45" s="93">
        <v>125720</v>
      </c>
      <c r="U45" s="93">
        <v>113887</v>
      </c>
      <c r="V45" s="93">
        <v>202059</v>
      </c>
      <c r="W45" s="93">
        <v>180500</v>
      </c>
      <c r="X45" s="93">
        <v>139552</v>
      </c>
      <c r="Y45" s="93">
        <v>161476</v>
      </c>
      <c r="Z45" s="93">
        <v>186147</v>
      </c>
      <c r="AA45" s="93">
        <v>219245</v>
      </c>
      <c r="AB45" s="93">
        <v>199458</v>
      </c>
      <c r="AC45" s="93">
        <v>186429</v>
      </c>
      <c r="AD45" s="93">
        <v>149385</v>
      </c>
      <c r="AE45" s="93">
        <v>170395</v>
      </c>
      <c r="AF45" s="93">
        <v>162441</v>
      </c>
      <c r="AG45" s="93">
        <v>132874</v>
      </c>
      <c r="AH45" s="93">
        <v>166895</v>
      </c>
      <c r="AI45" s="93">
        <v>147604</v>
      </c>
      <c r="AJ45" s="93">
        <v>153604</v>
      </c>
      <c r="AK45" s="93">
        <v>185557</v>
      </c>
      <c r="AL45" s="93">
        <v>202313</v>
      </c>
      <c r="AM45" s="93">
        <v>218480</v>
      </c>
      <c r="AN45" s="93">
        <v>228732</v>
      </c>
      <c r="AO45" s="93">
        <v>213955</v>
      </c>
      <c r="AP45" s="93">
        <v>189141</v>
      </c>
      <c r="AQ45" s="93">
        <v>195700</v>
      </c>
      <c r="AR45" s="93">
        <v>185516</v>
      </c>
      <c r="AS45" s="93">
        <v>143601</v>
      </c>
      <c r="AT45" s="93">
        <v>198474</v>
      </c>
      <c r="AU45" s="93">
        <v>174593</v>
      </c>
      <c r="AV45" s="93">
        <v>217022</v>
      </c>
      <c r="AW45" s="93">
        <v>194956</v>
      </c>
      <c r="AX45" s="93">
        <v>205632</v>
      </c>
      <c r="AY45" s="93">
        <v>232804</v>
      </c>
      <c r="AZ45" s="93">
        <v>285719</v>
      </c>
      <c r="BA45" s="93">
        <v>202229</v>
      </c>
      <c r="BB45" s="93">
        <v>191100</v>
      </c>
      <c r="BC45" s="93">
        <v>161652</v>
      </c>
      <c r="BD45" s="93">
        <v>167655</v>
      </c>
      <c r="BE45" s="93">
        <v>144075</v>
      </c>
      <c r="BF45" s="93">
        <v>183166</v>
      </c>
      <c r="BG45" s="93">
        <v>177060</v>
      </c>
      <c r="BH45" s="93">
        <v>166583</v>
      </c>
      <c r="BI45" s="93">
        <v>197149</v>
      </c>
      <c r="BJ45" s="93">
        <v>208749</v>
      </c>
      <c r="BK45" s="93">
        <v>196493</v>
      </c>
      <c r="BL45" s="93">
        <v>250647</v>
      </c>
      <c r="BM45" s="93">
        <v>192403</v>
      </c>
      <c r="BN45" s="93">
        <v>191307</v>
      </c>
      <c r="BO45" s="93">
        <v>166370</v>
      </c>
      <c r="BP45" s="94">
        <f>AVERAGE($BD45:$BO45)</f>
        <v>186804.75</v>
      </c>
      <c r="BQ45" s="94">
        <f t="shared" si="42"/>
        <v>186804.75</v>
      </c>
      <c r="BR45" s="94">
        <f t="shared" si="42"/>
        <v>186804.75</v>
      </c>
      <c r="BS45" s="94">
        <f t="shared" si="42"/>
        <v>186804.75</v>
      </c>
      <c r="BT45" s="94">
        <f t="shared" si="42"/>
        <v>186804.75</v>
      </c>
      <c r="BU45" s="94">
        <f t="shared" si="42"/>
        <v>186804.75</v>
      </c>
      <c r="BV45" s="94">
        <f t="shared" si="42"/>
        <v>186804.75</v>
      </c>
      <c r="BW45" s="94">
        <f t="shared" si="42"/>
        <v>186804.75</v>
      </c>
      <c r="BX45" s="94">
        <f t="shared" si="42"/>
        <v>186804.75</v>
      </c>
      <c r="BY45" s="94">
        <f t="shared" si="42"/>
        <v>186804.75</v>
      </c>
      <c r="BZ45" s="94">
        <f t="shared" si="42"/>
        <v>186804.75</v>
      </c>
      <c r="CA45" s="94">
        <f t="shared" si="42"/>
        <v>186804.75</v>
      </c>
      <c r="CB45" s="94">
        <f t="shared" si="42"/>
        <v>186804.75</v>
      </c>
      <c r="CC45" s="94">
        <f t="shared" si="42"/>
        <v>186804.75</v>
      </c>
      <c r="CD45" s="94">
        <f t="shared" si="42"/>
        <v>186804.75</v>
      </c>
      <c r="CE45" s="94">
        <f t="shared" si="42"/>
        <v>186804.75</v>
      </c>
      <c r="CF45" s="94">
        <f t="shared" si="42"/>
        <v>186804.75</v>
      </c>
      <c r="CG45" s="94">
        <f t="shared" si="42"/>
        <v>186804.75</v>
      </c>
      <c r="CH45" s="94">
        <f t="shared" si="42"/>
        <v>186804.75</v>
      </c>
      <c r="CI45" s="94">
        <f t="shared" si="42"/>
        <v>186804.75</v>
      </c>
      <c r="CK45" s="57">
        <f t="shared" si="43"/>
        <v>2295165</v>
      </c>
      <c r="CM45" s="57">
        <f>SUM(BX45:CI45)</f>
        <v>2241657</v>
      </c>
      <c r="CP45" s="18" t="s">
        <v>140</v>
      </c>
      <c r="CV45" s="94"/>
      <c r="CW45" s="94"/>
      <c r="CX45" s="94"/>
      <c r="CZ45" s="94"/>
    </row>
    <row r="46" spans="2:109" x14ac:dyDescent="0.3">
      <c r="B46" s="34" t="s">
        <v>143</v>
      </c>
      <c r="D46" s="93">
        <v>4517917</v>
      </c>
      <c r="E46" s="93">
        <v>4037856</v>
      </c>
      <c r="F46" s="93">
        <v>4030373</v>
      </c>
      <c r="G46" s="93">
        <v>3876752</v>
      </c>
      <c r="H46" s="93">
        <v>3736975</v>
      </c>
      <c r="I46" s="93">
        <v>3682017</v>
      </c>
      <c r="J46" s="93">
        <v>3792975</v>
      </c>
      <c r="K46" s="93">
        <v>3625673</v>
      </c>
      <c r="L46" s="93">
        <v>3843867</v>
      </c>
      <c r="M46" s="93">
        <v>4055188</v>
      </c>
      <c r="N46" s="93">
        <v>3857918</v>
      </c>
      <c r="O46" s="93">
        <v>4391534</v>
      </c>
      <c r="P46" s="93">
        <v>4315789</v>
      </c>
      <c r="Q46" s="93">
        <v>4135042</v>
      </c>
      <c r="R46" s="93">
        <v>3886776</v>
      </c>
      <c r="S46" s="93">
        <v>4056960</v>
      </c>
      <c r="T46" s="93">
        <v>4187116</v>
      </c>
      <c r="U46" s="93">
        <v>3655210</v>
      </c>
      <c r="V46" s="93">
        <v>3603063</v>
      </c>
      <c r="W46" s="93">
        <v>3793022</v>
      </c>
      <c r="X46" s="93">
        <v>3687387</v>
      </c>
      <c r="Y46" s="93">
        <v>3878917</v>
      </c>
      <c r="Z46" s="93">
        <v>4146762</v>
      </c>
      <c r="AA46" s="93">
        <v>4584818</v>
      </c>
      <c r="AB46" s="93">
        <v>4324037</v>
      </c>
      <c r="AC46" s="93">
        <v>4335549</v>
      </c>
      <c r="AD46" s="93">
        <v>3735873</v>
      </c>
      <c r="AE46" s="93">
        <v>4097086</v>
      </c>
      <c r="AF46" s="93">
        <v>3836194</v>
      </c>
      <c r="AG46" s="93">
        <v>3649338</v>
      </c>
      <c r="AH46" s="93">
        <v>3821179</v>
      </c>
      <c r="AI46" s="93">
        <v>3988903</v>
      </c>
      <c r="AJ46" s="93">
        <v>3754794</v>
      </c>
      <c r="AK46" s="93">
        <v>3998267</v>
      </c>
      <c r="AL46" s="93">
        <v>4408499</v>
      </c>
      <c r="AM46" s="93">
        <v>4326048</v>
      </c>
      <c r="AN46" s="93">
        <v>4304940</v>
      </c>
      <c r="AO46" s="93">
        <v>4420370</v>
      </c>
      <c r="AP46" s="93">
        <v>3898765</v>
      </c>
      <c r="AQ46" s="93">
        <v>3987774</v>
      </c>
      <c r="AR46" s="93">
        <v>4154796</v>
      </c>
      <c r="AS46" s="93">
        <v>3651277</v>
      </c>
      <c r="AT46" s="93">
        <v>4027667</v>
      </c>
      <c r="AU46" s="93">
        <v>3950896</v>
      </c>
      <c r="AV46" s="93">
        <v>3779569</v>
      </c>
      <c r="AW46" s="93">
        <v>4080524</v>
      </c>
      <c r="AX46" s="93">
        <v>4337935</v>
      </c>
      <c r="AY46" s="93">
        <v>4373307</v>
      </c>
      <c r="AZ46" s="93">
        <v>4843428</v>
      </c>
      <c r="BA46" s="93">
        <v>4212138</v>
      </c>
      <c r="BB46" s="93">
        <v>3885036</v>
      </c>
      <c r="BC46" s="93">
        <v>3949090</v>
      </c>
      <c r="BD46" s="93">
        <v>4129470</v>
      </c>
      <c r="BE46" s="93">
        <v>3478511</v>
      </c>
      <c r="BF46" s="93">
        <v>4065746</v>
      </c>
      <c r="BG46" s="93">
        <v>3652798</v>
      </c>
      <c r="BH46" s="93">
        <v>3683678</v>
      </c>
      <c r="BI46" s="93">
        <v>4178312</v>
      </c>
      <c r="BJ46" s="93">
        <v>4429399</v>
      </c>
      <c r="BK46" s="93">
        <v>4147685</v>
      </c>
      <c r="BL46" s="93">
        <v>4483501</v>
      </c>
      <c r="BM46" s="93">
        <v>3838759</v>
      </c>
      <c r="BN46" s="93">
        <v>3863185</v>
      </c>
      <c r="BO46" s="93">
        <v>4012117</v>
      </c>
      <c r="BP46" s="94">
        <f>AVERAGE($BD46:$BO46)</f>
        <v>3996930.0833333335</v>
      </c>
      <c r="BQ46" s="94">
        <f t="shared" ref="BQ46:BZ46" si="44">AVERAGE($BD46:$BO46)-(BQ48-$BP48)</f>
        <v>3980595.0833333335</v>
      </c>
      <c r="BR46" s="94">
        <f t="shared" si="44"/>
        <v>3937035.0833333335</v>
      </c>
      <c r="BS46" s="94">
        <f t="shared" si="44"/>
        <v>3849915.0833333335</v>
      </c>
      <c r="BT46" s="94">
        <f t="shared" si="44"/>
        <v>3762795.0833333335</v>
      </c>
      <c r="BU46" s="94">
        <f t="shared" si="44"/>
        <v>3749631.2513333336</v>
      </c>
      <c r="BV46" s="94">
        <f t="shared" si="44"/>
        <v>3749631.2513333336</v>
      </c>
      <c r="BW46" s="94">
        <f t="shared" si="44"/>
        <v>3749631.2513333336</v>
      </c>
      <c r="BX46" s="94">
        <f t="shared" si="44"/>
        <v>3749631.2513333336</v>
      </c>
      <c r="BY46" s="94">
        <f t="shared" si="44"/>
        <v>3749631.2513333336</v>
      </c>
      <c r="BZ46" s="94">
        <f t="shared" si="44"/>
        <v>3749631.2513333336</v>
      </c>
      <c r="CA46" s="94">
        <f t="shared" ref="CA46:CI46" si="45">AVERAGE($BD46:$BO46)-(CA48-$BP48)</f>
        <v>3749631.2513333336</v>
      </c>
      <c r="CB46" s="94">
        <f t="shared" si="45"/>
        <v>3749631.2513333336</v>
      </c>
      <c r="CC46" s="94">
        <f t="shared" si="45"/>
        <v>3749631.2513333336</v>
      </c>
      <c r="CD46" s="94">
        <f t="shared" si="45"/>
        <v>3749631.2513333336</v>
      </c>
      <c r="CE46" s="94">
        <f t="shared" si="45"/>
        <v>3749631.2513333336</v>
      </c>
      <c r="CF46" s="94">
        <f t="shared" si="45"/>
        <v>3749631.2513333336</v>
      </c>
      <c r="CG46" s="94">
        <f t="shared" si="45"/>
        <v>3749631.2513333336</v>
      </c>
      <c r="CH46" s="94">
        <f t="shared" si="45"/>
        <v>3749631.2513333336</v>
      </c>
      <c r="CI46" s="94">
        <f t="shared" si="45"/>
        <v>3749631.2513333336</v>
      </c>
      <c r="CK46" s="57">
        <f t="shared" si="43"/>
        <v>46973726.170666665</v>
      </c>
      <c r="CM46" s="57">
        <f>SUM(BX46:CI46)</f>
        <v>44995575.016000003</v>
      </c>
      <c r="CP46" s="18" t="s">
        <v>282</v>
      </c>
      <c r="CV46" s="94"/>
      <c r="CW46" s="94"/>
      <c r="CX46" s="94"/>
      <c r="CZ46" s="94"/>
    </row>
    <row r="47" spans="2:109" x14ac:dyDescent="0.3">
      <c r="B47" s="34"/>
      <c r="D47" s="24"/>
      <c r="E47" s="95"/>
      <c r="F47" s="95"/>
      <c r="G47" s="95"/>
      <c r="H47" s="95"/>
      <c r="I47" s="95"/>
    </row>
    <row r="48" spans="2:109" x14ac:dyDescent="0.3">
      <c r="B48" s="97" t="s">
        <v>134</v>
      </c>
      <c r="C48" s="75"/>
      <c r="D48" s="94">
        <f t="shared" ref="D48:O48" si="46">SUM(D40:D40)</f>
        <v>125285</v>
      </c>
      <c r="E48" s="94">
        <f t="shared" si="46"/>
        <v>116303</v>
      </c>
      <c r="F48" s="94">
        <f t="shared" si="46"/>
        <v>123993</v>
      </c>
      <c r="G48" s="94">
        <f t="shared" si="46"/>
        <v>120167</v>
      </c>
      <c r="H48" s="94">
        <f t="shared" si="46"/>
        <v>119885</v>
      </c>
      <c r="I48" s="94">
        <f t="shared" si="46"/>
        <v>110543</v>
      </c>
      <c r="J48" s="94">
        <f t="shared" si="46"/>
        <v>112507</v>
      </c>
      <c r="K48" s="94">
        <f t="shared" si="46"/>
        <v>104483</v>
      </c>
      <c r="L48" s="94">
        <f t="shared" si="46"/>
        <v>113650</v>
      </c>
      <c r="M48" s="94">
        <f t="shared" si="46"/>
        <v>122903</v>
      </c>
      <c r="N48" s="94">
        <f t="shared" si="46"/>
        <v>116379</v>
      </c>
      <c r="O48" s="94">
        <f t="shared" si="46"/>
        <v>122207</v>
      </c>
      <c r="P48" s="94">
        <f t="shared" ref="P48:AA48" si="47">SUM(P40:P40)</f>
        <v>126622</v>
      </c>
      <c r="Q48" s="94">
        <f t="shared" si="47"/>
        <v>123617</v>
      </c>
      <c r="R48" s="94">
        <f t="shared" si="47"/>
        <v>107112</v>
      </c>
      <c r="S48" s="94">
        <f t="shared" si="47"/>
        <v>120637</v>
      </c>
      <c r="T48" s="94">
        <f t="shared" si="47"/>
        <v>126447</v>
      </c>
      <c r="U48" s="94">
        <f t="shared" si="47"/>
        <v>100997</v>
      </c>
      <c r="V48" s="94">
        <f t="shared" si="47"/>
        <v>98894</v>
      </c>
      <c r="W48" s="94">
        <f t="shared" si="47"/>
        <v>114666</v>
      </c>
      <c r="X48" s="94">
        <f t="shared" si="47"/>
        <v>115835</v>
      </c>
      <c r="Y48" s="94">
        <f t="shared" si="47"/>
        <v>120333</v>
      </c>
      <c r="Z48" s="94">
        <f t="shared" si="47"/>
        <v>125084</v>
      </c>
      <c r="AA48" s="94">
        <f t="shared" si="47"/>
        <v>138940</v>
      </c>
      <c r="AB48" s="94">
        <f t="shared" ref="AB48:AC48" si="48">SUM(AB40:AB40)</f>
        <v>126907</v>
      </c>
      <c r="AC48" s="94">
        <f t="shared" si="48"/>
        <v>127968</v>
      </c>
      <c r="AD48" s="94">
        <f t="shared" ref="AD48:AM48" si="49">SUM(AD40:AD40)</f>
        <v>103001</v>
      </c>
      <c r="AE48" s="94">
        <f t="shared" si="49"/>
        <v>149471</v>
      </c>
      <c r="AF48" s="94">
        <f t="shared" si="49"/>
        <v>119244</v>
      </c>
      <c r="AG48" s="94">
        <f t="shared" si="49"/>
        <v>117032</v>
      </c>
      <c r="AH48" s="94">
        <f t="shared" si="49"/>
        <v>119623</v>
      </c>
      <c r="AI48" s="94">
        <f t="shared" si="49"/>
        <v>128429</v>
      </c>
      <c r="AJ48" s="94">
        <f t="shared" si="49"/>
        <v>111814</v>
      </c>
      <c r="AK48" s="94">
        <f t="shared" si="49"/>
        <v>117666</v>
      </c>
      <c r="AL48" s="94">
        <f t="shared" si="49"/>
        <v>130474</v>
      </c>
      <c r="AM48" s="94">
        <f t="shared" si="49"/>
        <v>127760</v>
      </c>
      <c r="AN48" s="94">
        <f t="shared" ref="AN48:AY48" si="50">SUM(AN40:AN40)</f>
        <v>127581</v>
      </c>
      <c r="AO48" s="94">
        <f t="shared" si="50"/>
        <v>137864</v>
      </c>
      <c r="AP48" s="94">
        <f t="shared" si="50"/>
        <v>122864</v>
      </c>
      <c r="AQ48" s="94">
        <f t="shared" si="50"/>
        <v>121542</v>
      </c>
      <c r="AR48" s="94">
        <f t="shared" si="50"/>
        <v>115578</v>
      </c>
      <c r="AS48" s="94">
        <f t="shared" si="50"/>
        <v>92445</v>
      </c>
      <c r="AT48" s="94">
        <f t="shared" si="50"/>
        <v>91038</v>
      </c>
      <c r="AU48" s="94">
        <f t="shared" si="50"/>
        <v>74596</v>
      </c>
      <c r="AV48" s="94">
        <f t="shared" si="50"/>
        <v>70157</v>
      </c>
      <c r="AW48" s="94">
        <f t="shared" si="50"/>
        <v>72629</v>
      </c>
      <c r="AX48" s="94">
        <f t="shared" si="50"/>
        <v>81615</v>
      </c>
      <c r="AY48" s="94">
        <f t="shared" si="50"/>
        <v>88467</v>
      </c>
      <c r="AZ48" s="94">
        <f t="shared" ref="AZ48:BK48" si="51">SUM(AZ40:AZ40)</f>
        <v>111515</v>
      </c>
      <c r="BA48" s="94">
        <f t="shared" si="51"/>
        <v>104026</v>
      </c>
      <c r="BB48" s="94">
        <f t="shared" si="51"/>
        <v>100983</v>
      </c>
      <c r="BC48" s="94">
        <f t="shared" si="51"/>
        <v>107302</v>
      </c>
      <c r="BD48" s="94">
        <f t="shared" si="51"/>
        <v>120647</v>
      </c>
      <c r="BE48" s="94">
        <f t="shared" si="51"/>
        <v>95996</v>
      </c>
      <c r="BF48" s="94">
        <f t="shared" si="51"/>
        <v>118968</v>
      </c>
      <c r="BG48" s="94">
        <f t="shared" si="51"/>
        <v>99547</v>
      </c>
      <c r="BH48" s="94">
        <f t="shared" si="51"/>
        <v>105093</v>
      </c>
      <c r="BI48" s="94">
        <f t="shared" si="51"/>
        <v>134113</v>
      </c>
      <c r="BJ48" s="94">
        <f t="shared" si="51"/>
        <v>145771</v>
      </c>
      <c r="BK48" s="94">
        <f t="shared" si="51"/>
        <v>140089</v>
      </c>
      <c r="BL48" s="94">
        <f t="shared" ref="BL48:BW48" si="52">SUM(BL40:BL40)</f>
        <v>158618</v>
      </c>
      <c r="BM48" s="94">
        <f t="shared" si="52"/>
        <v>144210</v>
      </c>
      <c r="BN48" s="94">
        <f t="shared" si="52"/>
        <v>153114</v>
      </c>
      <c r="BO48" s="94">
        <f t="shared" si="52"/>
        <v>160412</v>
      </c>
      <c r="BP48" s="94">
        <f t="shared" si="52"/>
        <v>159073.42439999999</v>
      </c>
      <c r="BQ48" s="94">
        <f t="shared" si="52"/>
        <v>175408.42439999999</v>
      </c>
      <c r="BR48" s="94">
        <f t="shared" si="52"/>
        <v>218968.42439999999</v>
      </c>
      <c r="BS48" s="94">
        <f t="shared" si="52"/>
        <v>306088.42439999996</v>
      </c>
      <c r="BT48" s="94">
        <f t="shared" si="52"/>
        <v>393208.42439999996</v>
      </c>
      <c r="BU48" s="94">
        <f t="shared" si="52"/>
        <v>406372.25640000001</v>
      </c>
      <c r="BV48" s="94">
        <f t="shared" si="52"/>
        <v>406372.25640000001</v>
      </c>
      <c r="BW48" s="94">
        <f t="shared" si="52"/>
        <v>406372.25640000001</v>
      </c>
      <c r="BX48" s="94">
        <f t="shared" ref="BX48:CI48" si="53">SUM(BX40:BX40)</f>
        <v>406372.25640000001</v>
      </c>
      <c r="BY48" s="94">
        <f t="shared" si="53"/>
        <v>406372.25640000001</v>
      </c>
      <c r="BZ48" s="94">
        <f t="shared" si="53"/>
        <v>406372.25640000001</v>
      </c>
      <c r="CA48" s="94">
        <f t="shared" si="53"/>
        <v>406372.25640000001</v>
      </c>
      <c r="CB48" s="94">
        <f t="shared" si="53"/>
        <v>406372.25640000001</v>
      </c>
      <c r="CC48" s="94">
        <f t="shared" si="53"/>
        <v>406372.25640000001</v>
      </c>
      <c r="CD48" s="94">
        <f t="shared" si="53"/>
        <v>406372.25640000001</v>
      </c>
      <c r="CE48" s="94">
        <f t="shared" si="53"/>
        <v>406372.25640000001</v>
      </c>
      <c r="CF48" s="94">
        <f t="shared" si="53"/>
        <v>406372.25640000001</v>
      </c>
      <c r="CG48" s="94">
        <f t="shared" si="53"/>
        <v>406372.25640000001</v>
      </c>
      <c r="CH48" s="94">
        <f t="shared" si="53"/>
        <v>406372.25640000001</v>
      </c>
      <c r="CI48" s="94">
        <f t="shared" si="53"/>
        <v>406372.25640000001</v>
      </c>
      <c r="CK48" s="57">
        <f t="shared" ref="CK48:CK49" si="54">SUM(BL48:BW48)</f>
        <v>3088217.8911999995</v>
      </c>
      <c r="CM48" s="57">
        <f>SUM(BX48:CI48)</f>
        <v>4876467.0767999999</v>
      </c>
      <c r="CO48" s="77"/>
      <c r="CT48" s="94"/>
      <c r="CU48" s="94"/>
      <c r="CV48" s="94"/>
      <c r="CW48" s="94"/>
      <c r="CX48" s="94"/>
      <c r="CY48" s="94"/>
      <c r="CZ48" s="94"/>
      <c r="DA48" s="94"/>
      <c r="DB48" s="94"/>
      <c r="DC48" s="94"/>
      <c r="DD48" s="94"/>
      <c r="DE48" s="94"/>
    </row>
    <row r="49" spans="2:109" x14ac:dyDescent="0.3">
      <c r="B49" s="97" t="s">
        <v>137</v>
      </c>
      <c r="C49" s="98"/>
      <c r="D49" s="94">
        <f t="shared" ref="D49:O49" si="55">SUM(D43:D46)</f>
        <v>5161973</v>
      </c>
      <c r="E49" s="94">
        <f t="shared" si="55"/>
        <v>4628738</v>
      </c>
      <c r="F49" s="94">
        <f t="shared" si="55"/>
        <v>4670125</v>
      </c>
      <c r="G49" s="94">
        <f t="shared" si="55"/>
        <v>4377340</v>
      </c>
      <c r="H49" s="94">
        <f t="shared" si="55"/>
        <v>4214396</v>
      </c>
      <c r="I49" s="94">
        <f t="shared" si="55"/>
        <v>4171542</v>
      </c>
      <c r="J49" s="94">
        <f t="shared" si="55"/>
        <v>4293330</v>
      </c>
      <c r="K49" s="94">
        <f t="shared" si="55"/>
        <v>4106305</v>
      </c>
      <c r="L49" s="94">
        <f t="shared" si="55"/>
        <v>4378923</v>
      </c>
      <c r="M49" s="94">
        <f t="shared" si="55"/>
        <v>4648684</v>
      </c>
      <c r="N49" s="94">
        <f t="shared" si="55"/>
        <v>4376405</v>
      </c>
      <c r="O49" s="94">
        <f t="shared" si="55"/>
        <v>5043035</v>
      </c>
      <c r="P49" s="94">
        <f t="shared" ref="P49:AA49" si="56">SUM(P43:P46)</f>
        <v>4890889</v>
      </c>
      <c r="Q49" s="94">
        <f t="shared" si="56"/>
        <v>4707719</v>
      </c>
      <c r="R49" s="94">
        <f t="shared" si="56"/>
        <v>4451769</v>
      </c>
      <c r="S49" s="94">
        <f t="shared" si="56"/>
        <v>4600752</v>
      </c>
      <c r="T49" s="94">
        <f t="shared" si="56"/>
        <v>4702361</v>
      </c>
      <c r="U49" s="94">
        <f t="shared" si="56"/>
        <v>4062458</v>
      </c>
      <c r="V49" s="94">
        <f t="shared" si="56"/>
        <v>3976101</v>
      </c>
      <c r="W49" s="94">
        <f t="shared" si="56"/>
        <v>4163169</v>
      </c>
      <c r="X49" s="94">
        <f t="shared" si="56"/>
        <v>4017043</v>
      </c>
      <c r="Y49" s="94">
        <f t="shared" si="56"/>
        <v>4238935</v>
      </c>
      <c r="Z49" s="94">
        <f t="shared" si="56"/>
        <v>4541732</v>
      </c>
      <c r="AA49" s="94">
        <f t="shared" si="56"/>
        <v>5035238</v>
      </c>
      <c r="AB49" s="94">
        <f t="shared" ref="AB49:AC49" si="57">SUM(AB43:AB46)</f>
        <v>4736817</v>
      </c>
      <c r="AC49" s="94">
        <f t="shared" si="57"/>
        <v>4734078</v>
      </c>
      <c r="AD49" s="94">
        <f t="shared" ref="AD49:AM49" si="58">SUM(AD43:AD46)</f>
        <v>4066794</v>
      </c>
      <c r="AE49" s="94">
        <f t="shared" si="58"/>
        <v>4454970</v>
      </c>
      <c r="AF49" s="94">
        <f t="shared" si="58"/>
        <v>4196137</v>
      </c>
      <c r="AG49" s="94">
        <f t="shared" si="58"/>
        <v>3973405</v>
      </c>
      <c r="AH49" s="94">
        <f t="shared" si="58"/>
        <v>4174663</v>
      </c>
      <c r="AI49" s="94">
        <f t="shared" si="58"/>
        <v>4334976</v>
      </c>
      <c r="AJ49" s="94">
        <f t="shared" si="58"/>
        <v>4089091</v>
      </c>
      <c r="AK49" s="94">
        <f t="shared" si="58"/>
        <v>4370349</v>
      </c>
      <c r="AL49" s="94">
        <f t="shared" si="58"/>
        <v>4820834</v>
      </c>
      <c r="AM49" s="94">
        <f t="shared" si="58"/>
        <v>4750052</v>
      </c>
      <c r="AN49" s="94">
        <f t="shared" ref="AN49:AY49" si="59">SUM(AN43:AN46)</f>
        <v>4742005</v>
      </c>
      <c r="AO49" s="94">
        <f t="shared" si="59"/>
        <v>4842895</v>
      </c>
      <c r="AP49" s="94">
        <f t="shared" si="59"/>
        <v>4280735</v>
      </c>
      <c r="AQ49" s="94">
        <f t="shared" si="59"/>
        <v>4378136</v>
      </c>
      <c r="AR49" s="94">
        <f t="shared" si="59"/>
        <v>4558634</v>
      </c>
      <c r="AS49" s="94">
        <f t="shared" si="59"/>
        <v>3991264</v>
      </c>
      <c r="AT49" s="94">
        <f t="shared" si="59"/>
        <v>4434442</v>
      </c>
      <c r="AU49" s="94">
        <f t="shared" si="59"/>
        <v>4344124</v>
      </c>
      <c r="AV49" s="94">
        <f t="shared" si="59"/>
        <v>4194128</v>
      </c>
      <c r="AW49" s="94">
        <f t="shared" si="59"/>
        <v>4490285</v>
      </c>
      <c r="AX49" s="94">
        <f t="shared" si="59"/>
        <v>4768726</v>
      </c>
      <c r="AY49" s="94">
        <f t="shared" si="59"/>
        <v>4820896</v>
      </c>
      <c r="AZ49" s="94">
        <f t="shared" ref="AZ49:BK49" si="60">SUM(AZ43:AZ46)</f>
        <v>5523673</v>
      </c>
      <c r="BA49" s="94">
        <f t="shared" si="60"/>
        <v>4638726</v>
      </c>
      <c r="BB49" s="94">
        <f t="shared" si="60"/>
        <v>4275954</v>
      </c>
      <c r="BC49" s="94">
        <f>SUM(BC43:BC46)</f>
        <v>4332765</v>
      </c>
      <c r="BD49" s="94">
        <f t="shared" si="60"/>
        <v>4532805</v>
      </c>
      <c r="BE49" s="94">
        <f t="shared" si="60"/>
        <v>3815760</v>
      </c>
      <c r="BF49" s="94">
        <f t="shared" si="60"/>
        <v>4458102</v>
      </c>
      <c r="BG49" s="94">
        <f t="shared" si="60"/>
        <v>4015233</v>
      </c>
      <c r="BH49" s="94">
        <f t="shared" si="60"/>
        <v>4022913</v>
      </c>
      <c r="BI49" s="94">
        <f t="shared" si="60"/>
        <v>4582561</v>
      </c>
      <c r="BJ49" s="94">
        <f t="shared" si="60"/>
        <v>4844255</v>
      </c>
      <c r="BK49" s="94">
        <f t="shared" si="60"/>
        <v>4536770</v>
      </c>
      <c r="BL49" s="94">
        <f t="shared" ref="BL49:CI49" si="61">SUM(BL43:BL46)</f>
        <v>4940392</v>
      </c>
      <c r="BM49" s="94">
        <f t="shared" si="61"/>
        <v>4213830</v>
      </c>
      <c r="BN49" s="94">
        <f t="shared" si="61"/>
        <v>4242028</v>
      </c>
      <c r="BO49" s="94">
        <f t="shared" si="61"/>
        <v>4366079</v>
      </c>
      <c r="BP49" s="94">
        <f t="shared" si="61"/>
        <v>4380894</v>
      </c>
      <c r="BQ49" s="94">
        <f t="shared" si="61"/>
        <v>4364559</v>
      </c>
      <c r="BR49" s="94">
        <f t="shared" si="61"/>
        <v>4320999</v>
      </c>
      <c r="BS49" s="94">
        <f t="shared" si="61"/>
        <v>4233879</v>
      </c>
      <c r="BT49" s="94">
        <f t="shared" si="61"/>
        <v>4146759</v>
      </c>
      <c r="BU49" s="94">
        <f t="shared" si="61"/>
        <v>4133595.1680000001</v>
      </c>
      <c r="BV49" s="94">
        <f t="shared" si="61"/>
        <v>4133595.1680000001</v>
      </c>
      <c r="BW49" s="94">
        <f t="shared" si="61"/>
        <v>4133595.1680000001</v>
      </c>
      <c r="BX49" s="94">
        <f t="shared" si="61"/>
        <v>4133595.1680000001</v>
      </c>
      <c r="BY49" s="94">
        <f t="shared" si="61"/>
        <v>4133595.1680000001</v>
      </c>
      <c r="BZ49" s="94">
        <f t="shared" si="61"/>
        <v>4133595.1680000001</v>
      </c>
      <c r="CA49" s="94">
        <f t="shared" si="61"/>
        <v>4133595.1680000001</v>
      </c>
      <c r="CB49" s="94">
        <f t="shared" si="61"/>
        <v>4133595.1680000001</v>
      </c>
      <c r="CC49" s="94">
        <f t="shared" si="61"/>
        <v>4133595.1680000001</v>
      </c>
      <c r="CD49" s="94">
        <f t="shared" si="61"/>
        <v>4133595.1680000001</v>
      </c>
      <c r="CE49" s="94">
        <f t="shared" si="61"/>
        <v>4133595.1680000001</v>
      </c>
      <c r="CF49" s="94">
        <f t="shared" si="61"/>
        <v>4133595.1680000001</v>
      </c>
      <c r="CG49" s="94">
        <f t="shared" si="61"/>
        <v>4133595.1680000001</v>
      </c>
      <c r="CH49" s="94">
        <f t="shared" si="61"/>
        <v>4133595.1680000001</v>
      </c>
      <c r="CI49" s="94">
        <f t="shared" si="61"/>
        <v>4133595.1680000001</v>
      </c>
      <c r="CK49" s="57">
        <f t="shared" si="54"/>
        <v>51610204.503999993</v>
      </c>
      <c r="CM49" s="57">
        <f>SUM(BX49:CI49)</f>
        <v>49603142.015999995</v>
      </c>
      <c r="CO49" s="99"/>
      <c r="CT49" s="94"/>
      <c r="CU49" s="94"/>
      <c r="CV49" s="94"/>
      <c r="CW49" s="94"/>
      <c r="CX49" s="94"/>
      <c r="CY49" s="94"/>
      <c r="CZ49" s="94"/>
    </row>
    <row r="50" spans="2:109" x14ac:dyDescent="0.3">
      <c r="B50" s="97"/>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row>
    <row r="51" spans="2:109" x14ac:dyDescent="0.3">
      <c r="B51" s="49" t="s">
        <v>144</v>
      </c>
      <c r="C51" s="98"/>
      <c r="D51" s="94">
        <f t="shared" ref="D51:O51" si="62">SUM(D48:D49)</f>
        <v>5287258</v>
      </c>
      <c r="E51" s="94">
        <f t="shared" si="62"/>
        <v>4745041</v>
      </c>
      <c r="F51" s="94">
        <f t="shared" si="62"/>
        <v>4794118</v>
      </c>
      <c r="G51" s="94">
        <f t="shared" si="62"/>
        <v>4497507</v>
      </c>
      <c r="H51" s="94">
        <f t="shared" si="62"/>
        <v>4334281</v>
      </c>
      <c r="I51" s="94">
        <f t="shared" si="62"/>
        <v>4282085</v>
      </c>
      <c r="J51" s="94">
        <f t="shared" si="62"/>
        <v>4405837</v>
      </c>
      <c r="K51" s="94">
        <f t="shared" si="62"/>
        <v>4210788</v>
      </c>
      <c r="L51" s="94">
        <f t="shared" si="62"/>
        <v>4492573</v>
      </c>
      <c r="M51" s="94">
        <f t="shared" si="62"/>
        <v>4771587</v>
      </c>
      <c r="N51" s="94">
        <f t="shared" si="62"/>
        <v>4492784</v>
      </c>
      <c r="O51" s="94">
        <f t="shared" si="62"/>
        <v>5165242</v>
      </c>
      <c r="P51" s="94">
        <f t="shared" ref="P51:AA51" si="63">SUM(P48:P49)</f>
        <v>5017511</v>
      </c>
      <c r="Q51" s="94">
        <f t="shared" si="63"/>
        <v>4831336</v>
      </c>
      <c r="R51" s="94">
        <f t="shared" si="63"/>
        <v>4558881</v>
      </c>
      <c r="S51" s="94">
        <f t="shared" si="63"/>
        <v>4721389</v>
      </c>
      <c r="T51" s="94">
        <f t="shared" si="63"/>
        <v>4828808</v>
      </c>
      <c r="U51" s="94">
        <f t="shared" si="63"/>
        <v>4163455</v>
      </c>
      <c r="V51" s="94">
        <f t="shared" si="63"/>
        <v>4074995</v>
      </c>
      <c r="W51" s="94">
        <f t="shared" si="63"/>
        <v>4277835</v>
      </c>
      <c r="X51" s="94">
        <f t="shared" si="63"/>
        <v>4132878</v>
      </c>
      <c r="Y51" s="94">
        <f t="shared" si="63"/>
        <v>4359268</v>
      </c>
      <c r="Z51" s="94">
        <f t="shared" si="63"/>
        <v>4666816</v>
      </c>
      <c r="AA51" s="94">
        <f t="shared" si="63"/>
        <v>5174178</v>
      </c>
      <c r="AB51" s="94">
        <f t="shared" ref="AB51:AC51" si="64">SUM(AB48:AB49)</f>
        <v>4863724</v>
      </c>
      <c r="AC51" s="94">
        <f t="shared" si="64"/>
        <v>4862046</v>
      </c>
      <c r="AD51" s="94">
        <f t="shared" ref="AD51:AM51" si="65">SUM(AD48:AD49)</f>
        <v>4169795</v>
      </c>
      <c r="AE51" s="94">
        <f t="shared" si="65"/>
        <v>4604441</v>
      </c>
      <c r="AF51" s="94">
        <f t="shared" si="65"/>
        <v>4315381</v>
      </c>
      <c r="AG51" s="94">
        <f t="shared" si="65"/>
        <v>4090437</v>
      </c>
      <c r="AH51" s="94">
        <f t="shared" si="65"/>
        <v>4294286</v>
      </c>
      <c r="AI51" s="94">
        <f t="shared" si="65"/>
        <v>4463405</v>
      </c>
      <c r="AJ51" s="94">
        <f t="shared" si="65"/>
        <v>4200905</v>
      </c>
      <c r="AK51" s="94">
        <f t="shared" si="65"/>
        <v>4488015</v>
      </c>
      <c r="AL51" s="94">
        <f t="shared" si="65"/>
        <v>4951308</v>
      </c>
      <c r="AM51" s="94">
        <f t="shared" si="65"/>
        <v>4877812</v>
      </c>
      <c r="AN51" s="94">
        <f t="shared" ref="AN51:BK51" si="66">SUM(AN48:AN49)</f>
        <v>4869586</v>
      </c>
      <c r="AO51" s="94">
        <f t="shared" si="66"/>
        <v>4980759</v>
      </c>
      <c r="AP51" s="94">
        <f t="shared" si="66"/>
        <v>4403599</v>
      </c>
      <c r="AQ51" s="94">
        <f t="shared" si="66"/>
        <v>4499678</v>
      </c>
      <c r="AR51" s="94">
        <f t="shared" si="66"/>
        <v>4674212</v>
      </c>
      <c r="AS51" s="94">
        <f t="shared" si="66"/>
        <v>4083709</v>
      </c>
      <c r="AT51" s="94">
        <f t="shared" si="66"/>
        <v>4525480</v>
      </c>
      <c r="AU51" s="94">
        <f t="shared" si="66"/>
        <v>4418720</v>
      </c>
      <c r="AV51" s="94">
        <f t="shared" si="66"/>
        <v>4264285</v>
      </c>
      <c r="AW51" s="94">
        <f t="shared" si="66"/>
        <v>4562914</v>
      </c>
      <c r="AX51" s="94">
        <f t="shared" si="66"/>
        <v>4850341</v>
      </c>
      <c r="AY51" s="94">
        <f t="shared" si="66"/>
        <v>4909363</v>
      </c>
      <c r="AZ51" s="94">
        <f t="shared" si="66"/>
        <v>5635188</v>
      </c>
      <c r="BA51" s="94">
        <f t="shared" si="66"/>
        <v>4742752</v>
      </c>
      <c r="BB51" s="94">
        <f t="shared" si="66"/>
        <v>4376937</v>
      </c>
      <c r="BC51" s="94">
        <f t="shared" si="66"/>
        <v>4440067</v>
      </c>
      <c r="BD51" s="94">
        <f t="shared" si="66"/>
        <v>4653452</v>
      </c>
      <c r="BE51" s="94">
        <f t="shared" si="66"/>
        <v>3911756</v>
      </c>
      <c r="BF51" s="94">
        <f t="shared" si="66"/>
        <v>4577070</v>
      </c>
      <c r="BG51" s="94">
        <f t="shared" si="66"/>
        <v>4114780</v>
      </c>
      <c r="BH51" s="94">
        <f t="shared" si="66"/>
        <v>4128006</v>
      </c>
      <c r="BI51" s="94">
        <f t="shared" si="66"/>
        <v>4716674</v>
      </c>
      <c r="BJ51" s="94">
        <f t="shared" si="66"/>
        <v>4990026</v>
      </c>
      <c r="BK51" s="94">
        <f t="shared" si="66"/>
        <v>4676859</v>
      </c>
      <c r="BL51" s="94">
        <f t="shared" ref="BL51:BW51" si="67">SUM(BL48:BL49)</f>
        <v>5099010</v>
      </c>
      <c r="BM51" s="94">
        <f t="shared" si="67"/>
        <v>4358040</v>
      </c>
      <c r="BN51" s="94">
        <f t="shared" si="67"/>
        <v>4395142</v>
      </c>
      <c r="BO51" s="94">
        <f t="shared" si="67"/>
        <v>4526491</v>
      </c>
      <c r="BP51" s="94">
        <f t="shared" si="67"/>
        <v>4539967.4243999999</v>
      </c>
      <c r="BQ51" s="94">
        <f t="shared" si="67"/>
        <v>4539967.4243999999</v>
      </c>
      <c r="BR51" s="94">
        <f t="shared" si="67"/>
        <v>4539967.4243999999</v>
      </c>
      <c r="BS51" s="94">
        <f t="shared" si="67"/>
        <v>4539967.4243999999</v>
      </c>
      <c r="BT51" s="94">
        <f t="shared" si="67"/>
        <v>4539967.4243999999</v>
      </c>
      <c r="BU51" s="94">
        <f t="shared" si="67"/>
        <v>4539967.4243999999</v>
      </c>
      <c r="BV51" s="94">
        <f t="shared" si="67"/>
        <v>4539967.4243999999</v>
      </c>
      <c r="BW51" s="94">
        <f t="shared" si="67"/>
        <v>4539967.4243999999</v>
      </c>
      <c r="BX51" s="94">
        <f t="shared" ref="BX51:CI51" si="68">SUM(BX48:BX49)</f>
        <v>4539967.4243999999</v>
      </c>
      <c r="BY51" s="94">
        <f t="shared" si="68"/>
        <v>4539967.4243999999</v>
      </c>
      <c r="BZ51" s="94">
        <f t="shared" si="68"/>
        <v>4539967.4243999999</v>
      </c>
      <c r="CA51" s="94">
        <f t="shared" si="68"/>
        <v>4539967.4243999999</v>
      </c>
      <c r="CB51" s="94">
        <f t="shared" si="68"/>
        <v>4539967.4243999999</v>
      </c>
      <c r="CC51" s="94">
        <f t="shared" si="68"/>
        <v>4539967.4243999999</v>
      </c>
      <c r="CD51" s="94">
        <f t="shared" si="68"/>
        <v>4539967.4243999999</v>
      </c>
      <c r="CE51" s="94">
        <f t="shared" si="68"/>
        <v>4539967.4243999999</v>
      </c>
      <c r="CF51" s="94">
        <f t="shared" si="68"/>
        <v>4539967.4243999999</v>
      </c>
      <c r="CG51" s="94">
        <f t="shared" si="68"/>
        <v>4539967.4243999999</v>
      </c>
      <c r="CH51" s="94">
        <f t="shared" si="68"/>
        <v>4539967.4243999999</v>
      </c>
      <c r="CI51" s="94">
        <f t="shared" si="68"/>
        <v>4539967.4243999999</v>
      </c>
      <c r="CK51" s="57">
        <f>SUM(BL51:BW51)</f>
        <v>54698422.395200014</v>
      </c>
      <c r="CM51" s="57">
        <f>SUM(BX51:CI51)</f>
        <v>54479609.092800014</v>
      </c>
      <c r="CO51" s="99"/>
    </row>
    <row r="52" spans="2:109" x14ac:dyDescent="0.3"/>
    <row r="53" spans="2:109" x14ac:dyDescent="0.3">
      <c r="B53" s="49" t="s">
        <v>145</v>
      </c>
      <c r="D53" s="94">
        <f t="shared" ref="D53:O53" si="69">D49</f>
        <v>5161973</v>
      </c>
      <c r="E53" s="94">
        <f t="shared" si="69"/>
        <v>4628738</v>
      </c>
      <c r="F53" s="94">
        <f t="shared" si="69"/>
        <v>4670125</v>
      </c>
      <c r="G53" s="94">
        <f t="shared" si="69"/>
        <v>4377340</v>
      </c>
      <c r="H53" s="94">
        <f t="shared" si="69"/>
        <v>4214396</v>
      </c>
      <c r="I53" s="94">
        <f t="shared" si="69"/>
        <v>4171542</v>
      </c>
      <c r="J53" s="94">
        <f t="shared" si="69"/>
        <v>4293330</v>
      </c>
      <c r="K53" s="94">
        <f t="shared" si="69"/>
        <v>4106305</v>
      </c>
      <c r="L53" s="94">
        <f t="shared" si="69"/>
        <v>4378923</v>
      </c>
      <c r="M53" s="94">
        <f t="shared" si="69"/>
        <v>4648684</v>
      </c>
      <c r="N53" s="94">
        <f t="shared" si="69"/>
        <v>4376405</v>
      </c>
      <c r="O53" s="94">
        <f t="shared" si="69"/>
        <v>5043035</v>
      </c>
      <c r="P53" s="94">
        <f t="shared" ref="P53:AA53" si="70">P49</f>
        <v>4890889</v>
      </c>
      <c r="Q53" s="94">
        <f t="shared" si="70"/>
        <v>4707719</v>
      </c>
      <c r="R53" s="94">
        <f t="shared" si="70"/>
        <v>4451769</v>
      </c>
      <c r="S53" s="94">
        <f t="shared" si="70"/>
        <v>4600752</v>
      </c>
      <c r="T53" s="94">
        <f t="shared" si="70"/>
        <v>4702361</v>
      </c>
      <c r="U53" s="94">
        <f t="shared" si="70"/>
        <v>4062458</v>
      </c>
      <c r="V53" s="94">
        <f t="shared" si="70"/>
        <v>3976101</v>
      </c>
      <c r="W53" s="94">
        <f t="shared" si="70"/>
        <v>4163169</v>
      </c>
      <c r="X53" s="94">
        <f t="shared" si="70"/>
        <v>4017043</v>
      </c>
      <c r="Y53" s="94">
        <f t="shared" si="70"/>
        <v>4238935</v>
      </c>
      <c r="Z53" s="94">
        <f t="shared" si="70"/>
        <v>4541732</v>
      </c>
      <c r="AA53" s="94">
        <f t="shared" si="70"/>
        <v>5035238</v>
      </c>
      <c r="AB53" s="94">
        <f t="shared" ref="AB53:AC53" si="71">AB49</f>
        <v>4736817</v>
      </c>
      <c r="AC53" s="94">
        <f t="shared" si="71"/>
        <v>4734078</v>
      </c>
      <c r="AD53" s="94">
        <f t="shared" ref="AD53:AM53" si="72">AD49</f>
        <v>4066794</v>
      </c>
      <c r="AE53" s="94">
        <f t="shared" si="72"/>
        <v>4454970</v>
      </c>
      <c r="AF53" s="94">
        <f t="shared" si="72"/>
        <v>4196137</v>
      </c>
      <c r="AG53" s="94">
        <f t="shared" si="72"/>
        <v>3973405</v>
      </c>
      <c r="AH53" s="94">
        <f t="shared" si="72"/>
        <v>4174663</v>
      </c>
      <c r="AI53" s="94">
        <f t="shared" si="72"/>
        <v>4334976</v>
      </c>
      <c r="AJ53" s="94">
        <f t="shared" si="72"/>
        <v>4089091</v>
      </c>
      <c r="AK53" s="94">
        <f t="shared" si="72"/>
        <v>4370349</v>
      </c>
      <c r="AL53" s="94">
        <f t="shared" si="72"/>
        <v>4820834</v>
      </c>
      <c r="AM53" s="94">
        <f t="shared" si="72"/>
        <v>4750052</v>
      </c>
      <c r="AN53" s="94">
        <f t="shared" ref="AN53:AV53" si="73">AN49</f>
        <v>4742005</v>
      </c>
      <c r="AO53" s="94">
        <f t="shared" si="73"/>
        <v>4842895</v>
      </c>
      <c r="AP53" s="94">
        <f t="shared" si="73"/>
        <v>4280735</v>
      </c>
      <c r="AQ53" s="94">
        <f t="shared" si="73"/>
        <v>4378136</v>
      </c>
      <c r="AR53" s="94">
        <f t="shared" si="73"/>
        <v>4558634</v>
      </c>
      <c r="AS53" s="94">
        <f t="shared" si="73"/>
        <v>3991264</v>
      </c>
      <c r="AT53" s="94">
        <f t="shared" si="73"/>
        <v>4434442</v>
      </c>
      <c r="AU53" s="94">
        <f t="shared" si="73"/>
        <v>4344124</v>
      </c>
      <c r="AV53" s="94">
        <f t="shared" si="73"/>
        <v>4194128</v>
      </c>
      <c r="AW53" s="94">
        <f>AW49</f>
        <v>4490285</v>
      </c>
      <c r="AX53" s="94">
        <f t="shared" ref="AX53:BW53" si="74">AX49</f>
        <v>4768726</v>
      </c>
      <c r="AY53" s="94">
        <f t="shared" si="74"/>
        <v>4820896</v>
      </c>
      <c r="AZ53" s="94">
        <f t="shared" si="74"/>
        <v>5523673</v>
      </c>
      <c r="BA53" s="94">
        <f t="shared" si="74"/>
        <v>4638726</v>
      </c>
      <c r="BB53" s="94">
        <f t="shared" si="74"/>
        <v>4275954</v>
      </c>
      <c r="BC53" s="94">
        <f>BC49</f>
        <v>4332765</v>
      </c>
      <c r="BD53" s="94">
        <f t="shared" si="74"/>
        <v>4532805</v>
      </c>
      <c r="BE53" s="94">
        <f t="shared" si="74"/>
        <v>3815760</v>
      </c>
      <c r="BF53" s="94">
        <f t="shared" si="74"/>
        <v>4458102</v>
      </c>
      <c r="BG53" s="94">
        <f t="shared" si="74"/>
        <v>4015233</v>
      </c>
      <c r="BH53" s="94">
        <f t="shared" si="74"/>
        <v>4022913</v>
      </c>
      <c r="BI53" s="94">
        <f t="shared" si="74"/>
        <v>4582561</v>
      </c>
      <c r="BJ53" s="94">
        <f t="shared" si="74"/>
        <v>4844255</v>
      </c>
      <c r="BK53" s="94">
        <f t="shared" si="74"/>
        <v>4536770</v>
      </c>
      <c r="BL53" s="94">
        <f t="shared" si="74"/>
        <v>4940392</v>
      </c>
      <c r="BM53" s="94">
        <f t="shared" si="74"/>
        <v>4213830</v>
      </c>
      <c r="BN53" s="94">
        <f t="shared" si="74"/>
        <v>4242028</v>
      </c>
      <c r="BO53" s="94">
        <f t="shared" si="74"/>
        <v>4366079</v>
      </c>
      <c r="BP53" s="94">
        <f t="shared" si="74"/>
        <v>4380894</v>
      </c>
      <c r="BQ53" s="94">
        <f t="shared" si="74"/>
        <v>4364559</v>
      </c>
      <c r="BR53" s="94">
        <f t="shared" si="74"/>
        <v>4320999</v>
      </c>
      <c r="BS53" s="94">
        <f t="shared" si="74"/>
        <v>4233879</v>
      </c>
      <c r="BT53" s="94">
        <f t="shared" si="74"/>
        <v>4146759</v>
      </c>
      <c r="BU53" s="94">
        <f t="shared" si="74"/>
        <v>4133595.1680000001</v>
      </c>
      <c r="BV53" s="94">
        <f t="shared" si="74"/>
        <v>4133595.1680000001</v>
      </c>
      <c r="BW53" s="94">
        <f t="shared" si="74"/>
        <v>4133595.1680000001</v>
      </c>
      <c r="BX53" s="94">
        <f t="shared" ref="BX53:CI53" si="75">BX49</f>
        <v>4133595.1680000001</v>
      </c>
      <c r="BY53" s="94">
        <f t="shared" si="75"/>
        <v>4133595.1680000001</v>
      </c>
      <c r="BZ53" s="94">
        <f t="shared" si="75"/>
        <v>4133595.1680000001</v>
      </c>
      <c r="CA53" s="94">
        <f t="shared" si="75"/>
        <v>4133595.1680000001</v>
      </c>
      <c r="CB53" s="94">
        <f t="shared" si="75"/>
        <v>4133595.1680000001</v>
      </c>
      <c r="CC53" s="94">
        <f t="shared" si="75"/>
        <v>4133595.1680000001</v>
      </c>
      <c r="CD53" s="94">
        <f t="shared" si="75"/>
        <v>4133595.1680000001</v>
      </c>
      <c r="CE53" s="94">
        <f t="shared" si="75"/>
        <v>4133595.1680000001</v>
      </c>
      <c r="CF53" s="94">
        <f t="shared" si="75"/>
        <v>4133595.1680000001</v>
      </c>
      <c r="CG53" s="94">
        <f t="shared" si="75"/>
        <v>4133595.1680000001</v>
      </c>
      <c r="CH53" s="94">
        <f t="shared" si="75"/>
        <v>4133595.1680000001</v>
      </c>
      <c r="CI53" s="94">
        <f t="shared" si="75"/>
        <v>4133595.1680000001</v>
      </c>
      <c r="CK53" s="57">
        <f>SUM(BL53:BW53)</f>
        <v>51610204.503999993</v>
      </c>
      <c r="CM53" s="57">
        <f>SUM(BX53:CI53)</f>
        <v>49603142.015999995</v>
      </c>
      <c r="CP53" s="18" t="s">
        <v>287</v>
      </c>
      <c r="CV53" s="94"/>
      <c r="CW53" s="94"/>
      <c r="CZ53" s="94"/>
    </row>
    <row r="54" spans="2:109" x14ac:dyDescent="0.3">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CV54" s="123"/>
      <c r="CW54" s="123"/>
      <c r="CX54" s="123"/>
      <c r="CY54" s="123"/>
      <c r="CZ54" s="123"/>
      <c r="DD54" s="123"/>
      <c r="DE54" s="57"/>
    </row>
    <row r="55" spans="2:109" x14ac:dyDescent="0.3"/>
    <row r="56" spans="2:109" x14ac:dyDescent="0.3">
      <c r="D56" s="55"/>
    </row>
    <row r="57" spans="2:109" x14ac:dyDescent="0.3"/>
    <row r="58" spans="2:109" x14ac:dyDescent="0.3">
      <c r="D58" s="55"/>
    </row>
    <row r="59" spans="2:109" x14ac:dyDescent="0.3">
      <c r="D59" s="55"/>
      <c r="BP59" s="57">
        <f>+BP8-BO8</f>
        <v>216.93999999999869</v>
      </c>
      <c r="BQ59" s="57">
        <f>+BQ8-BP8</f>
        <v>2250</v>
      </c>
      <c r="BR59" s="57">
        <f t="shared" ref="BR59:BS59" si="76">+BR8-BQ8</f>
        <v>5999.9999999999964</v>
      </c>
      <c r="BS59" s="57">
        <f t="shared" si="76"/>
        <v>12000</v>
      </c>
      <c r="BT59" s="57">
        <f>+BT8-BP8</f>
        <v>32249.999999999996</v>
      </c>
      <c r="BU59" s="57">
        <f t="shared" ref="BU59" si="77">+BU8-BT8</f>
        <v>1813.2000000000044</v>
      </c>
    </row>
    <row r="60" spans="2:109" x14ac:dyDescent="0.3">
      <c r="BP60" s="174">
        <f>+BP59/BO8</f>
        <v>9.9999999999999395E-3</v>
      </c>
      <c r="BQ60" s="174">
        <f>+BQ59/BP8</f>
        <v>0.10268842870273936</v>
      </c>
      <c r="BR60" s="174">
        <f t="shared" ref="BR60:BU60" si="78">+BR59/BQ8</f>
        <v>0.24833470883169267</v>
      </c>
      <c r="BS60" s="174">
        <f t="shared" si="78"/>
        <v>0.39786558376496228</v>
      </c>
      <c r="BT60" s="174">
        <f>+BT59/BP8</f>
        <v>1.4718674780725975</v>
      </c>
      <c r="BU60" s="174">
        <f t="shared" si="78"/>
        <v>3.3478000935729779E-2</v>
      </c>
    </row>
    <row r="61" spans="2:109" x14ac:dyDescent="0.3"/>
    <row r="62" spans="2:109" x14ac:dyDescent="0.3"/>
    <row r="63" spans="2:109" x14ac:dyDescent="0.3"/>
    <row r="64" spans="2:109"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spans="52:63" x14ac:dyDescent="0.3"/>
    <row r="98" spans="52:63" x14ac:dyDescent="0.3"/>
    <row r="99" spans="52:63" x14ac:dyDescent="0.3"/>
    <row r="100" spans="52:63" x14ac:dyDescent="0.3">
      <c r="AZ100" s="164"/>
      <c r="BA100" s="164"/>
      <c r="BB100" s="164"/>
      <c r="BC100" s="164"/>
      <c r="BD100" s="164"/>
      <c r="BE100" s="164"/>
      <c r="BF100" s="164"/>
      <c r="BG100" s="164"/>
      <c r="BH100" s="164"/>
      <c r="BI100" s="164"/>
      <c r="BJ100" s="164"/>
      <c r="BK100" s="164"/>
    </row>
    <row r="101" spans="52:63" x14ac:dyDescent="0.3"/>
    <row r="102" spans="52:63" x14ac:dyDescent="0.3"/>
    <row r="103" spans="52:63" x14ac:dyDescent="0.3"/>
    <row r="104" spans="52:63" x14ac:dyDescent="0.3"/>
    <row r="105" spans="52:63" x14ac:dyDescent="0.3"/>
    <row r="106" spans="52:63" x14ac:dyDescent="0.3"/>
    <row r="107" spans="52:63" x14ac:dyDescent="0.3"/>
    <row r="108" spans="52:63" x14ac:dyDescent="0.3"/>
    <row r="109" spans="52:63" x14ac:dyDescent="0.3"/>
    <row r="110" spans="52:63" x14ac:dyDescent="0.3"/>
    <row r="111" spans="52:63" x14ac:dyDescent="0.3"/>
    <row r="112" spans="52:63" x14ac:dyDescent="0.3"/>
    <row r="113" x14ac:dyDescent="0.3"/>
    <row r="114" x14ac:dyDescent="0.3"/>
    <row r="115" x14ac:dyDescent="0.3"/>
    <row r="116" x14ac:dyDescent="0.3"/>
    <row r="117" x14ac:dyDescent="0.3"/>
    <row r="118" x14ac:dyDescent="0.3"/>
    <row r="119" x14ac:dyDescent="0.3"/>
    <row r="120" x14ac:dyDescent="0.3"/>
  </sheetData>
  <mergeCells count="12">
    <mergeCell ref="BL1:BW1"/>
    <mergeCell ref="AR2:BC2"/>
    <mergeCell ref="BD2:BO2"/>
    <mergeCell ref="D6:AQ6"/>
    <mergeCell ref="AR6:AY6"/>
    <mergeCell ref="D1:O1"/>
    <mergeCell ref="AN1:AY1"/>
    <mergeCell ref="T2:AE2"/>
    <mergeCell ref="AB1:AM1"/>
    <mergeCell ref="P1:AA1"/>
    <mergeCell ref="AF2:AQ2"/>
    <mergeCell ref="AZ6:BB6"/>
  </mergeCells>
  <phoneticPr fontId="4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249977111117893"/>
    <pageSetUpPr fitToPage="1"/>
  </sheetPr>
  <dimension ref="A1:P44"/>
  <sheetViews>
    <sheetView tabSelected="1" zoomScaleNormal="100" workbookViewId="0">
      <selection activeCell="E17" sqref="E17"/>
    </sheetView>
  </sheetViews>
  <sheetFormatPr defaultColWidth="0" defaultRowHeight="13.8" zeroHeight="1" x14ac:dyDescent="0.25"/>
  <cols>
    <col min="1" max="2" width="9.109375" style="181" customWidth="1"/>
    <col min="3" max="3" width="1.5546875" style="180" customWidth="1"/>
    <col min="4" max="4" width="62.5546875" style="181" customWidth="1"/>
    <col min="5" max="5" width="16.77734375" style="181" customWidth="1"/>
    <col min="6" max="6" width="2.5546875" style="181" customWidth="1"/>
    <col min="7" max="7" width="16.77734375" style="181" customWidth="1"/>
    <col min="8" max="8" width="8.5546875" style="181" customWidth="1"/>
    <col min="9" max="9" width="2.5546875" style="181" customWidth="1"/>
    <col min="10" max="10" width="16.77734375" style="181" customWidth="1"/>
    <col min="11" max="11" width="7.88671875" style="181" customWidth="1"/>
    <col min="12" max="16" width="9.109375" style="181" customWidth="1"/>
    <col min="17" max="16384" width="9.109375" style="181" hidden="1"/>
  </cols>
  <sheetData>
    <row r="1" spans="2:16" x14ac:dyDescent="0.25"/>
    <row r="2" spans="2:16" x14ac:dyDescent="0.25"/>
    <row r="3" spans="2:16" x14ac:dyDescent="0.25">
      <c r="B3" s="184" t="s">
        <v>31</v>
      </c>
      <c r="C3" s="185"/>
      <c r="D3" s="185"/>
      <c r="E3" s="185"/>
      <c r="F3" s="185"/>
      <c r="G3" s="185"/>
      <c r="H3" s="185"/>
      <c r="I3" s="185"/>
      <c r="J3" s="185"/>
      <c r="K3" s="185"/>
    </row>
    <row r="4" spans="2:16" hidden="1" x14ac:dyDescent="0.25">
      <c r="B4" s="184" t="s">
        <v>31</v>
      </c>
      <c r="C4" s="183"/>
      <c r="D4" s="182"/>
      <c r="E4" s="182"/>
      <c r="F4" s="182"/>
      <c r="G4" s="182"/>
      <c r="H4" s="182"/>
      <c r="I4" s="182"/>
      <c r="J4" s="182"/>
      <c r="K4" s="182"/>
    </row>
    <row r="5" spans="2:16" x14ac:dyDescent="0.25">
      <c r="B5" s="184" t="s">
        <v>294</v>
      </c>
      <c r="C5" s="184"/>
      <c r="D5" s="184"/>
      <c r="E5" s="184"/>
      <c r="F5" s="184"/>
      <c r="G5" s="184"/>
      <c r="H5" s="184"/>
      <c r="I5" s="184"/>
      <c r="J5" s="184"/>
      <c r="K5" s="184"/>
    </row>
    <row r="6" spans="2:16" x14ac:dyDescent="0.25">
      <c r="D6" s="184"/>
      <c r="F6" s="185"/>
      <c r="G6" s="185"/>
      <c r="H6" s="185"/>
      <c r="I6" s="185"/>
      <c r="J6" s="185"/>
      <c r="K6" s="185"/>
    </row>
    <row r="7" spans="2:16" ht="5.0999999999999996" customHeight="1" x14ac:dyDescent="0.3">
      <c r="B7" s="186"/>
      <c r="C7" s="187"/>
      <c r="D7" s="188"/>
      <c r="E7" s="188"/>
      <c r="F7" s="188"/>
      <c r="G7" s="189"/>
      <c r="H7" s="189"/>
      <c r="I7" s="190"/>
      <c r="J7" s="189"/>
      <c r="K7" s="191"/>
    </row>
    <row r="8" spans="2:16" ht="15.6" x14ac:dyDescent="0.3">
      <c r="B8" s="192"/>
      <c r="E8" s="193" t="s">
        <v>148</v>
      </c>
      <c r="G8" s="427" t="s">
        <v>149</v>
      </c>
      <c r="H8" s="427"/>
      <c r="I8" s="194"/>
      <c r="J8" s="427" t="s">
        <v>150</v>
      </c>
      <c r="K8" s="429"/>
    </row>
    <row r="9" spans="2:16" ht="5.0999999999999996" customHeight="1" x14ac:dyDescent="0.3">
      <c r="B9" s="192"/>
      <c r="G9" s="193"/>
      <c r="H9" s="193"/>
      <c r="I9" s="194"/>
      <c r="J9" s="193"/>
      <c r="K9" s="195"/>
    </row>
    <row r="10" spans="2:16" x14ac:dyDescent="0.25">
      <c r="B10" s="192"/>
      <c r="E10" s="196" t="s">
        <v>151</v>
      </c>
      <c r="G10" s="428" t="s">
        <v>151</v>
      </c>
      <c r="H10" s="428"/>
      <c r="I10" s="197"/>
      <c r="J10" s="428" t="s">
        <v>151</v>
      </c>
      <c r="K10" s="430"/>
    </row>
    <row r="11" spans="2:16" x14ac:dyDescent="0.25">
      <c r="B11" s="198" t="s">
        <v>152</v>
      </c>
      <c r="C11" s="199"/>
      <c r="D11" s="200" t="s">
        <v>288</v>
      </c>
      <c r="E11" s="201">
        <f>G11+J11</f>
        <v>22615699.528282374</v>
      </c>
      <c r="F11" s="200"/>
      <c r="G11" s="202">
        <f>'C-Factor'!$G$8</f>
        <v>9498593.8018785976</v>
      </c>
      <c r="H11" s="203"/>
      <c r="I11" s="203"/>
      <c r="J11" s="202">
        <f>'C-Factor'!$H$8</f>
        <v>13117105.726403778</v>
      </c>
      <c r="K11" s="204"/>
      <c r="N11" s="205"/>
      <c r="P11" s="205"/>
    </row>
    <row r="12" spans="2:16" x14ac:dyDescent="0.25">
      <c r="B12" s="206"/>
      <c r="H12" s="203"/>
      <c r="I12" s="203"/>
      <c r="K12" s="204"/>
    </row>
    <row r="13" spans="2:16" x14ac:dyDescent="0.25">
      <c r="B13" s="198" t="s">
        <v>153</v>
      </c>
      <c r="C13" s="199"/>
      <c r="D13" s="200" t="s">
        <v>289</v>
      </c>
      <c r="E13" s="201">
        <f>G13+J13</f>
        <v>-8476734.7305929922</v>
      </c>
      <c r="F13" s="201"/>
      <c r="G13" s="202">
        <f>'E-Factor'!J28</f>
        <v>-3745377.3047329145</v>
      </c>
      <c r="H13" s="207"/>
      <c r="I13" s="207"/>
      <c r="J13" s="202">
        <f>'E-Factor'!J67</f>
        <v>-4731357.4258600771</v>
      </c>
      <c r="K13" s="204"/>
      <c r="N13" s="205"/>
      <c r="P13" s="205"/>
    </row>
    <row r="14" spans="2:16" x14ac:dyDescent="0.25">
      <c r="B14" s="198"/>
      <c r="C14" s="199"/>
      <c r="E14" s="208"/>
      <c r="F14" s="208"/>
      <c r="G14" s="208"/>
      <c r="H14" s="207"/>
      <c r="I14" s="207"/>
      <c r="J14" s="208"/>
      <c r="K14" s="204"/>
    </row>
    <row r="15" spans="2:16" x14ac:dyDescent="0.25">
      <c r="B15" s="198" t="s">
        <v>154</v>
      </c>
      <c r="C15" s="199"/>
      <c r="D15" s="200" t="s">
        <v>290</v>
      </c>
      <c r="E15" s="201">
        <f>G15+J15</f>
        <v>-371551.28349724121</v>
      </c>
      <c r="F15" s="209"/>
      <c r="G15" s="202">
        <f>'I-Factor'!$E$27</f>
        <v>-157193.94845478763</v>
      </c>
      <c r="H15" s="207"/>
      <c r="I15" s="207"/>
      <c r="J15" s="202">
        <f>'I-Factor'!$E$58</f>
        <v>-214357.33504245355</v>
      </c>
      <c r="K15" s="204"/>
      <c r="N15" s="205"/>
      <c r="P15" s="205"/>
    </row>
    <row r="16" spans="2:16" x14ac:dyDescent="0.25">
      <c r="B16" s="206"/>
      <c r="E16" s="208"/>
      <c r="F16" s="208"/>
      <c r="G16" s="208"/>
      <c r="H16" s="210"/>
      <c r="I16" s="210"/>
      <c r="J16" s="208"/>
      <c r="K16" s="211"/>
    </row>
    <row r="17" spans="2:16" x14ac:dyDescent="0.25">
      <c r="B17" s="198" t="s">
        <v>155</v>
      </c>
      <c r="C17" s="199"/>
      <c r="D17" s="212" t="s">
        <v>291</v>
      </c>
      <c r="E17" s="208">
        <f>G17+J17</f>
        <v>31463985.542372607</v>
      </c>
      <c r="F17" s="208"/>
      <c r="G17" s="208">
        <f>(G11)-(G13+G15)</f>
        <v>13401165.055066299</v>
      </c>
      <c r="H17" s="210"/>
      <c r="I17" s="210"/>
      <c r="J17" s="208">
        <f>(J11)-(J13+J15)</f>
        <v>18062820.487306308</v>
      </c>
      <c r="K17" s="211"/>
    </row>
    <row r="18" spans="2:16" x14ac:dyDescent="0.25">
      <c r="B18" s="206"/>
      <c r="H18" s="213"/>
      <c r="I18" s="213"/>
      <c r="K18" s="211"/>
    </row>
    <row r="19" spans="2:16" x14ac:dyDescent="0.25">
      <c r="B19" s="198" t="s">
        <v>156</v>
      </c>
      <c r="C19" s="199"/>
      <c r="D19" s="200" t="s">
        <v>292</v>
      </c>
      <c r="E19" s="200"/>
      <c r="F19" s="200"/>
      <c r="G19" s="214">
        <f>Customer!$CM$34/'Assumptions and Inputs'!$C$21</f>
        <v>5256091.5016000001</v>
      </c>
      <c r="H19" s="213"/>
      <c r="I19" s="213"/>
      <c r="J19" s="214">
        <f>Customer!$CM$53/'Assumptions and Inputs'!$C$21</f>
        <v>4960314.2015999993</v>
      </c>
      <c r="K19" s="211"/>
    </row>
    <row r="20" spans="2:16" x14ac:dyDescent="0.25">
      <c r="B20" s="206"/>
      <c r="K20" s="215"/>
    </row>
    <row r="21" spans="2:16" x14ac:dyDescent="0.25">
      <c r="B21" s="198" t="s">
        <v>157</v>
      </c>
      <c r="C21" s="216"/>
      <c r="D21" s="217" t="s">
        <v>293</v>
      </c>
      <c r="E21" s="217"/>
      <c r="F21" s="217"/>
      <c r="G21" s="218">
        <f>ROUND(G17/G19, 2)</f>
        <v>2.5499999999999998</v>
      </c>
      <c r="H21" s="219" t="s">
        <v>158</v>
      </c>
      <c r="I21" s="220"/>
      <c r="J21" s="218">
        <f>ROUND(J17/J19, 2)</f>
        <v>3.64</v>
      </c>
      <c r="K21" s="221" t="s">
        <v>158</v>
      </c>
      <c r="M21" s="222"/>
      <c r="N21" s="222"/>
      <c r="P21" s="222"/>
    </row>
    <row r="22" spans="2:16" x14ac:dyDescent="0.25">
      <c r="B22" s="223"/>
      <c r="C22" s="224"/>
      <c r="D22" s="225"/>
      <c r="E22" s="225"/>
      <c r="F22" s="225"/>
      <c r="G22" s="226"/>
      <c r="H22" s="227"/>
      <c r="I22" s="227"/>
      <c r="J22" s="226"/>
      <c r="K22" s="228"/>
    </row>
    <row r="23" spans="2:16" x14ac:dyDescent="0.25"/>
    <row r="24" spans="2:16" x14ac:dyDescent="0.25"/>
    <row r="25" spans="2:16" x14ac:dyDescent="0.25"/>
    <row r="26" spans="2:16" x14ac:dyDescent="0.25"/>
    <row r="27" spans="2:16" x14ac:dyDescent="0.25"/>
    <row r="28" spans="2:16" x14ac:dyDescent="0.25"/>
    <row r="29" spans="2:16" x14ac:dyDescent="0.25"/>
    <row r="30" spans="2:16" x14ac:dyDescent="0.25"/>
    <row r="31" spans="2:16" x14ac:dyDescent="0.25"/>
    <row r="32" spans="2:16" x14ac:dyDescent="0.25"/>
    <row r="33" spans="2:11" x14ac:dyDescent="0.25"/>
    <row r="34" spans="2:11" ht="14.4" x14ac:dyDescent="0.25">
      <c r="B34" s="229" t="s">
        <v>159</v>
      </c>
      <c r="C34" s="230" t="s">
        <v>160</v>
      </c>
      <c r="D34" s="229" t="s">
        <v>161</v>
      </c>
      <c r="H34" s="231"/>
    </row>
    <row r="35" spans="2:11" ht="14.4" x14ac:dyDescent="0.25">
      <c r="B35" s="229"/>
      <c r="C35" s="230" t="s">
        <v>162</v>
      </c>
      <c r="D35" s="229" t="s">
        <v>163</v>
      </c>
    </row>
    <row r="36" spans="2:11" ht="14.4" x14ac:dyDescent="0.25">
      <c r="B36" s="229"/>
      <c r="C36" s="230" t="s">
        <v>164</v>
      </c>
      <c r="D36" s="229" t="str">
        <f>"Simple Annual Interest on Net Over/Under Collection for the Most Recent Period.  Refer to Tables 4-W and 4-WW for further information.  Interest rate of "&amp;FIXED('Assumptions and Inputs'!C56*100,2,TRUE)&amp;"% as of "&amp;TEXT('Assumptions and Inputs'!$C$57,"MMMM DD, YYYY")&amp;"."</f>
        <v>Simple Annual Interest on Net Over/Under Collection for the Most Recent Period.  Refer to Tables 4-W and 4-WW for further information.  Interest rate of 4.80% as of January 02, 2024.</v>
      </c>
    </row>
    <row r="37" spans="2:11" ht="14.4" x14ac:dyDescent="0.25">
      <c r="B37" s="229"/>
      <c r="C37" s="230" t="s">
        <v>165</v>
      </c>
      <c r="D37" s="229" t="s">
        <v>166</v>
      </c>
    </row>
    <row r="38" spans="2:11" ht="14.4" x14ac:dyDescent="0.25">
      <c r="B38" s="229"/>
      <c r="C38" s="230" t="s">
        <v>167</v>
      </c>
      <c r="D38" s="229" t="str">
        <f>"Estimated water and sewer sales for Non-TAP Customers for the Next Rate Period based upon the average monthly Non-TAP sales volume for the 12 month period of January 2023 to"</f>
        <v>Estimated water and sewer sales for Non-TAP Customers for the Next Rate Period based upon the average monthly Non-TAP sales volume for the 12 month period of January 2023 to</v>
      </c>
    </row>
    <row r="39" spans="2:11" ht="14.4" x14ac:dyDescent="0.25">
      <c r="B39" s="229"/>
      <c r="C39" s="230"/>
      <c r="D39" s="229" t="str">
        <f>"December 2023 and adjusted to reflect the reduction in Non-TAP Sales Volume associated with increased TAP enrollment.  Next Rate Period is assumed to be "&amp;TEXT('Assumptions and Inputs'!C65,"MMMM DD, YYYY")&amp;" to "&amp;TEXT('Assumptions and Inputs'!C67,"MMMM DD, YYYY")&amp;"."</f>
        <v>December 2023 and adjusted to reflect the reduction in Non-TAP Sales Volume associated with increased TAP enrollment.  Next Rate Period is assumed to be September 01, 2024 to August 31, 2025.</v>
      </c>
    </row>
    <row r="40" spans="2:11" ht="14.4" x14ac:dyDescent="0.25">
      <c r="B40" s="229"/>
      <c r="C40" s="230" t="s">
        <v>168</v>
      </c>
      <c r="D40" s="229" t="s">
        <v>169</v>
      </c>
      <c r="G40" s="222"/>
      <c r="J40" s="222"/>
    </row>
    <row r="41" spans="2:11" x14ac:dyDescent="0.25">
      <c r="B41" s="229"/>
      <c r="C41" s="232"/>
      <c r="D41" s="229"/>
      <c r="G41" s="233"/>
      <c r="H41" s="222"/>
      <c r="I41" s="222"/>
      <c r="J41" s="233"/>
      <c r="K41" s="234"/>
    </row>
    <row r="42" spans="2:11" x14ac:dyDescent="0.25">
      <c r="D42" s="235"/>
      <c r="E42" s="236"/>
      <c r="G42" s="237"/>
      <c r="H42" s="205"/>
      <c r="I42" s="205"/>
      <c r="J42" s="237"/>
    </row>
    <row r="43" spans="2:11" x14ac:dyDescent="0.25">
      <c r="D43" s="208"/>
      <c r="E43" s="236"/>
      <c r="G43" s="237"/>
      <c r="H43" s="237"/>
      <c r="I43" s="237"/>
      <c r="J43" s="237"/>
    </row>
    <row r="44" spans="2:11" x14ac:dyDescent="0.25">
      <c r="D44" s="235"/>
      <c r="G44" s="237"/>
      <c r="H44" s="205"/>
      <c r="I44" s="205"/>
      <c r="J44" s="237"/>
    </row>
  </sheetData>
  <mergeCells count="4">
    <mergeCell ref="G8:H8"/>
    <mergeCell ref="G10:H10"/>
    <mergeCell ref="J8:K8"/>
    <mergeCell ref="J10:K10"/>
  </mergeCells>
  <printOptions horizontalCentered="1"/>
  <pageMargins left="0.7" right="0.7" top="1.5" bottom="0.75" header="0.3" footer="0.3"/>
  <pageSetup scale="84" orientation="landscape" r:id="rId1"/>
  <headerFooter>
    <oddHeader>&amp;RSchedule LKM-TAP-R-1</oddHeader>
  </headerFooter>
  <ignoredErrors>
    <ignoredError sqref="B11 B13 B15 B17 B19 B2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249977111117893"/>
    <pageSetUpPr fitToPage="1"/>
  </sheetPr>
  <dimension ref="A1:O38"/>
  <sheetViews>
    <sheetView tabSelected="1" zoomScaleNormal="100" workbookViewId="0">
      <selection activeCell="E17" sqref="E17"/>
    </sheetView>
  </sheetViews>
  <sheetFormatPr defaultColWidth="0" defaultRowHeight="13.8" zeroHeight="1" x14ac:dyDescent="0.25"/>
  <cols>
    <col min="1" max="2" width="9.109375" style="181" customWidth="1"/>
    <col min="3" max="3" width="36" style="181" customWidth="1"/>
    <col min="4" max="4" width="8.88671875" style="181" customWidth="1"/>
    <col min="5" max="5" width="18" style="181" customWidth="1"/>
    <col min="6" max="6" width="5.5546875" style="181" customWidth="1"/>
    <col min="7" max="8" width="18" style="181" customWidth="1"/>
    <col min="9" max="11" width="10.5546875" style="181" customWidth="1"/>
    <col min="12" max="15" width="9.109375" style="181" customWidth="1"/>
    <col min="16" max="16384" width="9.109375" style="181" hidden="1"/>
  </cols>
  <sheetData>
    <row r="1" spans="2:11" x14ac:dyDescent="0.25"/>
    <row r="2" spans="2:11" x14ac:dyDescent="0.25">
      <c r="B2" s="184" t="s">
        <v>31</v>
      </c>
      <c r="C2" s="184"/>
      <c r="D2" s="184"/>
      <c r="E2" s="184"/>
      <c r="F2" s="184"/>
      <c r="G2" s="184"/>
      <c r="H2" s="184"/>
      <c r="I2" s="185"/>
      <c r="J2" s="185"/>
      <c r="K2" s="185"/>
    </row>
    <row r="3" spans="2:11" x14ac:dyDescent="0.25">
      <c r="B3" s="184" t="s">
        <v>295</v>
      </c>
      <c r="C3" s="184"/>
      <c r="D3" s="184"/>
      <c r="E3" s="184"/>
      <c r="F3" s="184"/>
      <c r="G3" s="184"/>
      <c r="H3" s="184"/>
      <c r="I3" s="185"/>
      <c r="J3" s="185"/>
      <c r="K3" s="185"/>
    </row>
    <row r="4" spans="2:11" x14ac:dyDescent="0.25">
      <c r="C4" s="184"/>
      <c r="D4" s="184"/>
      <c r="E4" s="184"/>
      <c r="F4" s="184"/>
      <c r="G4" s="184"/>
      <c r="H4" s="184"/>
    </row>
    <row r="5" spans="2:11" x14ac:dyDescent="0.25">
      <c r="B5" s="243" t="s">
        <v>170</v>
      </c>
      <c r="C5" s="244" t="str">
        <f>TEXT('Assumptions and Inputs'!C65,"MMMM DD, YYYY")&amp;" through "&amp;TEXT('Assumptions and Inputs'!C67,"MMMM DD, YYYY")</f>
        <v>September 01, 2024 through August 31, 2025</v>
      </c>
      <c r="D5" s="188"/>
      <c r="E5" s="245" t="s">
        <v>144</v>
      </c>
      <c r="F5" s="188"/>
      <c r="G5" s="245" t="s">
        <v>149</v>
      </c>
      <c r="H5" s="245" t="s">
        <v>150</v>
      </c>
      <c r="I5" s="188"/>
      <c r="J5" s="188"/>
      <c r="K5" s="246"/>
    </row>
    <row r="6" spans="2:11" x14ac:dyDescent="0.25">
      <c r="B6" s="192"/>
      <c r="C6" s="247"/>
      <c r="G6" s="248">
        <f>'Assumptions and Inputs'!$C$40</f>
        <v>0.42</v>
      </c>
      <c r="H6" s="248">
        <f>'Assumptions and Inputs'!$C$42</f>
        <v>0.57999999999999996</v>
      </c>
      <c r="K6" s="249"/>
    </row>
    <row r="7" spans="2:11" ht="5.0999999999999996" customHeight="1" x14ac:dyDescent="0.25">
      <c r="B7" s="192"/>
      <c r="C7" s="247"/>
      <c r="G7" s="250"/>
      <c r="H7" s="250"/>
      <c r="K7" s="249"/>
    </row>
    <row r="8" spans="2:11" x14ac:dyDescent="0.25">
      <c r="B8" s="198" t="s">
        <v>152</v>
      </c>
      <c r="C8" s="251" t="s">
        <v>296</v>
      </c>
      <c r="E8" s="252">
        <f>'Assumptions and Inputs'!C15</f>
        <v>22615699.528282378</v>
      </c>
      <c r="F8" s="252"/>
      <c r="G8" s="252">
        <f>E8*$G$6</f>
        <v>9498593.8018785976</v>
      </c>
      <c r="H8" s="252">
        <f>E8*$H$6</f>
        <v>13117105.726403778</v>
      </c>
      <c r="I8" s="253"/>
      <c r="K8" s="215"/>
    </row>
    <row r="9" spans="2:11" x14ac:dyDescent="0.25">
      <c r="B9" s="254"/>
      <c r="C9" s="255"/>
      <c r="D9" s="225"/>
      <c r="E9" s="256"/>
      <c r="F9" s="225"/>
      <c r="G9" s="225"/>
      <c r="H9" s="225"/>
      <c r="I9" s="225"/>
      <c r="J9" s="225"/>
      <c r="K9" s="257"/>
    </row>
    <row r="10" spans="2:11" x14ac:dyDescent="0.25">
      <c r="B10" s="258"/>
      <c r="C10" s="251"/>
      <c r="E10" s="208"/>
    </row>
    <row r="11" spans="2:11" x14ac:dyDescent="0.25">
      <c r="B11" s="258"/>
      <c r="C11" s="251"/>
      <c r="E11" s="208"/>
    </row>
    <row r="12" spans="2:11" x14ac:dyDescent="0.25">
      <c r="B12" s="258"/>
      <c r="C12" s="251"/>
      <c r="E12" s="208"/>
    </row>
    <row r="13" spans="2:11" x14ac:dyDescent="0.25">
      <c r="B13" s="258"/>
      <c r="C13" s="251"/>
      <c r="E13" s="208"/>
    </row>
    <row r="14" spans="2:11" x14ac:dyDescent="0.25">
      <c r="B14" s="258"/>
      <c r="C14" s="251"/>
      <c r="E14" s="208"/>
    </row>
    <row r="15" spans="2:11" x14ac:dyDescent="0.25">
      <c r="B15" s="258"/>
      <c r="C15" s="251"/>
      <c r="E15" s="208"/>
    </row>
    <row r="16" spans="2:11" x14ac:dyDescent="0.25">
      <c r="B16" s="258"/>
      <c r="C16" s="251"/>
      <c r="E16" s="208"/>
    </row>
    <row r="17" spans="2:11" x14ac:dyDescent="0.25">
      <c r="B17" s="258"/>
      <c r="C17" s="251"/>
      <c r="E17" s="208"/>
    </row>
    <row r="18" spans="2:11" x14ac:dyDescent="0.25">
      <c r="B18" s="240" t="s">
        <v>159</v>
      </c>
      <c r="C18" s="240"/>
      <c r="D18" s="188"/>
      <c r="E18" s="188"/>
      <c r="F18" s="188"/>
      <c r="G18" s="188"/>
      <c r="H18" s="188"/>
      <c r="I18" s="188"/>
      <c r="J18" s="188"/>
      <c r="K18" s="188"/>
    </row>
    <row r="19" spans="2:11" ht="14.4" x14ac:dyDescent="0.25">
      <c r="B19" s="230" t="s">
        <v>160</v>
      </c>
      <c r="C19" s="241" t="str">
        <f>"Projected TAP Billing Loss based upon the Projected Average Monthly Number of TAP Participants of "&amp;FIXED('Assumptions and Inputs'!$C$13,0,FALSE)&amp;" and the Average TAP Discount per Participant of $"&amp;FIXED('Assumptions and Inputs'!$C$9,2,TRUE)&amp;". "</f>
        <v xml:space="preserve">Projected TAP Billing Loss based upon the Projected Average Monthly Number of TAP Participants of 55,974 and the Average TAP Discount per Participant of $55.49. </v>
      </c>
    </row>
    <row r="20" spans="2:11" ht="14.4" x14ac:dyDescent="0.25">
      <c r="B20" s="230" t="s">
        <v>162</v>
      </c>
      <c r="C20" s="241" t="str">
        <f>"Allocation between Water and Wastewater per "&amp;TEXT('Assumptions and Inputs'!F38,)&amp;" Section 10.1(a)(i) and Section 10.1(a)(ii)."</f>
        <v>Allocation between Water and Wastewater per PWD Regulations - Rates and Charges Effective September 1, 2023 Section 10.1(a)(i) and Section 10.1(a)(ii).</v>
      </c>
    </row>
    <row r="21" spans="2:11" x14ac:dyDescent="0.25">
      <c r="C21" s="229"/>
    </row>
    <row r="22" spans="2:11" x14ac:dyDescent="0.25"/>
    <row r="23" spans="2:11" x14ac:dyDescent="0.25">
      <c r="E23" s="208"/>
    </row>
    <row r="24" spans="2:11" x14ac:dyDescent="0.25"/>
    <row r="25" spans="2:11" x14ac:dyDescent="0.25"/>
    <row r="26" spans="2:11" x14ac:dyDescent="0.25"/>
    <row r="27" spans="2:11" x14ac:dyDescent="0.25">
      <c r="C27" s="242"/>
    </row>
    <row r="28" spans="2:11" x14ac:dyDescent="0.25">
      <c r="C28" s="242"/>
    </row>
    <row r="29" spans="2:11" x14ac:dyDescent="0.25"/>
    <row r="30" spans="2:11" x14ac:dyDescent="0.25"/>
    <row r="31" spans="2:11" x14ac:dyDescent="0.25"/>
    <row r="32" spans="2:11" x14ac:dyDescent="0.25"/>
    <row r="33" x14ac:dyDescent="0.25"/>
    <row r="34" x14ac:dyDescent="0.25"/>
    <row r="35" x14ac:dyDescent="0.25"/>
    <row r="36" x14ac:dyDescent="0.25"/>
    <row r="37" x14ac:dyDescent="0.25"/>
    <row r="38" x14ac:dyDescent="0.25"/>
  </sheetData>
  <printOptions horizontalCentered="1"/>
  <pageMargins left="0.7" right="0.7" top="1.5" bottom="0.75" header="0.3" footer="0.3"/>
  <pageSetup scale="84" orientation="landscape" r:id="rId1"/>
  <headerFooter>
    <oddHeader>&amp;RSchedule LKM-TAP-R-2</oddHeader>
  </headerFooter>
  <ignoredErrors>
    <ignoredError sqref="B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249977111117893"/>
    <pageSetUpPr fitToPage="1"/>
  </sheetPr>
  <dimension ref="A1:XFC96"/>
  <sheetViews>
    <sheetView tabSelected="1" topLeftCell="E1" zoomScaleNormal="100" workbookViewId="0">
      <selection activeCell="E17" sqref="E17"/>
    </sheetView>
  </sheetViews>
  <sheetFormatPr defaultColWidth="0" defaultRowHeight="13.8" zeroHeight="1" x14ac:dyDescent="0.25"/>
  <cols>
    <col min="1" max="1" width="5.5546875" style="181" customWidth="1"/>
    <col min="2" max="2" width="9.44140625" style="181" customWidth="1"/>
    <col min="3" max="4" width="15.5546875" style="181" customWidth="1"/>
    <col min="5" max="8" width="20.5546875" style="181" customWidth="1"/>
    <col min="9" max="9" width="25.5546875" style="181" customWidth="1"/>
    <col min="10" max="10" width="20.5546875" style="181" customWidth="1"/>
    <col min="11" max="11" width="9.109375" style="181" customWidth="1"/>
    <col min="12" max="12" width="11.5546875" style="181" customWidth="1"/>
    <col min="13" max="13" width="15.44140625" style="181" customWidth="1"/>
    <col min="14" max="14" width="15.5546875" style="181" customWidth="1"/>
    <col min="15" max="15" width="17.5546875" style="181" customWidth="1"/>
    <col min="16" max="16" width="15.5546875" style="181" customWidth="1"/>
    <col min="17" max="16383" width="9.109375" style="181"/>
    <col min="16384" max="16384" width="9.109375" style="181" hidden="1" customWidth="1"/>
  </cols>
  <sheetData>
    <row r="1" spans="1:12" x14ac:dyDescent="0.25"/>
    <row r="2" spans="1:12" x14ac:dyDescent="0.25">
      <c r="B2" s="184" t="s">
        <v>31</v>
      </c>
      <c r="C2" s="185"/>
      <c r="D2" s="185"/>
      <c r="E2" s="185"/>
      <c r="F2" s="185"/>
      <c r="G2" s="185"/>
      <c r="H2" s="185"/>
      <c r="I2" s="185"/>
      <c r="J2" s="185"/>
    </row>
    <row r="3" spans="1:12" x14ac:dyDescent="0.25">
      <c r="B3" s="184" t="s">
        <v>297</v>
      </c>
      <c r="C3" s="185"/>
      <c r="D3" s="185"/>
      <c r="E3" s="185"/>
      <c r="F3" s="185"/>
      <c r="G3" s="185"/>
      <c r="H3" s="185"/>
      <c r="I3" s="185"/>
      <c r="J3" s="185"/>
    </row>
    <row r="4" spans="1:12" ht="5.0999999999999996" customHeight="1" x14ac:dyDescent="0.25"/>
    <row r="5" spans="1:12" x14ac:dyDescent="0.25">
      <c r="B5" s="270" t="s">
        <v>171</v>
      </c>
      <c r="C5" s="271" t="s">
        <v>172</v>
      </c>
      <c r="D5" s="271" t="s">
        <v>173</v>
      </c>
      <c r="E5" s="271" t="s">
        <v>174</v>
      </c>
      <c r="F5" s="271" t="s">
        <v>175</v>
      </c>
      <c r="G5" s="271" t="s">
        <v>176</v>
      </c>
      <c r="H5" s="271" t="s">
        <v>177</v>
      </c>
      <c r="I5" s="271" t="s">
        <v>178</v>
      </c>
      <c r="J5" s="271" t="s">
        <v>179</v>
      </c>
    </row>
    <row r="6" spans="1:12" x14ac:dyDescent="0.25">
      <c r="B6" s="272" t="s">
        <v>170</v>
      </c>
      <c r="C6" s="273" t="s">
        <v>180</v>
      </c>
      <c r="D6" s="273" t="s">
        <v>181</v>
      </c>
      <c r="E6" s="273" t="s">
        <v>182</v>
      </c>
      <c r="F6" s="273" t="s">
        <v>180</v>
      </c>
      <c r="G6" s="273" t="s">
        <v>181</v>
      </c>
      <c r="H6" s="273" t="s">
        <v>183</v>
      </c>
      <c r="I6" s="273" t="s">
        <v>184</v>
      </c>
      <c r="J6" s="273" t="s">
        <v>185</v>
      </c>
    </row>
    <row r="7" spans="1:12" x14ac:dyDescent="0.25">
      <c r="B7" s="272"/>
      <c r="C7" s="273" t="s">
        <v>186</v>
      </c>
      <c r="D7" s="273" t="s">
        <v>187</v>
      </c>
      <c r="E7" s="273" t="s">
        <v>188</v>
      </c>
      <c r="F7" s="273" t="s">
        <v>186</v>
      </c>
      <c r="G7" s="273" t="s">
        <v>187</v>
      </c>
      <c r="H7" s="273"/>
      <c r="I7" s="273" t="s">
        <v>189</v>
      </c>
      <c r="J7" s="273"/>
    </row>
    <row r="8" spans="1:12" x14ac:dyDescent="0.25">
      <c r="B8" s="272"/>
      <c r="C8" s="274"/>
      <c r="D8" s="274"/>
      <c r="E8" s="275">
        <f>'Assumptions and Inputs'!$C$32</f>
        <v>0.15</v>
      </c>
      <c r="F8" s="276">
        <f>'Assumptions and Inputs'!$C$38</f>
        <v>0.96989999999999998</v>
      </c>
      <c r="G8" s="274"/>
      <c r="H8" s="275">
        <f>'Assumptions and Inputs'!$C$32</f>
        <v>0.15</v>
      </c>
      <c r="I8" s="276">
        <f>'Assumptions and Inputs'!$C$38</f>
        <v>0.96989999999999998</v>
      </c>
      <c r="J8" s="277"/>
    </row>
    <row r="9" spans="1:12" x14ac:dyDescent="0.25">
      <c r="B9" s="278"/>
      <c r="C9" s="279" t="s">
        <v>152</v>
      </c>
      <c r="D9" s="279" t="s">
        <v>153</v>
      </c>
      <c r="E9" s="279" t="str">
        <f>"(3) = (2) * $ "&amp;FIXED(E8,3,)&amp;"/Mcf"</f>
        <v>(3) = (2) * $ 0.150/Mcf</v>
      </c>
      <c r="F9" s="279" t="str">
        <f>"(4) = [(1) - (3)]* "&amp;FIXED(F8,4,)&amp;""</f>
        <v>(4) = [(1) - (3)]* 0.9699</v>
      </c>
      <c r="G9" s="279" t="s">
        <v>156</v>
      </c>
      <c r="H9" s="279" t="str">
        <f>"(6) = (5) * $ "&amp;FIXED(H8,3,)&amp;"/Mcf"</f>
        <v>(6) = (5) * $ 0.150/Mcf</v>
      </c>
      <c r="I9" s="280" t="str">
        <f>"(7) = (6) * "&amp;FIXED(F8,4,)&amp;""</f>
        <v>(7) = (6) * 0.9699</v>
      </c>
      <c r="J9" s="279" t="s">
        <v>190</v>
      </c>
    </row>
    <row r="10" spans="1:12" x14ac:dyDescent="0.25">
      <c r="B10" s="281"/>
      <c r="C10" s="282"/>
      <c r="D10" s="283"/>
      <c r="E10" s="283"/>
      <c r="F10" s="283"/>
      <c r="G10" s="283"/>
      <c r="H10" s="283"/>
      <c r="I10" s="284" t="s">
        <v>191</v>
      </c>
      <c r="J10" s="285">
        <f>'Assumptions and Inputs'!$C$79+'Assumptions and Inputs'!$C$83</f>
        <v>3134517</v>
      </c>
      <c r="K10" s="217"/>
    </row>
    <row r="11" spans="1:12" x14ac:dyDescent="0.25">
      <c r="A11" s="180" t="s">
        <v>192</v>
      </c>
      <c r="B11" s="286">
        <v>45170</v>
      </c>
      <c r="C11" s="287">
        <f>Customer!BL$11*'Assumptions and Inputs'!$C$40</f>
        <v>520301.72039999993</v>
      </c>
      <c r="D11" s="288">
        <f>Customer!BL$29/'Assumptions and Inputs'!$C$21</f>
        <v>15866.1</v>
      </c>
      <c r="E11" s="287">
        <f>ROUND($E$8*D11, 0)</f>
        <v>2380</v>
      </c>
      <c r="F11" s="287">
        <f t="shared" ref="F11:F22" si="0">(C11-E11)*$F$8</f>
        <v>502332.27661595994</v>
      </c>
      <c r="G11" s="288">
        <f>Customer!BL$34/'Assumptions and Inputs'!$C$21</f>
        <v>526705.80000000005</v>
      </c>
      <c r="H11" s="289">
        <f t="shared" ref="H11:H22" si="1">ROUND($H$8*G11, 0)</f>
        <v>79006</v>
      </c>
      <c r="I11" s="289">
        <f>H11*$I$8</f>
        <v>76627.919399999999</v>
      </c>
      <c r="J11" s="287">
        <f>I11-F11</f>
        <v>-425704.35721595993</v>
      </c>
      <c r="L11" s="290"/>
    </row>
    <row r="12" spans="1:12" x14ac:dyDescent="0.25">
      <c r="A12" s="180" t="s">
        <v>192</v>
      </c>
      <c r="B12" s="291">
        <v>45200</v>
      </c>
      <c r="C12" s="292">
        <f>Customer!BM$11*'Assumptions and Inputs'!$C$40</f>
        <v>502920.56219999993</v>
      </c>
      <c r="D12" s="293">
        <f>Customer!BM$29/'Assumptions and Inputs'!$C$21</f>
        <v>14427.2</v>
      </c>
      <c r="E12" s="292">
        <f t="shared" ref="E12:E20" si="2">ROUND($E$8*D12, 0)</f>
        <v>2164</v>
      </c>
      <c r="F12" s="292">
        <f t="shared" si="0"/>
        <v>485683.78967777995</v>
      </c>
      <c r="G12" s="293">
        <f>Customer!BM$34/'Assumptions and Inputs'!$C$21</f>
        <v>443593.9</v>
      </c>
      <c r="H12" s="292">
        <f t="shared" si="1"/>
        <v>66539</v>
      </c>
      <c r="I12" s="292">
        <f t="shared" ref="I12:I20" si="3">H12*$I$8</f>
        <v>64536.176099999997</v>
      </c>
      <c r="J12" s="294">
        <f t="shared" ref="J12:J20" si="4">I12-F12</f>
        <v>-421147.61357777996</v>
      </c>
      <c r="L12" s="290"/>
    </row>
    <row r="13" spans="1:12" x14ac:dyDescent="0.25">
      <c r="A13" s="180" t="s">
        <v>192</v>
      </c>
      <c r="B13" s="286">
        <v>45231</v>
      </c>
      <c r="C13" s="287">
        <f>Customer!BN$11*'Assumptions and Inputs'!$C$40</f>
        <v>535517.88779999991</v>
      </c>
      <c r="D13" s="288">
        <f>Customer!BN$29/'Assumptions and Inputs'!$C$21</f>
        <v>15315.9</v>
      </c>
      <c r="E13" s="287">
        <f t="shared" si="2"/>
        <v>2297</v>
      </c>
      <c r="F13" s="287">
        <f t="shared" si="0"/>
        <v>517170.93907721993</v>
      </c>
      <c r="G13" s="288">
        <f>Customer!BN$34/'Assumptions and Inputs'!$C$21</f>
        <v>447768.4</v>
      </c>
      <c r="H13" s="289">
        <f t="shared" si="1"/>
        <v>67165</v>
      </c>
      <c r="I13" s="289">
        <f t="shared" si="3"/>
        <v>65143.333500000001</v>
      </c>
      <c r="J13" s="287">
        <f t="shared" si="4"/>
        <v>-452027.60557721992</v>
      </c>
      <c r="L13" s="208"/>
    </row>
    <row r="14" spans="1:12" x14ac:dyDescent="0.25">
      <c r="A14" s="180" t="s">
        <v>192</v>
      </c>
      <c r="B14" s="291">
        <v>45261</v>
      </c>
      <c r="C14" s="292">
        <f>Customer!BO$11*'Assumptions and Inputs'!$C$40</f>
        <v>564263.36819999991</v>
      </c>
      <c r="D14" s="293">
        <f>Customer!BO$29/'Assumptions and Inputs'!$C$21</f>
        <v>16046.2</v>
      </c>
      <c r="E14" s="292">
        <f t="shared" si="2"/>
        <v>2407</v>
      </c>
      <c r="F14" s="292">
        <f t="shared" si="0"/>
        <v>544944.49151717988</v>
      </c>
      <c r="G14" s="293">
        <f>Customer!BO$34/'Assumptions and Inputs'!$C$21</f>
        <v>457964.79999999999</v>
      </c>
      <c r="H14" s="292">
        <f t="shared" si="1"/>
        <v>68695</v>
      </c>
      <c r="I14" s="292">
        <f t="shared" si="3"/>
        <v>66627.280499999993</v>
      </c>
      <c r="J14" s="294">
        <f t="shared" si="4"/>
        <v>-478317.21101717988</v>
      </c>
    </row>
    <row r="15" spans="1:12" x14ac:dyDescent="0.25">
      <c r="A15" s="180" t="s">
        <v>193</v>
      </c>
      <c r="B15" s="286">
        <v>45292</v>
      </c>
      <c r="C15" s="287">
        <f>Customer!BP$11*'Assumptions and Inputs'!$C$40</f>
        <v>507405.66609532328</v>
      </c>
      <c r="D15" s="288">
        <f>Customer!BP$29/'Assumptions and Inputs'!$C$21</f>
        <v>15907.342439999999</v>
      </c>
      <c r="E15" s="287">
        <f t="shared" si="2"/>
        <v>2386</v>
      </c>
      <c r="F15" s="287">
        <f t="shared" si="0"/>
        <v>489818.57414585404</v>
      </c>
      <c r="G15" s="288">
        <f>Customer!BP$34/'Assumptions and Inputs'!$C$21</f>
        <v>462737.5083333333</v>
      </c>
      <c r="H15" s="289">
        <f t="shared" si="1"/>
        <v>69411</v>
      </c>
      <c r="I15" s="289">
        <f t="shared" si="3"/>
        <v>67321.728900000002</v>
      </c>
      <c r="J15" s="287">
        <f t="shared" si="4"/>
        <v>-422496.84524585406</v>
      </c>
    </row>
    <row r="16" spans="1:12" x14ac:dyDescent="0.25">
      <c r="A16" s="180" t="s">
        <v>193</v>
      </c>
      <c r="B16" s="291">
        <v>45323</v>
      </c>
      <c r="C16" s="292">
        <f>Customer!BQ$11*'Assumptions and Inputs'!$C$40</f>
        <v>526174.41328107682</v>
      </c>
      <c r="D16" s="293">
        <f>Customer!BQ$29/'Assumptions and Inputs'!$C$21</f>
        <v>17540.84244</v>
      </c>
      <c r="E16" s="292">
        <f t="shared" si="2"/>
        <v>2631</v>
      </c>
      <c r="F16" s="292">
        <f t="shared" si="0"/>
        <v>507784.7565413164</v>
      </c>
      <c r="G16" s="293">
        <f>Customer!BQ$34/'Assumptions and Inputs'!$C$21</f>
        <v>461104.0083333333</v>
      </c>
      <c r="H16" s="292">
        <f t="shared" si="1"/>
        <v>69166</v>
      </c>
      <c r="I16" s="292">
        <f t="shared" si="3"/>
        <v>67084.103399999993</v>
      </c>
      <c r="J16" s="294">
        <f t="shared" si="4"/>
        <v>-440700.65314131638</v>
      </c>
    </row>
    <row r="17" spans="1:11" x14ac:dyDescent="0.25">
      <c r="A17" s="180" t="s">
        <v>193</v>
      </c>
      <c r="B17" s="286">
        <v>45352</v>
      </c>
      <c r="C17" s="287">
        <f>Customer!BR$11*'Assumptions and Inputs'!$C$40</f>
        <v>576224.40577641956</v>
      </c>
      <c r="D17" s="288">
        <f>Customer!BR$29/'Assumptions and Inputs'!$C$21</f>
        <v>21896.84244</v>
      </c>
      <c r="E17" s="287">
        <f t="shared" si="2"/>
        <v>3285</v>
      </c>
      <c r="F17" s="287">
        <f t="shared" si="0"/>
        <v>555693.92966254929</v>
      </c>
      <c r="G17" s="288">
        <f>Customer!BR$34/'Assumptions and Inputs'!$C$21</f>
        <v>456748.0083333333</v>
      </c>
      <c r="H17" s="289">
        <f t="shared" si="1"/>
        <v>68512</v>
      </c>
      <c r="I17" s="289">
        <f t="shared" si="3"/>
        <v>66449.788799999995</v>
      </c>
      <c r="J17" s="287">
        <f t="shared" si="4"/>
        <v>-489244.14086254931</v>
      </c>
    </row>
    <row r="18" spans="1:11" x14ac:dyDescent="0.25">
      <c r="A18" s="180" t="s">
        <v>193</v>
      </c>
      <c r="B18" s="291">
        <v>45383</v>
      </c>
      <c r="C18" s="292">
        <f>Customer!BS$11*'Assumptions and Inputs'!$C$40</f>
        <v>676324.39076710504</v>
      </c>
      <c r="D18" s="293">
        <f>Customer!BS$29/'Assumptions and Inputs'!$C$21</f>
        <v>30608.842439999997</v>
      </c>
      <c r="E18" s="292">
        <f t="shared" si="2"/>
        <v>4591</v>
      </c>
      <c r="F18" s="292">
        <f t="shared" si="0"/>
        <v>651514.21570501511</v>
      </c>
      <c r="G18" s="293">
        <f>Customer!BS$34/'Assumptions and Inputs'!$C$21</f>
        <v>448036.0083333333</v>
      </c>
      <c r="H18" s="292">
        <f t="shared" si="1"/>
        <v>67205</v>
      </c>
      <c r="I18" s="292">
        <f t="shared" si="3"/>
        <v>65182.129499999995</v>
      </c>
      <c r="J18" s="294">
        <f t="shared" si="4"/>
        <v>-586332.08620501508</v>
      </c>
    </row>
    <row r="19" spans="1:11" x14ac:dyDescent="0.25">
      <c r="A19" s="180" t="s">
        <v>193</v>
      </c>
      <c r="B19" s="286">
        <v>45413</v>
      </c>
      <c r="C19" s="287">
        <f>Customer!BT$11*'Assumptions and Inputs'!$C$40</f>
        <v>776424.37575779064</v>
      </c>
      <c r="D19" s="288">
        <f>Customer!BT$29/'Assumptions and Inputs'!$C$21</f>
        <v>39320.842439999993</v>
      </c>
      <c r="E19" s="287">
        <f t="shared" si="2"/>
        <v>5898</v>
      </c>
      <c r="F19" s="287">
        <f t="shared" si="0"/>
        <v>747333.53184748115</v>
      </c>
      <c r="G19" s="288">
        <f>Customer!BT$34/'Assumptions and Inputs'!$C$21</f>
        <v>439324.0083333333</v>
      </c>
      <c r="H19" s="289">
        <f t="shared" si="1"/>
        <v>65899</v>
      </c>
      <c r="I19" s="289">
        <f t="shared" si="3"/>
        <v>63915.4401</v>
      </c>
      <c r="J19" s="287">
        <f t="shared" si="4"/>
        <v>-683418.09174748114</v>
      </c>
    </row>
    <row r="20" spans="1:11" x14ac:dyDescent="0.25">
      <c r="A20" s="180" t="s">
        <v>193</v>
      </c>
      <c r="B20" s="291">
        <v>45444</v>
      </c>
      <c r="C20" s="292">
        <f>Customer!BU$11*'Assumptions and Inputs'!$C$40</f>
        <v>791549.48348988325</v>
      </c>
      <c r="D20" s="293">
        <f>Customer!BU$29/'Assumptions and Inputs'!$C$21</f>
        <v>40637.225640000004</v>
      </c>
      <c r="E20" s="292">
        <f t="shared" si="2"/>
        <v>6096</v>
      </c>
      <c r="F20" s="292">
        <f t="shared" si="0"/>
        <v>761811.33363683778</v>
      </c>
      <c r="G20" s="293">
        <f>Customer!BU$34/'Assumptions and Inputs'!$C$21</f>
        <v>438007.62513333338</v>
      </c>
      <c r="H20" s="292">
        <f t="shared" si="1"/>
        <v>65701</v>
      </c>
      <c r="I20" s="292">
        <f t="shared" si="3"/>
        <v>63723.399899999997</v>
      </c>
      <c r="J20" s="294">
        <f t="shared" si="4"/>
        <v>-698087.93373683782</v>
      </c>
    </row>
    <row r="21" spans="1:11" x14ac:dyDescent="0.25">
      <c r="A21" s="180" t="s">
        <v>193</v>
      </c>
      <c r="B21" s="286">
        <v>45474</v>
      </c>
      <c r="C21" s="287">
        <f>Customer!BV$11*'Assumptions and Inputs'!$C$40</f>
        <v>791549.48348988325</v>
      </c>
      <c r="D21" s="288">
        <f>Customer!BV$29/'Assumptions and Inputs'!$C$21</f>
        <v>40637.225640000004</v>
      </c>
      <c r="E21" s="287">
        <f t="shared" ref="E21" si="5">ROUND($E$8*D21, 0)</f>
        <v>6096</v>
      </c>
      <c r="F21" s="287">
        <f t="shared" si="0"/>
        <v>761811.33363683778</v>
      </c>
      <c r="G21" s="288">
        <f>Customer!BV$34/'Assumptions and Inputs'!$C$21</f>
        <v>438007.62513333338</v>
      </c>
      <c r="H21" s="289">
        <f t="shared" si="1"/>
        <v>65701</v>
      </c>
      <c r="I21" s="289">
        <f t="shared" ref="I21" si="6">H21*$I$8</f>
        <v>63723.399899999997</v>
      </c>
      <c r="J21" s="287">
        <f t="shared" ref="J21" si="7">I21-F21</f>
        <v>-698087.93373683782</v>
      </c>
    </row>
    <row r="22" spans="1:11" x14ac:dyDescent="0.25">
      <c r="A22" s="180" t="s">
        <v>193</v>
      </c>
      <c r="B22" s="291">
        <v>45505</v>
      </c>
      <c r="C22" s="295">
        <f>Customer!BW$11*'Assumptions and Inputs'!$C$40</f>
        <v>791549.48348988325</v>
      </c>
      <c r="D22" s="296">
        <f>Customer!BW$29/'Assumptions and Inputs'!$C$21</f>
        <v>40637.225640000004</v>
      </c>
      <c r="E22" s="295">
        <f>ROUND($E$8*D22, 0)</f>
        <v>6096</v>
      </c>
      <c r="F22" s="295">
        <f t="shared" si="0"/>
        <v>761811.33363683778</v>
      </c>
      <c r="G22" s="296">
        <f>Customer!BW$34/'Assumptions and Inputs'!$C$21</f>
        <v>438007.62513333338</v>
      </c>
      <c r="H22" s="295">
        <f t="shared" si="1"/>
        <v>65701</v>
      </c>
      <c r="I22" s="295">
        <f>H22*$I$8</f>
        <v>63723.399899999997</v>
      </c>
      <c r="J22" s="297">
        <f>I22-F22</f>
        <v>-698087.93373683782</v>
      </c>
    </row>
    <row r="23" spans="1:11" ht="5.0999999999999996" customHeight="1" x14ac:dyDescent="0.25">
      <c r="B23" s="298"/>
      <c r="C23" s="298"/>
      <c r="D23" s="298"/>
      <c r="E23" s="298"/>
      <c r="F23" s="298"/>
      <c r="G23" s="298"/>
      <c r="H23" s="298"/>
      <c r="I23" s="298"/>
      <c r="J23" s="298"/>
    </row>
    <row r="24" spans="1:11" x14ac:dyDescent="0.25">
      <c r="B24" s="299" t="s">
        <v>144</v>
      </c>
      <c r="C24" s="300">
        <f>SUM(C11:C22)</f>
        <v>7560205.2407473652</v>
      </c>
      <c r="D24" s="301">
        <f t="shared" ref="D24:H24" si="8">SUM(D11:D22)</f>
        <v>308841.78912000009</v>
      </c>
      <c r="E24" s="300">
        <f t="shared" si="8"/>
        <v>46327</v>
      </c>
      <c r="F24" s="300">
        <f t="shared" si="8"/>
        <v>7287710.5057008704</v>
      </c>
      <c r="G24" s="301">
        <f t="shared" si="8"/>
        <v>5458005.3170666676</v>
      </c>
      <c r="H24" s="300">
        <f t="shared" si="8"/>
        <v>818701</v>
      </c>
      <c r="I24" s="300">
        <f>SUM(I11:I22)</f>
        <v>794058.09989999991</v>
      </c>
      <c r="J24" s="302">
        <f>SUM(J10:J22)</f>
        <v>-3359135.4058008697</v>
      </c>
    </row>
    <row r="25" spans="1:11" ht="5.0999999999999996" customHeight="1" x14ac:dyDescent="0.25">
      <c r="B25" s="217"/>
      <c r="C25" s="303"/>
      <c r="D25" s="304"/>
      <c r="E25" s="303"/>
      <c r="F25" s="303"/>
      <c r="G25" s="304"/>
      <c r="H25" s="303"/>
      <c r="I25" s="303"/>
      <c r="J25" s="208"/>
    </row>
    <row r="26" spans="1:11" x14ac:dyDescent="0.25">
      <c r="B26" s="217"/>
      <c r="C26" s="303"/>
      <c r="D26" s="303"/>
      <c r="E26" s="303"/>
      <c r="F26" s="303"/>
      <c r="G26" s="303"/>
      <c r="H26" s="303"/>
      <c r="I26" s="305" t="s">
        <v>194</v>
      </c>
      <c r="J26" s="208">
        <f>'E-Factor PRIOR'!U98</f>
        <v>-386241.89893204486</v>
      </c>
      <c r="K26" s="306" t="s">
        <v>195</v>
      </c>
    </row>
    <row r="27" spans="1:11" x14ac:dyDescent="0.25">
      <c r="F27" s="303"/>
      <c r="G27" s="233"/>
      <c r="I27" s="208"/>
    </row>
    <row r="28" spans="1:11" x14ac:dyDescent="0.25">
      <c r="B28" s="181" t="s">
        <v>196</v>
      </c>
      <c r="G28" s="233"/>
      <c r="I28" s="307" t="s">
        <v>197</v>
      </c>
      <c r="J28" s="308">
        <f>J24+J26</f>
        <v>-3745377.3047329145</v>
      </c>
      <c r="K28" s="306" t="s">
        <v>198</v>
      </c>
    </row>
    <row r="29" spans="1:11" x14ac:dyDescent="0.25">
      <c r="B29" s="253" t="s">
        <v>199</v>
      </c>
    </row>
    <row r="30" spans="1:11" hidden="1" x14ac:dyDescent="0.25">
      <c r="B30" s="253"/>
    </row>
    <row r="31" spans="1:11" x14ac:dyDescent="0.25">
      <c r="B31" s="253" t="s">
        <v>200</v>
      </c>
      <c r="J31" s="208"/>
    </row>
    <row r="32" spans="1:11" hidden="1" x14ac:dyDescent="0.25">
      <c r="B32" s="309" t="str">
        <f>"(1) - TAP Actual Discounts reflect water's "&amp;FIXED('Assumptions and Inputs'!$C$40*100, 1, 0)&amp;"% allocated portion of the Total TAP Discount."</f>
        <v>(1) - TAP Actual Discounts reflect water's 42.0% allocated portion of the Total TAP Discount.</v>
      </c>
    </row>
    <row r="33" spans="2:10" hidden="1" x14ac:dyDescent="0.25">
      <c r="B33" s="309" t="s">
        <v>201</v>
      </c>
    </row>
    <row r="34" spans="2:10" hidden="1" x14ac:dyDescent="0.25">
      <c r="B34" s="309" t="str">
        <f>"(3) &amp; (6) - Water TAP-R Rates per "&amp;TEXT('Assumptions and Inputs'!F32,)&amp;" "&amp;TEXT('Assumptions and Inputs'!G32,)&amp;"."</f>
        <v>(3) &amp; (6) - Water TAP-R Rates per PWD Regulations - Rates and Charges Effective September 1, 2023 Section 10.3(a)(1).</v>
      </c>
    </row>
    <row r="35" spans="2:10" hidden="1" x14ac:dyDescent="0.25">
      <c r="B35" s="309" t="str">
        <f>"(4) &amp; (7) - Adjusted for system-wide collection factor in accordance with "&amp;TEXT('Assumptions and Inputs'!F38,)&amp;" "&amp;TEXT('Assumptions and Inputs'!G38,)&amp;"."</f>
        <v>(4) &amp; (7) - Adjusted for system-wide collection factor in accordance with PWD Regulations - Rates and Charges Effective September 1, 2023 Section 10.1(b)(3).</v>
      </c>
    </row>
    <row r="36" spans="2:10" hidden="1" x14ac:dyDescent="0.25">
      <c r="B36" s="309" t="str">
        <f>"(5) - Estimated Non-TAP water sales volumes for "&amp;TEXT('Assumptions and Inputs'!C73,"MMMM YYYY")&amp;" through "&amp;TEXT('Assumptions and Inputs'!C75,"MMMM YYYY")&amp;" are based upon average sales for prior 12 month period. Volumes are adjusted beginning in February 2024 to reflect the projected decrease"</f>
        <v>(5) - Estimated Non-TAP water sales volumes for January 2024 through August 2024 are based upon average sales for prior 12 month period. Volumes are adjusted beginning in February 2024 to reflect the projected decrease</v>
      </c>
    </row>
    <row r="37" spans="2:10" hidden="1" x14ac:dyDescent="0.25">
      <c r="B37" s="310" t="s">
        <v>283</v>
      </c>
    </row>
    <row r="38" spans="2:10" hidden="1" x14ac:dyDescent="0.25">
      <c r="B38" s="309" t="s">
        <v>276</v>
      </c>
    </row>
    <row r="39" spans="2:10" x14ac:dyDescent="0.25">
      <c r="B39" s="253"/>
    </row>
    <row r="40" spans="2:10" x14ac:dyDescent="0.25">
      <c r="B40" s="253"/>
    </row>
    <row r="41" spans="2:10" x14ac:dyDescent="0.25">
      <c r="B41" s="184" t="s">
        <v>31</v>
      </c>
      <c r="C41" s="185"/>
      <c r="D41" s="185"/>
      <c r="E41" s="185"/>
      <c r="F41" s="185"/>
      <c r="G41" s="185"/>
      <c r="H41" s="185"/>
      <c r="I41" s="185"/>
      <c r="J41" s="185"/>
    </row>
    <row r="42" spans="2:10" x14ac:dyDescent="0.25">
      <c r="B42" s="184" t="s">
        <v>298</v>
      </c>
      <c r="C42" s="185"/>
      <c r="D42" s="185"/>
      <c r="E42" s="185"/>
      <c r="F42" s="185"/>
      <c r="G42" s="185"/>
      <c r="H42" s="185"/>
      <c r="I42" s="185"/>
      <c r="J42" s="185"/>
    </row>
    <row r="43" spans="2:10" ht="5.0999999999999996" customHeight="1" x14ac:dyDescent="0.25"/>
    <row r="44" spans="2:10" x14ac:dyDescent="0.25">
      <c r="B44" s="270" t="s">
        <v>171</v>
      </c>
      <c r="C44" s="271" t="s">
        <v>172</v>
      </c>
      <c r="D44" s="271" t="s">
        <v>202</v>
      </c>
      <c r="E44" s="271" t="s">
        <v>174</v>
      </c>
      <c r="F44" s="271" t="s">
        <v>175</v>
      </c>
      <c r="G44" s="271" t="s">
        <v>176</v>
      </c>
      <c r="H44" s="271" t="s">
        <v>177</v>
      </c>
      <c r="I44" s="271" t="s">
        <v>178</v>
      </c>
      <c r="J44" s="271" t="s">
        <v>179</v>
      </c>
    </row>
    <row r="45" spans="2:10" x14ac:dyDescent="0.25">
      <c r="B45" s="272" t="s">
        <v>170</v>
      </c>
      <c r="C45" s="273" t="s">
        <v>180</v>
      </c>
      <c r="D45" s="273" t="s">
        <v>203</v>
      </c>
      <c r="E45" s="273" t="s">
        <v>182</v>
      </c>
      <c r="F45" s="273" t="s">
        <v>180</v>
      </c>
      <c r="G45" s="273" t="s">
        <v>203</v>
      </c>
      <c r="H45" s="273" t="s">
        <v>183</v>
      </c>
      <c r="I45" s="273" t="s">
        <v>184</v>
      </c>
      <c r="J45" s="273" t="s">
        <v>185</v>
      </c>
    </row>
    <row r="46" spans="2:10" x14ac:dyDescent="0.25">
      <c r="B46" s="272"/>
      <c r="C46" s="273" t="s">
        <v>186</v>
      </c>
      <c r="D46" s="273" t="s">
        <v>136</v>
      </c>
      <c r="E46" s="273" t="s">
        <v>188</v>
      </c>
      <c r="F46" s="273" t="s">
        <v>186</v>
      </c>
      <c r="G46" s="273" t="s">
        <v>187</v>
      </c>
      <c r="H46" s="273"/>
      <c r="I46" s="273" t="s">
        <v>189</v>
      </c>
      <c r="J46" s="273"/>
    </row>
    <row r="47" spans="2:10" x14ac:dyDescent="0.25">
      <c r="B47" s="272"/>
      <c r="C47" s="274"/>
      <c r="D47" s="274" t="s">
        <v>187</v>
      </c>
      <c r="E47" s="275">
        <f>'Assumptions and Inputs'!$C$34</f>
        <v>0.24</v>
      </c>
      <c r="F47" s="276">
        <f>'Assumptions and Inputs'!$C$38</f>
        <v>0.96989999999999998</v>
      </c>
      <c r="G47" s="274"/>
      <c r="H47" s="275">
        <f>'Assumptions and Inputs'!$C$34</f>
        <v>0.24</v>
      </c>
      <c r="I47" s="276">
        <f>'Assumptions and Inputs'!$C$38</f>
        <v>0.96989999999999998</v>
      </c>
      <c r="J47" s="277"/>
    </row>
    <row r="48" spans="2:10" x14ac:dyDescent="0.25">
      <c r="B48" s="278"/>
      <c r="C48" s="279" t="s">
        <v>152</v>
      </c>
      <c r="D48" s="279" t="s">
        <v>153</v>
      </c>
      <c r="E48" s="279" t="str">
        <f>"(3) = (2) * $ "&amp;FIXED(E47,3,)&amp;"/Mcf"</f>
        <v>(3) = (2) * $ 0.240/Mcf</v>
      </c>
      <c r="F48" s="279" t="str">
        <f>"(4) = [(1) - (3)]* "&amp;FIXED(F47,4,)&amp;""</f>
        <v>(4) = [(1) - (3)]* 0.9699</v>
      </c>
      <c r="G48" s="279" t="s">
        <v>156</v>
      </c>
      <c r="H48" s="279" t="str">
        <f>"(6) = (5) * $ "&amp;FIXED(H47,3,)&amp;"/Mcf"</f>
        <v>(6) = (5) * $ 0.240/Mcf</v>
      </c>
      <c r="I48" s="280" t="str">
        <f>"(7) = (6) * "&amp;FIXED(F47,4,)&amp;""</f>
        <v>(7) = (6) * 0.9699</v>
      </c>
      <c r="J48" s="279" t="s">
        <v>190</v>
      </c>
    </row>
    <row r="49" spans="1:11" x14ac:dyDescent="0.25">
      <c r="B49" s="281"/>
      <c r="C49" s="282"/>
      <c r="D49" s="283"/>
      <c r="E49" s="283"/>
      <c r="F49" s="283"/>
      <c r="G49" s="283"/>
      <c r="H49" s="283"/>
      <c r="I49" s="284" t="s">
        <v>191</v>
      </c>
      <c r="J49" s="285">
        <f>'Assumptions and Inputs'!$C$80+'Assumptions and Inputs'!$C$84</f>
        <v>4689002</v>
      </c>
      <c r="K49" s="217"/>
    </row>
    <row r="50" spans="1:11" x14ac:dyDescent="0.25">
      <c r="A50" s="180" t="s">
        <v>192</v>
      </c>
      <c r="B50" s="286">
        <f t="shared" ref="B50:B61" si="9">B11</f>
        <v>45170</v>
      </c>
      <c r="C50" s="287">
        <f>Customer!BL$11*'Assumptions and Inputs'!$C$42</f>
        <v>718511.89959999989</v>
      </c>
      <c r="D50" s="288">
        <f>Customer!BL$48/'Assumptions and Inputs'!$C$21</f>
        <v>15861.8</v>
      </c>
      <c r="E50" s="287">
        <f>ROUND($E$47*D50, 0)</f>
        <v>3807</v>
      </c>
      <c r="F50" s="287">
        <f>(C50-E50)*$F$47</f>
        <v>693192.28212203993</v>
      </c>
      <c r="G50" s="288">
        <f>Customer!BL$53/'Assumptions and Inputs'!$C$21</f>
        <v>494039.2</v>
      </c>
      <c r="H50" s="289">
        <f>ROUND($H$47*G50, 0)</f>
        <v>118569</v>
      </c>
      <c r="I50" s="289">
        <f>H50*$I$47</f>
        <v>115000.07309999999</v>
      </c>
      <c r="J50" s="287">
        <f>I50-F50</f>
        <v>-578192.2090220399</v>
      </c>
    </row>
    <row r="51" spans="1:11" x14ac:dyDescent="0.25">
      <c r="A51" s="180" t="s">
        <v>192</v>
      </c>
      <c r="B51" s="291">
        <f t="shared" si="9"/>
        <v>45200</v>
      </c>
      <c r="C51" s="292">
        <f>Customer!BM$11*'Assumptions and Inputs'!$C$42</f>
        <v>694509.34779999987</v>
      </c>
      <c r="D51" s="293">
        <f>Customer!BM$48/'Assumptions and Inputs'!$C$21</f>
        <v>14421</v>
      </c>
      <c r="E51" s="292">
        <f t="shared" ref="E51:E60" si="10">ROUND($E$47*D51, 0)</f>
        <v>3461</v>
      </c>
      <c r="F51" s="292">
        <f t="shared" ref="F51:F59" si="11">(C51-E51)*$F$47</f>
        <v>670247.79253121989</v>
      </c>
      <c r="G51" s="293">
        <f>Customer!BM$53/'Assumptions and Inputs'!$C$21</f>
        <v>421383</v>
      </c>
      <c r="H51" s="292">
        <f t="shared" ref="H51:H59" si="12">ROUND($H$47*G51, 0)</f>
        <v>101132</v>
      </c>
      <c r="I51" s="292">
        <f t="shared" ref="I51:I59" si="13">H51*$I$47</f>
        <v>98087.926800000001</v>
      </c>
      <c r="J51" s="294">
        <f t="shared" ref="J51:J59" si="14">I51-F51</f>
        <v>-572159.86573121988</v>
      </c>
    </row>
    <row r="52" spans="1:11" x14ac:dyDescent="0.25">
      <c r="A52" s="180" t="s">
        <v>192</v>
      </c>
      <c r="B52" s="286">
        <f t="shared" si="9"/>
        <v>45231</v>
      </c>
      <c r="C52" s="287">
        <f>Customer!BN$11*'Assumptions and Inputs'!$C$42</f>
        <v>739524.70219999983</v>
      </c>
      <c r="D52" s="288">
        <f>Customer!BN$48/'Assumptions and Inputs'!$C$21</f>
        <v>15311.4</v>
      </c>
      <c r="E52" s="287">
        <f t="shared" si="10"/>
        <v>3675</v>
      </c>
      <c r="F52" s="287">
        <f t="shared" si="11"/>
        <v>713700.62616377987</v>
      </c>
      <c r="G52" s="288">
        <f>Customer!BN$53/'Assumptions and Inputs'!$C$21</f>
        <v>424202.8</v>
      </c>
      <c r="H52" s="289">
        <f t="shared" si="12"/>
        <v>101809</v>
      </c>
      <c r="I52" s="289">
        <f t="shared" si="13"/>
        <v>98744.549100000004</v>
      </c>
      <c r="J52" s="287">
        <f t="shared" si="14"/>
        <v>-614956.07706377981</v>
      </c>
    </row>
    <row r="53" spans="1:11" x14ac:dyDescent="0.25">
      <c r="A53" s="180" t="s">
        <v>192</v>
      </c>
      <c r="B53" s="291">
        <f t="shared" si="9"/>
        <v>45261</v>
      </c>
      <c r="C53" s="292">
        <f>Customer!BO$11*'Assumptions and Inputs'!$C$42</f>
        <v>779220.84179999994</v>
      </c>
      <c r="D53" s="293">
        <f>Customer!BO$48/'Assumptions and Inputs'!$C$21</f>
        <v>16041.2</v>
      </c>
      <c r="E53" s="292">
        <f t="shared" si="10"/>
        <v>3850</v>
      </c>
      <c r="F53" s="292">
        <f t="shared" si="11"/>
        <v>752032.17946181993</v>
      </c>
      <c r="G53" s="293">
        <f>Customer!BO$53/'Assumptions and Inputs'!$C$21</f>
        <v>436607.9</v>
      </c>
      <c r="H53" s="292">
        <f t="shared" si="12"/>
        <v>104786</v>
      </c>
      <c r="I53" s="292">
        <f t="shared" si="13"/>
        <v>101631.9414</v>
      </c>
      <c r="J53" s="294">
        <f t="shared" si="14"/>
        <v>-650400.23806181992</v>
      </c>
    </row>
    <row r="54" spans="1:11" x14ac:dyDescent="0.25">
      <c r="A54" s="180" t="s">
        <v>193</v>
      </c>
      <c r="B54" s="286">
        <f t="shared" si="9"/>
        <v>45292</v>
      </c>
      <c r="C54" s="287">
        <f>Customer!BP$11*'Assumptions and Inputs'!$C$42</f>
        <v>700703.06270306546</v>
      </c>
      <c r="D54" s="288">
        <f>Customer!BP$48/'Assumptions and Inputs'!$C$21</f>
        <v>15907.342439999999</v>
      </c>
      <c r="E54" s="287">
        <f t="shared" si="10"/>
        <v>3818</v>
      </c>
      <c r="F54" s="287">
        <f t="shared" si="11"/>
        <v>675908.82231570315</v>
      </c>
      <c r="G54" s="288">
        <f>Customer!BP$53/'Assumptions and Inputs'!$C$21</f>
        <v>438089.4</v>
      </c>
      <c r="H54" s="289">
        <f t="shared" si="12"/>
        <v>105141</v>
      </c>
      <c r="I54" s="289">
        <f t="shared" si="13"/>
        <v>101976.2559</v>
      </c>
      <c r="J54" s="287">
        <f t="shared" si="14"/>
        <v>-573932.56641570316</v>
      </c>
    </row>
    <row r="55" spans="1:11" x14ac:dyDescent="0.25">
      <c r="A55" s="180" t="s">
        <v>193</v>
      </c>
      <c r="B55" s="291">
        <f t="shared" si="9"/>
        <v>45323</v>
      </c>
      <c r="C55" s="292">
        <f>Customer!BQ$11*'Assumptions and Inputs'!$C$42</f>
        <v>726621.80881672504</v>
      </c>
      <c r="D55" s="293">
        <f>Customer!BQ$48/'Assumptions and Inputs'!$C$21</f>
        <v>17540.84244</v>
      </c>
      <c r="E55" s="292">
        <f t="shared" si="10"/>
        <v>4210</v>
      </c>
      <c r="F55" s="292">
        <f t="shared" si="11"/>
        <v>700667.21337134158</v>
      </c>
      <c r="G55" s="293">
        <f>Customer!BQ$53/'Assumptions and Inputs'!$C$21</f>
        <v>436455.9</v>
      </c>
      <c r="H55" s="292">
        <f t="shared" si="12"/>
        <v>104749</v>
      </c>
      <c r="I55" s="292">
        <f t="shared" si="13"/>
        <v>101596.0551</v>
      </c>
      <c r="J55" s="294">
        <f t="shared" si="14"/>
        <v>-599071.15827134158</v>
      </c>
    </row>
    <row r="56" spans="1:11" x14ac:dyDescent="0.25">
      <c r="A56" s="180" t="s">
        <v>193</v>
      </c>
      <c r="B56" s="286">
        <f t="shared" si="9"/>
        <v>45352</v>
      </c>
      <c r="C56" s="287">
        <f>Customer!BR$11*'Assumptions and Inputs'!$C$42</f>
        <v>795738.46511981753</v>
      </c>
      <c r="D56" s="288">
        <f>Customer!BR$48/'Assumptions and Inputs'!$C$21</f>
        <v>21896.84244</v>
      </c>
      <c r="E56" s="287">
        <f t="shared" si="10"/>
        <v>5255</v>
      </c>
      <c r="F56" s="287">
        <f t="shared" si="11"/>
        <v>766689.91281971103</v>
      </c>
      <c r="G56" s="288">
        <f>Customer!BR$53/'Assumptions and Inputs'!$C$21</f>
        <v>432099.9</v>
      </c>
      <c r="H56" s="289">
        <f t="shared" si="12"/>
        <v>103704</v>
      </c>
      <c r="I56" s="289">
        <f t="shared" si="13"/>
        <v>100582.5096</v>
      </c>
      <c r="J56" s="287">
        <f t="shared" si="14"/>
        <v>-666107.40321971104</v>
      </c>
    </row>
    <row r="57" spans="1:11" x14ac:dyDescent="0.25">
      <c r="A57" s="180" t="s">
        <v>193</v>
      </c>
      <c r="B57" s="291">
        <f t="shared" si="9"/>
        <v>45383</v>
      </c>
      <c r="C57" s="292">
        <f>Customer!BS$11*'Assumptions and Inputs'!$C$42</f>
        <v>933971.77772600227</v>
      </c>
      <c r="D57" s="293">
        <f>Customer!BS$48/'Assumptions and Inputs'!$C$21</f>
        <v>30608.842439999997</v>
      </c>
      <c r="E57" s="292">
        <f t="shared" si="10"/>
        <v>7346</v>
      </c>
      <c r="F57" s="292">
        <f t="shared" si="11"/>
        <v>898734.34181644954</v>
      </c>
      <c r="G57" s="293">
        <f>Customer!BS$53/'Assumptions and Inputs'!$C$21</f>
        <v>423387.9</v>
      </c>
      <c r="H57" s="292">
        <f t="shared" si="12"/>
        <v>101613</v>
      </c>
      <c r="I57" s="292">
        <f t="shared" si="13"/>
        <v>98554.448699999994</v>
      </c>
      <c r="J57" s="294">
        <f t="shared" si="14"/>
        <v>-800179.89311644959</v>
      </c>
    </row>
    <row r="58" spans="1:11" x14ac:dyDescent="0.25">
      <c r="A58" s="180" t="s">
        <v>193</v>
      </c>
      <c r="B58" s="286">
        <f t="shared" si="9"/>
        <v>45413</v>
      </c>
      <c r="C58" s="287">
        <f>Customer!BT$11*'Assumptions and Inputs'!$C$42</f>
        <v>1072205.090332187</v>
      </c>
      <c r="D58" s="288">
        <f>Customer!BT$48/'Assumptions and Inputs'!$C$21</f>
        <v>39320.842439999993</v>
      </c>
      <c r="E58" s="287">
        <f t="shared" si="10"/>
        <v>9437</v>
      </c>
      <c r="F58" s="287">
        <f t="shared" si="11"/>
        <v>1030778.7708131882</v>
      </c>
      <c r="G58" s="288">
        <f>Customer!BT$53/'Assumptions and Inputs'!$C$21</f>
        <v>414675.9</v>
      </c>
      <c r="H58" s="289">
        <f t="shared" si="12"/>
        <v>99522</v>
      </c>
      <c r="I58" s="289">
        <f t="shared" si="13"/>
        <v>96526.387799999997</v>
      </c>
      <c r="J58" s="287">
        <f t="shared" si="14"/>
        <v>-934252.38301318814</v>
      </c>
    </row>
    <row r="59" spans="1:11" x14ac:dyDescent="0.25">
      <c r="A59" s="180" t="s">
        <v>193</v>
      </c>
      <c r="B59" s="291">
        <f t="shared" si="9"/>
        <v>45444</v>
      </c>
      <c r="C59" s="292">
        <f>Customer!BU$11*'Assumptions and Inputs'!$C$42</f>
        <v>1093092.1438669816</v>
      </c>
      <c r="D59" s="293">
        <f>Customer!BU$48/'Assumptions and Inputs'!$C$21</f>
        <v>40637.225640000004</v>
      </c>
      <c r="E59" s="292">
        <f t="shared" si="10"/>
        <v>9753</v>
      </c>
      <c r="F59" s="292">
        <f t="shared" si="11"/>
        <v>1050730.6356365855</v>
      </c>
      <c r="G59" s="293">
        <f>Customer!BU$53/'Assumptions and Inputs'!$C$21</f>
        <v>413359.51679999998</v>
      </c>
      <c r="H59" s="292">
        <f t="shared" si="12"/>
        <v>99206</v>
      </c>
      <c r="I59" s="292">
        <f t="shared" si="13"/>
        <v>96219.899399999995</v>
      </c>
      <c r="J59" s="294">
        <f t="shared" si="14"/>
        <v>-954510.73623658554</v>
      </c>
    </row>
    <row r="60" spans="1:11" x14ac:dyDescent="0.25">
      <c r="A60" s="180" t="s">
        <v>193</v>
      </c>
      <c r="B60" s="286">
        <f t="shared" si="9"/>
        <v>45474</v>
      </c>
      <c r="C60" s="287">
        <f>Customer!BV$11*'Assumptions and Inputs'!$C$42</f>
        <v>1093092.1438669816</v>
      </c>
      <c r="D60" s="288">
        <f>Customer!BV$48/'Assumptions and Inputs'!$C$21</f>
        <v>40637.225640000004</v>
      </c>
      <c r="E60" s="287">
        <f t="shared" si="10"/>
        <v>9753</v>
      </c>
      <c r="F60" s="287">
        <f t="shared" ref="F60" si="15">(C60-E60)*$F$47</f>
        <v>1050730.6356365855</v>
      </c>
      <c r="G60" s="288">
        <f>Customer!BV$53/'Assumptions and Inputs'!$C$21</f>
        <v>413359.51679999998</v>
      </c>
      <c r="H60" s="289">
        <f t="shared" ref="H60" si="16">ROUND($H$47*G60, 0)</f>
        <v>99206</v>
      </c>
      <c r="I60" s="289">
        <f t="shared" ref="I60" si="17">H60*$I$47</f>
        <v>96219.899399999995</v>
      </c>
      <c r="J60" s="287">
        <f t="shared" ref="J60" si="18">I60-F60</f>
        <v>-954510.73623658554</v>
      </c>
    </row>
    <row r="61" spans="1:11" x14ac:dyDescent="0.25">
      <c r="A61" s="180" t="s">
        <v>193</v>
      </c>
      <c r="B61" s="291">
        <f t="shared" si="9"/>
        <v>45505</v>
      </c>
      <c r="C61" s="295">
        <f>Customer!BW$11*'Assumptions and Inputs'!$C$42</f>
        <v>1093092.1438669816</v>
      </c>
      <c r="D61" s="296">
        <f>Customer!BW$48/'Assumptions and Inputs'!$C$21</f>
        <v>40637.225640000004</v>
      </c>
      <c r="E61" s="295">
        <f>ROUND($E$47*D61, 0)</f>
        <v>9753</v>
      </c>
      <c r="F61" s="295">
        <f>(C61-E61)*$F$47</f>
        <v>1050730.6356365855</v>
      </c>
      <c r="G61" s="296">
        <f>Customer!BW$53/'Assumptions and Inputs'!$C$21</f>
        <v>413359.51679999998</v>
      </c>
      <c r="H61" s="295">
        <f>ROUND($H$47*G61, 0)</f>
        <v>99206</v>
      </c>
      <c r="I61" s="295">
        <f>H61*$I$47</f>
        <v>96219.899399999995</v>
      </c>
      <c r="J61" s="297">
        <f>I61-F61</f>
        <v>-954510.73623658554</v>
      </c>
    </row>
    <row r="62" spans="1:11" ht="5.0999999999999996" customHeight="1" x14ac:dyDescent="0.25">
      <c r="B62" s="298"/>
      <c r="C62" s="298"/>
      <c r="D62" s="298"/>
      <c r="E62" s="298"/>
      <c r="F62" s="298"/>
      <c r="G62" s="298"/>
      <c r="H62" s="298"/>
      <c r="I62" s="298"/>
      <c r="J62" s="298"/>
    </row>
    <row r="63" spans="1:11" x14ac:dyDescent="0.25">
      <c r="B63" s="299" t="s">
        <v>144</v>
      </c>
      <c r="C63" s="300">
        <f>SUM(C50:C61)</f>
        <v>10440283.427698743</v>
      </c>
      <c r="D63" s="301">
        <f t="shared" ref="D63:H63" si="19">SUM(D50:D61)</f>
        <v>308821.78912000003</v>
      </c>
      <c r="E63" s="300">
        <f t="shared" si="19"/>
        <v>74118</v>
      </c>
      <c r="F63" s="300">
        <f t="shared" si="19"/>
        <v>10054143.848325009</v>
      </c>
      <c r="G63" s="301">
        <f t="shared" si="19"/>
        <v>5161020.4504000004</v>
      </c>
      <c r="H63" s="300">
        <f t="shared" si="19"/>
        <v>1238643</v>
      </c>
      <c r="I63" s="300">
        <f>SUM(I50:I61)</f>
        <v>1201359.8456999999</v>
      </c>
      <c r="J63" s="302">
        <f>SUM(J49:J61)</f>
        <v>-4163782.002625009</v>
      </c>
    </row>
    <row r="64" spans="1:11" ht="5.0999999999999996" customHeight="1" x14ac:dyDescent="0.25">
      <c r="B64" s="217"/>
      <c r="C64" s="303"/>
      <c r="D64" s="304"/>
      <c r="E64" s="303"/>
      <c r="F64" s="303"/>
      <c r="G64" s="304"/>
      <c r="H64" s="303"/>
      <c r="I64" s="303"/>
      <c r="J64" s="208"/>
    </row>
    <row r="65" spans="2:11" x14ac:dyDescent="0.25">
      <c r="B65" s="217"/>
      <c r="C65" s="303"/>
      <c r="D65" s="304"/>
      <c r="E65" s="303"/>
      <c r="F65" s="303"/>
      <c r="G65" s="304"/>
      <c r="H65" s="303"/>
      <c r="I65" s="305" t="s">
        <v>194</v>
      </c>
      <c r="J65" s="208">
        <f>'E-Factor PRIOR'!U138</f>
        <v>-567575.42323506856</v>
      </c>
      <c r="K65" s="306" t="s">
        <v>204</v>
      </c>
    </row>
    <row r="66" spans="2:11" x14ac:dyDescent="0.25">
      <c r="F66" s="303"/>
      <c r="G66" s="311"/>
    </row>
    <row r="67" spans="2:11" x14ac:dyDescent="0.25">
      <c r="B67" s="181" t="s">
        <v>196</v>
      </c>
      <c r="I67" s="307" t="s">
        <v>197</v>
      </c>
      <c r="J67" s="308">
        <f>J63+J65</f>
        <v>-4731357.4258600771</v>
      </c>
      <c r="K67" s="306" t="s">
        <v>198</v>
      </c>
    </row>
    <row r="68" spans="2:11" x14ac:dyDescent="0.25">
      <c r="B68" s="253" t="s">
        <v>199</v>
      </c>
    </row>
    <row r="69" spans="2:11" hidden="1" x14ac:dyDescent="0.25">
      <c r="B69" s="253"/>
    </row>
    <row r="70" spans="2:11" x14ac:dyDescent="0.25">
      <c r="B70" s="253" t="s">
        <v>200</v>
      </c>
      <c r="J70" s="208"/>
    </row>
    <row r="71" spans="2:11" hidden="1" x14ac:dyDescent="0.25">
      <c r="B71" s="253" t="str">
        <f>"(1) - TAP Actual Discounts reflects water's "&amp;FIXED('Assumptions and Inputs'!$C$42*100, 1, 0)&amp;"% allocated portion of the Total TAP Discount."</f>
        <v>(1) - TAP Actual Discounts reflects water's 58.0% allocated portion of the Total TAP Discount.</v>
      </c>
    </row>
    <row r="72" spans="2:11" hidden="1" x14ac:dyDescent="0.25">
      <c r="B72" s="253" t="s">
        <v>201</v>
      </c>
    </row>
    <row r="73" spans="2:11" hidden="1" x14ac:dyDescent="0.25">
      <c r="B73" s="253" t="str">
        <f>"(3) &amp; (6) - Sewer TAP-R Rates per "&amp;TEXT('Assumptions and Inputs'!F34,)&amp;" "&amp;TEXT('Assumptions and Inputs'!G34,)&amp;"."</f>
        <v>(3) &amp; (6) - Sewer TAP-R Rates per PWD Regulations - Rates and Charges Effective September 1, 2023 Section 10.3(b)(1).</v>
      </c>
    </row>
    <row r="74" spans="2:11" hidden="1" x14ac:dyDescent="0.25">
      <c r="B74" s="253" t="str">
        <f>"(4) &amp; (7) - Adjusted for system-wide collection factor in accordance with "&amp;TEXT('Assumptions and Inputs'!F38,)&amp;" "&amp;TEXT('Assumptions and Inputs'!G38,)&amp;"."</f>
        <v>(4) &amp; (7) - Adjusted for system-wide collection factor in accordance with PWD Regulations - Rates and Charges Effective September 1, 2023 Section 10.1(b)(3).</v>
      </c>
      <c r="K74" s="229"/>
    </row>
    <row r="75" spans="2:11" hidden="1" x14ac:dyDescent="0.25">
      <c r="B75" s="253" t="str">
        <f>"(5) - Estimated Non-TAP water sales volumes for "&amp;TEXT('Assumptions and Inputs'!C73,"MMMM YYYY")&amp;" through "&amp;TEXT('Assumptions and Inputs'!C75,"MMMM YYYY")&amp;" are based upon average sales for prior 12 month period. Volumes are adjusted beginning in February 2024 to reflect the projected decrease"</f>
        <v>(5) - Estimated Non-TAP water sales volumes for January 2024 through August 2024 are based upon average sales for prior 12 month period. Volumes are adjusted beginning in February 2024 to reflect the projected decrease</v>
      </c>
    </row>
    <row r="76" spans="2:11" hidden="1" x14ac:dyDescent="0.25">
      <c r="B76" s="312" t="s">
        <v>283</v>
      </c>
    </row>
    <row r="77" spans="2:11" hidden="1" x14ac:dyDescent="0.25">
      <c r="B77" s="253" t="s">
        <v>277</v>
      </c>
    </row>
    <row r="78" spans="2:11" x14ac:dyDescent="0.25">
      <c r="B78" s="253"/>
    </row>
    <row r="79" spans="2:11" x14ac:dyDescent="0.25"/>
    <row r="80" spans="2:11" x14ac:dyDescent="0.25"/>
    <row r="81" spans="2:10" x14ac:dyDescent="0.25">
      <c r="C81" s="208"/>
    </row>
    <row r="82" spans="2:10" x14ac:dyDescent="0.25">
      <c r="C82" s="208"/>
    </row>
    <row r="83" spans="2:10" x14ac:dyDescent="0.25">
      <c r="B83" s="313"/>
      <c r="C83" s="208"/>
      <c r="D83" s="222"/>
      <c r="E83" s="222"/>
    </row>
    <row r="84" spans="2:10" x14ac:dyDescent="0.25">
      <c r="B84" s="313"/>
      <c r="C84" s="208"/>
      <c r="D84" s="222"/>
      <c r="E84" s="222"/>
      <c r="F84" s="208"/>
      <c r="G84" s="290"/>
      <c r="H84" s="290"/>
      <c r="I84" s="290"/>
      <c r="J84" s="208"/>
    </row>
    <row r="85" spans="2:10" x14ac:dyDescent="0.25">
      <c r="B85" s="313"/>
      <c r="C85" s="208"/>
      <c r="D85" s="222"/>
      <c r="E85" s="222"/>
      <c r="F85" s="208"/>
      <c r="G85" s="290"/>
      <c r="H85" s="290"/>
      <c r="I85" s="290"/>
      <c r="J85" s="208"/>
    </row>
    <row r="86" spans="2:10" x14ac:dyDescent="0.25">
      <c r="B86" s="313"/>
      <c r="C86" s="208"/>
      <c r="D86" s="222"/>
      <c r="E86" s="222"/>
      <c r="F86" s="208"/>
    </row>
    <row r="87" spans="2:10" x14ac:dyDescent="0.25">
      <c r="B87" s="313"/>
      <c r="C87" s="208"/>
      <c r="D87" s="222"/>
      <c r="E87" s="222"/>
      <c r="F87" s="208"/>
    </row>
    <row r="88" spans="2:10" x14ac:dyDescent="0.25">
      <c r="B88" s="313"/>
      <c r="C88" s="208"/>
      <c r="D88" s="222"/>
      <c r="E88" s="222"/>
      <c r="F88" s="208"/>
      <c r="G88" s="314"/>
      <c r="H88" s="208"/>
      <c r="I88" s="208"/>
      <c r="J88" s="208"/>
    </row>
    <row r="89" spans="2:10" x14ac:dyDescent="0.25">
      <c r="B89" s="313"/>
      <c r="C89" s="208"/>
      <c r="D89" s="222"/>
      <c r="E89" s="222"/>
      <c r="F89" s="208"/>
      <c r="G89" s="314"/>
      <c r="H89" s="208"/>
      <c r="I89" s="208"/>
      <c r="J89" s="208"/>
    </row>
    <row r="90" spans="2:10" x14ac:dyDescent="0.25">
      <c r="B90" s="313"/>
      <c r="C90" s="208"/>
      <c r="D90" s="222"/>
      <c r="E90" s="222"/>
    </row>
    <row r="91" spans="2:10" x14ac:dyDescent="0.25">
      <c r="B91" s="313"/>
      <c r="C91" s="208"/>
      <c r="D91" s="222"/>
      <c r="E91" s="222"/>
    </row>
    <row r="92" spans="2:10" x14ac:dyDescent="0.25">
      <c r="B92" s="313"/>
      <c r="C92" s="208"/>
      <c r="D92" s="222"/>
      <c r="E92" s="222"/>
    </row>
    <row r="93" spans="2:10" x14ac:dyDescent="0.25">
      <c r="B93" s="313"/>
      <c r="C93" s="208"/>
      <c r="D93" s="222"/>
      <c r="E93" s="222"/>
    </row>
    <row r="94" spans="2:10" x14ac:dyDescent="0.25">
      <c r="C94" s="208"/>
    </row>
    <row r="95" spans="2:10" x14ac:dyDescent="0.25"/>
    <row r="96" spans="2:10" x14ac:dyDescent="0.25"/>
  </sheetData>
  <printOptions horizontalCentered="1"/>
  <pageMargins left="0.7" right="0.7" top="1" bottom="0.5" header="0.3" footer="0.3"/>
  <pageSetup scale="64" orientation="landscape" r:id="rId1"/>
  <headerFooter>
    <oddHeader xml:space="preserve">&amp;RSchedule LKM-TAP-R-3
</oddHeader>
  </headerFooter>
  <ignoredErrors>
    <ignoredError sqref="C9:D9 G9 C48:D48 G4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484E-A7F5-4914-B9CB-952DFFFA3433}">
  <sheetPr codeName="Sheet8">
    <tabColor theme="4" tint="-0.249977111117893"/>
    <pageSetUpPr fitToPage="1"/>
  </sheetPr>
  <dimension ref="A1:V172"/>
  <sheetViews>
    <sheetView tabSelected="1" zoomScaleNormal="100" workbookViewId="0">
      <selection activeCell="E17" sqref="E17"/>
    </sheetView>
  </sheetViews>
  <sheetFormatPr defaultColWidth="9.109375" defaultRowHeight="13.8" zeroHeight="1" x14ac:dyDescent="0.25"/>
  <cols>
    <col min="1" max="1" width="9.109375" style="181" customWidth="1"/>
    <col min="2" max="2" width="9.44140625" style="181" customWidth="1"/>
    <col min="3" max="4" width="15.5546875" style="181" customWidth="1"/>
    <col min="5" max="8" width="20.5546875" style="181" customWidth="1"/>
    <col min="9" max="9" width="24.109375" style="181" customWidth="1"/>
    <col min="10" max="10" width="20.5546875" style="181" customWidth="1"/>
    <col min="11" max="11" width="3.44140625" style="181" customWidth="1"/>
    <col min="12" max="12" width="22.109375" style="181" customWidth="1"/>
    <col min="13" max="13" width="15.44140625" style="181" customWidth="1"/>
    <col min="14" max="14" width="17.88671875" style="181" customWidth="1"/>
    <col min="15" max="15" width="21" style="181" bestFit="1" customWidth="1"/>
    <col min="16" max="16" width="14.5546875" style="181" customWidth="1"/>
    <col min="17" max="17" width="19.5546875" style="181" customWidth="1"/>
    <col min="18" max="18" width="25.5546875" style="181" customWidth="1"/>
    <col min="19" max="19" width="15.5546875" style="181" customWidth="1"/>
    <col min="20" max="20" width="2.109375" style="181" customWidth="1"/>
    <col min="21" max="21" width="14.88671875" style="181" customWidth="1"/>
    <col min="22" max="16384" width="9.109375" style="181"/>
  </cols>
  <sheetData>
    <row r="1" spans="1:13" x14ac:dyDescent="0.25"/>
    <row r="2" spans="1:13" x14ac:dyDescent="0.25">
      <c r="B2" s="375" t="s">
        <v>31</v>
      </c>
      <c r="C2" s="375"/>
      <c r="D2" s="375"/>
      <c r="E2" s="375"/>
      <c r="F2" s="375"/>
      <c r="G2" s="375"/>
      <c r="H2" s="375"/>
      <c r="I2" s="375"/>
      <c r="J2" s="375"/>
      <c r="K2" s="375"/>
      <c r="L2" s="375"/>
      <c r="M2" s="375"/>
    </row>
    <row r="3" spans="1:13" ht="14.4" thickBot="1" x14ac:dyDescent="0.3">
      <c r="B3" s="375" t="s">
        <v>299</v>
      </c>
      <c r="C3" s="375"/>
      <c r="D3" s="375"/>
      <c r="E3" s="375"/>
      <c r="F3" s="375"/>
      <c r="G3" s="375"/>
      <c r="H3" s="375"/>
      <c r="I3" s="375"/>
      <c r="J3" s="375"/>
      <c r="K3" s="375"/>
      <c r="L3" s="375"/>
      <c r="M3" s="375"/>
    </row>
    <row r="4" spans="1:13" x14ac:dyDescent="0.25">
      <c r="C4" s="376" t="s">
        <v>216</v>
      </c>
      <c r="D4" s="377"/>
      <c r="E4" s="377"/>
      <c r="F4" s="377"/>
      <c r="G4" s="377"/>
      <c r="H4" s="377"/>
      <c r="I4" s="377"/>
      <c r="J4" s="378"/>
      <c r="L4" s="379" t="s">
        <v>205</v>
      </c>
      <c r="M4" s="380" t="s">
        <v>206</v>
      </c>
    </row>
    <row r="5" spans="1:13" x14ac:dyDescent="0.25">
      <c r="B5" s="271" t="str">
        <f>B77</f>
        <v>Billing</v>
      </c>
      <c r="C5" s="271" t="str">
        <f>C77</f>
        <v>Total Actual TAP</v>
      </c>
      <c r="D5" s="271" t="str">
        <f t="shared" ref="D5:J5" si="0">D77</f>
        <v>Billed TAP</v>
      </c>
      <c r="E5" s="271" t="str">
        <f t="shared" si="0"/>
        <v>Total TAP-R</v>
      </c>
      <c r="F5" s="271" t="str">
        <f t="shared" si="0"/>
        <v>Adjusted Actual TAP</v>
      </c>
      <c r="G5" s="271" t="str">
        <f t="shared" si="0"/>
        <v>Billed Non-TAP</v>
      </c>
      <c r="H5" s="271" t="str">
        <f t="shared" si="0"/>
        <v>TAP-R Billed</v>
      </c>
      <c r="I5" s="271" t="str">
        <f t="shared" si="0"/>
        <v>Estimated TAP-R</v>
      </c>
      <c r="J5" s="271" t="str">
        <f t="shared" si="0"/>
        <v>Over/(Under)</v>
      </c>
      <c r="K5" s="372"/>
      <c r="L5" s="271" t="str">
        <f>S77</f>
        <v>Over/(Under)</v>
      </c>
      <c r="M5" s="271" t="str">
        <f>U77</f>
        <v xml:space="preserve">Delta </v>
      </c>
    </row>
    <row r="6" spans="1:13" x14ac:dyDescent="0.25">
      <c r="B6" s="273" t="str">
        <f>B78</f>
        <v>Period</v>
      </c>
      <c r="C6" s="273" t="str">
        <f>C78</f>
        <v>Discounts</v>
      </c>
      <c r="D6" s="273" t="str">
        <f t="shared" ref="D6:J6" si="1">D78</f>
        <v>Water Sales</v>
      </c>
      <c r="E6" s="273" t="str">
        <f t="shared" si="1"/>
        <v xml:space="preserve">Billed </v>
      </c>
      <c r="F6" s="273" t="str">
        <f t="shared" si="1"/>
        <v>Discounts</v>
      </c>
      <c r="G6" s="273" t="str">
        <f t="shared" si="1"/>
        <v>Water Sales</v>
      </c>
      <c r="H6" s="273" t="str">
        <f t="shared" si="1"/>
        <v>Non-Tap Water Sales</v>
      </c>
      <c r="I6" s="273" t="str">
        <f t="shared" si="1"/>
        <v xml:space="preserve">Revenues </v>
      </c>
      <c r="J6" s="273" t="str">
        <f t="shared" si="1"/>
        <v>Collection</v>
      </c>
      <c r="K6" s="372"/>
      <c r="L6" s="273" t="str">
        <f>S78</f>
        <v>Collection</v>
      </c>
      <c r="M6" s="273"/>
    </row>
    <row r="7" spans="1:13" x14ac:dyDescent="0.25">
      <c r="B7" s="273"/>
      <c r="C7" s="273" t="str">
        <f>C79</f>
        <v xml:space="preserve">(Credits) </v>
      </c>
      <c r="D7" s="273" t="str">
        <f>D79</f>
        <v>(Mcf)</v>
      </c>
      <c r="E7" s="273" t="str">
        <f>E79</f>
        <v>to TAP Participants</v>
      </c>
      <c r="F7" s="273" t="str">
        <f>F79</f>
        <v xml:space="preserve">(Credits) </v>
      </c>
      <c r="G7" s="273" t="str">
        <f>G79</f>
        <v>(Mcf)</v>
      </c>
      <c r="H7" s="273"/>
      <c r="I7" s="273" t="str">
        <f>I79</f>
        <v>Experienced</v>
      </c>
      <c r="J7" s="273"/>
      <c r="K7" s="372"/>
      <c r="L7" s="273"/>
      <c r="M7" s="273"/>
    </row>
    <row r="8" spans="1:13" x14ac:dyDescent="0.25">
      <c r="B8" s="273"/>
      <c r="C8" s="274"/>
      <c r="D8" s="274"/>
      <c r="E8" s="275">
        <f>E80</f>
        <v>1.03</v>
      </c>
      <c r="F8" s="276">
        <f>F80</f>
        <v>0.97319999999999995</v>
      </c>
      <c r="G8" s="274"/>
      <c r="H8" s="275"/>
      <c r="I8" s="276">
        <f>I80</f>
        <v>0.97319999999999995</v>
      </c>
      <c r="J8" s="277"/>
      <c r="K8" s="372"/>
      <c r="L8" s="277"/>
      <c r="M8" s="277"/>
    </row>
    <row r="9" spans="1:13" x14ac:dyDescent="0.25">
      <c r="B9" s="373"/>
      <c r="C9" s="279" t="str">
        <f>C81</f>
        <v>(1)</v>
      </c>
      <c r="D9" s="279" t="str">
        <f t="shared" ref="D9:J9" si="2">D81</f>
        <v>(2)</v>
      </c>
      <c r="E9" s="279" t="str">
        <f t="shared" si="2"/>
        <v>(3) = (2) * $ 1.030/Mcf</v>
      </c>
      <c r="F9" s="279" t="str">
        <f t="shared" si="2"/>
        <v>(4) = [(1) - (3)]* 0.9732</v>
      </c>
      <c r="G9" s="279" t="str">
        <f t="shared" si="2"/>
        <v>(5)</v>
      </c>
      <c r="H9" s="279" t="str">
        <f t="shared" si="2"/>
        <v>(6) = (5) * $ 1.030/Mcf</v>
      </c>
      <c r="I9" s="280" t="str">
        <f t="shared" si="2"/>
        <v>(7) = (6) * 0.9732</v>
      </c>
      <c r="J9" s="279" t="str">
        <f t="shared" si="2"/>
        <v>(8) = (7) - (4)</v>
      </c>
      <c r="K9" s="372"/>
      <c r="L9" s="279" t="s">
        <v>207</v>
      </c>
      <c r="M9" s="279" t="s">
        <v>208</v>
      </c>
    </row>
    <row r="10" spans="1:13" x14ac:dyDescent="0.25">
      <c r="B10" s="281"/>
      <c r="C10" s="283"/>
      <c r="D10" s="283"/>
      <c r="E10" s="283"/>
      <c r="F10" s="283"/>
      <c r="G10" s="283"/>
      <c r="H10" s="283"/>
      <c r="I10" s="284" t="s">
        <v>191</v>
      </c>
      <c r="J10" s="374">
        <f>J82</f>
        <v>-80139.603089245022</v>
      </c>
      <c r="L10" s="374">
        <f>S82</f>
        <v>-80139.603089245022</v>
      </c>
      <c r="M10" s="283"/>
    </row>
    <row r="11" spans="1:13" x14ac:dyDescent="0.25">
      <c r="A11" s="331"/>
      <c r="B11" s="286">
        <f t="shared" ref="B11:B20" si="3">B83</f>
        <v>44805</v>
      </c>
      <c r="C11" s="287">
        <f t="shared" ref="C11:J11" si="4">C83</f>
        <v>313912.25599999999</v>
      </c>
      <c r="D11" s="288">
        <f t="shared" si="4"/>
        <v>11152.5</v>
      </c>
      <c r="E11" s="289">
        <f t="shared" si="4"/>
        <v>11487</v>
      </c>
      <c r="F11" s="287">
        <f t="shared" si="4"/>
        <v>294320.25913919997</v>
      </c>
      <c r="G11" s="288">
        <f t="shared" si="4"/>
        <v>587289.9</v>
      </c>
      <c r="H11" s="289">
        <f t="shared" si="4"/>
        <v>604908.59700000007</v>
      </c>
      <c r="I11" s="289">
        <f t="shared" si="4"/>
        <v>588697.0466004</v>
      </c>
      <c r="J11" s="287">
        <f t="shared" si="4"/>
        <v>294376.78746120003</v>
      </c>
      <c r="L11" s="287">
        <f>S83</f>
        <v>294377.17966080003</v>
      </c>
      <c r="M11" s="287">
        <f>J11-L11</f>
        <v>-0.39219959999900311</v>
      </c>
    </row>
    <row r="12" spans="1:13" x14ac:dyDescent="0.25">
      <c r="A12" s="331"/>
      <c r="B12" s="291">
        <f t="shared" si="3"/>
        <v>44835</v>
      </c>
      <c r="C12" s="292">
        <f t="shared" ref="C12:J12" si="5">C84</f>
        <v>303974.10000000003</v>
      </c>
      <c r="D12" s="293">
        <f t="shared" si="5"/>
        <v>10403.299999999999</v>
      </c>
      <c r="E12" s="292">
        <f t="shared" si="5"/>
        <v>10715</v>
      </c>
      <c r="F12" s="292">
        <f t="shared" si="5"/>
        <v>285399.75612000003</v>
      </c>
      <c r="G12" s="293">
        <f t="shared" si="5"/>
        <v>490408</v>
      </c>
      <c r="H12" s="292">
        <f t="shared" si="5"/>
        <v>505120.24</v>
      </c>
      <c r="I12" s="292">
        <f t="shared" si="5"/>
        <v>491583.01756799995</v>
      </c>
      <c r="J12" s="294">
        <f t="shared" si="5"/>
        <v>206183.26144799992</v>
      </c>
      <c r="L12" s="294">
        <f t="shared" ref="L12:L20" si="6">S84</f>
        <v>206183.02787999995</v>
      </c>
      <c r="M12" s="294">
        <f t="shared" ref="M12:M21" si="7">J12-L12</f>
        <v>0.23356799996690825</v>
      </c>
    </row>
    <row r="13" spans="1:13" x14ac:dyDescent="0.25">
      <c r="A13" s="331"/>
      <c r="B13" s="286">
        <f t="shared" si="3"/>
        <v>44866</v>
      </c>
      <c r="C13" s="287">
        <f t="shared" ref="C13:J13" si="8">C85</f>
        <v>294355.52400000003</v>
      </c>
      <c r="D13" s="288">
        <f t="shared" si="8"/>
        <v>10099.5</v>
      </c>
      <c r="E13" s="287">
        <f t="shared" si="8"/>
        <v>10402</v>
      </c>
      <c r="F13" s="287">
        <f t="shared" si="8"/>
        <v>276343.56955680001</v>
      </c>
      <c r="G13" s="288">
        <f t="shared" si="8"/>
        <v>451893.6</v>
      </c>
      <c r="H13" s="289">
        <f t="shared" si="8"/>
        <v>465450.408</v>
      </c>
      <c r="I13" s="289">
        <f t="shared" si="8"/>
        <v>452976.33706559998</v>
      </c>
      <c r="J13" s="287">
        <f t="shared" si="8"/>
        <v>176632.76750879997</v>
      </c>
      <c r="L13" s="287">
        <f t="shared" si="6"/>
        <v>176632.37044319999</v>
      </c>
      <c r="M13" s="287">
        <f t="shared" si="7"/>
        <v>0.39706559997284785</v>
      </c>
    </row>
    <row r="14" spans="1:13" x14ac:dyDescent="0.25">
      <c r="A14" s="331"/>
      <c r="B14" s="291">
        <f t="shared" si="3"/>
        <v>44896</v>
      </c>
      <c r="C14" s="292">
        <f t="shared" ref="C14:J14" si="9">C86</f>
        <v>312690.64400000003</v>
      </c>
      <c r="D14" s="293">
        <f t="shared" si="9"/>
        <v>10732.2</v>
      </c>
      <c r="E14" s="292">
        <f t="shared" si="9"/>
        <v>11054</v>
      </c>
      <c r="F14" s="292">
        <f t="shared" si="9"/>
        <v>293552.78194080002</v>
      </c>
      <c r="G14" s="293">
        <f t="shared" si="9"/>
        <v>456521.8</v>
      </c>
      <c r="H14" s="292">
        <f t="shared" si="9"/>
        <v>470217.45400000003</v>
      </c>
      <c r="I14" s="292">
        <f t="shared" si="9"/>
        <v>457615.62623280002</v>
      </c>
      <c r="J14" s="294">
        <f t="shared" si="9"/>
        <v>164062.84429199999</v>
      </c>
      <c r="L14" s="294">
        <f t="shared" si="6"/>
        <v>185852.23756799998</v>
      </c>
      <c r="M14" s="294">
        <f t="shared" si="7"/>
        <v>-21789.393275999988</v>
      </c>
    </row>
    <row r="15" spans="1:13" x14ac:dyDescent="0.25">
      <c r="A15" s="331"/>
      <c r="B15" s="286">
        <f t="shared" si="3"/>
        <v>44927</v>
      </c>
      <c r="C15" s="287">
        <f t="shared" ref="C15:J15" si="10">C87</f>
        <v>349851.80000000005</v>
      </c>
      <c r="D15" s="288">
        <f t="shared" si="10"/>
        <v>12066.3</v>
      </c>
      <c r="E15" s="287">
        <f t="shared" si="10"/>
        <v>12428</v>
      </c>
      <c r="F15" s="287">
        <f t="shared" si="10"/>
        <v>328380.84216000006</v>
      </c>
      <c r="G15" s="288">
        <f t="shared" si="10"/>
        <v>476141.2</v>
      </c>
      <c r="H15" s="289">
        <f t="shared" si="10"/>
        <v>490425.43600000005</v>
      </c>
      <c r="I15" s="289">
        <f t="shared" si="10"/>
        <v>477282.0343152</v>
      </c>
      <c r="J15" s="287">
        <f t="shared" si="10"/>
        <v>148901.19215519994</v>
      </c>
      <c r="L15" s="287">
        <f t="shared" si="6"/>
        <v>149772.05433599994</v>
      </c>
      <c r="M15" s="287">
        <f t="shared" si="7"/>
        <v>-870.86218080000253</v>
      </c>
    </row>
    <row r="16" spans="1:13" x14ac:dyDescent="0.25">
      <c r="A16" s="331"/>
      <c r="B16" s="291">
        <f t="shared" si="3"/>
        <v>44958</v>
      </c>
      <c r="C16" s="292">
        <f t="shared" ref="C16:J16" si="11">C88</f>
        <v>279336.17199999996</v>
      </c>
      <c r="D16" s="293">
        <f t="shared" si="11"/>
        <v>9600.6</v>
      </c>
      <c r="E16" s="292">
        <f t="shared" si="11"/>
        <v>9889</v>
      </c>
      <c r="F16" s="292">
        <f t="shared" si="11"/>
        <v>262225.98779039993</v>
      </c>
      <c r="G16" s="293">
        <f t="shared" si="11"/>
        <v>401945.1</v>
      </c>
      <c r="H16" s="292">
        <f t="shared" si="11"/>
        <v>414003.45299999998</v>
      </c>
      <c r="I16" s="292">
        <f t="shared" si="11"/>
        <v>402908.16045959998</v>
      </c>
      <c r="J16" s="294">
        <f t="shared" si="11"/>
        <v>140682.17266920005</v>
      </c>
      <c r="L16" s="294">
        <f t="shared" si="6"/>
        <v>193688.14183128643</v>
      </c>
      <c r="M16" s="294">
        <f t="shared" si="7"/>
        <v>-53005.969162086374</v>
      </c>
    </row>
    <row r="17" spans="1:14" x14ac:dyDescent="0.25">
      <c r="A17" s="331"/>
      <c r="B17" s="286">
        <f t="shared" si="3"/>
        <v>44986</v>
      </c>
      <c r="C17" s="287">
        <f t="shared" ref="C17:J17" si="12">C89</f>
        <v>343001.18800000002</v>
      </c>
      <c r="D17" s="288">
        <f t="shared" si="12"/>
        <v>11898.2</v>
      </c>
      <c r="E17" s="287">
        <f t="shared" si="12"/>
        <v>12255</v>
      </c>
      <c r="F17" s="287">
        <f t="shared" si="12"/>
        <v>321882.19016160001</v>
      </c>
      <c r="G17" s="288">
        <f t="shared" si="12"/>
        <v>472230.8</v>
      </c>
      <c r="H17" s="289">
        <f t="shared" si="12"/>
        <v>486397.72399999999</v>
      </c>
      <c r="I17" s="289">
        <f t="shared" si="12"/>
        <v>473362.26499679999</v>
      </c>
      <c r="J17" s="287">
        <f t="shared" si="12"/>
        <v>151480.07483519998</v>
      </c>
      <c r="L17" s="287">
        <f t="shared" si="6"/>
        <v>189893.66365169606</v>
      </c>
      <c r="M17" s="287">
        <f t="shared" si="7"/>
        <v>-38413.588816496078</v>
      </c>
    </row>
    <row r="18" spans="1:14" x14ac:dyDescent="0.25">
      <c r="A18" s="331"/>
      <c r="B18" s="291">
        <f t="shared" si="3"/>
        <v>45017</v>
      </c>
      <c r="C18" s="292">
        <f t="shared" ref="C18:J18" si="13">C90</f>
        <v>288457.28399999999</v>
      </c>
      <c r="D18" s="293">
        <f t="shared" si="13"/>
        <v>9956.1</v>
      </c>
      <c r="E18" s="292">
        <f t="shared" si="13"/>
        <v>10255</v>
      </c>
      <c r="F18" s="292">
        <f t="shared" si="13"/>
        <v>270746.46278879995</v>
      </c>
      <c r="G18" s="293">
        <f t="shared" si="13"/>
        <v>420994.2</v>
      </c>
      <c r="H18" s="292">
        <f t="shared" si="13"/>
        <v>433624.02600000001</v>
      </c>
      <c r="I18" s="292">
        <f t="shared" si="13"/>
        <v>422002.90210319997</v>
      </c>
      <c r="J18" s="294">
        <f t="shared" si="13"/>
        <v>151256.43931440002</v>
      </c>
      <c r="L18" s="294">
        <f t="shared" si="6"/>
        <v>186048.02721785952</v>
      </c>
      <c r="M18" s="294">
        <f t="shared" si="7"/>
        <v>-34791.587903459498</v>
      </c>
    </row>
    <row r="19" spans="1:14" x14ac:dyDescent="0.25">
      <c r="A19" s="331"/>
      <c r="B19" s="286">
        <f t="shared" si="3"/>
        <v>45047</v>
      </c>
      <c r="C19" s="287">
        <f t="shared" ref="C19:J19" si="14">C91</f>
        <v>303566.14799999999</v>
      </c>
      <c r="D19" s="288">
        <f t="shared" si="14"/>
        <v>10510.4</v>
      </c>
      <c r="E19" s="287">
        <f t="shared" si="14"/>
        <v>10826</v>
      </c>
      <c r="F19" s="287">
        <f t="shared" si="14"/>
        <v>284894.71203359996</v>
      </c>
      <c r="G19" s="288">
        <f t="shared" si="14"/>
        <v>423899.3</v>
      </c>
      <c r="H19" s="289">
        <f t="shared" si="14"/>
        <v>436616.27899999998</v>
      </c>
      <c r="I19" s="289">
        <f t="shared" si="14"/>
        <v>424914.96272279997</v>
      </c>
      <c r="J19" s="287">
        <f t="shared" si="14"/>
        <v>140020.25068920001</v>
      </c>
      <c r="L19" s="287">
        <f t="shared" si="6"/>
        <v>182152.48975195159</v>
      </c>
      <c r="M19" s="287">
        <f t="shared" si="7"/>
        <v>-42132.239062751585</v>
      </c>
    </row>
    <row r="20" spans="1:14" x14ac:dyDescent="0.25">
      <c r="A20" s="331"/>
      <c r="B20" s="291">
        <f t="shared" si="3"/>
        <v>45078</v>
      </c>
      <c r="C20" s="292">
        <f t="shared" ref="C20:J20" si="15">C92</f>
        <v>392504.77600000007</v>
      </c>
      <c r="D20" s="293">
        <f t="shared" si="15"/>
        <v>13413.5</v>
      </c>
      <c r="E20" s="292">
        <f t="shared" si="15"/>
        <v>13816</v>
      </c>
      <c r="F20" s="292">
        <f t="shared" si="15"/>
        <v>368539.91680320003</v>
      </c>
      <c r="G20" s="293">
        <f t="shared" si="15"/>
        <v>485312.8</v>
      </c>
      <c r="H20" s="292">
        <f t="shared" si="15"/>
        <v>499872.18400000001</v>
      </c>
      <c r="I20" s="292">
        <f t="shared" si="15"/>
        <v>486475.60946879996</v>
      </c>
      <c r="J20" s="294">
        <f t="shared" si="15"/>
        <v>117935.69266559993</v>
      </c>
      <c r="L20" s="294">
        <f t="shared" si="6"/>
        <v>178204.40656521631</v>
      </c>
      <c r="M20" s="294">
        <f t="shared" si="7"/>
        <v>-60268.713899616385</v>
      </c>
    </row>
    <row r="21" spans="1:14" x14ac:dyDescent="0.25">
      <c r="A21" s="331"/>
      <c r="B21" s="286">
        <f>B93</f>
        <v>45108</v>
      </c>
      <c r="C21" s="287">
        <f t="shared" ref="C21:J22" si="16">C93</f>
        <v>427561.86400000006</v>
      </c>
      <c r="D21" s="288">
        <f t="shared" si="16"/>
        <v>14578.8</v>
      </c>
      <c r="E21" s="287">
        <f t="shared" si="16"/>
        <v>15016</v>
      </c>
      <c r="F21" s="287">
        <f t="shared" si="16"/>
        <v>401489.63484480005</v>
      </c>
      <c r="G21" s="288">
        <f t="shared" si="16"/>
        <v>514835.6</v>
      </c>
      <c r="H21" s="289">
        <f t="shared" si="16"/>
        <v>530280.66799999995</v>
      </c>
      <c r="I21" s="289">
        <f t="shared" si="16"/>
        <v>516069.14609759994</v>
      </c>
      <c r="J21" s="287">
        <f t="shared" si="16"/>
        <v>114579.51125279989</v>
      </c>
      <c r="L21" s="287">
        <f>S93</f>
        <v>174205.01653752051</v>
      </c>
      <c r="M21" s="287">
        <f t="shared" si="7"/>
        <v>-59625.505284720624</v>
      </c>
    </row>
    <row r="22" spans="1:14" x14ac:dyDescent="0.25">
      <c r="A22" s="331"/>
      <c r="B22" s="291">
        <f>B94</f>
        <v>45139</v>
      </c>
      <c r="C22" s="292">
        <f t="shared" si="16"/>
        <v>412915.76</v>
      </c>
      <c r="D22" s="293">
        <f t="shared" si="16"/>
        <v>14012.8</v>
      </c>
      <c r="E22" s="292">
        <f t="shared" si="16"/>
        <v>14433</v>
      </c>
      <c r="F22" s="292">
        <f t="shared" si="16"/>
        <v>387803.42203199997</v>
      </c>
      <c r="G22" s="293">
        <f t="shared" si="16"/>
        <v>481458.2</v>
      </c>
      <c r="H22" s="292">
        <f t="shared" si="16"/>
        <v>495901.946</v>
      </c>
      <c r="I22" s="292">
        <f t="shared" si="16"/>
        <v>482611.77384719998</v>
      </c>
      <c r="J22" s="294">
        <f t="shared" si="16"/>
        <v>94808.351815200003</v>
      </c>
      <c r="L22" s="294">
        <f>S94</f>
        <v>170152.62959531456</v>
      </c>
      <c r="M22" s="294">
        <f t="shared" ref="M22" si="17">J22-L22</f>
        <v>-75344.277780114557</v>
      </c>
    </row>
    <row r="23" spans="1:14" ht="5.0999999999999996" customHeight="1" x14ac:dyDescent="0.25">
      <c r="B23" s="298"/>
      <c r="C23" s="298"/>
      <c r="D23" s="298"/>
      <c r="E23" s="298"/>
      <c r="F23" s="298"/>
      <c r="G23" s="298"/>
      <c r="H23" s="298"/>
      <c r="I23" s="298"/>
      <c r="J23" s="298"/>
      <c r="L23" s="298"/>
      <c r="M23" s="298"/>
    </row>
    <row r="24" spans="1:14" x14ac:dyDescent="0.25">
      <c r="B24" s="299" t="s">
        <v>144</v>
      </c>
      <c r="C24" s="300">
        <f>SUM(C11:C22)</f>
        <v>4022127.5160000008</v>
      </c>
      <c r="D24" s="301">
        <f t="shared" ref="D24:I24" si="18">SUM(D11:D22)</f>
        <v>138424.20000000001</v>
      </c>
      <c r="E24" s="300">
        <f t="shared" si="18"/>
        <v>142576</v>
      </c>
      <c r="F24" s="300">
        <f t="shared" si="18"/>
        <v>3775579.5353712002</v>
      </c>
      <c r="G24" s="301">
        <f t="shared" si="18"/>
        <v>5662930.5</v>
      </c>
      <c r="H24" s="300">
        <f t="shared" si="18"/>
        <v>5832818.415000001</v>
      </c>
      <c r="I24" s="300">
        <f t="shared" si="18"/>
        <v>5676498.8814779995</v>
      </c>
      <c r="J24" s="302">
        <f>SUM(J10:J22)</f>
        <v>1820779.7430175547</v>
      </c>
      <c r="L24" s="302">
        <f>SUM(L10:L22)</f>
        <v>2207021.6419495996</v>
      </c>
      <c r="M24" s="302">
        <f>SUM(M11:M22)</f>
        <v>-386241.89893204515</v>
      </c>
    </row>
    <row r="25" spans="1:14" x14ac:dyDescent="0.25">
      <c r="F25" s="303"/>
      <c r="G25" s="233"/>
    </row>
    <row r="26" spans="1:14" x14ac:dyDescent="0.25">
      <c r="I26" s="381" t="s">
        <v>209</v>
      </c>
      <c r="J26" s="382">
        <f>J24</f>
        <v>1820779.7430175547</v>
      </c>
      <c r="K26" s="383"/>
      <c r="L26" s="384">
        <f>L24</f>
        <v>2207021.6419495996</v>
      </c>
      <c r="M26" s="384">
        <f>J26-L26</f>
        <v>-386241.89893204486</v>
      </c>
      <c r="N26" s="346" t="s">
        <v>194</v>
      </c>
    </row>
    <row r="27" spans="1:14" hidden="1" x14ac:dyDescent="0.25">
      <c r="B27" s="181" t="s">
        <v>196</v>
      </c>
      <c r="N27" s="181" t="s">
        <v>210</v>
      </c>
    </row>
    <row r="28" spans="1:14" hidden="1" x14ac:dyDescent="0.25">
      <c r="B28" s="253" t="str">
        <f>"(1) - TAP Actual Discounts reflect water's "&amp;FIXED('Assumptions and Inputs'!$C$47*100, 1, 0)&amp;"% allocated portion of the Total TAP Discount."</f>
        <v>(1) - TAP Actual Discounts reflect water's 40.0% allocated portion of the Total TAP Discount.</v>
      </c>
    </row>
    <row r="29" spans="1:14" hidden="1" x14ac:dyDescent="0.25">
      <c r="B29" s="253" t="s">
        <v>273</v>
      </c>
    </row>
    <row r="30" spans="1:14" hidden="1" x14ac:dyDescent="0.25">
      <c r="B30" s="253" t="str">
        <f>"(3) &amp; (6) - Water TAP-R Rates per "&amp;TEXT('Assumptions and Inputs'!F27,)&amp;" "&amp;TEXT('Assumptions and Inputs'!G27,)&amp;"."</f>
        <v>(3) &amp; (6) - Water TAP-R Rates per PWD Regulations - Rates and Charges Effective September 1, 2022 Section 10.3(a)(1).</v>
      </c>
    </row>
    <row r="31" spans="1:14" hidden="1" x14ac:dyDescent="0.25">
      <c r="B31" s="253" t="str">
        <f>"(4) &amp; (7) - Adjusted for system-wide collection factor in accordance with "&amp;'Assumptions and Inputs'!F45&amp;" "&amp;'Assumptions and Inputs'!G45&amp;"."</f>
        <v>(4) &amp; (7) - Adjusted for system-wide collection factor in accordance with PWD Regulations - Rates and Charges Effective September 1, 2022 Section 10.1(b)(3).</v>
      </c>
    </row>
    <row r="32" spans="1:14" hidden="1" x14ac:dyDescent="0.25">
      <c r="B32" s="347" t="s">
        <v>278</v>
      </c>
    </row>
    <row r="33" spans="2:13" hidden="1" x14ac:dyDescent="0.25">
      <c r="B33" s="347" t="s">
        <v>211</v>
      </c>
    </row>
    <row r="34" spans="2:13" hidden="1" x14ac:dyDescent="0.25">
      <c r="B34" s="347" t="str">
        <f>"(9) - Over/(Under) Collection for "&amp;TEXT(B11,"MMMM YYYY")&amp;" to "&amp;TEXT(B22,"MMMM YYYY")&amp;" as calculated during the prior TAP-R Reconciliation Determination."</f>
        <v>(9) - Over/(Under) Collection for September 2022 to August 2023 as calculated during the prior TAP-R Reconciliation Determination.</v>
      </c>
    </row>
    <row r="35" spans="2:13" hidden="1" x14ac:dyDescent="0.25">
      <c r="B35" s="347" t="s">
        <v>212</v>
      </c>
    </row>
    <row r="36" spans="2:13" x14ac:dyDescent="0.25"/>
    <row r="37" spans="2:13" x14ac:dyDescent="0.25">
      <c r="B37" s="375" t="s">
        <v>31</v>
      </c>
      <c r="C37" s="375"/>
      <c r="D37" s="375"/>
      <c r="E37" s="375"/>
      <c r="F37" s="375"/>
      <c r="G37" s="375"/>
      <c r="H37" s="375"/>
      <c r="I37" s="375"/>
      <c r="J37" s="375"/>
      <c r="K37" s="375"/>
      <c r="L37" s="375"/>
      <c r="M37" s="375"/>
    </row>
    <row r="38" spans="2:13" ht="14.4" thickBot="1" x14ac:dyDescent="0.3">
      <c r="B38" s="375" t="s">
        <v>301</v>
      </c>
      <c r="C38" s="375"/>
      <c r="D38" s="375"/>
      <c r="E38" s="375"/>
      <c r="F38" s="375"/>
      <c r="G38" s="375"/>
      <c r="H38" s="375"/>
      <c r="I38" s="375"/>
      <c r="J38" s="375"/>
      <c r="K38" s="375"/>
      <c r="L38" s="375"/>
      <c r="M38" s="375"/>
    </row>
    <row r="39" spans="2:13" ht="14.4" thickBot="1" x14ac:dyDescent="0.3">
      <c r="C39" s="376" t="str">
        <f>C116</f>
        <v>Prior Reconciliation Period with Updated Actuals</v>
      </c>
      <c r="D39" s="377"/>
      <c r="E39" s="377"/>
      <c r="F39" s="377"/>
      <c r="G39" s="377"/>
      <c r="H39" s="377"/>
      <c r="I39" s="377"/>
      <c r="J39" s="378"/>
      <c r="L39" s="385" t="str">
        <f>L4</f>
        <v>Original Estimates</v>
      </c>
      <c r="M39" s="386" t="s">
        <v>206</v>
      </c>
    </row>
    <row r="40" spans="2:13" x14ac:dyDescent="0.25">
      <c r="B40" s="271" t="str">
        <f>B117</f>
        <v>Billing</v>
      </c>
      <c r="C40" s="271" t="str">
        <f>C117</f>
        <v>Total Actual TAP</v>
      </c>
      <c r="D40" s="271" t="str">
        <f t="shared" ref="D40:J41" si="19">D117</f>
        <v>Billed</v>
      </c>
      <c r="E40" s="271" t="str">
        <f t="shared" si="19"/>
        <v>Total TAP-R</v>
      </c>
      <c r="F40" s="271" t="str">
        <f t="shared" si="19"/>
        <v>Adjusted Actual TAP</v>
      </c>
      <c r="G40" s="271" t="str">
        <f t="shared" si="19"/>
        <v>Billed Non-TAP</v>
      </c>
      <c r="H40" s="271" t="str">
        <f t="shared" si="19"/>
        <v>TAP-R Billed</v>
      </c>
      <c r="I40" s="271" t="str">
        <f t="shared" si="19"/>
        <v>Estimated TAP-R</v>
      </c>
      <c r="J40" s="271" t="str">
        <f t="shared" si="19"/>
        <v>Over/(Under)</v>
      </c>
      <c r="L40" s="271" t="str">
        <f>S117</f>
        <v>Over/(Under)</v>
      </c>
      <c r="M40" s="271" t="str">
        <f>U77</f>
        <v xml:space="preserve">Delta </v>
      </c>
    </row>
    <row r="41" spans="2:13" x14ac:dyDescent="0.25">
      <c r="B41" s="273" t="str">
        <f>B118</f>
        <v>Period</v>
      </c>
      <c r="C41" s="273" t="str">
        <f>C118</f>
        <v>Discounts</v>
      </c>
      <c r="D41" s="273" t="str">
        <f t="shared" si="19"/>
        <v>Sewer Volume</v>
      </c>
      <c r="E41" s="273" t="str">
        <f t="shared" si="19"/>
        <v xml:space="preserve">Billed </v>
      </c>
      <c r="F41" s="273" t="str">
        <f t="shared" si="19"/>
        <v>Discounts</v>
      </c>
      <c r="G41" s="273" t="str">
        <f t="shared" si="19"/>
        <v>Sewer Volume</v>
      </c>
      <c r="H41" s="273" t="str">
        <f t="shared" si="19"/>
        <v>Non-Tap Water Sales</v>
      </c>
      <c r="I41" s="273" t="str">
        <f t="shared" si="19"/>
        <v xml:space="preserve">Revenues </v>
      </c>
      <c r="J41" s="273" t="str">
        <f t="shared" si="19"/>
        <v>Collection</v>
      </c>
      <c r="L41" s="273" t="str">
        <f>S118</f>
        <v>Collection</v>
      </c>
      <c r="M41" s="273"/>
    </row>
    <row r="42" spans="2:13" x14ac:dyDescent="0.25">
      <c r="B42" s="273"/>
      <c r="C42" s="273" t="str">
        <f>C119</f>
        <v xml:space="preserve">(Credits) </v>
      </c>
      <c r="D42" s="273" t="str">
        <f>D119</f>
        <v>TAP Participants</v>
      </c>
      <c r="E42" s="273" t="str">
        <f>E119</f>
        <v>to TAP Participants</v>
      </c>
      <c r="F42" s="273" t="str">
        <f>F119</f>
        <v xml:space="preserve">(Credits) </v>
      </c>
      <c r="G42" s="273" t="str">
        <f>G119</f>
        <v>(Mcf)</v>
      </c>
      <c r="H42" s="273"/>
      <c r="I42" s="273" t="str">
        <f>I119</f>
        <v>Experienced</v>
      </c>
      <c r="J42" s="273"/>
      <c r="L42" s="273"/>
      <c r="M42" s="273"/>
    </row>
    <row r="43" spans="2:13" x14ac:dyDescent="0.25">
      <c r="B43" s="273"/>
      <c r="C43" s="274"/>
      <c r="D43" s="274" t="str">
        <f t="shared" ref="D43:F44" si="20">D120</f>
        <v>(Mcf)</v>
      </c>
      <c r="E43" s="275">
        <f t="shared" si="20"/>
        <v>1.63</v>
      </c>
      <c r="F43" s="276">
        <f t="shared" si="20"/>
        <v>0.97319999999999995</v>
      </c>
      <c r="G43" s="274"/>
      <c r="H43" s="275">
        <f>H120</f>
        <v>1.63</v>
      </c>
      <c r="I43" s="276">
        <f>I120</f>
        <v>0.97319999999999995</v>
      </c>
      <c r="J43" s="277"/>
      <c r="L43" s="276"/>
      <c r="M43" s="277"/>
    </row>
    <row r="44" spans="2:13" x14ac:dyDescent="0.25">
      <c r="B44" s="373"/>
      <c r="C44" s="279" t="str">
        <f>C121</f>
        <v>(1)</v>
      </c>
      <c r="D44" s="279" t="str">
        <f t="shared" si="20"/>
        <v>(2)</v>
      </c>
      <c r="E44" s="279" t="str">
        <f t="shared" si="20"/>
        <v>(3) = (2) * $ 1.630/Mcf</v>
      </c>
      <c r="F44" s="279" t="str">
        <f t="shared" si="20"/>
        <v>(4) = [(1) - (3)]* 0.9732</v>
      </c>
      <c r="G44" s="279" t="str">
        <f>G121</f>
        <v>(5)</v>
      </c>
      <c r="H44" s="279" t="str">
        <f>H121</f>
        <v>(6) = (5) * $ 1.630/Mcf</v>
      </c>
      <c r="I44" s="280" t="str">
        <f>I121</f>
        <v>(7) = (6) * 0.9732</v>
      </c>
      <c r="J44" s="279" t="str">
        <f>J121</f>
        <v>(8) = (7) - (4)</v>
      </c>
      <c r="L44" s="280" t="s">
        <v>207</v>
      </c>
      <c r="M44" s="279" t="s">
        <v>208</v>
      </c>
    </row>
    <row r="45" spans="2:13" x14ac:dyDescent="0.25">
      <c r="B45" s="281"/>
      <c r="C45" s="283"/>
      <c r="D45" s="283"/>
      <c r="E45" s="283"/>
      <c r="F45" s="283"/>
      <c r="G45" s="283"/>
      <c r="H45" s="283"/>
      <c r="I45" s="284" t="s">
        <v>191</v>
      </c>
      <c r="J45" s="374">
        <f>J122</f>
        <v>-121580.46009853249</v>
      </c>
      <c r="L45" s="374">
        <f>S122</f>
        <v>-121580.46009853249</v>
      </c>
      <c r="M45" s="283"/>
    </row>
    <row r="46" spans="2:13" x14ac:dyDescent="0.25">
      <c r="B46" s="286">
        <f t="shared" ref="B46:J46" si="21">B123</f>
        <v>44805</v>
      </c>
      <c r="C46" s="287">
        <f t="shared" si="21"/>
        <v>470868.38400000002</v>
      </c>
      <c r="D46" s="288">
        <f t="shared" si="21"/>
        <v>11151.5</v>
      </c>
      <c r="E46" s="289">
        <f t="shared" si="21"/>
        <v>18176.945</v>
      </c>
      <c r="F46" s="287">
        <f t="shared" si="21"/>
        <v>440559.30843480001</v>
      </c>
      <c r="G46" s="288">
        <f t="shared" si="21"/>
        <v>552367.30000000005</v>
      </c>
      <c r="H46" s="289">
        <f t="shared" si="21"/>
        <v>900359</v>
      </c>
      <c r="I46" s="289">
        <f t="shared" si="21"/>
        <v>876229.37879999995</v>
      </c>
      <c r="J46" s="287">
        <f t="shared" si="21"/>
        <v>435670.07036519994</v>
      </c>
      <c r="L46" s="287">
        <f t="shared" ref="L46:L56" si="22">S123</f>
        <v>435670.12389119994</v>
      </c>
      <c r="M46" s="287">
        <f>J46-L46</f>
        <v>-5.352600000333041E-2</v>
      </c>
    </row>
    <row r="47" spans="2:13" x14ac:dyDescent="0.25">
      <c r="B47" s="291">
        <f t="shared" ref="B47:J47" si="23">B124</f>
        <v>44835</v>
      </c>
      <c r="C47" s="292">
        <f t="shared" si="23"/>
        <v>455961.14999999997</v>
      </c>
      <c r="D47" s="293">
        <f t="shared" si="23"/>
        <v>10402.6</v>
      </c>
      <c r="E47" s="292">
        <f t="shared" si="23"/>
        <v>16956.238000000001</v>
      </c>
      <c r="F47" s="292">
        <f t="shared" si="23"/>
        <v>427239.58035839995</v>
      </c>
      <c r="G47" s="293">
        <f t="shared" si="23"/>
        <v>463872.6</v>
      </c>
      <c r="H47" s="292">
        <f t="shared" si="23"/>
        <v>756112</v>
      </c>
      <c r="I47" s="292">
        <f t="shared" si="23"/>
        <v>735848.19839999999</v>
      </c>
      <c r="J47" s="294">
        <f t="shared" si="23"/>
        <v>308608.61804160004</v>
      </c>
      <c r="L47" s="294">
        <f t="shared" si="22"/>
        <v>308608.38642000005</v>
      </c>
      <c r="M47" s="294">
        <f t="shared" ref="M47:M56" si="24">J47-L47</f>
        <v>0.23162159998901188</v>
      </c>
    </row>
    <row r="48" spans="2:13" x14ac:dyDescent="0.25">
      <c r="B48" s="286">
        <f t="shared" ref="B48:J48" si="25">B125</f>
        <v>44866</v>
      </c>
      <c r="C48" s="287">
        <f t="shared" si="25"/>
        <v>441533.28600000002</v>
      </c>
      <c r="D48" s="288">
        <f t="shared" si="25"/>
        <v>10098.299999999999</v>
      </c>
      <c r="E48" s="287">
        <f t="shared" si="25"/>
        <v>16460.228999999999</v>
      </c>
      <c r="F48" s="287">
        <f t="shared" si="25"/>
        <v>413681.09907240001</v>
      </c>
      <c r="G48" s="288">
        <f t="shared" si="25"/>
        <v>427595.4</v>
      </c>
      <c r="H48" s="289">
        <f t="shared" si="25"/>
        <v>696981</v>
      </c>
      <c r="I48" s="289">
        <f t="shared" si="25"/>
        <v>678301.90919999999</v>
      </c>
      <c r="J48" s="287">
        <f t="shared" si="25"/>
        <v>264620.81012759998</v>
      </c>
      <c r="L48" s="287">
        <f t="shared" si="22"/>
        <v>264620.58726479998</v>
      </c>
      <c r="M48" s="287">
        <f t="shared" si="24"/>
        <v>0.22286280000116676</v>
      </c>
    </row>
    <row r="49" spans="2:14" x14ac:dyDescent="0.25">
      <c r="B49" s="291">
        <f t="shared" ref="B49:J49" si="26">B126</f>
        <v>44896</v>
      </c>
      <c r="C49" s="292">
        <f t="shared" si="26"/>
        <v>469035.96600000007</v>
      </c>
      <c r="D49" s="293">
        <f t="shared" si="26"/>
        <v>10730.2</v>
      </c>
      <c r="E49" s="292">
        <f t="shared" si="26"/>
        <v>17490.225999999999</v>
      </c>
      <c r="F49" s="292">
        <f t="shared" si="26"/>
        <v>439444.31416800001</v>
      </c>
      <c r="G49" s="293">
        <f t="shared" si="26"/>
        <v>433276.5</v>
      </c>
      <c r="H49" s="292">
        <f t="shared" si="26"/>
        <v>706241</v>
      </c>
      <c r="I49" s="292">
        <f t="shared" si="26"/>
        <v>687313.74119999993</v>
      </c>
      <c r="J49" s="294">
        <f t="shared" si="26"/>
        <v>247869.42703199992</v>
      </c>
      <c r="L49" s="294">
        <f t="shared" si="22"/>
        <v>277969.62715199997</v>
      </c>
      <c r="M49" s="294">
        <f t="shared" si="24"/>
        <v>-30100.200120000052</v>
      </c>
    </row>
    <row r="50" spans="2:14" x14ac:dyDescent="0.25">
      <c r="B50" s="286">
        <f t="shared" ref="B50:J50" si="27">B127</f>
        <v>44927</v>
      </c>
      <c r="C50" s="287">
        <f t="shared" si="27"/>
        <v>524777.69999999995</v>
      </c>
      <c r="D50" s="288">
        <f t="shared" si="27"/>
        <v>12064.7</v>
      </c>
      <c r="E50" s="287">
        <f t="shared" si="27"/>
        <v>19665.460999999999</v>
      </c>
      <c r="F50" s="287">
        <f t="shared" si="27"/>
        <v>491575.23099479993</v>
      </c>
      <c r="G50" s="288">
        <f t="shared" si="27"/>
        <v>453280.5</v>
      </c>
      <c r="H50" s="289">
        <f t="shared" si="27"/>
        <v>738847</v>
      </c>
      <c r="I50" s="289">
        <f t="shared" si="27"/>
        <v>719045.90039999993</v>
      </c>
      <c r="J50" s="287">
        <f t="shared" si="27"/>
        <v>227470.66940519999</v>
      </c>
      <c r="L50" s="287">
        <f t="shared" si="22"/>
        <v>222176.42150399997</v>
      </c>
      <c r="M50" s="287">
        <f t="shared" si="24"/>
        <v>5294.2479012000258</v>
      </c>
    </row>
    <row r="51" spans="2:14" x14ac:dyDescent="0.25">
      <c r="B51" s="291">
        <f t="shared" ref="B51:J51" si="28">B128</f>
        <v>44958</v>
      </c>
      <c r="C51" s="292">
        <f t="shared" si="28"/>
        <v>419004.25799999997</v>
      </c>
      <c r="D51" s="293">
        <f t="shared" si="28"/>
        <v>9599.6</v>
      </c>
      <c r="E51" s="292">
        <f t="shared" si="28"/>
        <v>15647.348</v>
      </c>
      <c r="F51" s="292">
        <f t="shared" si="28"/>
        <v>392546.94481199997</v>
      </c>
      <c r="G51" s="293">
        <f t="shared" si="28"/>
        <v>381576</v>
      </c>
      <c r="H51" s="292">
        <f t="shared" si="28"/>
        <v>621969</v>
      </c>
      <c r="I51" s="292">
        <f t="shared" si="28"/>
        <v>605300.23080000002</v>
      </c>
      <c r="J51" s="294">
        <f t="shared" si="28"/>
        <v>212753.28598800005</v>
      </c>
      <c r="L51" s="294">
        <f t="shared" si="22"/>
        <v>289705.47934692976</v>
      </c>
      <c r="M51" s="294">
        <f t="shared" si="24"/>
        <v>-76952.193358929711</v>
      </c>
    </row>
    <row r="52" spans="2:14" x14ac:dyDescent="0.25">
      <c r="B52" s="286">
        <f t="shared" ref="B52:J52" si="29">B129</f>
        <v>44986</v>
      </c>
      <c r="C52" s="287">
        <f t="shared" si="29"/>
        <v>514501.78199999995</v>
      </c>
      <c r="D52" s="288">
        <f t="shared" si="29"/>
        <v>11896.8</v>
      </c>
      <c r="E52" s="287">
        <f t="shared" si="29"/>
        <v>19391.783999999996</v>
      </c>
      <c r="F52" s="287">
        <f t="shared" si="29"/>
        <v>481841.05005359993</v>
      </c>
      <c r="G52" s="288">
        <f t="shared" si="29"/>
        <v>445810.2</v>
      </c>
      <c r="H52" s="289">
        <f t="shared" si="29"/>
        <v>726671</v>
      </c>
      <c r="I52" s="289">
        <f t="shared" si="29"/>
        <v>707196.21719999996</v>
      </c>
      <c r="J52" s="287">
        <f t="shared" si="29"/>
        <v>225355.16714640002</v>
      </c>
      <c r="L52" s="287">
        <f t="shared" si="22"/>
        <v>284024.95387754421</v>
      </c>
      <c r="M52" s="287">
        <f t="shared" si="24"/>
        <v>-58669.786731144181</v>
      </c>
    </row>
    <row r="53" spans="2:14" x14ac:dyDescent="0.25">
      <c r="B53" s="291">
        <f t="shared" ref="B53:J53" si="30">B130</f>
        <v>45017</v>
      </c>
      <c r="C53" s="292">
        <f t="shared" si="30"/>
        <v>432685.92599999998</v>
      </c>
      <c r="D53" s="293">
        <f t="shared" si="30"/>
        <v>9954.7000000000007</v>
      </c>
      <c r="E53" s="292">
        <f t="shared" si="30"/>
        <v>16226.161</v>
      </c>
      <c r="F53" s="292">
        <f t="shared" si="30"/>
        <v>405298.64329799992</v>
      </c>
      <c r="G53" s="293">
        <f t="shared" si="30"/>
        <v>401523.3</v>
      </c>
      <c r="H53" s="292">
        <f t="shared" si="30"/>
        <v>654483</v>
      </c>
      <c r="I53" s="292">
        <f t="shared" si="30"/>
        <v>636942.85560000001</v>
      </c>
      <c r="J53" s="294">
        <f t="shared" si="30"/>
        <v>231644.21230200009</v>
      </c>
      <c r="L53" s="294">
        <f t="shared" si="22"/>
        <v>278270.12402678933</v>
      </c>
      <c r="M53" s="294">
        <f t="shared" si="24"/>
        <v>-46625.911724789243</v>
      </c>
    </row>
    <row r="54" spans="2:14" x14ac:dyDescent="0.25">
      <c r="B54" s="286">
        <f t="shared" ref="B54:J54" si="31">B131</f>
        <v>45047</v>
      </c>
      <c r="C54" s="287">
        <f t="shared" si="31"/>
        <v>455349.22200000001</v>
      </c>
      <c r="D54" s="288">
        <f t="shared" si="31"/>
        <v>10509.3</v>
      </c>
      <c r="E54" s="287">
        <f t="shared" si="31"/>
        <v>17130.158999999996</v>
      </c>
      <c r="F54" s="287">
        <f t="shared" si="31"/>
        <v>426474.79211159999</v>
      </c>
      <c r="G54" s="288">
        <f t="shared" si="31"/>
        <v>402291.3</v>
      </c>
      <c r="H54" s="289">
        <f t="shared" si="31"/>
        <v>655735</v>
      </c>
      <c r="I54" s="289">
        <f t="shared" si="31"/>
        <v>638161.30200000003</v>
      </c>
      <c r="J54" s="287">
        <f t="shared" si="31"/>
        <v>211686.50988840003</v>
      </c>
      <c r="L54" s="287">
        <f t="shared" si="22"/>
        <v>272438.00962792744</v>
      </c>
      <c r="M54" s="287">
        <f t="shared" si="24"/>
        <v>-60751.499739527411</v>
      </c>
    </row>
    <row r="55" spans="2:14" x14ac:dyDescent="0.25">
      <c r="B55" s="291">
        <f t="shared" ref="B55:J55" si="32">B132</f>
        <v>45078</v>
      </c>
      <c r="C55" s="292">
        <f t="shared" si="32"/>
        <v>588757.16399999999</v>
      </c>
      <c r="D55" s="293">
        <f t="shared" si="32"/>
        <v>13411.3</v>
      </c>
      <c r="E55" s="292">
        <f t="shared" si="32"/>
        <v>21860.418999999998</v>
      </c>
      <c r="F55" s="292">
        <f t="shared" si="32"/>
        <v>551703.91223399993</v>
      </c>
      <c r="G55" s="293">
        <f t="shared" si="32"/>
        <v>458256.1</v>
      </c>
      <c r="H55" s="292">
        <f t="shared" si="32"/>
        <v>746957</v>
      </c>
      <c r="I55" s="292">
        <f t="shared" si="32"/>
        <v>726938.55239999993</v>
      </c>
      <c r="J55" s="294">
        <f t="shared" si="32"/>
        <v>175234.640166</v>
      </c>
      <c r="L55" s="294">
        <f t="shared" si="22"/>
        <v>266529.50964782469</v>
      </c>
      <c r="M55" s="294">
        <f t="shared" si="24"/>
        <v>-91294.869481824688</v>
      </c>
    </row>
    <row r="56" spans="2:14" x14ac:dyDescent="0.25">
      <c r="B56" s="286">
        <f t="shared" ref="B56:J57" si="33">B133</f>
        <v>45108</v>
      </c>
      <c r="C56" s="287">
        <f t="shared" si="33"/>
        <v>641342.79600000009</v>
      </c>
      <c r="D56" s="288">
        <f t="shared" si="33"/>
        <v>14577.1</v>
      </c>
      <c r="E56" s="287">
        <f t="shared" si="33"/>
        <v>23760.672999999999</v>
      </c>
      <c r="F56" s="287">
        <f t="shared" si="33"/>
        <v>601030.92210360011</v>
      </c>
      <c r="G56" s="288">
        <f t="shared" si="33"/>
        <v>484425.5</v>
      </c>
      <c r="H56" s="289">
        <f t="shared" si="33"/>
        <v>789614</v>
      </c>
      <c r="I56" s="289">
        <f t="shared" si="33"/>
        <v>768452.34479999996</v>
      </c>
      <c r="J56" s="287">
        <f t="shared" si="33"/>
        <v>167421.42269639985</v>
      </c>
      <c r="L56" s="287">
        <f t="shared" si="22"/>
        <v>260543.5628062808</v>
      </c>
      <c r="M56" s="287">
        <f t="shared" si="24"/>
        <v>-93122.140109880944</v>
      </c>
    </row>
    <row r="57" spans="2:14" x14ac:dyDescent="0.25">
      <c r="B57" s="291">
        <f t="shared" si="33"/>
        <v>45139</v>
      </c>
      <c r="C57" s="292">
        <f t="shared" si="33"/>
        <v>619373.6399999999</v>
      </c>
      <c r="D57" s="293">
        <f t="shared" si="33"/>
        <v>14008.9</v>
      </c>
      <c r="E57" s="292">
        <f t="shared" si="33"/>
        <v>22834.506999999998</v>
      </c>
      <c r="F57" s="292">
        <f t="shared" si="33"/>
        <v>580551.88423559989</v>
      </c>
      <c r="G57" s="293">
        <f t="shared" si="33"/>
        <v>453677</v>
      </c>
      <c r="H57" s="292">
        <f t="shared" si="33"/>
        <v>739494</v>
      </c>
      <c r="I57" s="292">
        <f t="shared" si="33"/>
        <v>719675.56079999998</v>
      </c>
      <c r="J57" s="294">
        <f t="shared" si="33"/>
        <v>139123.67656440008</v>
      </c>
      <c r="L57" s="294">
        <f t="shared" ref="L57" si="34">S134</f>
        <v>254477.14739297191</v>
      </c>
      <c r="M57" s="294">
        <f t="shared" ref="M57" si="35">J57-L57</f>
        <v>-115353.47082857182</v>
      </c>
    </row>
    <row r="58" spans="2:14" ht="5.0999999999999996" customHeight="1" x14ac:dyDescent="0.25">
      <c r="B58" s="298"/>
      <c r="C58" s="298"/>
      <c r="D58" s="298"/>
      <c r="E58" s="298"/>
      <c r="F58" s="298"/>
      <c r="G58" s="298"/>
      <c r="H58" s="298"/>
      <c r="I58" s="298"/>
      <c r="J58" s="298"/>
      <c r="L58" s="298"/>
      <c r="M58" s="298"/>
    </row>
    <row r="59" spans="2:14" x14ac:dyDescent="0.25">
      <c r="B59" s="299" t="s">
        <v>144</v>
      </c>
      <c r="C59" s="300">
        <f>SUM(C46:C57)</f>
        <v>6033191.2740000002</v>
      </c>
      <c r="D59" s="301">
        <f t="shared" ref="D59:I59" si="36">SUM(D46:D57)</f>
        <v>138405</v>
      </c>
      <c r="E59" s="300">
        <f t="shared" si="36"/>
        <v>225600.14999999997</v>
      </c>
      <c r="F59" s="300">
        <f t="shared" si="36"/>
        <v>5651947.6818767991</v>
      </c>
      <c r="G59" s="301">
        <f t="shared" si="36"/>
        <v>5357951.6999999993</v>
      </c>
      <c r="H59" s="300">
        <f t="shared" si="36"/>
        <v>8733463</v>
      </c>
      <c r="I59" s="300">
        <f t="shared" si="36"/>
        <v>8499406.1916000005</v>
      </c>
      <c r="J59" s="302">
        <f>SUM(J45:J57)</f>
        <v>2725878.0496246675</v>
      </c>
      <c r="L59" s="302">
        <f>SUM(L45:L57)</f>
        <v>3293453.4728597361</v>
      </c>
      <c r="M59" s="302">
        <f>SUM(M46:M57)</f>
        <v>-567575.4232350681</v>
      </c>
    </row>
    <row r="60" spans="2:14" x14ac:dyDescent="0.25">
      <c r="F60" s="303"/>
      <c r="G60" s="233"/>
    </row>
    <row r="61" spans="2:14" x14ac:dyDescent="0.25">
      <c r="I61" s="381" t="s">
        <v>209</v>
      </c>
      <c r="J61" s="382">
        <f>J59</f>
        <v>2725878.0496246675</v>
      </c>
      <c r="K61" s="383"/>
      <c r="L61" s="384">
        <f>L59</f>
        <v>3293453.4728597361</v>
      </c>
      <c r="M61" s="384">
        <f>J61-L61</f>
        <v>-567575.42323506856</v>
      </c>
      <c r="N61" s="229" t="s">
        <v>300</v>
      </c>
    </row>
    <row r="62" spans="2:14" hidden="1" x14ac:dyDescent="0.25">
      <c r="B62" s="181" t="s">
        <v>196</v>
      </c>
      <c r="N62" s="181" t="s">
        <v>213</v>
      </c>
    </row>
    <row r="63" spans="2:14" hidden="1" x14ac:dyDescent="0.25">
      <c r="B63" s="253" t="str">
        <f>"(1) - TAP Actual Discounts reflects sewer's "&amp;FIXED('Assumptions and Inputs'!$C$49*100, 1, 0)&amp;"% allocated portion of the Total TAP Discount."</f>
        <v>(1) - TAP Actual Discounts reflects sewer's 60.0% allocated portion of the Total TAP Discount.</v>
      </c>
    </row>
    <row r="64" spans="2:14" hidden="1" x14ac:dyDescent="0.25">
      <c r="B64" s="253" t="s">
        <v>273</v>
      </c>
    </row>
    <row r="65" spans="1:22" hidden="1" x14ac:dyDescent="0.25">
      <c r="B65" s="253" t="str">
        <f>"(3) &amp; (6) - Sewer TAP-R Rates per PWD Regulations - Rates and Charges Effective "&amp;TEXT('Assumptions and Inputs'!F29,)&amp;" "&amp;TEXT('Assumptions and Inputs'!G29,)&amp;"."</f>
        <v>(3) &amp; (6) - Sewer TAP-R Rates per PWD Regulations - Rates and Charges Effective PWD Regulations - Rates and Charges Effective September 1, 2022 Section 10.3(b)(1).</v>
      </c>
    </row>
    <row r="66" spans="1:22" hidden="1" x14ac:dyDescent="0.25">
      <c r="B66" s="253" t="str">
        <f>"(4) &amp; (7) - Adjusted for system-wide collection factor in accordance with  "&amp;'Assumptions and Inputs'!F45&amp;" "&amp;'Assumptions and Inputs'!G45&amp;"."</f>
        <v>(4) &amp; (7) - Adjusted for system-wide collection factor in accordance with  PWD Regulations - Rates and Charges Effective September 1, 2022 Section 10.1(b)(3).</v>
      </c>
    </row>
    <row r="67" spans="1:22" hidden="1" x14ac:dyDescent="0.25">
      <c r="B67" s="253" t="str">
        <f>"(5) - Updated to reflect actual billed water sales volumes for December 2022 through August 2023."</f>
        <v>(5) - Updated to reflect actual billed water sales volumes for December 2022 through August 2023.</v>
      </c>
    </row>
    <row r="68" spans="1:22" hidden="1" x14ac:dyDescent="0.25">
      <c r="B68" s="347" t="s">
        <v>211</v>
      </c>
    </row>
    <row r="69" spans="1:22" hidden="1" x14ac:dyDescent="0.25">
      <c r="B69" s="347" t="str">
        <f>"(9) - Over/(Under) Collection for "&amp;TEXT(B46,"MMMM YYYY")&amp;" to "&amp;TEXT(B57,"MMMM YYYY")&amp;" as calculated during the prior TAP-R Reconciliation Determination."</f>
        <v>(9) - Over/(Under) Collection for September 2022 to August 2023 as calculated during the prior TAP-R Reconciliation Determination.</v>
      </c>
    </row>
    <row r="70" spans="1:22" hidden="1" x14ac:dyDescent="0.25">
      <c r="B70" s="347" t="s">
        <v>212</v>
      </c>
    </row>
    <row r="71" spans="1:22" x14ac:dyDescent="0.25">
      <c r="B71" s="347"/>
    </row>
    <row r="72" spans="1:22" x14ac:dyDescent="0.25">
      <c r="A72" s="348" t="s">
        <v>214</v>
      </c>
      <c r="B72" s="349"/>
      <c r="C72" s="350"/>
      <c r="D72" s="350"/>
      <c r="E72" s="350"/>
      <c r="F72" s="350"/>
      <c r="G72" s="350"/>
      <c r="H72" s="350"/>
      <c r="I72" s="350"/>
      <c r="J72" s="350"/>
      <c r="K72" s="350"/>
      <c r="L72" s="350"/>
      <c r="M72" s="350"/>
      <c r="N72" s="350"/>
      <c r="O72" s="350"/>
      <c r="P72" s="350"/>
      <c r="Q72" s="350"/>
      <c r="R72" s="350"/>
      <c r="S72" s="350"/>
      <c r="T72" s="350"/>
      <c r="U72" s="350"/>
      <c r="V72" s="350"/>
    </row>
    <row r="73" spans="1:22" x14ac:dyDescent="0.25"/>
    <row r="74" spans="1:22" x14ac:dyDescent="0.25">
      <c r="B74" s="238" t="s">
        <v>31</v>
      </c>
      <c r="C74" s="238"/>
      <c r="D74" s="238"/>
      <c r="E74" s="238"/>
      <c r="F74" s="238"/>
      <c r="G74" s="238"/>
      <c r="H74" s="238"/>
      <c r="I74" s="238"/>
      <c r="J74" s="238"/>
      <c r="K74" s="238"/>
      <c r="L74" s="238"/>
      <c r="M74" s="238"/>
      <c r="N74" s="238"/>
      <c r="O74" s="238"/>
      <c r="P74" s="238"/>
      <c r="Q74" s="238"/>
      <c r="R74" s="238"/>
      <c r="S74" s="238"/>
      <c r="T74" s="238"/>
      <c r="U74" s="238"/>
    </row>
    <row r="75" spans="1:22" ht="14.4" thickBot="1" x14ac:dyDescent="0.3">
      <c r="B75" s="238" t="s">
        <v>215</v>
      </c>
      <c r="C75" s="238"/>
      <c r="D75" s="238"/>
      <c r="E75" s="238"/>
      <c r="F75" s="238"/>
      <c r="G75" s="238"/>
      <c r="H75" s="238"/>
      <c r="I75" s="238"/>
      <c r="J75" s="238"/>
      <c r="K75" s="238"/>
      <c r="L75" s="238"/>
      <c r="M75" s="238"/>
      <c r="N75" s="238"/>
      <c r="O75" s="238"/>
      <c r="P75" s="238"/>
      <c r="Q75" s="238"/>
      <c r="R75" s="238"/>
      <c r="S75" s="238"/>
      <c r="T75" s="238"/>
      <c r="U75" s="238"/>
    </row>
    <row r="76" spans="1:22" ht="14.4" thickBot="1" x14ac:dyDescent="0.3">
      <c r="C76" s="315" t="s">
        <v>216</v>
      </c>
      <c r="D76" s="316"/>
      <c r="E76" s="316"/>
      <c r="F76" s="316"/>
      <c r="G76" s="316"/>
      <c r="H76" s="316"/>
      <c r="I76" s="316"/>
      <c r="J76" s="317"/>
      <c r="L76" s="351" t="s">
        <v>217</v>
      </c>
      <c r="M76" s="352"/>
      <c r="N76" s="352"/>
      <c r="O76" s="352"/>
      <c r="P76" s="352"/>
      <c r="Q76" s="352"/>
      <c r="R76" s="352"/>
      <c r="S76" s="353"/>
      <c r="U76" s="318" t="s">
        <v>206</v>
      </c>
    </row>
    <row r="77" spans="1:22" x14ac:dyDescent="0.25">
      <c r="B77" s="319" t="s">
        <v>171</v>
      </c>
      <c r="C77" s="320" t="s">
        <v>172</v>
      </c>
      <c r="D77" s="320" t="s">
        <v>173</v>
      </c>
      <c r="E77" s="320" t="s">
        <v>174</v>
      </c>
      <c r="F77" s="320" t="s">
        <v>175</v>
      </c>
      <c r="G77" s="320" t="s">
        <v>176</v>
      </c>
      <c r="H77" s="320" t="s">
        <v>177</v>
      </c>
      <c r="I77" s="320" t="s">
        <v>178</v>
      </c>
      <c r="J77" s="320" t="s">
        <v>179</v>
      </c>
      <c r="L77" s="319" t="s">
        <v>172</v>
      </c>
      <c r="M77" s="319" t="s">
        <v>173</v>
      </c>
      <c r="N77" s="319" t="s">
        <v>174</v>
      </c>
      <c r="O77" s="319" t="s">
        <v>175</v>
      </c>
      <c r="P77" s="319" t="s">
        <v>176</v>
      </c>
      <c r="Q77" s="319" t="s">
        <v>177</v>
      </c>
      <c r="R77" s="319" t="s">
        <v>178</v>
      </c>
      <c r="S77" s="320" t="s">
        <v>179</v>
      </c>
      <c r="U77" s="320" t="s">
        <v>218</v>
      </c>
    </row>
    <row r="78" spans="1:22" x14ac:dyDescent="0.25">
      <c r="B78" s="320" t="s">
        <v>170</v>
      </c>
      <c r="C78" s="320" t="s">
        <v>180</v>
      </c>
      <c r="D78" s="320" t="s">
        <v>181</v>
      </c>
      <c r="E78" s="320" t="s">
        <v>182</v>
      </c>
      <c r="F78" s="320" t="s">
        <v>180</v>
      </c>
      <c r="G78" s="320" t="s">
        <v>181</v>
      </c>
      <c r="H78" s="320" t="s">
        <v>183</v>
      </c>
      <c r="I78" s="320" t="s">
        <v>184</v>
      </c>
      <c r="J78" s="320" t="s">
        <v>185</v>
      </c>
      <c r="L78" s="320" t="s">
        <v>180</v>
      </c>
      <c r="M78" s="320" t="s">
        <v>181</v>
      </c>
      <c r="N78" s="320" t="s">
        <v>182</v>
      </c>
      <c r="O78" s="320" t="s">
        <v>180</v>
      </c>
      <c r="P78" s="320" t="s">
        <v>181</v>
      </c>
      <c r="Q78" s="320" t="s">
        <v>183</v>
      </c>
      <c r="R78" s="320" t="s">
        <v>184</v>
      </c>
      <c r="S78" s="320" t="s">
        <v>185</v>
      </c>
      <c r="U78" s="320" t="s">
        <v>219</v>
      </c>
    </row>
    <row r="79" spans="1:22" x14ac:dyDescent="0.25">
      <c r="B79" s="320"/>
      <c r="C79" s="320" t="s">
        <v>186</v>
      </c>
      <c r="D79" s="320" t="s">
        <v>187</v>
      </c>
      <c r="E79" s="320" t="s">
        <v>188</v>
      </c>
      <c r="F79" s="320" t="s">
        <v>186</v>
      </c>
      <c r="G79" s="320" t="s">
        <v>187</v>
      </c>
      <c r="H79" s="320"/>
      <c r="I79" s="320" t="s">
        <v>189</v>
      </c>
      <c r="J79" s="320"/>
      <c r="L79" s="320" t="s">
        <v>186</v>
      </c>
      <c r="M79" s="320" t="s">
        <v>187</v>
      </c>
      <c r="N79" s="320" t="s">
        <v>188</v>
      </c>
      <c r="O79" s="320" t="s">
        <v>186</v>
      </c>
      <c r="P79" s="320" t="s">
        <v>187</v>
      </c>
      <c r="Q79" s="320"/>
      <c r="R79" s="320" t="s">
        <v>189</v>
      </c>
      <c r="S79" s="320"/>
      <c r="U79" s="320"/>
    </row>
    <row r="80" spans="1:22" x14ac:dyDescent="0.25">
      <c r="B80" s="320"/>
      <c r="C80" s="321"/>
      <c r="D80" s="321"/>
      <c r="E80" s="322">
        <f>'Assumptions and Inputs'!$C$27</f>
        <v>1.03</v>
      </c>
      <c r="F80" s="323">
        <f>'Assumptions and Inputs'!$C$45</f>
        <v>0.97319999999999995</v>
      </c>
      <c r="G80" s="321"/>
      <c r="H80" s="322">
        <f>'Assumptions and Inputs'!$C$27</f>
        <v>1.03</v>
      </c>
      <c r="I80" s="323">
        <f>'Assumptions and Inputs'!$C$45</f>
        <v>0.97319999999999995</v>
      </c>
      <c r="J80" s="324"/>
      <c r="L80" s="321"/>
      <c r="M80" s="321"/>
      <c r="N80" s="322">
        <v>1.03</v>
      </c>
      <c r="O80" s="323">
        <v>0.97319999999999995</v>
      </c>
      <c r="P80" s="321"/>
      <c r="Q80" s="322">
        <v>1.03</v>
      </c>
      <c r="R80" s="323">
        <v>0.97319999999999995</v>
      </c>
      <c r="S80" s="324"/>
      <c r="U80" s="324"/>
    </row>
    <row r="81" spans="1:21" x14ac:dyDescent="0.25">
      <c r="B81" s="325"/>
      <c r="C81" s="326" t="s">
        <v>152</v>
      </c>
      <c r="D81" s="326" t="s">
        <v>153</v>
      </c>
      <c r="E81" s="326" t="str">
        <f>"(3) = (2) * $ "&amp;FIXED(E80,3,)&amp;"/Mcf"</f>
        <v>(3) = (2) * $ 1.030/Mcf</v>
      </c>
      <c r="F81" s="326" t="str">
        <f>"(4) = [(1) - (3)]* "&amp;FIXED(F80,4,)&amp;""</f>
        <v>(4) = [(1) - (3)]* 0.9732</v>
      </c>
      <c r="G81" s="326" t="s">
        <v>156</v>
      </c>
      <c r="H81" s="326" t="str">
        <f>"(6) = (5) * $ "&amp;FIXED(H80,3,)&amp;"/Mcf"</f>
        <v>(6) = (5) * $ 1.030/Mcf</v>
      </c>
      <c r="I81" s="327" t="str">
        <f>"(7) = (6) * "&amp;FIXED(F80,4,)&amp;""</f>
        <v>(7) = (6) * 0.9732</v>
      </c>
      <c r="J81" s="326" t="s">
        <v>190</v>
      </c>
      <c r="L81" s="326" t="s">
        <v>152</v>
      </c>
      <c r="M81" s="326" t="s">
        <v>153</v>
      </c>
      <c r="N81" s="326" t="s">
        <v>265</v>
      </c>
      <c r="O81" s="326" t="s">
        <v>266</v>
      </c>
      <c r="P81" s="326" t="s">
        <v>156</v>
      </c>
      <c r="Q81" s="326" t="s">
        <v>267</v>
      </c>
      <c r="R81" s="327" t="s">
        <v>268</v>
      </c>
      <c r="S81" s="326" t="s">
        <v>190</v>
      </c>
      <c r="U81" s="326" t="s">
        <v>220</v>
      </c>
    </row>
    <row r="82" spans="1:21" x14ac:dyDescent="0.25">
      <c r="B82" s="328"/>
      <c r="C82" s="329"/>
      <c r="D82" s="329"/>
      <c r="E82" s="329"/>
      <c r="F82" s="329"/>
      <c r="G82" s="329"/>
      <c r="H82" s="329"/>
      <c r="I82" s="330" t="s">
        <v>191</v>
      </c>
      <c r="J82" s="354">
        <v>-80139.603089245022</v>
      </c>
      <c r="L82" s="329"/>
      <c r="M82" s="329"/>
      <c r="N82" s="329"/>
      <c r="O82" s="329"/>
      <c r="P82" s="329"/>
      <c r="Q82" s="329"/>
      <c r="R82" s="330" t="s">
        <v>191</v>
      </c>
      <c r="S82" s="354">
        <v>-80139.603089245022</v>
      </c>
      <c r="U82" s="329"/>
    </row>
    <row r="83" spans="1:21" x14ac:dyDescent="0.25">
      <c r="A83" s="355">
        <v>1</v>
      </c>
      <c r="B83" s="332">
        <v>44805</v>
      </c>
      <c r="C83" s="335">
        <f>Customer!$AZ$11*'Assumptions and Inputs'!$C$47</f>
        <v>313912.25599999999</v>
      </c>
      <c r="D83" s="356">
        <f>Customer!$AZ$29/'Assumptions and Inputs'!$C$21</f>
        <v>11152.5</v>
      </c>
      <c r="E83" s="335">
        <f t="shared" ref="E83:E93" si="37">ROUND($E$80*D83, 0)</f>
        <v>11487</v>
      </c>
      <c r="F83" s="333">
        <f>(C83-E83)*$F$80</f>
        <v>294320.25913919997</v>
      </c>
      <c r="G83" s="356">
        <f>Customer!$AZ$34/'Assumptions and Inputs'!$C$21</f>
        <v>587289.9</v>
      </c>
      <c r="H83" s="335">
        <f>$H$80*G83</f>
        <v>604908.59700000007</v>
      </c>
      <c r="I83" s="335">
        <f>H83*$I$80</f>
        <v>588697.0466004</v>
      </c>
      <c r="J83" s="333">
        <f>I83-F83</f>
        <v>294376.78746120003</v>
      </c>
      <c r="L83" s="357">
        <v>313912.25599999999</v>
      </c>
      <c r="M83" s="356">
        <v>11152.5</v>
      </c>
      <c r="N83" s="358">
        <v>11487</v>
      </c>
      <c r="O83" s="357">
        <v>294320.25913919997</v>
      </c>
      <c r="P83" s="356">
        <v>587289.9</v>
      </c>
      <c r="Q83" s="358">
        <v>604909</v>
      </c>
      <c r="R83" s="358">
        <v>588697.4388</v>
      </c>
      <c r="S83" s="357">
        <v>294377.17966080003</v>
      </c>
      <c r="U83" s="333">
        <f t="shared" ref="U83:U94" si="38">J83-S83</f>
        <v>-0.39219959999900311</v>
      </c>
    </row>
    <row r="84" spans="1:21" x14ac:dyDescent="0.25">
      <c r="A84" s="355">
        <v>2</v>
      </c>
      <c r="B84" s="336">
        <v>44835</v>
      </c>
      <c r="C84" s="337">
        <f>Customer!$BA$11*'Assumptions and Inputs'!$C$47</f>
        <v>303974.10000000003</v>
      </c>
      <c r="D84" s="359">
        <f>Customer!$BA$29/'Assumptions and Inputs'!$C$21</f>
        <v>10403.299999999999</v>
      </c>
      <c r="E84" s="337">
        <f t="shared" si="37"/>
        <v>10715</v>
      </c>
      <c r="F84" s="337">
        <f t="shared" ref="F84:F93" si="39">(C84-E84)*$F$80</f>
        <v>285399.75612000003</v>
      </c>
      <c r="G84" s="359">
        <f>Customer!$BA$34/'Assumptions and Inputs'!$C$21</f>
        <v>490408</v>
      </c>
      <c r="H84" s="337">
        <f t="shared" ref="H84:H92" si="40">$H$80*G84</f>
        <v>505120.24</v>
      </c>
      <c r="I84" s="337">
        <f t="shared" ref="I84:I93" si="41">H84*$I$80</f>
        <v>491583.01756799995</v>
      </c>
      <c r="J84" s="339">
        <f t="shared" ref="J84:J93" si="42">I84-F84</f>
        <v>206183.26144799992</v>
      </c>
      <c r="L84" s="360">
        <v>303974.10000000003</v>
      </c>
      <c r="M84" s="359">
        <v>10403.299999999999</v>
      </c>
      <c r="N84" s="360">
        <v>10715</v>
      </c>
      <c r="O84" s="360">
        <v>285399.75612000003</v>
      </c>
      <c r="P84" s="359">
        <v>490408</v>
      </c>
      <c r="Q84" s="360">
        <v>505120</v>
      </c>
      <c r="R84" s="360">
        <v>491582.78399999999</v>
      </c>
      <c r="S84" s="361">
        <v>206183.02787999995</v>
      </c>
      <c r="U84" s="339">
        <f t="shared" si="38"/>
        <v>0.23356799996690825</v>
      </c>
    </row>
    <row r="85" spans="1:21" x14ac:dyDescent="0.25">
      <c r="A85" s="355">
        <v>3</v>
      </c>
      <c r="B85" s="332">
        <v>44866</v>
      </c>
      <c r="C85" s="333">
        <f>Customer!$BB$11*'Assumptions and Inputs'!$C$47</f>
        <v>294355.52400000003</v>
      </c>
      <c r="D85" s="362">
        <f>Customer!$BB$29/'Assumptions and Inputs'!$C$21</f>
        <v>10099.5</v>
      </c>
      <c r="E85" s="333">
        <f t="shared" si="37"/>
        <v>10402</v>
      </c>
      <c r="F85" s="333">
        <f t="shared" si="39"/>
        <v>276343.56955680001</v>
      </c>
      <c r="G85" s="362">
        <f>Customer!$BB$34/'Assumptions and Inputs'!$C$21</f>
        <v>451893.6</v>
      </c>
      <c r="H85" s="341">
        <f t="shared" si="40"/>
        <v>465450.408</v>
      </c>
      <c r="I85" s="341">
        <f t="shared" si="41"/>
        <v>452976.33706559998</v>
      </c>
      <c r="J85" s="333">
        <f t="shared" si="42"/>
        <v>176632.76750879997</v>
      </c>
      <c r="L85" s="357">
        <v>294355.52400000003</v>
      </c>
      <c r="M85" s="362">
        <v>10099.5</v>
      </c>
      <c r="N85" s="357">
        <v>10402</v>
      </c>
      <c r="O85" s="357">
        <v>276343.56955680001</v>
      </c>
      <c r="P85" s="362">
        <v>451893.6</v>
      </c>
      <c r="Q85" s="363">
        <v>465450</v>
      </c>
      <c r="R85" s="363">
        <v>452975.94</v>
      </c>
      <c r="S85" s="357">
        <v>176632.37044319999</v>
      </c>
      <c r="U85" s="333">
        <f t="shared" si="38"/>
        <v>0.39706559997284785</v>
      </c>
    </row>
    <row r="86" spans="1:21" x14ac:dyDescent="0.25">
      <c r="A86" s="355">
        <v>4</v>
      </c>
      <c r="B86" s="336">
        <v>44896</v>
      </c>
      <c r="C86" s="342">
        <f>Customer!$BC$11*'Assumptions and Inputs'!$C$47</f>
        <v>312690.64400000003</v>
      </c>
      <c r="D86" s="364">
        <f>Customer!$BC$29/'Assumptions and Inputs'!$C$21</f>
        <v>10732.2</v>
      </c>
      <c r="E86" s="342">
        <f t="shared" si="37"/>
        <v>11054</v>
      </c>
      <c r="F86" s="342">
        <f t="shared" si="39"/>
        <v>293552.78194080002</v>
      </c>
      <c r="G86" s="364">
        <f>Customer!$BC$34/'Assumptions and Inputs'!$C$21</f>
        <v>456521.8</v>
      </c>
      <c r="H86" s="342">
        <f t="shared" si="40"/>
        <v>470217.45400000003</v>
      </c>
      <c r="I86" s="342">
        <f t="shared" si="41"/>
        <v>457615.62623280002</v>
      </c>
      <c r="J86" s="339">
        <f t="shared" si="42"/>
        <v>164062.84429199999</v>
      </c>
      <c r="L86" s="365">
        <v>314105.76</v>
      </c>
      <c r="M86" s="364">
        <v>10758.4</v>
      </c>
      <c r="N86" s="365">
        <v>11081</v>
      </c>
      <c r="O86" s="365">
        <v>294903.69643199997</v>
      </c>
      <c r="P86" s="364">
        <v>479606.5</v>
      </c>
      <c r="Q86" s="365">
        <v>493995</v>
      </c>
      <c r="R86" s="365">
        <v>480755.93399999995</v>
      </c>
      <c r="S86" s="361">
        <v>185852.23756799998</v>
      </c>
      <c r="U86" s="339">
        <f t="shared" si="38"/>
        <v>-21789.393275999988</v>
      </c>
    </row>
    <row r="87" spans="1:21" x14ac:dyDescent="0.25">
      <c r="A87" s="355">
        <v>5</v>
      </c>
      <c r="B87" s="332">
        <v>44927</v>
      </c>
      <c r="C87" s="333">
        <f>Customer!$BD$11*'Assumptions and Inputs'!$C$47</f>
        <v>349851.80000000005</v>
      </c>
      <c r="D87" s="362">
        <f>Customer!$BD$29/'Assumptions and Inputs'!$C$21</f>
        <v>12066.3</v>
      </c>
      <c r="E87" s="333">
        <f t="shared" si="37"/>
        <v>12428</v>
      </c>
      <c r="F87" s="333">
        <f t="shared" si="39"/>
        <v>328380.84216000006</v>
      </c>
      <c r="G87" s="362">
        <f>Customer!$BD$34/'Assumptions and Inputs'!$C$21</f>
        <v>476141.2</v>
      </c>
      <c r="H87" s="341">
        <f t="shared" si="40"/>
        <v>490425.43600000005</v>
      </c>
      <c r="I87" s="341">
        <f t="shared" si="41"/>
        <v>477282.0343152</v>
      </c>
      <c r="J87" s="333">
        <f t="shared" si="42"/>
        <v>148901.19215519994</v>
      </c>
      <c r="L87" s="357">
        <v>352603.52</v>
      </c>
      <c r="M87" s="362">
        <v>12140.9</v>
      </c>
      <c r="N87" s="357">
        <v>12505</v>
      </c>
      <c r="O87" s="357">
        <v>330983.87966400001</v>
      </c>
      <c r="P87" s="362">
        <v>479606.5</v>
      </c>
      <c r="Q87" s="363">
        <v>493995</v>
      </c>
      <c r="R87" s="363">
        <v>480755.93399999995</v>
      </c>
      <c r="S87" s="357">
        <v>149772.05433599994</v>
      </c>
      <c r="U87" s="333">
        <f t="shared" si="38"/>
        <v>-870.86218080000253</v>
      </c>
    </row>
    <row r="88" spans="1:21" x14ac:dyDescent="0.25">
      <c r="A88" s="355">
        <v>6</v>
      </c>
      <c r="B88" s="336">
        <v>44958</v>
      </c>
      <c r="C88" s="342">
        <f>Customer!$BE$11*'Assumptions and Inputs'!$C$47</f>
        <v>279336.17199999996</v>
      </c>
      <c r="D88" s="364">
        <f>Customer!$BE$29/'Assumptions and Inputs'!$C$21</f>
        <v>9600.6</v>
      </c>
      <c r="E88" s="342">
        <f t="shared" si="37"/>
        <v>9889</v>
      </c>
      <c r="F88" s="342">
        <f t="shared" si="39"/>
        <v>262225.98779039993</v>
      </c>
      <c r="G88" s="364">
        <f>Customer!$BE$34/'Assumptions and Inputs'!$C$21</f>
        <v>401945.1</v>
      </c>
      <c r="H88" s="342">
        <f t="shared" si="40"/>
        <v>414003.45299999998</v>
      </c>
      <c r="I88" s="342">
        <f t="shared" si="41"/>
        <v>402908.16045959998</v>
      </c>
      <c r="J88" s="339">
        <f t="shared" si="42"/>
        <v>140682.17266920005</v>
      </c>
      <c r="L88" s="365">
        <v>306503.07045696006</v>
      </c>
      <c r="M88" s="364">
        <v>11194.581434399999</v>
      </c>
      <c r="N88" s="365">
        <v>11530</v>
      </c>
      <c r="O88" s="365">
        <v>287067.79216871352</v>
      </c>
      <c r="P88" s="364">
        <v>479606.5</v>
      </c>
      <c r="Q88" s="365">
        <v>493995</v>
      </c>
      <c r="R88" s="365">
        <v>480755.93399999995</v>
      </c>
      <c r="S88" s="361">
        <v>193688.14183128643</v>
      </c>
      <c r="U88" s="339">
        <f t="shared" si="38"/>
        <v>-53005.969162086374</v>
      </c>
    </row>
    <row r="89" spans="1:21" x14ac:dyDescent="0.25">
      <c r="A89" s="355">
        <v>7</v>
      </c>
      <c r="B89" s="332">
        <v>44986</v>
      </c>
      <c r="C89" s="333">
        <f>Customer!$BF$11*'Assumptions and Inputs'!$C$47</f>
        <v>343001.18800000002</v>
      </c>
      <c r="D89" s="362">
        <f>Customer!$BF$29/'Assumptions and Inputs'!$C$21</f>
        <v>11898.2</v>
      </c>
      <c r="E89" s="333">
        <f t="shared" si="37"/>
        <v>12255</v>
      </c>
      <c r="F89" s="333">
        <f t="shared" si="39"/>
        <v>321882.19016160001</v>
      </c>
      <c r="G89" s="362">
        <f>Customer!$BF$34/'Assumptions and Inputs'!$C$21</f>
        <v>472230.8</v>
      </c>
      <c r="H89" s="341">
        <f t="shared" si="40"/>
        <v>486397.72399999999</v>
      </c>
      <c r="I89" s="341">
        <f t="shared" si="41"/>
        <v>473362.26499679999</v>
      </c>
      <c r="J89" s="333">
        <f t="shared" si="42"/>
        <v>151480.07483519998</v>
      </c>
      <c r="L89" s="357">
        <v>310555.04104840104</v>
      </c>
      <c r="M89" s="362">
        <v>11342.573800962769</v>
      </c>
      <c r="N89" s="357">
        <v>11683</v>
      </c>
      <c r="O89" s="357">
        <v>290862.27034830389</v>
      </c>
      <c r="P89" s="362">
        <v>479606.5</v>
      </c>
      <c r="Q89" s="363">
        <v>493995</v>
      </c>
      <c r="R89" s="363">
        <v>480755.93399999995</v>
      </c>
      <c r="S89" s="357">
        <v>189893.66365169606</v>
      </c>
      <c r="U89" s="333">
        <f t="shared" si="38"/>
        <v>-38413.588816496078</v>
      </c>
    </row>
    <row r="90" spans="1:21" x14ac:dyDescent="0.25">
      <c r="A90" s="355">
        <v>8</v>
      </c>
      <c r="B90" s="336">
        <v>45017</v>
      </c>
      <c r="C90" s="342">
        <f>Customer!$BG$11*'Assumptions and Inputs'!$C$47</f>
        <v>288457.28399999999</v>
      </c>
      <c r="D90" s="364">
        <f>Customer!$BG$29/'Assumptions and Inputs'!$C$21</f>
        <v>9956.1</v>
      </c>
      <c r="E90" s="342">
        <f t="shared" si="37"/>
        <v>10255</v>
      </c>
      <c r="F90" s="342">
        <f t="shared" si="39"/>
        <v>270746.46278879995</v>
      </c>
      <c r="G90" s="364">
        <f>Customer!$BG$34/'Assumptions and Inputs'!$C$21</f>
        <v>420994.2</v>
      </c>
      <c r="H90" s="342">
        <f t="shared" si="40"/>
        <v>433624.02600000001</v>
      </c>
      <c r="I90" s="342">
        <f t="shared" si="41"/>
        <v>422002.90210319997</v>
      </c>
      <c r="J90" s="339">
        <f t="shared" si="42"/>
        <v>151256.43931440002</v>
      </c>
      <c r="L90" s="365">
        <v>314660.57869106089</v>
      </c>
      <c r="M90" s="364">
        <v>11492.522626611497</v>
      </c>
      <c r="N90" s="365">
        <v>11837</v>
      </c>
      <c r="O90" s="365">
        <v>294707.90678214043</v>
      </c>
      <c r="P90" s="364">
        <v>479606.5</v>
      </c>
      <c r="Q90" s="365">
        <v>493995</v>
      </c>
      <c r="R90" s="365">
        <v>480755.93399999995</v>
      </c>
      <c r="S90" s="361">
        <v>186048.02721785952</v>
      </c>
      <c r="U90" s="339">
        <f t="shared" si="38"/>
        <v>-34791.587903459498</v>
      </c>
    </row>
    <row r="91" spans="1:21" x14ac:dyDescent="0.25">
      <c r="A91" s="355">
        <v>9</v>
      </c>
      <c r="B91" s="332">
        <v>45047</v>
      </c>
      <c r="C91" s="333">
        <f>Customer!$BH$11*'Assumptions and Inputs'!$C$47</f>
        <v>303566.14799999999</v>
      </c>
      <c r="D91" s="362">
        <f>Customer!$BH$29/'Assumptions and Inputs'!$C$21</f>
        <v>10510.4</v>
      </c>
      <c r="E91" s="333">
        <f t="shared" si="37"/>
        <v>10826</v>
      </c>
      <c r="F91" s="333">
        <f t="shared" si="39"/>
        <v>284894.71203359996</v>
      </c>
      <c r="G91" s="362">
        <f>Customer!$BH$34/'Assumptions and Inputs'!$C$21</f>
        <v>423899.3</v>
      </c>
      <c r="H91" s="341">
        <f t="shared" si="40"/>
        <v>436616.27899999998</v>
      </c>
      <c r="I91" s="341">
        <f t="shared" si="41"/>
        <v>424914.96272279997</v>
      </c>
      <c r="J91" s="333">
        <f t="shared" si="42"/>
        <v>140020.25068920001</v>
      </c>
      <c r="L91" s="357">
        <v>318820.39154135674</v>
      </c>
      <c r="M91" s="362">
        <v>11644.453775735299</v>
      </c>
      <c r="N91" s="357">
        <v>11994</v>
      </c>
      <c r="O91" s="357">
        <v>298603.44424804836</v>
      </c>
      <c r="P91" s="362">
        <v>479606.5</v>
      </c>
      <c r="Q91" s="363">
        <v>493995</v>
      </c>
      <c r="R91" s="363">
        <v>480755.93399999995</v>
      </c>
      <c r="S91" s="357">
        <v>182152.48975195159</v>
      </c>
      <c r="U91" s="333">
        <f t="shared" si="38"/>
        <v>-42132.239062751585</v>
      </c>
    </row>
    <row r="92" spans="1:21" x14ac:dyDescent="0.25">
      <c r="A92" s="355">
        <v>10</v>
      </c>
      <c r="B92" s="336">
        <v>45078</v>
      </c>
      <c r="C92" s="342">
        <f>Customer!$BI$11*'Assumptions and Inputs'!$C$47</f>
        <v>392504.77600000007</v>
      </c>
      <c r="D92" s="364">
        <f>Customer!$BI$29/'Assumptions and Inputs'!$C$21</f>
        <v>13413.5</v>
      </c>
      <c r="E92" s="342">
        <f t="shared" si="37"/>
        <v>13816</v>
      </c>
      <c r="F92" s="342">
        <f t="shared" si="39"/>
        <v>368539.91680320003</v>
      </c>
      <c r="G92" s="364">
        <f>Customer!$BI$34/'Assumptions and Inputs'!$C$21</f>
        <v>485312.8</v>
      </c>
      <c r="H92" s="342">
        <f t="shared" si="40"/>
        <v>499872.18400000001</v>
      </c>
      <c r="I92" s="342">
        <f t="shared" si="41"/>
        <v>486475.60946879996</v>
      </c>
      <c r="J92" s="339">
        <f t="shared" si="42"/>
        <v>117935.69266559993</v>
      </c>
      <c r="L92" s="365">
        <v>323035.19711753353</v>
      </c>
      <c r="M92" s="364">
        <v>11798.393454650522</v>
      </c>
      <c r="N92" s="365">
        <v>12152</v>
      </c>
      <c r="O92" s="365">
        <v>302551.52743478364</v>
      </c>
      <c r="P92" s="364">
        <v>479606.5</v>
      </c>
      <c r="Q92" s="365">
        <v>493995</v>
      </c>
      <c r="R92" s="365">
        <v>480755.93399999995</v>
      </c>
      <c r="S92" s="361">
        <v>178204.40656521631</v>
      </c>
      <c r="U92" s="339">
        <f t="shared" si="38"/>
        <v>-60268.713899616385</v>
      </c>
    </row>
    <row r="93" spans="1:21" x14ac:dyDescent="0.25">
      <c r="A93" s="355">
        <v>11</v>
      </c>
      <c r="B93" s="332">
        <v>45108</v>
      </c>
      <c r="C93" s="333">
        <f>Customer!$BJ$11*'Assumptions and Inputs'!$C$47</f>
        <v>427561.86400000006</v>
      </c>
      <c r="D93" s="362">
        <f>Customer!$BJ$29/'Assumptions and Inputs'!$C$21</f>
        <v>14578.8</v>
      </c>
      <c r="E93" s="333">
        <f t="shared" si="37"/>
        <v>15016</v>
      </c>
      <c r="F93" s="333">
        <f t="shared" si="39"/>
        <v>401489.63484480005</v>
      </c>
      <c r="G93" s="362">
        <f>Customer!$BJ$34/'Assumptions and Inputs'!$C$21</f>
        <v>514835.6</v>
      </c>
      <c r="H93" s="341">
        <f>$H$80*G93</f>
        <v>530280.66799999995</v>
      </c>
      <c r="I93" s="341">
        <f t="shared" si="41"/>
        <v>516069.14609759994</v>
      </c>
      <c r="J93" s="333">
        <f t="shared" si="42"/>
        <v>114579.51125279989</v>
      </c>
      <c r="L93" s="357">
        <v>327305.72242342733</v>
      </c>
      <c r="M93" s="362">
        <v>11954.368216121004</v>
      </c>
      <c r="N93" s="357">
        <v>12313</v>
      </c>
      <c r="O93" s="357">
        <v>306550.91746247944</v>
      </c>
      <c r="P93" s="362">
        <v>479606.5</v>
      </c>
      <c r="Q93" s="363">
        <v>493995</v>
      </c>
      <c r="R93" s="363">
        <v>480755.93399999995</v>
      </c>
      <c r="S93" s="357">
        <v>174205.01653752051</v>
      </c>
      <c r="U93" s="333">
        <f t="shared" si="38"/>
        <v>-59625.505284720624</v>
      </c>
    </row>
    <row r="94" spans="1:21" x14ac:dyDescent="0.25">
      <c r="A94" s="355">
        <v>12</v>
      </c>
      <c r="B94" s="336">
        <v>45139</v>
      </c>
      <c r="C94" s="342">
        <f>Customer!$BK$11*'Assumptions and Inputs'!$C$47</f>
        <v>412915.76</v>
      </c>
      <c r="D94" s="364">
        <f>Customer!$BK$29/'Assumptions and Inputs'!$C$21</f>
        <v>14012.8</v>
      </c>
      <c r="E94" s="342">
        <f>ROUND($E$80*D94, 0)</f>
        <v>14433</v>
      </c>
      <c r="F94" s="342">
        <f>(C94-E94)*$F$80</f>
        <v>387803.42203199997</v>
      </c>
      <c r="G94" s="364">
        <f>Customer!$BK$34/'Assumptions and Inputs'!$C$21</f>
        <v>481458.2</v>
      </c>
      <c r="H94" s="342">
        <f>$H$80*G94</f>
        <v>495901.946</v>
      </c>
      <c r="I94" s="342">
        <f t="shared" ref="I94" si="43">H94*$I$80</f>
        <v>482611.77384719998</v>
      </c>
      <c r="J94" s="339">
        <f>I94-F94</f>
        <v>94808.351815200003</v>
      </c>
      <c r="L94" s="365">
        <v>331632.70407386497</v>
      </c>
      <c r="M94" s="364">
        <v>12112.404963938121</v>
      </c>
      <c r="N94" s="365">
        <v>12476</v>
      </c>
      <c r="O94" s="365">
        <v>310603.30440468539</v>
      </c>
      <c r="P94" s="364">
        <v>479606.5</v>
      </c>
      <c r="Q94" s="365">
        <v>493995</v>
      </c>
      <c r="R94" s="365">
        <v>480755.93399999995</v>
      </c>
      <c r="S94" s="361">
        <v>170152.62959531456</v>
      </c>
      <c r="U94" s="339">
        <f t="shared" si="38"/>
        <v>-75344.277780114557</v>
      </c>
    </row>
    <row r="95" spans="1:21" ht="5.0999999999999996" customHeight="1" x14ac:dyDescent="0.25">
      <c r="B95" s="366"/>
    </row>
    <row r="96" spans="1:21" x14ac:dyDescent="0.25">
      <c r="B96" s="344" t="s">
        <v>144</v>
      </c>
      <c r="C96" s="335">
        <f>SUM(C83:C94)</f>
        <v>4022127.5160000008</v>
      </c>
      <c r="D96" s="334">
        <f t="shared" ref="D96:I96" si="44">SUM(D83:D94)</f>
        <v>138424.20000000001</v>
      </c>
      <c r="E96" s="335">
        <f t="shared" si="44"/>
        <v>142576</v>
      </c>
      <c r="F96" s="335">
        <f t="shared" si="44"/>
        <v>3775579.5353712002</v>
      </c>
      <c r="G96" s="334">
        <f t="shared" si="44"/>
        <v>5662930.5</v>
      </c>
      <c r="H96" s="335">
        <f t="shared" si="44"/>
        <v>5832818.415000001</v>
      </c>
      <c r="I96" s="335">
        <f t="shared" si="44"/>
        <v>5676498.8814779995</v>
      </c>
      <c r="J96" s="333">
        <f>SUM(J82:J94)</f>
        <v>1820779.7430175547</v>
      </c>
      <c r="L96" s="335">
        <v>3811463.8653526045</v>
      </c>
      <c r="M96" s="334">
        <v>136093.8982724192</v>
      </c>
      <c r="N96" s="335">
        <v>140175</v>
      </c>
      <c r="O96" s="335">
        <v>3572898.3237611544</v>
      </c>
      <c r="P96" s="334">
        <v>5846050</v>
      </c>
      <c r="Q96" s="335">
        <v>6021434</v>
      </c>
      <c r="R96" s="335">
        <v>5860059.5688000005</v>
      </c>
      <c r="S96" s="333">
        <v>2207021.6419495996</v>
      </c>
      <c r="U96" s="333">
        <f>J96-S96</f>
        <v>-386241.89893204486</v>
      </c>
    </row>
    <row r="97" spans="2:21" x14ac:dyDescent="0.25">
      <c r="F97" s="303"/>
      <c r="G97" s="233"/>
      <c r="J97" s="208"/>
      <c r="O97" s="303"/>
      <c r="P97" s="233"/>
    </row>
    <row r="98" spans="2:21" x14ac:dyDescent="0.25">
      <c r="B98" s="181" t="s">
        <v>196</v>
      </c>
      <c r="I98" s="367" t="s">
        <v>197</v>
      </c>
      <c r="J98" s="368">
        <f>J96</f>
        <v>1820779.7430175547</v>
      </c>
      <c r="K98" s="306"/>
      <c r="R98" s="367" t="s">
        <v>197</v>
      </c>
      <c r="S98" s="368">
        <f>S96</f>
        <v>2207021.6419495996</v>
      </c>
      <c r="T98" s="208"/>
      <c r="U98" s="345">
        <f>J98-S98</f>
        <v>-386241.89893204486</v>
      </c>
    </row>
    <row r="99" spans="2:21" x14ac:dyDescent="0.25">
      <c r="B99" s="369" t="s">
        <v>221</v>
      </c>
      <c r="L99" s="253"/>
    </row>
    <row r="100" spans="2:21" x14ac:dyDescent="0.25">
      <c r="B100" s="253" t="str">
        <f>"(1) - Updated TAP Actual Discounts reflect water's "&amp;FIXED('Assumptions and Inputs'!$C$47*100, 1, 0)&amp;"% allocated portion of the Total TAP Discount."</f>
        <v>(1) - Updated TAP Actual Discounts reflect water's 40.0% allocated portion of the Total TAP Discount.</v>
      </c>
      <c r="L100" s="253"/>
    </row>
    <row r="101" spans="2:21" x14ac:dyDescent="0.25">
      <c r="B101" s="253" t="s">
        <v>273</v>
      </c>
      <c r="L101" s="253"/>
    </row>
    <row r="102" spans="2:21" x14ac:dyDescent="0.25">
      <c r="B102" s="347" t="s">
        <v>279</v>
      </c>
      <c r="L102" s="253"/>
    </row>
    <row r="103" spans="2:21" x14ac:dyDescent="0.25">
      <c r="B103" s="253"/>
      <c r="L103" s="253"/>
    </row>
    <row r="104" spans="2:21" x14ac:dyDescent="0.25">
      <c r="B104" s="369" t="s">
        <v>222</v>
      </c>
      <c r="L104" s="253"/>
    </row>
    <row r="105" spans="2:21" x14ac:dyDescent="0.25">
      <c r="B105" s="253" t="str">
        <f>"(9) - TAP Actual Discounts reflect water's "&amp;FIXED('Assumptions and Inputs'!$C$47*100, 1, 0)&amp;"% allocated portion of the Total TAP Discount."</f>
        <v>(9) - TAP Actual Discounts reflect water's 40.0% allocated portion of the Total TAP Discount.</v>
      </c>
      <c r="L105" s="253"/>
    </row>
    <row r="106" spans="2:21" x14ac:dyDescent="0.25">
      <c r="B106" s="253" t="s">
        <v>223</v>
      </c>
      <c r="L106" s="253"/>
    </row>
    <row r="107" spans="2:21" x14ac:dyDescent="0.25">
      <c r="B107" s="253" t="s">
        <v>274</v>
      </c>
      <c r="L107" s="253"/>
    </row>
    <row r="108" spans="2:21" x14ac:dyDescent="0.25">
      <c r="B108" s="253"/>
      <c r="L108" s="253"/>
    </row>
    <row r="109" spans="2:21" x14ac:dyDescent="0.25">
      <c r="B109" s="369" t="s">
        <v>224</v>
      </c>
      <c r="L109" s="253"/>
    </row>
    <row r="110" spans="2:21" x14ac:dyDescent="0.25">
      <c r="B110" s="253" t="str">
        <f>"(3), (6), (11) &amp; (14) - Water TAP-R Rates per "&amp;TEXT('Assumptions and Inputs'!F27,)&amp;" "&amp;TEXT('Assumptions and Inputs'!G27,)&amp;"."</f>
        <v>(3), (6), (11) &amp; (14) - Water TAP-R Rates per PWD Regulations - Rates and Charges Effective September 1, 2022 Section 10.3(a)(1).</v>
      </c>
      <c r="L110" s="253"/>
    </row>
    <row r="111" spans="2:21" x14ac:dyDescent="0.25">
      <c r="B111" s="253" t="str">
        <f>"(4), (7), (12) &amp; (15) - Adjusted for system-wide collection factor in accordance with  "&amp;'Assumptions and Inputs'!F45&amp;" "&amp;'Assumptions and Inputs'!G45&amp;"."</f>
        <v>(4), (7), (12) &amp; (15) - Adjusted for system-wide collection factor in accordance with  PWD Regulations - Rates and Charges Effective September 1, 2022 Section 10.1(b)(3).</v>
      </c>
      <c r="L111" s="253"/>
    </row>
    <row r="112" spans="2:21" x14ac:dyDescent="0.25">
      <c r="B112" s="253"/>
      <c r="L112" s="253"/>
    </row>
    <row r="113" spans="1:21" x14ac:dyDescent="0.25"/>
    <row r="114" spans="1:21" x14ac:dyDescent="0.25">
      <c r="B114" s="238" t="s">
        <v>31</v>
      </c>
      <c r="C114" s="238"/>
      <c r="D114" s="238"/>
      <c r="E114" s="238"/>
      <c r="F114" s="238"/>
      <c r="G114" s="238"/>
      <c r="H114" s="238"/>
      <c r="I114" s="238"/>
      <c r="J114" s="238"/>
      <c r="K114" s="238"/>
      <c r="L114" s="238"/>
      <c r="M114" s="238"/>
      <c r="N114" s="238"/>
      <c r="O114" s="238"/>
      <c r="P114" s="238"/>
      <c r="Q114" s="238"/>
      <c r="R114" s="238"/>
      <c r="S114" s="238"/>
      <c r="T114" s="238"/>
      <c r="U114" s="238"/>
    </row>
    <row r="115" spans="1:21" ht="14.4" thickBot="1" x14ac:dyDescent="0.3">
      <c r="B115" s="238" t="s">
        <v>225</v>
      </c>
      <c r="C115" s="238"/>
      <c r="D115" s="238"/>
      <c r="E115" s="238"/>
      <c r="F115" s="238"/>
      <c r="G115" s="238"/>
      <c r="H115" s="238"/>
      <c r="I115" s="238"/>
      <c r="J115" s="238"/>
      <c r="K115" s="238"/>
      <c r="L115" s="238"/>
      <c r="M115" s="238"/>
      <c r="N115" s="238"/>
      <c r="O115" s="238"/>
      <c r="P115" s="238"/>
      <c r="Q115" s="238"/>
      <c r="R115" s="238"/>
      <c r="S115" s="238"/>
      <c r="T115" s="238"/>
      <c r="U115" s="238"/>
    </row>
    <row r="116" spans="1:21" ht="14.4" thickBot="1" x14ac:dyDescent="0.3">
      <c r="C116" s="315" t="s">
        <v>216</v>
      </c>
      <c r="D116" s="316"/>
      <c r="E116" s="316"/>
      <c r="F116" s="316"/>
      <c r="G116" s="316"/>
      <c r="H116" s="316"/>
      <c r="I116" s="316"/>
      <c r="J116" s="317"/>
      <c r="L116" s="351" t="s">
        <v>217</v>
      </c>
      <c r="M116" s="352"/>
      <c r="N116" s="352"/>
      <c r="O116" s="352"/>
      <c r="P116" s="352"/>
      <c r="Q116" s="352"/>
      <c r="R116" s="352"/>
      <c r="S116" s="353"/>
      <c r="U116" s="318" t="s">
        <v>206</v>
      </c>
    </row>
    <row r="117" spans="1:21" x14ac:dyDescent="0.25">
      <c r="B117" s="319" t="s">
        <v>171</v>
      </c>
      <c r="C117" s="319" t="s">
        <v>172</v>
      </c>
      <c r="D117" s="319" t="s">
        <v>202</v>
      </c>
      <c r="E117" s="319" t="s">
        <v>174</v>
      </c>
      <c r="F117" s="319" t="s">
        <v>175</v>
      </c>
      <c r="G117" s="319" t="s">
        <v>176</v>
      </c>
      <c r="H117" s="319" t="s">
        <v>177</v>
      </c>
      <c r="I117" s="319" t="s">
        <v>178</v>
      </c>
      <c r="J117" s="320" t="s">
        <v>179</v>
      </c>
      <c r="L117" s="319" t="s">
        <v>172</v>
      </c>
      <c r="M117" s="319" t="s">
        <v>202</v>
      </c>
      <c r="N117" s="319" t="s">
        <v>174</v>
      </c>
      <c r="O117" s="319" t="s">
        <v>175</v>
      </c>
      <c r="P117" s="319" t="s">
        <v>176</v>
      </c>
      <c r="Q117" s="319" t="s">
        <v>177</v>
      </c>
      <c r="R117" s="319" t="s">
        <v>178</v>
      </c>
      <c r="S117" s="320" t="s">
        <v>179</v>
      </c>
      <c r="U117" s="320" t="s">
        <v>218</v>
      </c>
    </row>
    <row r="118" spans="1:21" x14ac:dyDescent="0.25">
      <c r="B118" s="320" t="s">
        <v>170</v>
      </c>
      <c r="C118" s="320" t="s">
        <v>180</v>
      </c>
      <c r="D118" s="320" t="s">
        <v>203</v>
      </c>
      <c r="E118" s="320" t="s">
        <v>182</v>
      </c>
      <c r="F118" s="320" t="s">
        <v>180</v>
      </c>
      <c r="G118" s="320" t="s">
        <v>203</v>
      </c>
      <c r="H118" s="320" t="s">
        <v>183</v>
      </c>
      <c r="I118" s="320" t="s">
        <v>184</v>
      </c>
      <c r="J118" s="320" t="s">
        <v>185</v>
      </c>
      <c r="L118" s="320" t="s">
        <v>180</v>
      </c>
      <c r="M118" s="320" t="s">
        <v>203</v>
      </c>
      <c r="N118" s="320" t="s">
        <v>182</v>
      </c>
      <c r="O118" s="320" t="s">
        <v>180</v>
      </c>
      <c r="P118" s="320" t="s">
        <v>203</v>
      </c>
      <c r="Q118" s="320" t="s">
        <v>183</v>
      </c>
      <c r="R118" s="320" t="s">
        <v>184</v>
      </c>
      <c r="S118" s="320" t="s">
        <v>185</v>
      </c>
      <c r="U118" s="320" t="s">
        <v>219</v>
      </c>
    </row>
    <row r="119" spans="1:21" x14ac:dyDescent="0.25">
      <c r="B119" s="320"/>
      <c r="C119" s="320" t="s">
        <v>186</v>
      </c>
      <c r="D119" s="320" t="s">
        <v>136</v>
      </c>
      <c r="E119" s="320" t="s">
        <v>188</v>
      </c>
      <c r="F119" s="320" t="s">
        <v>186</v>
      </c>
      <c r="G119" s="320" t="s">
        <v>187</v>
      </c>
      <c r="H119" s="320"/>
      <c r="I119" s="320" t="s">
        <v>189</v>
      </c>
      <c r="J119" s="320"/>
      <c r="L119" s="320" t="s">
        <v>186</v>
      </c>
      <c r="M119" s="320" t="s">
        <v>136</v>
      </c>
      <c r="N119" s="320" t="s">
        <v>188</v>
      </c>
      <c r="O119" s="320" t="s">
        <v>186</v>
      </c>
      <c r="P119" s="320" t="s">
        <v>187</v>
      </c>
      <c r="Q119" s="320"/>
      <c r="R119" s="320" t="s">
        <v>189</v>
      </c>
      <c r="S119" s="320"/>
      <c r="U119" s="320"/>
    </row>
    <row r="120" spans="1:21" x14ac:dyDescent="0.25">
      <c r="B120" s="320"/>
      <c r="C120" s="321"/>
      <c r="D120" s="320" t="s">
        <v>187</v>
      </c>
      <c r="E120" s="322">
        <f>'Assumptions and Inputs'!$C$29</f>
        <v>1.63</v>
      </c>
      <c r="F120" s="370">
        <f>'Assumptions and Inputs'!$C$45</f>
        <v>0.97319999999999995</v>
      </c>
      <c r="G120" s="320"/>
      <c r="H120" s="322">
        <f>'Assumptions and Inputs'!$C$29</f>
        <v>1.63</v>
      </c>
      <c r="I120" s="323">
        <f>'Assumptions and Inputs'!$C$45</f>
        <v>0.97319999999999995</v>
      </c>
      <c r="J120" s="324"/>
      <c r="L120" s="321"/>
      <c r="M120" s="320" t="s">
        <v>187</v>
      </c>
      <c r="N120" s="322">
        <v>1.63</v>
      </c>
      <c r="O120" s="370">
        <v>0.97319999999999995</v>
      </c>
      <c r="P120" s="320"/>
      <c r="Q120" s="322">
        <v>1.63</v>
      </c>
      <c r="R120" s="323">
        <v>0.97319999999999995</v>
      </c>
      <c r="S120" s="324"/>
      <c r="U120" s="324"/>
    </row>
    <row r="121" spans="1:21" x14ac:dyDescent="0.25">
      <c r="B121" s="325"/>
      <c r="C121" s="326" t="s">
        <v>152</v>
      </c>
      <c r="D121" s="326" t="s">
        <v>153</v>
      </c>
      <c r="E121" s="326" t="str">
        <f>"(3) = (2) * $ "&amp;FIXED(E120,3,)&amp;"/Mcf"</f>
        <v>(3) = (2) * $ 1.630/Mcf</v>
      </c>
      <c r="F121" s="326" t="str">
        <f>"(4) = [(1) - (3)]* "&amp;FIXED(F120,4,)&amp;""</f>
        <v>(4) = [(1) - (3)]* 0.9732</v>
      </c>
      <c r="G121" s="326" t="s">
        <v>156</v>
      </c>
      <c r="H121" s="326" t="str">
        <f>"(6) = (5) * $ "&amp;FIXED(H120,3,)&amp;"/Mcf"</f>
        <v>(6) = (5) * $ 1.630/Mcf</v>
      </c>
      <c r="I121" s="327" t="str">
        <f>"(7) = (6) * "&amp;FIXED(F120,4,)&amp;""</f>
        <v>(7) = (6) * 0.9732</v>
      </c>
      <c r="J121" s="326" t="s">
        <v>190</v>
      </c>
      <c r="L121" s="326" t="s">
        <v>152</v>
      </c>
      <c r="M121" s="326" t="s">
        <v>153</v>
      </c>
      <c r="N121" s="326" t="s">
        <v>269</v>
      </c>
      <c r="O121" s="326" t="s">
        <v>266</v>
      </c>
      <c r="P121" s="326" t="s">
        <v>156</v>
      </c>
      <c r="Q121" s="326" t="s">
        <v>270</v>
      </c>
      <c r="R121" s="327" t="s">
        <v>268</v>
      </c>
      <c r="S121" s="326" t="s">
        <v>190</v>
      </c>
      <c r="U121" s="326" t="s">
        <v>220</v>
      </c>
    </row>
    <row r="122" spans="1:21" x14ac:dyDescent="0.25">
      <c r="B122" s="328"/>
      <c r="C122" s="329"/>
      <c r="D122" s="329"/>
      <c r="E122" s="329"/>
      <c r="F122" s="329"/>
      <c r="G122" s="329"/>
      <c r="H122" s="329"/>
      <c r="I122" s="330" t="s">
        <v>191</v>
      </c>
      <c r="J122" s="354">
        <v>-121580.46009853249</v>
      </c>
      <c r="L122" s="329"/>
      <c r="M122" s="329"/>
      <c r="N122" s="329"/>
      <c r="O122" s="329"/>
      <c r="P122" s="329"/>
      <c r="Q122" s="329"/>
      <c r="R122" s="330" t="s">
        <v>191</v>
      </c>
      <c r="S122" s="354">
        <v>-121580.46009853249</v>
      </c>
      <c r="U122" s="329"/>
    </row>
    <row r="123" spans="1:21" x14ac:dyDescent="0.25">
      <c r="A123" s="355">
        <v>1</v>
      </c>
      <c r="B123" s="332">
        <f>B83</f>
        <v>44805</v>
      </c>
      <c r="C123" s="335">
        <f>Customer!$AZ$11*'Assumptions and Inputs'!$C$49</f>
        <v>470868.38400000002</v>
      </c>
      <c r="D123" s="356">
        <f>Customer!$AZ$48/'Assumptions and Inputs'!$C$21</f>
        <v>11151.5</v>
      </c>
      <c r="E123" s="333">
        <f t="shared" ref="E123:E134" si="45">$E$120*D123</f>
        <v>18176.945</v>
      </c>
      <c r="F123" s="333">
        <f t="shared" ref="F123:F133" si="46">(C123-E123)*$F$120</f>
        <v>440559.30843480001</v>
      </c>
      <c r="G123" s="356">
        <f>Customer!$AZ$53/'Assumptions and Inputs'!$C$21</f>
        <v>552367.30000000005</v>
      </c>
      <c r="H123" s="335">
        <f t="shared" ref="H123:H134" si="47">ROUND($H$120*G123, 0)</f>
        <v>900359</v>
      </c>
      <c r="I123" s="335">
        <f t="shared" ref="I123:I134" si="48">H123*$I$120</f>
        <v>876229.37879999995</v>
      </c>
      <c r="J123" s="333">
        <f>I123-F123</f>
        <v>435670.07036519994</v>
      </c>
      <c r="L123" s="333">
        <v>470868.38400000002</v>
      </c>
      <c r="M123" s="334">
        <v>11151.5</v>
      </c>
      <c r="N123" s="333">
        <v>18177</v>
      </c>
      <c r="O123" s="333">
        <v>440559.25490880001</v>
      </c>
      <c r="P123" s="334">
        <v>552367.30000000005</v>
      </c>
      <c r="Q123" s="335">
        <v>900359</v>
      </c>
      <c r="R123" s="335">
        <v>876229.37879999995</v>
      </c>
      <c r="S123" s="333">
        <v>435670.12389119994</v>
      </c>
      <c r="U123" s="333">
        <f>J123-S123</f>
        <v>-5.352600000333041E-2</v>
      </c>
    </row>
    <row r="124" spans="1:21" x14ac:dyDescent="0.25">
      <c r="A124" s="355">
        <v>2</v>
      </c>
      <c r="B124" s="336">
        <f t="shared" ref="B124:B134" si="49">B84</f>
        <v>44835</v>
      </c>
      <c r="C124" s="337">
        <f>Customer!$BA$11*'Assumptions and Inputs'!$C$49</f>
        <v>455961.14999999997</v>
      </c>
      <c r="D124" s="359">
        <f>Customer!$BA$48/'Assumptions and Inputs'!$C$21</f>
        <v>10402.6</v>
      </c>
      <c r="E124" s="337">
        <f t="shared" si="45"/>
        <v>16956.238000000001</v>
      </c>
      <c r="F124" s="337">
        <f t="shared" si="46"/>
        <v>427239.58035839995</v>
      </c>
      <c r="G124" s="359">
        <f>Customer!$BA$53/'Assumptions and Inputs'!$C$21</f>
        <v>463872.6</v>
      </c>
      <c r="H124" s="337">
        <f t="shared" si="47"/>
        <v>756112</v>
      </c>
      <c r="I124" s="337">
        <f t="shared" si="48"/>
        <v>735848.19839999999</v>
      </c>
      <c r="J124" s="339">
        <f>I124-F124</f>
        <v>308608.61804160004</v>
      </c>
      <c r="L124" s="337">
        <v>455961.14999999997</v>
      </c>
      <c r="M124" s="338">
        <v>10402.6</v>
      </c>
      <c r="N124" s="337">
        <v>16956</v>
      </c>
      <c r="O124" s="337">
        <v>427239.81197999994</v>
      </c>
      <c r="P124" s="338">
        <v>463872.6</v>
      </c>
      <c r="Q124" s="337">
        <v>756112</v>
      </c>
      <c r="R124" s="337">
        <v>735848.19839999999</v>
      </c>
      <c r="S124" s="339">
        <v>308608.38642000005</v>
      </c>
      <c r="U124" s="339">
        <f t="shared" ref="U124:U126" si="50">J124-S124</f>
        <v>0.23162159998901188</v>
      </c>
    </row>
    <row r="125" spans="1:21" x14ac:dyDescent="0.25">
      <c r="A125" s="355">
        <v>3</v>
      </c>
      <c r="B125" s="332">
        <f t="shared" si="49"/>
        <v>44866</v>
      </c>
      <c r="C125" s="333">
        <f>Customer!$BB$11*'Assumptions and Inputs'!$C$49</f>
        <v>441533.28600000002</v>
      </c>
      <c r="D125" s="362">
        <f>Customer!$BB$48/'Assumptions and Inputs'!$C$21</f>
        <v>10098.299999999999</v>
      </c>
      <c r="E125" s="333">
        <f t="shared" si="45"/>
        <v>16460.228999999999</v>
      </c>
      <c r="F125" s="333">
        <f t="shared" si="46"/>
        <v>413681.09907240001</v>
      </c>
      <c r="G125" s="362">
        <f>Customer!$BB$53/'Assumptions and Inputs'!$C$21</f>
        <v>427595.4</v>
      </c>
      <c r="H125" s="341">
        <f t="shared" si="47"/>
        <v>696981</v>
      </c>
      <c r="I125" s="341">
        <f t="shared" si="48"/>
        <v>678301.90919999999</v>
      </c>
      <c r="J125" s="333">
        <f t="shared" ref="J125:J133" si="51">I125-F125</f>
        <v>264620.81012759998</v>
      </c>
      <c r="L125" s="333">
        <v>441533.28600000002</v>
      </c>
      <c r="M125" s="340">
        <v>10098.299999999999</v>
      </c>
      <c r="N125" s="333">
        <v>16460</v>
      </c>
      <c r="O125" s="333">
        <v>413681.32193520002</v>
      </c>
      <c r="P125" s="340">
        <v>427595.4</v>
      </c>
      <c r="Q125" s="341">
        <v>696981</v>
      </c>
      <c r="R125" s="341">
        <v>678301.90919999999</v>
      </c>
      <c r="S125" s="333">
        <v>264620.58726479998</v>
      </c>
      <c r="U125" s="333">
        <f t="shared" si="50"/>
        <v>0.22286280000116676</v>
      </c>
    </row>
    <row r="126" spans="1:21" x14ac:dyDescent="0.25">
      <c r="A126" s="355">
        <v>4</v>
      </c>
      <c r="B126" s="336">
        <f t="shared" si="49"/>
        <v>44896</v>
      </c>
      <c r="C126" s="342">
        <f>Customer!$BC$11*'Assumptions and Inputs'!$C$49</f>
        <v>469035.96600000007</v>
      </c>
      <c r="D126" s="364">
        <f>Customer!$BC$48/'Assumptions and Inputs'!$C$21</f>
        <v>10730.2</v>
      </c>
      <c r="E126" s="342">
        <f t="shared" si="45"/>
        <v>17490.225999999999</v>
      </c>
      <c r="F126" s="342">
        <f t="shared" si="46"/>
        <v>439444.31416800001</v>
      </c>
      <c r="G126" s="364">
        <f>Customer!$BC$53/'Assumptions and Inputs'!$C$21</f>
        <v>433276.5</v>
      </c>
      <c r="H126" s="342">
        <f t="shared" si="47"/>
        <v>706241</v>
      </c>
      <c r="I126" s="342">
        <f t="shared" si="48"/>
        <v>687313.74119999993</v>
      </c>
      <c r="J126" s="339">
        <f t="shared" si="51"/>
        <v>247869.42703199992</v>
      </c>
      <c r="L126" s="342">
        <v>471158.64</v>
      </c>
      <c r="M126" s="343">
        <v>10792.74</v>
      </c>
      <c r="N126" s="342">
        <v>17592</v>
      </c>
      <c r="O126" s="342">
        <v>441411.05404800002</v>
      </c>
      <c r="P126" s="343">
        <v>453491.56666666659</v>
      </c>
      <c r="Q126" s="342">
        <v>739191</v>
      </c>
      <c r="R126" s="342">
        <v>719380.68119999999</v>
      </c>
      <c r="S126" s="339">
        <v>277969.62715199997</v>
      </c>
      <c r="U126" s="339">
        <f t="shared" si="50"/>
        <v>-30100.200120000052</v>
      </c>
    </row>
    <row r="127" spans="1:21" x14ac:dyDescent="0.25">
      <c r="A127" s="355">
        <v>5</v>
      </c>
      <c r="B127" s="332">
        <f t="shared" si="49"/>
        <v>44927</v>
      </c>
      <c r="C127" s="333">
        <f>Customer!$BD$11*'Assumptions and Inputs'!$C$49</f>
        <v>524777.69999999995</v>
      </c>
      <c r="D127" s="362">
        <f>Customer!$BD$48/'Assumptions and Inputs'!$C$21</f>
        <v>12064.7</v>
      </c>
      <c r="E127" s="333">
        <f t="shared" si="45"/>
        <v>19665.460999999999</v>
      </c>
      <c r="F127" s="333">
        <f t="shared" si="46"/>
        <v>491575.23099479993</v>
      </c>
      <c r="G127" s="362">
        <f>Customer!$BD$53/'Assumptions and Inputs'!$C$21</f>
        <v>453280.5</v>
      </c>
      <c r="H127" s="341">
        <f t="shared" si="47"/>
        <v>738847</v>
      </c>
      <c r="I127" s="341">
        <f t="shared" si="48"/>
        <v>719045.90039999993</v>
      </c>
      <c r="J127" s="333">
        <f t="shared" si="51"/>
        <v>227470.66940519999</v>
      </c>
      <c r="L127" s="333">
        <v>528905.28</v>
      </c>
      <c r="M127" s="340">
        <v>11048.52</v>
      </c>
      <c r="N127" s="333">
        <v>18009</v>
      </c>
      <c r="O127" s="333">
        <v>497204.25969600002</v>
      </c>
      <c r="P127" s="340">
        <v>453491.56666666659</v>
      </c>
      <c r="Q127" s="341">
        <v>739191</v>
      </c>
      <c r="R127" s="341">
        <v>719380.68119999999</v>
      </c>
      <c r="S127" s="333">
        <v>222176.42150399997</v>
      </c>
      <c r="U127" s="333">
        <f t="shared" ref="U127:U134" si="52">J127-S127</f>
        <v>5294.2479012000258</v>
      </c>
    </row>
    <row r="128" spans="1:21" x14ac:dyDescent="0.25">
      <c r="A128" s="355">
        <v>6</v>
      </c>
      <c r="B128" s="336">
        <f t="shared" si="49"/>
        <v>44958</v>
      </c>
      <c r="C128" s="342">
        <f>Customer!$BE$11*'Assumptions and Inputs'!$C$49</f>
        <v>419004.25799999997</v>
      </c>
      <c r="D128" s="364">
        <f>Customer!$BE$48/'Assumptions and Inputs'!$C$21</f>
        <v>9599.6</v>
      </c>
      <c r="E128" s="342">
        <f t="shared" si="45"/>
        <v>15647.348</v>
      </c>
      <c r="F128" s="342">
        <f t="shared" si="46"/>
        <v>392546.94481199997</v>
      </c>
      <c r="G128" s="364">
        <f>Customer!$BE$53/'Assumptions and Inputs'!$C$21</f>
        <v>381576</v>
      </c>
      <c r="H128" s="342">
        <f t="shared" si="47"/>
        <v>621969</v>
      </c>
      <c r="I128" s="342">
        <f t="shared" si="48"/>
        <v>605300.23080000002</v>
      </c>
      <c r="J128" s="339">
        <f t="shared" si="51"/>
        <v>212753.28598800005</v>
      </c>
      <c r="L128" s="342">
        <v>459754.60568544007</v>
      </c>
      <c r="M128" s="343">
        <v>11194.581434399999</v>
      </c>
      <c r="N128" s="342">
        <v>18247</v>
      </c>
      <c r="O128" s="342">
        <v>429675.20185307023</v>
      </c>
      <c r="P128" s="343">
        <v>453491.56666666659</v>
      </c>
      <c r="Q128" s="342">
        <v>739191</v>
      </c>
      <c r="R128" s="342">
        <v>719380.68119999999</v>
      </c>
      <c r="S128" s="339">
        <v>289705.47934692976</v>
      </c>
      <c r="U128" s="339">
        <f t="shared" si="52"/>
        <v>-76952.193358929711</v>
      </c>
    </row>
    <row r="129" spans="1:21" x14ac:dyDescent="0.25">
      <c r="A129" s="355">
        <v>7</v>
      </c>
      <c r="B129" s="332">
        <f t="shared" si="49"/>
        <v>44986</v>
      </c>
      <c r="C129" s="333">
        <f>Customer!$BF$11*'Assumptions and Inputs'!$C$49</f>
        <v>514501.78199999995</v>
      </c>
      <c r="D129" s="362">
        <f>Customer!$BF$48/'Assumptions and Inputs'!$C$21</f>
        <v>11896.8</v>
      </c>
      <c r="E129" s="333">
        <f t="shared" si="45"/>
        <v>19391.783999999996</v>
      </c>
      <c r="F129" s="333">
        <f t="shared" si="46"/>
        <v>481841.05005359993</v>
      </c>
      <c r="G129" s="362">
        <f>Customer!$BF$53/'Assumptions and Inputs'!$C$21</f>
        <v>445810.2</v>
      </c>
      <c r="H129" s="341">
        <f t="shared" si="47"/>
        <v>726671</v>
      </c>
      <c r="I129" s="341">
        <f t="shared" si="48"/>
        <v>707196.21719999996</v>
      </c>
      <c r="J129" s="333">
        <f t="shared" si="51"/>
        <v>225355.16714640002</v>
      </c>
      <c r="L129" s="333">
        <v>465832.56157260155</v>
      </c>
      <c r="M129" s="340">
        <v>11342.573800962769</v>
      </c>
      <c r="N129" s="333">
        <v>18488</v>
      </c>
      <c r="O129" s="333">
        <v>435355.72732245579</v>
      </c>
      <c r="P129" s="340">
        <v>453491.56666666659</v>
      </c>
      <c r="Q129" s="341">
        <v>739191</v>
      </c>
      <c r="R129" s="341">
        <v>719380.68119999999</v>
      </c>
      <c r="S129" s="333">
        <v>284024.95387754421</v>
      </c>
      <c r="U129" s="333">
        <f t="shared" si="52"/>
        <v>-58669.786731144181</v>
      </c>
    </row>
    <row r="130" spans="1:21" x14ac:dyDescent="0.25">
      <c r="A130" s="355">
        <v>8</v>
      </c>
      <c r="B130" s="336">
        <f t="shared" si="49"/>
        <v>45017</v>
      </c>
      <c r="C130" s="342">
        <f>Customer!$BG$11*'Assumptions and Inputs'!$C$49</f>
        <v>432685.92599999998</v>
      </c>
      <c r="D130" s="364">
        <f>Customer!$BG$48/'Assumptions and Inputs'!$C$21</f>
        <v>9954.7000000000007</v>
      </c>
      <c r="E130" s="342">
        <f t="shared" si="45"/>
        <v>16226.161</v>
      </c>
      <c r="F130" s="342">
        <f t="shared" si="46"/>
        <v>405298.64329799992</v>
      </c>
      <c r="G130" s="364">
        <f>Customer!$BG$53/'Assumptions and Inputs'!$C$21</f>
        <v>401523.3</v>
      </c>
      <c r="H130" s="342">
        <f t="shared" si="47"/>
        <v>654483</v>
      </c>
      <c r="I130" s="342">
        <f t="shared" si="48"/>
        <v>636942.85560000001</v>
      </c>
      <c r="J130" s="339">
        <f t="shared" si="51"/>
        <v>231644.21230200009</v>
      </c>
      <c r="L130" s="342">
        <v>471990.86803659133</v>
      </c>
      <c r="M130" s="343">
        <v>11492.522626611497</v>
      </c>
      <c r="N130" s="342">
        <v>18733</v>
      </c>
      <c r="O130" s="342">
        <v>441110.55717321066</v>
      </c>
      <c r="P130" s="343">
        <v>453491.56666666659</v>
      </c>
      <c r="Q130" s="342">
        <v>739191</v>
      </c>
      <c r="R130" s="342">
        <v>719380.68119999999</v>
      </c>
      <c r="S130" s="339">
        <v>278270.12402678933</v>
      </c>
      <c r="U130" s="339">
        <f t="shared" si="52"/>
        <v>-46625.911724789243</v>
      </c>
    </row>
    <row r="131" spans="1:21" x14ac:dyDescent="0.25">
      <c r="A131" s="355">
        <v>9</v>
      </c>
      <c r="B131" s="332">
        <f t="shared" si="49"/>
        <v>45047</v>
      </c>
      <c r="C131" s="333">
        <f>Customer!$BH$11*'Assumptions and Inputs'!$C$49</f>
        <v>455349.22200000001</v>
      </c>
      <c r="D131" s="362">
        <f>Customer!$BH$48/'Assumptions and Inputs'!$C$21</f>
        <v>10509.3</v>
      </c>
      <c r="E131" s="333">
        <f t="shared" si="45"/>
        <v>17130.158999999996</v>
      </c>
      <c r="F131" s="333">
        <f t="shared" si="46"/>
        <v>426474.79211159999</v>
      </c>
      <c r="G131" s="362">
        <f>Customer!$BH$53/'Assumptions and Inputs'!$C$21</f>
        <v>402291.3</v>
      </c>
      <c r="H131" s="341">
        <f t="shared" si="47"/>
        <v>655735</v>
      </c>
      <c r="I131" s="341">
        <f t="shared" si="48"/>
        <v>638161.30200000003</v>
      </c>
      <c r="J131" s="333">
        <f t="shared" si="51"/>
        <v>211686.50988840003</v>
      </c>
      <c r="L131" s="333">
        <v>478230.58731203509</v>
      </c>
      <c r="M131" s="340">
        <v>11644.453775735299</v>
      </c>
      <c r="N131" s="333">
        <v>18980</v>
      </c>
      <c r="O131" s="333">
        <v>446942.67157207255</v>
      </c>
      <c r="P131" s="340">
        <v>453491.56666666659</v>
      </c>
      <c r="Q131" s="341">
        <v>739191</v>
      </c>
      <c r="R131" s="341">
        <v>719380.68119999999</v>
      </c>
      <c r="S131" s="333">
        <v>272438.00962792744</v>
      </c>
      <c r="U131" s="333">
        <f t="shared" si="52"/>
        <v>-60751.499739527411</v>
      </c>
    </row>
    <row r="132" spans="1:21" x14ac:dyDescent="0.25">
      <c r="A132" s="355">
        <v>10</v>
      </c>
      <c r="B132" s="336">
        <f t="shared" si="49"/>
        <v>45078</v>
      </c>
      <c r="C132" s="342">
        <f>Customer!$BI$11*'Assumptions and Inputs'!$C$49</f>
        <v>588757.16399999999</v>
      </c>
      <c r="D132" s="364">
        <f>Customer!$BI$48/'Assumptions and Inputs'!$C$21</f>
        <v>13411.3</v>
      </c>
      <c r="E132" s="342">
        <f t="shared" si="45"/>
        <v>21860.418999999998</v>
      </c>
      <c r="F132" s="342">
        <f t="shared" si="46"/>
        <v>551703.91223399993</v>
      </c>
      <c r="G132" s="364">
        <f>Customer!$BI$53/'Assumptions and Inputs'!$C$21</f>
        <v>458256.1</v>
      </c>
      <c r="H132" s="342">
        <f t="shared" si="47"/>
        <v>746957</v>
      </c>
      <c r="I132" s="342">
        <f t="shared" si="48"/>
        <v>726938.55239999993</v>
      </c>
      <c r="J132" s="339">
        <f t="shared" si="51"/>
        <v>175234.640166</v>
      </c>
      <c r="L132" s="342">
        <v>484552.79567630019</v>
      </c>
      <c r="M132" s="343">
        <v>11798.393454650522</v>
      </c>
      <c r="N132" s="342">
        <v>19231</v>
      </c>
      <c r="O132" s="342">
        <v>452851.17155217531</v>
      </c>
      <c r="P132" s="343">
        <v>453491.56666666659</v>
      </c>
      <c r="Q132" s="342">
        <v>739191</v>
      </c>
      <c r="R132" s="342">
        <v>719380.68119999999</v>
      </c>
      <c r="S132" s="339">
        <v>266529.50964782469</v>
      </c>
      <c r="U132" s="339">
        <f t="shared" si="52"/>
        <v>-91294.869481824688</v>
      </c>
    </row>
    <row r="133" spans="1:21" x14ac:dyDescent="0.25">
      <c r="A133" s="355">
        <v>11</v>
      </c>
      <c r="B133" s="332">
        <f t="shared" si="49"/>
        <v>45108</v>
      </c>
      <c r="C133" s="333">
        <f>Customer!$BJ$11*'Assumptions and Inputs'!$C$49</f>
        <v>641342.79600000009</v>
      </c>
      <c r="D133" s="362">
        <f>Customer!$BJ$48/'Assumptions and Inputs'!$C$21</f>
        <v>14577.1</v>
      </c>
      <c r="E133" s="333">
        <f t="shared" si="45"/>
        <v>23760.672999999999</v>
      </c>
      <c r="F133" s="333">
        <f t="shared" si="46"/>
        <v>601030.92210360011</v>
      </c>
      <c r="G133" s="362">
        <f>Customer!$BJ$53/'Assumptions and Inputs'!$C$21</f>
        <v>484425.5</v>
      </c>
      <c r="H133" s="341">
        <f t="shared" si="47"/>
        <v>789614</v>
      </c>
      <c r="I133" s="341">
        <f t="shared" si="48"/>
        <v>768452.34479999996</v>
      </c>
      <c r="J133" s="333">
        <f t="shared" si="51"/>
        <v>167421.42269639985</v>
      </c>
      <c r="L133" s="333">
        <v>490958.58363514097</v>
      </c>
      <c r="M133" s="340">
        <v>11954.368216121004</v>
      </c>
      <c r="N133" s="333">
        <v>19486</v>
      </c>
      <c r="O133" s="333">
        <v>458837.1183937192</v>
      </c>
      <c r="P133" s="340">
        <v>453491.56666666659</v>
      </c>
      <c r="Q133" s="341">
        <v>739191</v>
      </c>
      <c r="R133" s="341">
        <v>719380.68119999999</v>
      </c>
      <c r="S133" s="333">
        <v>260543.5628062808</v>
      </c>
      <c r="U133" s="333">
        <f t="shared" si="52"/>
        <v>-93122.140109880944</v>
      </c>
    </row>
    <row r="134" spans="1:21" x14ac:dyDescent="0.25">
      <c r="A134" s="355">
        <v>12</v>
      </c>
      <c r="B134" s="336">
        <f t="shared" si="49"/>
        <v>45139</v>
      </c>
      <c r="C134" s="342">
        <f>Customer!$BK$11*'Assumptions and Inputs'!$C$49</f>
        <v>619373.6399999999</v>
      </c>
      <c r="D134" s="364">
        <f>Customer!$BK$48/'Assumptions and Inputs'!$C$21</f>
        <v>14008.9</v>
      </c>
      <c r="E134" s="342">
        <f t="shared" si="45"/>
        <v>22834.506999999998</v>
      </c>
      <c r="F134" s="342">
        <f>(C134-E134)*$F$120</f>
        <v>580551.88423559989</v>
      </c>
      <c r="G134" s="364">
        <f>Customer!$BK$53/'Assumptions and Inputs'!$C$21</f>
        <v>453677</v>
      </c>
      <c r="H134" s="342">
        <f t="shared" si="47"/>
        <v>739494</v>
      </c>
      <c r="I134" s="342">
        <f t="shared" si="48"/>
        <v>719675.56079999998</v>
      </c>
      <c r="J134" s="339">
        <f t="shared" ref="J134" si="53">I134-F134</f>
        <v>139123.67656440008</v>
      </c>
      <c r="L134" s="342">
        <v>497449.05611079745</v>
      </c>
      <c r="M134" s="343">
        <v>12112.404963938121</v>
      </c>
      <c r="N134" s="342">
        <v>19743</v>
      </c>
      <c r="O134" s="342">
        <v>464903.53380702808</v>
      </c>
      <c r="P134" s="343">
        <v>453491.56666666659</v>
      </c>
      <c r="Q134" s="342">
        <v>739191</v>
      </c>
      <c r="R134" s="342">
        <v>719380.68119999999</v>
      </c>
      <c r="S134" s="339">
        <v>254477.14739297191</v>
      </c>
      <c r="U134" s="339">
        <f t="shared" si="52"/>
        <v>-115353.47082857182</v>
      </c>
    </row>
    <row r="135" spans="1:21" ht="5.0999999999999996" customHeight="1" x14ac:dyDescent="0.25">
      <c r="D135" s="371"/>
      <c r="M135" s="371"/>
    </row>
    <row r="136" spans="1:21" x14ac:dyDescent="0.25">
      <c r="B136" s="344" t="s">
        <v>144</v>
      </c>
      <c r="C136" s="335">
        <f>SUM(C123:C134)</f>
        <v>6033191.2740000002</v>
      </c>
      <c r="D136" s="334">
        <f t="shared" ref="D136:I136" si="54">SUM(D123:D134)</f>
        <v>138405</v>
      </c>
      <c r="E136" s="335">
        <f t="shared" si="54"/>
        <v>225600.14999999997</v>
      </c>
      <c r="F136" s="335">
        <f t="shared" si="54"/>
        <v>5651947.6818767991</v>
      </c>
      <c r="G136" s="334">
        <f t="shared" si="54"/>
        <v>5357951.6999999993</v>
      </c>
      <c r="H136" s="335">
        <f t="shared" si="54"/>
        <v>8733463</v>
      </c>
      <c r="I136" s="335">
        <f t="shared" si="54"/>
        <v>8499406.1916000005</v>
      </c>
      <c r="J136" s="333">
        <f>SUM(J122:J134)</f>
        <v>2725878.0496246675</v>
      </c>
      <c r="L136" s="335">
        <v>5717195.7980289068</v>
      </c>
      <c r="M136" s="334">
        <v>135032.9582724192</v>
      </c>
      <c r="N136" s="335">
        <v>220102</v>
      </c>
      <c r="O136" s="335">
        <v>5349771.6842417326</v>
      </c>
      <c r="P136" s="334">
        <v>5525259.3999999985</v>
      </c>
      <c r="Q136" s="335">
        <v>9006171</v>
      </c>
      <c r="R136" s="335">
        <v>8764805.6171999965</v>
      </c>
      <c r="S136" s="333">
        <v>3293453.4728597361</v>
      </c>
      <c r="U136" s="333">
        <f>J136-S136</f>
        <v>-567575.42323506856</v>
      </c>
    </row>
    <row r="137" spans="1:21" x14ac:dyDescent="0.25">
      <c r="F137" s="303"/>
      <c r="J137" s="208"/>
      <c r="O137" s="303"/>
    </row>
    <row r="138" spans="1:21" x14ac:dyDescent="0.25">
      <c r="B138" s="181" t="s">
        <v>196</v>
      </c>
      <c r="I138" s="367" t="s">
        <v>197</v>
      </c>
      <c r="J138" s="368">
        <f>J136</f>
        <v>2725878.0496246675</v>
      </c>
      <c r="K138" s="306"/>
      <c r="L138" s="181" t="s">
        <v>196</v>
      </c>
      <c r="R138" s="367" t="s">
        <v>197</v>
      </c>
      <c r="S138" s="368">
        <f>S136</f>
        <v>3293453.4728597361</v>
      </c>
      <c r="T138" s="208"/>
      <c r="U138" s="345">
        <f>J138-S138</f>
        <v>-567575.42323506856</v>
      </c>
    </row>
    <row r="139" spans="1:21" x14ac:dyDescent="0.25">
      <c r="B139" s="369" t="s">
        <v>221</v>
      </c>
      <c r="L139" s="253"/>
    </row>
    <row r="140" spans="1:21" x14ac:dyDescent="0.25">
      <c r="B140" s="253" t="str">
        <f>"(1) - Updated TAP Actual Discounts reflect sewer's "&amp;FIXED('Assumptions and Inputs'!$C$49*100, 1, 0)&amp;"% allocated portion of the Total TAP Discount."</f>
        <v>(1) - Updated TAP Actual Discounts reflect sewer's 60.0% allocated portion of the Total TAP Discount.</v>
      </c>
      <c r="L140" s="253"/>
    </row>
    <row r="141" spans="1:21" x14ac:dyDescent="0.25">
      <c r="B141" s="253" t="s">
        <v>273</v>
      </c>
      <c r="L141" s="253"/>
    </row>
    <row r="142" spans="1:21" x14ac:dyDescent="0.25">
      <c r="B142" s="253" t="s">
        <v>280</v>
      </c>
      <c r="L142" s="253"/>
    </row>
    <row r="143" spans="1:21" x14ac:dyDescent="0.25">
      <c r="B143" s="253"/>
      <c r="L143" s="253"/>
    </row>
    <row r="144" spans="1:21" x14ac:dyDescent="0.25">
      <c r="B144" s="369" t="s">
        <v>222</v>
      </c>
      <c r="K144" s="229"/>
      <c r="L144" s="253"/>
    </row>
    <row r="145" spans="2:12" x14ac:dyDescent="0.25">
      <c r="B145" s="253" t="str">
        <f>"(9) - TAP Actual Discounts reflect sewer's "&amp;FIXED('Assumptions and Inputs'!$C$49*100, 1, 0)&amp;"% allocated portion of the Total TAP Discount."</f>
        <v>(9) - TAP Actual Discounts reflect sewer's 60.0% allocated portion of the Total TAP Discount.</v>
      </c>
      <c r="L145" s="253"/>
    </row>
    <row r="146" spans="2:12" x14ac:dyDescent="0.25">
      <c r="B146" s="253" t="s">
        <v>223</v>
      </c>
    </row>
    <row r="147" spans="2:12" x14ac:dyDescent="0.25">
      <c r="B147" s="253" t="s">
        <v>226</v>
      </c>
    </row>
    <row r="148" spans="2:12" x14ac:dyDescent="0.25">
      <c r="B148" s="253"/>
    </row>
    <row r="149" spans="2:12" x14ac:dyDescent="0.25">
      <c r="B149" s="369" t="s">
        <v>224</v>
      </c>
    </row>
    <row r="150" spans="2:12" x14ac:dyDescent="0.25">
      <c r="B150" s="253" t="str">
        <f>"(3), (6), (11) &amp; (14) - Sewer TAP-R Rates per "&amp;TEXT('Assumptions and Inputs'!F29,)&amp;" "&amp;TEXT('Assumptions and Inputs'!G29,)&amp;"."</f>
        <v>(3), (6), (11) &amp; (14) - Sewer TAP-R Rates per PWD Regulations - Rates and Charges Effective September 1, 2022 Section 10.3(b)(1).</v>
      </c>
    </row>
    <row r="151" spans="2:12" x14ac:dyDescent="0.25">
      <c r="B151" s="253" t="str">
        <f>"(4), (7), (12) &amp; (15) - Adjusted for system-wide collection factor in accordance with  "&amp;'Assumptions and Inputs'!F45&amp;" "&amp;'Assumptions and Inputs'!G45&amp;"."</f>
        <v>(4), (7), (12) &amp; (15) - Adjusted for system-wide collection factor in accordance with  PWD Regulations - Rates and Charges Effective September 1, 2022 Section 10.1(b)(3).</v>
      </c>
    </row>
    <row r="152" spans="2:12" x14ac:dyDescent="0.25"/>
    <row r="153" spans="2:12" x14ac:dyDescent="0.25">
      <c r="C153" s="208"/>
    </row>
    <row r="154" spans="2:12" x14ac:dyDescent="0.25">
      <c r="C154" s="208"/>
    </row>
    <row r="155" spans="2:12" x14ac:dyDescent="0.25">
      <c r="C155" s="208"/>
    </row>
    <row r="156" spans="2:12" x14ac:dyDescent="0.25">
      <c r="C156" s="208"/>
    </row>
    <row r="157" spans="2:12" x14ac:dyDescent="0.25">
      <c r="C157" s="208"/>
    </row>
    <row r="158" spans="2:12" x14ac:dyDescent="0.25">
      <c r="C158" s="208"/>
    </row>
    <row r="159" spans="2:12" x14ac:dyDescent="0.25">
      <c r="C159" s="208"/>
    </row>
    <row r="160" spans="2:12"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sheetData>
  <printOptions horizontalCentered="1"/>
  <pageMargins left="0.7" right="0.7" top="1" bottom="0.5" header="0.3" footer="0.3"/>
  <pageSetup scale="58" orientation="landscape" r:id="rId1"/>
  <headerFooter>
    <oddHeader>&amp;RSchedule LKM-TAP-R-4</oddHeader>
  </headerFooter>
  <ignoredErrors>
    <ignoredError sqref="C81:D81 G81 C121:D12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4" tint="-0.249977111117893"/>
    <pageSetUpPr fitToPage="1"/>
  </sheetPr>
  <dimension ref="A1:Q105"/>
  <sheetViews>
    <sheetView tabSelected="1" zoomScaleNormal="100" workbookViewId="0">
      <selection activeCell="E17" sqref="E17"/>
    </sheetView>
  </sheetViews>
  <sheetFormatPr defaultColWidth="0" defaultRowHeight="13.8" zeroHeight="1" x14ac:dyDescent="0.25"/>
  <cols>
    <col min="1" max="1" width="9.109375" style="181" customWidth="1"/>
    <col min="2" max="2" width="20.5546875" style="181" customWidth="1"/>
    <col min="3" max="5" width="30.5546875" style="181" customWidth="1"/>
    <col min="6" max="6" width="9.109375" style="181" customWidth="1"/>
    <col min="7" max="7" width="9.44140625" style="181" customWidth="1"/>
    <col min="8" max="15" width="9.109375" style="181" customWidth="1"/>
    <col min="16" max="17" width="0" style="181" hidden="1" customWidth="1"/>
    <col min="18" max="16384" width="9.109375" style="181" hidden="1"/>
  </cols>
  <sheetData>
    <row r="1" spans="2:8" x14ac:dyDescent="0.25"/>
    <row r="2" spans="2:8" x14ac:dyDescent="0.25">
      <c r="B2" s="184" t="s">
        <v>31</v>
      </c>
      <c r="C2" s="185"/>
      <c r="D2" s="185"/>
      <c r="E2" s="185"/>
    </row>
    <row r="3" spans="2:8" x14ac:dyDescent="0.25">
      <c r="B3" s="184" t="s">
        <v>302</v>
      </c>
      <c r="C3" s="185"/>
      <c r="D3" s="185"/>
      <c r="E3" s="185"/>
    </row>
    <row r="4" spans="2:8" x14ac:dyDescent="0.25"/>
    <row r="5" spans="2:8" x14ac:dyDescent="0.25">
      <c r="B5" s="271" t="s">
        <v>171</v>
      </c>
      <c r="C5" s="271" t="s">
        <v>227</v>
      </c>
      <c r="D5" s="271" t="s">
        <v>228</v>
      </c>
      <c r="E5" s="271" t="s">
        <v>229</v>
      </c>
    </row>
    <row r="6" spans="2:8" x14ac:dyDescent="0.25">
      <c r="B6" s="273" t="s">
        <v>170</v>
      </c>
      <c r="C6" s="273" t="s">
        <v>185</v>
      </c>
      <c r="D6" s="273" t="s">
        <v>230</v>
      </c>
      <c r="E6" s="273" t="s">
        <v>231</v>
      </c>
    </row>
    <row r="7" spans="2:8" x14ac:dyDescent="0.25">
      <c r="B7" s="273"/>
      <c r="C7" s="273" t="s">
        <v>232</v>
      </c>
      <c r="D7" s="273" t="s">
        <v>232</v>
      </c>
      <c r="E7" s="273" t="s">
        <v>233</v>
      </c>
    </row>
    <row r="8" spans="2:8" x14ac:dyDescent="0.25">
      <c r="B8" s="273"/>
      <c r="C8" s="273" t="s">
        <v>234</v>
      </c>
      <c r="D8" s="274"/>
      <c r="E8" s="273" t="s">
        <v>232</v>
      </c>
    </row>
    <row r="9" spans="2:8" x14ac:dyDescent="0.25">
      <c r="B9" s="373"/>
      <c r="C9" s="279" t="s">
        <v>152</v>
      </c>
      <c r="D9" s="279" t="s">
        <v>235</v>
      </c>
      <c r="E9" s="279" t="str">
        <f>"(3) = (2) * ["&amp;FIXED('Assumptions and Inputs'!$C$56*100,2,TRUE)&amp;"% / 12]"</f>
        <v>(3) = (2) * [4.80% / 12]</v>
      </c>
    </row>
    <row r="10" spans="2:8" x14ac:dyDescent="0.25">
      <c r="B10" s="281"/>
      <c r="C10" s="283"/>
      <c r="D10" s="283"/>
      <c r="E10" s="283"/>
    </row>
    <row r="11" spans="2:8" x14ac:dyDescent="0.25">
      <c r="B11" s="286">
        <f>'E-Factor'!B11</f>
        <v>45170</v>
      </c>
      <c r="C11" s="390">
        <f>'E-Factor'!J11</f>
        <v>-425704.35721595993</v>
      </c>
      <c r="D11" s="390">
        <f>C11</f>
        <v>-425704.35721595993</v>
      </c>
      <c r="E11" s="393">
        <f>D11*('Assumptions and Inputs'!$C$56)/12</f>
        <v>-1702.81742886384</v>
      </c>
      <c r="H11" s="200"/>
    </row>
    <row r="12" spans="2:8" x14ac:dyDescent="0.25">
      <c r="B12" s="291">
        <f>'E-Factor'!B12</f>
        <v>45200</v>
      </c>
      <c r="C12" s="391">
        <f>'E-Factor'!J12</f>
        <v>-421147.61357777996</v>
      </c>
      <c r="D12" s="391">
        <f t="shared" ref="D12:D20" si="0">D11+C12</f>
        <v>-846851.97079373989</v>
      </c>
      <c r="E12" s="394">
        <f>D12*('Assumptions and Inputs'!$C$56)/12</f>
        <v>-3387.4078831749594</v>
      </c>
      <c r="H12" s="200"/>
    </row>
    <row r="13" spans="2:8" x14ac:dyDescent="0.25">
      <c r="B13" s="286">
        <f>'E-Factor'!B13</f>
        <v>45231</v>
      </c>
      <c r="C13" s="390">
        <f>'E-Factor'!J13</f>
        <v>-452027.60557721992</v>
      </c>
      <c r="D13" s="390">
        <f t="shared" si="0"/>
        <v>-1298879.5763709599</v>
      </c>
      <c r="E13" s="393">
        <f>D13*('Assumptions and Inputs'!$C$56)/12</f>
        <v>-5195.5183054838399</v>
      </c>
      <c r="H13" s="200"/>
    </row>
    <row r="14" spans="2:8" x14ac:dyDescent="0.25">
      <c r="B14" s="291">
        <f>'E-Factor'!B14</f>
        <v>45261</v>
      </c>
      <c r="C14" s="391">
        <f>'E-Factor'!J14</f>
        <v>-478317.21101717988</v>
      </c>
      <c r="D14" s="391">
        <f t="shared" si="0"/>
        <v>-1777196.7873881399</v>
      </c>
      <c r="E14" s="394">
        <f>D14*('Assumptions and Inputs'!$C$56)/12</f>
        <v>-7108.7871495525587</v>
      </c>
      <c r="H14" s="200"/>
    </row>
    <row r="15" spans="2:8" x14ac:dyDescent="0.25">
      <c r="B15" s="286">
        <f>'E-Factor'!B15</f>
        <v>45292</v>
      </c>
      <c r="C15" s="390">
        <f>'E-Factor'!J15</f>
        <v>-422496.84524585406</v>
      </c>
      <c r="D15" s="390">
        <f t="shared" si="0"/>
        <v>-2199693.6326339939</v>
      </c>
      <c r="E15" s="393">
        <f>D15*('Assumptions and Inputs'!$C$56)/12</f>
        <v>-8798.7745305359767</v>
      </c>
      <c r="H15" s="200"/>
    </row>
    <row r="16" spans="2:8" x14ac:dyDescent="0.25">
      <c r="B16" s="291">
        <f>'E-Factor'!B16</f>
        <v>45323</v>
      </c>
      <c r="C16" s="391">
        <f>'E-Factor'!J16</f>
        <v>-440700.65314131638</v>
      </c>
      <c r="D16" s="391">
        <f t="shared" si="0"/>
        <v>-2640394.2857753104</v>
      </c>
      <c r="E16" s="394">
        <f>D16*('Assumptions and Inputs'!$C$56)/12</f>
        <v>-10561.577143101242</v>
      </c>
      <c r="H16" s="200"/>
    </row>
    <row r="17" spans="2:8" x14ac:dyDescent="0.25">
      <c r="B17" s="286">
        <f>'E-Factor'!B17</f>
        <v>45352</v>
      </c>
      <c r="C17" s="390">
        <f>'E-Factor'!J17</f>
        <v>-489244.14086254931</v>
      </c>
      <c r="D17" s="390">
        <f>D16+C17</f>
        <v>-3129638.4266378595</v>
      </c>
      <c r="E17" s="393">
        <f>D17*('Assumptions and Inputs'!$C$56)/12</f>
        <v>-12518.553706551438</v>
      </c>
      <c r="H17" s="200"/>
    </row>
    <row r="18" spans="2:8" x14ac:dyDescent="0.25">
      <c r="B18" s="291">
        <f>'E-Factor'!B18</f>
        <v>45383</v>
      </c>
      <c r="C18" s="391">
        <f>'E-Factor'!J18</f>
        <v>-586332.08620501508</v>
      </c>
      <c r="D18" s="391">
        <f t="shared" si="0"/>
        <v>-3715970.5128428745</v>
      </c>
      <c r="E18" s="394">
        <f>D18*('Assumptions and Inputs'!$C$56)/12</f>
        <v>-14863.882051371498</v>
      </c>
      <c r="H18" s="200"/>
    </row>
    <row r="19" spans="2:8" x14ac:dyDescent="0.25">
      <c r="B19" s="286">
        <f>'E-Factor'!B19</f>
        <v>45413</v>
      </c>
      <c r="C19" s="390">
        <f>'E-Factor'!J19</f>
        <v>-683418.09174748114</v>
      </c>
      <c r="D19" s="390">
        <f t="shared" si="0"/>
        <v>-4399388.6045903554</v>
      </c>
      <c r="E19" s="393">
        <f>D19*('Assumptions and Inputs'!$C$56)/12</f>
        <v>-17597.554418361422</v>
      </c>
      <c r="H19" s="200"/>
    </row>
    <row r="20" spans="2:8" x14ac:dyDescent="0.25">
      <c r="B20" s="291">
        <f>'E-Factor'!B20</f>
        <v>45444</v>
      </c>
      <c r="C20" s="391">
        <f>'E-Factor'!J20</f>
        <v>-698087.93373683782</v>
      </c>
      <c r="D20" s="391">
        <f t="shared" si="0"/>
        <v>-5097476.5383271929</v>
      </c>
      <c r="E20" s="394">
        <f>D20*('Assumptions and Inputs'!$C$56)/12</f>
        <v>-20389.90615330877</v>
      </c>
      <c r="H20" s="200"/>
    </row>
    <row r="21" spans="2:8" x14ac:dyDescent="0.25">
      <c r="B21" s="286">
        <f>'E-Factor'!B21</f>
        <v>45474</v>
      </c>
      <c r="C21" s="390">
        <f>'E-Factor'!J21</f>
        <v>-698087.93373683782</v>
      </c>
      <c r="D21" s="390">
        <f>D20+C21</f>
        <v>-5795564.4720640304</v>
      </c>
      <c r="E21" s="393">
        <f>D21*('Assumptions and Inputs'!$C$56)/12</f>
        <v>-23182.257888256121</v>
      </c>
      <c r="H21" s="200"/>
    </row>
    <row r="22" spans="2:8" x14ac:dyDescent="0.25">
      <c r="B22" s="291">
        <f>'E-Factor'!B22</f>
        <v>45505</v>
      </c>
      <c r="C22" s="391">
        <f>'E-Factor'!J22</f>
        <v>-698087.93373683782</v>
      </c>
      <c r="D22" s="391">
        <f>D21+C22</f>
        <v>-6493652.4058008678</v>
      </c>
      <c r="E22" s="394">
        <f>D22*('Assumptions and Inputs'!$C$56)/12</f>
        <v>-25974.609623203472</v>
      </c>
      <c r="H22" s="200"/>
    </row>
    <row r="23" spans="2:8" x14ac:dyDescent="0.25">
      <c r="B23" s="299" t="s">
        <v>144</v>
      </c>
      <c r="C23" s="300"/>
      <c r="D23" s="392"/>
      <c r="E23" s="300">
        <f>SUM(E11:E22)</f>
        <v>-151281.64628176513</v>
      </c>
    </row>
    <row r="24" spans="2:8" x14ac:dyDescent="0.25">
      <c r="B24" s="217"/>
      <c r="C24" s="303"/>
      <c r="D24" s="387"/>
      <c r="E24" s="303"/>
    </row>
    <row r="25" spans="2:8" x14ac:dyDescent="0.25">
      <c r="B25" s="217"/>
      <c r="C25" s="303"/>
      <c r="D25" s="305" t="s">
        <v>194</v>
      </c>
      <c r="E25" s="303">
        <f>'I-Factor PRIOR'!K87</f>
        <v>-5912.3021730225009</v>
      </c>
    </row>
    <row r="26" spans="2:8" x14ac:dyDescent="0.25">
      <c r="C26" s="208"/>
      <c r="E26" s="222"/>
    </row>
    <row r="27" spans="2:8" x14ac:dyDescent="0.25">
      <c r="D27" s="307" t="s">
        <v>236</v>
      </c>
      <c r="E27" s="308">
        <f>E23+E25</f>
        <v>-157193.94845478763</v>
      </c>
      <c r="F27" s="306" t="s">
        <v>237</v>
      </c>
    </row>
    <row r="28" spans="2:8" hidden="1" x14ac:dyDescent="0.25">
      <c r="B28" s="229" t="s">
        <v>196</v>
      </c>
      <c r="E28" s="222"/>
    </row>
    <row r="29" spans="2:8" hidden="1" x14ac:dyDescent="0.25">
      <c r="B29" s="253" t="s">
        <v>238</v>
      </c>
    </row>
    <row r="30" spans="2:8" hidden="1" x14ac:dyDescent="0.25">
      <c r="B30" s="253" t="str">
        <f>"(3) Interest calculated monthly based on 1-year interest rate for constant maturity U.S. Treasury Securities"</f>
        <v>(3) Interest calculated monthly based on 1-year interest rate for constant maturity U.S. Treasury Securities</v>
      </c>
    </row>
    <row r="31" spans="2:8" hidden="1" x14ac:dyDescent="0.25">
      <c r="B31" s="388" t="str">
        <f>"as published in the Federal Reserve Statistical Release H.15 (519) on "&amp;TEXT('Assumptions and Inputs'!$C$57,"MMMM DD, YYYY")&amp;"."</f>
        <v>as published in the Federal Reserve Statistical Release H.15 (519) on January 02, 2024.</v>
      </c>
    </row>
    <row r="32" spans="2:8" x14ac:dyDescent="0.25"/>
    <row r="33" spans="2:8" x14ac:dyDescent="0.25">
      <c r="B33" s="238" t="s">
        <v>31</v>
      </c>
      <c r="C33" s="239"/>
      <c r="D33" s="239"/>
      <c r="E33" s="239"/>
    </row>
    <row r="34" spans="2:8" x14ac:dyDescent="0.25">
      <c r="B34" s="238" t="s">
        <v>303</v>
      </c>
      <c r="C34" s="239"/>
      <c r="D34" s="239"/>
      <c r="E34" s="239"/>
    </row>
    <row r="35" spans="2:8" x14ac:dyDescent="0.25"/>
    <row r="36" spans="2:8" x14ac:dyDescent="0.25">
      <c r="B36" s="271" t="s">
        <v>171</v>
      </c>
      <c r="C36" s="271" t="s">
        <v>227</v>
      </c>
      <c r="D36" s="271" t="s">
        <v>228</v>
      </c>
      <c r="E36" s="271" t="s">
        <v>229</v>
      </c>
    </row>
    <row r="37" spans="2:8" x14ac:dyDescent="0.25">
      <c r="B37" s="273" t="s">
        <v>170</v>
      </c>
      <c r="C37" s="273" t="s">
        <v>185</v>
      </c>
      <c r="D37" s="273" t="s">
        <v>230</v>
      </c>
      <c r="E37" s="273" t="s">
        <v>231</v>
      </c>
    </row>
    <row r="38" spans="2:8" x14ac:dyDescent="0.25">
      <c r="B38" s="273"/>
      <c r="C38" s="273" t="s">
        <v>239</v>
      </c>
      <c r="D38" s="273" t="s">
        <v>239</v>
      </c>
      <c r="E38" s="273" t="s">
        <v>233</v>
      </c>
    </row>
    <row r="39" spans="2:8" x14ac:dyDescent="0.25">
      <c r="B39" s="273"/>
      <c r="C39" s="273" t="s">
        <v>240</v>
      </c>
      <c r="D39" s="274"/>
      <c r="E39" s="273" t="s">
        <v>239</v>
      </c>
    </row>
    <row r="40" spans="2:8" x14ac:dyDescent="0.25">
      <c r="B40" s="373"/>
      <c r="C40" s="279" t="s">
        <v>152</v>
      </c>
      <c r="D40" s="279" t="s">
        <v>235</v>
      </c>
      <c r="E40" s="279" t="str">
        <f>"(3) = (2) * ["&amp;FIXED('Assumptions and Inputs'!$C$56*100,2,TRUE)&amp;"% / 12]"</f>
        <v>(3) = (2) * [4.80% / 12]</v>
      </c>
    </row>
    <row r="41" spans="2:8" x14ac:dyDescent="0.25">
      <c r="B41" s="281"/>
      <c r="C41" s="283"/>
      <c r="D41" s="283"/>
      <c r="E41" s="283"/>
    </row>
    <row r="42" spans="2:8" x14ac:dyDescent="0.25">
      <c r="B42" s="286">
        <f>'E-Factor'!B50</f>
        <v>45170</v>
      </c>
      <c r="C42" s="390">
        <f>'E-Factor'!J50</f>
        <v>-578192.2090220399</v>
      </c>
      <c r="D42" s="390">
        <f>C42</f>
        <v>-578192.2090220399</v>
      </c>
      <c r="E42" s="393">
        <f>D42*('Assumptions and Inputs'!$C$56)/12</f>
        <v>-2312.7688360881598</v>
      </c>
      <c r="H42" s="389"/>
    </row>
    <row r="43" spans="2:8" x14ac:dyDescent="0.25">
      <c r="B43" s="291">
        <f>'E-Factor'!B51</f>
        <v>45200</v>
      </c>
      <c r="C43" s="391">
        <f>'E-Factor'!J51</f>
        <v>-572159.86573121988</v>
      </c>
      <c r="D43" s="391">
        <f>D42+C43</f>
        <v>-1150352.0747532598</v>
      </c>
      <c r="E43" s="394">
        <f>D43*('Assumptions and Inputs'!$C$56)/12</f>
        <v>-4601.4082990130391</v>
      </c>
      <c r="H43" s="389"/>
    </row>
    <row r="44" spans="2:8" x14ac:dyDescent="0.25">
      <c r="B44" s="286">
        <f>'E-Factor'!B52</f>
        <v>45231</v>
      </c>
      <c r="C44" s="390">
        <f>'E-Factor'!J52</f>
        <v>-614956.07706377981</v>
      </c>
      <c r="D44" s="390">
        <f t="shared" ref="D44:D51" si="1">D43+C44</f>
        <v>-1765308.1518170396</v>
      </c>
      <c r="E44" s="393">
        <f>D44*('Assumptions and Inputs'!$C$56)/12</f>
        <v>-7061.2326072681581</v>
      </c>
      <c r="H44" s="389"/>
    </row>
    <row r="45" spans="2:8" x14ac:dyDescent="0.25">
      <c r="B45" s="291">
        <f>'E-Factor'!B53</f>
        <v>45261</v>
      </c>
      <c r="C45" s="391">
        <f>'E-Factor'!J53</f>
        <v>-650400.23806181992</v>
      </c>
      <c r="D45" s="391">
        <f t="shared" si="1"/>
        <v>-2415708.3898788597</v>
      </c>
      <c r="E45" s="394">
        <f>D45*('Assumptions and Inputs'!$C$56)/12</f>
        <v>-9662.8335595154404</v>
      </c>
      <c r="H45" s="389"/>
    </row>
    <row r="46" spans="2:8" x14ac:dyDescent="0.25">
      <c r="B46" s="286">
        <f>'E-Factor'!B54</f>
        <v>45292</v>
      </c>
      <c r="C46" s="390">
        <f>'E-Factor'!J54</f>
        <v>-573932.56641570316</v>
      </c>
      <c r="D46" s="390">
        <f t="shared" si="1"/>
        <v>-2989640.9562945627</v>
      </c>
      <c r="E46" s="393">
        <f>D46*('Assumptions and Inputs'!$C$56)/12</f>
        <v>-11958.563825178251</v>
      </c>
      <c r="H46" s="389"/>
    </row>
    <row r="47" spans="2:8" x14ac:dyDescent="0.25">
      <c r="B47" s="291">
        <f>'E-Factor'!B55</f>
        <v>45323</v>
      </c>
      <c r="C47" s="391">
        <f>'E-Factor'!J55</f>
        <v>-599071.15827134158</v>
      </c>
      <c r="D47" s="391">
        <f t="shared" si="1"/>
        <v>-3588712.1145659043</v>
      </c>
      <c r="E47" s="394">
        <f>D47*('Assumptions and Inputs'!$C$56)/12</f>
        <v>-14354.848458263617</v>
      </c>
      <c r="H47" s="389"/>
    </row>
    <row r="48" spans="2:8" x14ac:dyDescent="0.25">
      <c r="B48" s="286">
        <f>'E-Factor'!B56</f>
        <v>45352</v>
      </c>
      <c r="C48" s="390">
        <f>'E-Factor'!J56</f>
        <v>-666107.40321971104</v>
      </c>
      <c r="D48" s="390">
        <f t="shared" si="1"/>
        <v>-4254819.5177856153</v>
      </c>
      <c r="E48" s="393">
        <f>D48*('Assumptions and Inputs'!$C$56)/12</f>
        <v>-17019.27807114246</v>
      </c>
      <c r="H48" s="389"/>
    </row>
    <row r="49" spans="2:8" x14ac:dyDescent="0.25">
      <c r="B49" s="291">
        <f>'E-Factor'!B57</f>
        <v>45383</v>
      </c>
      <c r="C49" s="391">
        <f>'E-Factor'!J57</f>
        <v>-800179.89311644959</v>
      </c>
      <c r="D49" s="391">
        <f t="shared" si="1"/>
        <v>-5054999.4109020652</v>
      </c>
      <c r="E49" s="394">
        <f>D49*('Assumptions and Inputs'!$C$56)/12</f>
        <v>-20219.997643608262</v>
      </c>
      <c r="H49" s="389"/>
    </row>
    <row r="50" spans="2:8" x14ac:dyDescent="0.25">
      <c r="B50" s="286">
        <f>'E-Factor'!B58</f>
        <v>45413</v>
      </c>
      <c r="C50" s="390">
        <f>'E-Factor'!J58</f>
        <v>-934252.38301318814</v>
      </c>
      <c r="D50" s="390">
        <f t="shared" si="1"/>
        <v>-5989251.7939152531</v>
      </c>
      <c r="E50" s="393">
        <f>D50*('Assumptions and Inputs'!$C$56)/12</f>
        <v>-23957.007175661012</v>
      </c>
      <c r="H50" s="389"/>
    </row>
    <row r="51" spans="2:8" x14ac:dyDescent="0.25">
      <c r="B51" s="291">
        <f>'E-Factor'!B59</f>
        <v>45444</v>
      </c>
      <c r="C51" s="391">
        <f>'E-Factor'!J59</f>
        <v>-954510.73623658554</v>
      </c>
      <c r="D51" s="391">
        <f t="shared" si="1"/>
        <v>-6943762.5301518384</v>
      </c>
      <c r="E51" s="394">
        <f>D51*('Assumptions and Inputs'!$C$56)/12</f>
        <v>-27775.050120607353</v>
      </c>
      <c r="H51" s="389"/>
    </row>
    <row r="52" spans="2:8" x14ac:dyDescent="0.25">
      <c r="B52" s="286">
        <f>'E-Factor'!B60</f>
        <v>45474</v>
      </c>
      <c r="C52" s="390">
        <f>'E-Factor'!J60</f>
        <v>-954510.73623658554</v>
      </c>
      <c r="D52" s="390">
        <f t="shared" ref="D52" si="2">D51+C52</f>
        <v>-7898273.2663884237</v>
      </c>
      <c r="E52" s="393">
        <f>D52*('Assumptions and Inputs'!$C$56)/12</f>
        <v>-31593.093065553694</v>
      </c>
      <c r="H52" s="389"/>
    </row>
    <row r="53" spans="2:8" x14ac:dyDescent="0.25">
      <c r="B53" s="291">
        <f>'E-Factor'!B61</f>
        <v>45505</v>
      </c>
      <c r="C53" s="391">
        <f>'E-Factor'!J61</f>
        <v>-954510.73623658554</v>
      </c>
      <c r="D53" s="391">
        <f>D52+C53</f>
        <v>-8852784.002625009</v>
      </c>
      <c r="E53" s="394">
        <f>D53*('Assumptions and Inputs'!$C$56)/12</f>
        <v>-35411.136010500035</v>
      </c>
      <c r="H53" s="389"/>
    </row>
    <row r="54" spans="2:8" x14ac:dyDescent="0.25">
      <c r="B54" s="299" t="s">
        <v>144</v>
      </c>
      <c r="C54" s="300"/>
      <c r="D54" s="392"/>
      <c r="E54" s="300">
        <f>SUM(E42:E53)</f>
        <v>-205927.21767239948</v>
      </c>
    </row>
    <row r="55" spans="2:8" x14ac:dyDescent="0.25">
      <c r="B55" s="217"/>
      <c r="C55" s="303"/>
      <c r="D55" s="387"/>
      <c r="E55" s="303"/>
    </row>
    <row r="56" spans="2:8" x14ac:dyDescent="0.25">
      <c r="B56" s="217"/>
      <c r="C56" s="303"/>
      <c r="D56" s="305" t="s">
        <v>194</v>
      </c>
      <c r="E56" s="303">
        <f>'I-Factor PRIOR'!K116</f>
        <v>-8430.1173700540821</v>
      </c>
    </row>
    <row r="57" spans="2:8" x14ac:dyDescent="0.25">
      <c r="E57" s="222"/>
    </row>
    <row r="58" spans="2:8" x14ac:dyDescent="0.25">
      <c r="D58" s="307" t="s">
        <v>236</v>
      </c>
      <c r="E58" s="308">
        <f>E54+E56</f>
        <v>-214357.33504245355</v>
      </c>
      <c r="F58" s="306" t="s">
        <v>237</v>
      </c>
    </row>
    <row r="59" spans="2:8" hidden="1" x14ac:dyDescent="0.25">
      <c r="B59" s="229" t="s">
        <v>196</v>
      </c>
      <c r="E59" s="222"/>
    </row>
    <row r="60" spans="2:8" hidden="1" x14ac:dyDescent="0.25">
      <c r="B60" s="253" t="s">
        <v>241</v>
      </c>
    </row>
    <row r="61" spans="2:8" hidden="1" x14ac:dyDescent="0.25">
      <c r="B61" s="253" t="str">
        <f>"(3) Interest calculated monthly based on 1-year interest rate for constant maturity U.S. Treasury Securities"</f>
        <v>(3) Interest calculated monthly based on 1-year interest rate for constant maturity U.S. Treasury Securities</v>
      </c>
    </row>
    <row r="62" spans="2:8" hidden="1" x14ac:dyDescent="0.25">
      <c r="B62" s="388" t="str">
        <f>"as published in the Federal Reserve Statistical Release H.15 (519) on "&amp;TEXT('Assumptions and Inputs'!$C$57,"MMMM DD, YYYY")&amp;"."</f>
        <v>as published in the Federal Reserve Statistical Release H.15 (519) on January 02, 2024.</v>
      </c>
    </row>
    <row r="63" spans="2:8" x14ac:dyDescent="0.25"/>
    <row r="64" spans="2:8"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sheetData>
  <printOptions horizontalCentered="1"/>
  <pageMargins left="0.7" right="0.7" top="0.5" bottom="0.5" header="0.3" footer="0.3"/>
  <pageSetup scale="72" orientation="landscape" r:id="rId1"/>
  <headerFooter>
    <oddHeader>&amp;RSchedule LKM-TAP-R-5</oddHeader>
  </headerFooter>
  <ignoredErrors>
    <ignoredError sqref="C9:D9 C40:D40"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005CA3EC97C240B6A6DE541C216FC3" ma:contentTypeVersion="14" ma:contentTypeDescription="Create a new document." ma:contentTypeScope="" ma:versionID="3dc2716112899566d07fe3e564190f68">
  <xsd:schema xmlns:xsd="http://www.w3.org/2001/XMLSchema" xmlns:xs="http://www.w3.org/2001/XMLSchema" xmlns:p="http://schemas.microsoft.com/office/2006/metadata/properties" xmlns:ns2="c1eecfb3-5e1e-4c14-a199-821554a453d0" xmlns:ns3="74a816c8-2012-4a06-9eee-7fac2e12fc01" xmlns:ns4="1ecad1bf-37b2-4fe5-8d43-af4e731dea56" targetNamespace="http://schemas.microsoft.com/office/2006/metadata/properties" ma:root="true" ma:fieldsID="5066528d2c0d648418165c9d016f3718" ns2:_="" ns3:_="" ns4:_="">
    <xsd:import namespace="c1eecfb3-5e1e-4c14-a199-821554a453d0"/>
    <xsd:import namespace="74a816c8-2012-4a06-9eee-7fac2e12fc01"/>
    <xsd:import namespace="1ecad1bf-37b2-4fe5-8d43-af4e731dea5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ecfb3-5e1e-4c14-a199-821554a453d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a816c8-2012-4a06-9eee-7fac2e12fc0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d5ee6cf-0e63-41ed-9d74-2beef34e857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cad1bf-37b2-4fe5-8d43-af4e731dea5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84a3c7f-f0c9-4c06-880c-e92bf7e68a2c}" ma:internalName="TaxCatchAll" ma:showField="CatchAllData" ma:web="c1eecfb3-5e1e-4c14-a199-821554a453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4a816c8-2012-4a06-9eee-7fac2e12fc01">
      <Terms xmlns="http://schemas.microsoft.com/office/infopath/2007/PartnerControls"/>
    </lcf76f155ced4ddcb4097134ff3c332f>
    <TaxCatchAll xmlns="1ecad1bf-37b2-4fe5-8d43-af4e731dea56" xsi:nil="true"/>
  </documentManagement>
</p:properties>
</file>

<file path=customXml/itemProps1.xml><?xml version="1.0" encoding="utf-8"?>
<ds:datastoreItem xmlns:ds="http://schemas.openxmlformats.org/officeDocument/2006/customXml" ds:itemID="{C06C3F40-B0F4-4A67-85FA-26666D3E85B6}">
  <ds:schemaRefs>
    <ds:schemaRef ds:uri="http://schemas.microsoft.com/sharepoint/v3/contenttype/forms"/>
  </ds:schemaRefs>
</ds:datastoreItem>
</file>

<file path=customXml/itemProps2.xml><?xml version="1.0" encoding="utf-8"?>
<ds:datastoreItem xmlns:ds="http://schemas.openxmlformats.org/officeDocument/2006/customXml" ds:itemID="{3B9C2741-E97B-4C80-AD30-1E81A6E112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ecfb3-5e1e-4c14-a199-821554a453d0"/>
    <ds:schemaRef ds:uri="74a816c8-2012-4a06-9eee-7fac2e12fc01"/>
    <ds:schemaRef ds:uri="1ecad1bf-37b2-4fe5-8d43-af4e731dea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00982D-8269-4AA5-8785-B9434E7EBCCA}">
  <ds:schemaRef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elements/1.1/"/>
    <ds:schemaRef ds:uri="c1eecfb3-5e1e-4c14-a199-821554a453d0"/>
    <ds:schemaRef ds:uri="1ecad1bf-37b2-4fe5-8d43-af4e731dea56"/>
    <ds:schemaRef ds:uri="74a816c8-2012-4a06-9eee-7fac2e12fc0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Home</vt:lpstr>
      <vt:lpstr>Table of Contents</vt:lpstr>
      <vt:lpstr>Assumptions and Inputs</vt:lpstr>
      <vt:lpstr>Customer</vt:lpstr>
      <vt:lpstr>Summary</vt:lpstr>
      <vt:lpstr>C-Factor</vt:lpstr>
      <vt:lpstr>E-Factor</vt:lpstr>
      <vt:lpstr>E-Factor PRIOR</vt:lpstr>
      <vt:lpstr>I-Factor</vt:lpstr>
      <vt:lpstr>I-Factor PRIOR</vt:lpstr>
      <vt:lpstr>Rates</vt:lpstr>
      <vt:lpstr>'C-Factor'!Print_Area</vt:lpstr>
      <vt:lpstr>'E-Factor'!Print_Area</vt:lpstr>
      <vt:lpstr>'E-Factor PRIOR'!Print_Area</vt:lpstr>
      <vt:lpstr>'I-Factor'!Print_Area</vt:lpstr>
      <vt:lpstr>'I-Factor PRIOR'!Print_Area</vt:lpstr>
      <vt:lpstr>Rates!Print_Area</vt:lpstr>
      <vt:lpstr>Summary!Print_Area</vt:lpstr>
      <vt:lpstr>'Table of Contents'!Print_Area</vt:lpstr>
    </vt:vector>
  </TitlesOfParts>
  <Manager/>
  <Company>Black &amp; Veatch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Merritt, Brian L.</dc:creator>
  <cp:keywords/>
  <dc:description/>
  <cp:lastModifiedBy>L Morgan</cp:lastModifiedBy>
  <cp:revision/>
  <cp:lastPrinted>2024-04-29T15:32:46Z</cp:lastPrinted>
  <dcterms:created xsi:type="dcterms:W3CDTF">2018-04-12T12:14:16Z</dcterms:created>
  <dcterms:modified xsi:type="dcterms:W3CDTF">2024-04-29T15:33:12Z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0x01010058005CA3EC97C240B6A6DE541C216FC3</vt:lpwstr>
  </property>
  <property fmtid="{D5CDD505-2E9C-101B-9397-08002B2CF9AE}" pid="3" name="MediaServiceImageTags">
    <vt:lpwstr/>
  </property>
</Properties>
</file>