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me Build\Desktop\TAP-R\"/>
    </mc:Choice>
  </mc:AlternateContent>
  <xr:revisionPtr revIDLastSave="0" documentId="13_ncr:1_{22104146-5687-4667-9E09-ECBF924F4C36}" xr6:coauthVersionLast="47" xr6:coauthVersionMax="47" xr10:uidLastSave="{00000000-0000-0000-0000-000000000000}"/>
  <bookViews>
    <workbookView xWindow="-120" yWindow="-120" windowWidth="37710" windowHeight="21840" tabRatio="667" activeTab="1" xr2:uid="{00000000-000D-0000-FFFF-FFFF00000000}"/>
  </bookViews>
  <sheets>
    <sheet name="TOC" sheetId="26" r:id="rId1"/>
    <sheet name="Wastewater Charges" sheetId="1" r:id="rId2"/>
    <sheet name="Water Charges" sheetId="2" r:id="rId3"/>
    <sheet name="Typical Res Bills TOTAL" sheetId="3" r:id="rId4"/>
    <sheet name="Typ Non Res Bill TOTAL PARCEL" sheetId="10" r:id="rId5"/>
    <sheet name="Typical Bills WATER" sheetId="5" r:id="rId6"/>
    <sheet name="Typical Bills SANITARY" sheetId="4" r:id="rId7"/>
    <sheet name="Typical Res Bills SW" sheetId="7" r:id="rId8"/>
    <sheet name="Typical Non-Res Bills SW" sheetId="11" r:id="rId9"/>
    <sheet name="Inputs" sheetId="15" r:id="rId10"/>
  </sheets>
  <externalReferences>
    <externalReference r:id="rId11"/>
  </externalReferences>
  <definedNames>
    <definedName name="Client">[1]TOC!$C$2</definedName>
    <definedName name="_xlnm.Print_Area" localSheetId="4">'Typ Non Res Bill TOTAL PARCEL'!$B$2:$H$65</definedName>
    <definedName name="_xlnm.Print_Area" localSheetId="8">'Typical Non-Res Bills SW'!$B$1:$H$60</definedName>
    <definedName name="_xlnm.Print_Area" localSheetId="3">'Typical Res Bills TOTAL'!$B$2:$F$40</definedName>
    <definedName name="_xlnm.Print_Area" localSheetId="1">'Wastewater Charges'!$B$1:$W$58</definedName>
    <definedName name="_xlnm.Print_Area" localSheetId="2">'Water Charges'!$B$2:$M$44</definedName>
    <definedName name="Title">[1]TOC!$C$4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F49" i="2"/>
  <c r="F56" i="11"/>
  <c r="G56" i="11"/>
  <c r="F55" i="11"/>
  <c r="G55" i="11"/>
  <c r="F54" i="11"/>
  <c r="G54" i="11"/>
  <c r="F53" i="11"/>
  <c r="G53" i="11"/>
  <c r="F51" i="11"/>
  <c r="G51" i="11"/>
  <c r="F50" i="11"/>
  <c r="G50" i="11"/>
  <c r="F49" i="11"/>
  <c r="G49" i="11"/>
  <c r="F48" i="11"/>
  <c r="G48" i="11"/>
  <c r="F46" i="11"/>
  <c r="G46" i="11"/>
  <c r="F45" i="11"/>
  <c r="G45" i="11"/>
  <c r="F44" i="11"/>
  <c r="G44" i="11"/>
  <c r="F43" i="11"/>
  <c r="G43" i="11"/>
  <c r="F41" i="11"/>
  <c r="G41" i="11"/>
  <c r="F40" i="11"/>
  <c r="G40" i="11"/>
  <c r="F39" i="11"/>
  <c r="G39" i="11"/>
  <c r="F38" i="11"/>
  <c r="G38" i="11"/>
  <c r="F36" i="11"/>
  <c r="G36" i="11"/>
  <c r="F35" i="11"/>
  <c r="G35" i="11"/>
  <c r="F34" i="11"/>
  <c r="G34" i="11"/>
  <c r="F33" i="11"/>
  <c r="G33" i="11"/>
  <c r="F31" i="11"/>
  <c r="G31" i="11"/>
  <c r="F30" i="11"/>
  <c r="G30" i="11"/>
  <c r="F29" i="11"/>
  <c r="G29" i="11"/>
  <c r="F28" i="11"/>
  <c r="G28" i="11"/>
  <c r="F26" i="11"/>
  <c r="G26" i="11"/>
  <c r="F25" i="11"/>
  <c r="G25" i="11"/>
  <c r="F24" i="11"/>
  <c r="G24" i="11"/>
  <c r="F23" i="11"/>
  <c r="G23" i="11"/>
  <c r="F22" i="11"/>
  <c r="G22" i="11"/>
  <c r="F21" i="11"/>
  <c r="G21" i="11"/>
  <c r="F20" i="11"/>
  <c r="G20" i="11"/>
  <c r="F19" i="11"/>
  <c r="G19" i="11"/>
  <c r="F18" i="11"/>
  <c r="G18" i="11"/>
  <c r="F17" i="11"/>
  <c r="G17" i="11"/>
  <c r="F16" i="11"/>
  <c r="G16" i="11"/>
  <c r="F15" i="11"/>
  <c r="G15" i="11"/>
  <c r="G14" i="11"/>
  <c r="F14" i="11"/>
  <c r="B60" i="10" l="1"/>
  <c r="B59" i="10"/>
  <c r="B30" i="3"/>
  <c r="B29" i="3"/>
  <c r="B20" i="3" l="1"/>
  <c r="C20" i="3"/>
  <c r="E18" i="10"/>
  <c r="D18" i="10"/>
  <c r="C18" i="10"/>
  <c r="B18" i="10"/>
  <c r="B19" i="11"/>
  <c r="C19" i="11"/>
  <c r="B19" i="7"/>
  <c r="C19" i="7"/>
  <c r="D19" i="7"/>
  <c r="B19" i="4"/>
  <c r="O19" i="4"/>
  <c r="C19" i="4"/>
  <c r="S19" i="4"/>
  <c r="L19" i="5"/>
  <c r="M19" i="5"/>
  <c r="N19" i="5"/>
  <c r="O19" i="5"/>
  <c r="Q19" i="5"/>
  <c r="E9" i="4"/>
  <c r="B49" i="2"/>
  <c r="B48" i="2"/>
  <c r="K28" i="2"/>
  <c r="J28" i="2"/>
  <c r="F38" i="1"/>
  <c r="E38" i="1"/>
  <c r="G9" i="11"/>
  <c r="B14" i="11"/>
  <c r="C14" i="11"/>
  <c r="D14" i="11"/>
  <c r="D15" i="10"/>
  <c r="B15" i="11"/>
  <c r="C15" i="11"/>
  <c r="D15" i="11"/>
  <c r="B16" i="11"/>
  <c r="C16" i="11"/>
  <c r="D16" i="11"/>
  <c r="B17" i="11"/>
  <c r="C17" i="11"/>
  <c r="D17" i="11"/>
  <c r="B18" i="11"/>
  <c r="C18" i="11"/>
  <c r="D18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8" i="11"/>
  <c r="C28" i="11"/>
  <c r="B29" i="11"/>
  <c r="C29" i="11"/>
  <c r="B30" i="11"/>
  <c r="C30" i="11"/>
  <c r="B31" i="11"/>
  <c r="C31" i="11"/>
  <c r="B33" i="11"/>
  <c r="C33" i="11"/>
  <c r="D33" i="11"/>
  <c r="B34" i="11"/>
  <c r="C34" i="11"/>
  <c r="B35" i="11"/>
  <c r="C35" i="11"/>
  <c r="B36" i="11"/>
  <c r="C36" i="11"/>
  <c r="B38" i="11"/>
  <c r="C38" i="11"/>
  <c r="B39" i="11"/>
  <c r="C39" i="11"/>
  <c r="B40" i="11"/>
  <c r="C40" i="11"/>
  <c r="B41" i="11"/>
  <c r="C41" i="11"/>
  <c r="B43" i="11"/>
  <c r="C43" i="11"/>
  <c r="B44" i="11"/>
  <c r="C44" i="11"/>
  <c r="B45" i="11"/>
  <c r="C45" i="11"/>
  <c r="B46" i="11"/>
  <c r="C46" i="11"/>
  <c r="B48" i="11"/>
  <c r="C48" i="11"/>
  <c r="B49" i="11"/>
  <c r="C49" i="11"/>
  <c r="B50" i="11"/>
  <c r="C50" i="11"/>
  <c r="B51" i="11"/>
  <c r="C51" i="11"/>
  <c r="B53" i="11"/>
  <c r="C53" i="11"/>
  <c r="B54" i="11"/>
  <c r="C54" i="11"/>
  <c r="B55" i="11"/>
  <c r="C55" i="11"/>
  <c r="B56" i="11"/>
  <c r="C56" i="11"/>
  <c r="D69" i="11"/>
  <c r="D73" i="11"/>
  <c r="D9" i="7"/>
  <c r="E9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D9" i="4"/>
  <c r="O11" i="4"/>
  <c r="P11" i="4"/>
  <c r="S11" i="4"/>
  <c r="T11" i="4"/>
  <c r="B14" i="4"/>
  <c r="C14" i="4"/>
  <c r="B15" i="4"/>
  <c r="C15" i="4"/>
  <c r="S15" i="4"/>
  <c r="B16" i="4"/>
  <c r="O16" i="4"/>
  <c r="C16" i="4"/>
  <c r="S16" i="4"/>
  <c r="B17" i="4"/>
  <c r="C17" i="4"/>
  <c r="S17" i="4"/>
  <c r="B18" i="4"/>
  <c r="C18" i="4"/>
  <c r="S18" i="4"/>
  <c r="B20" i="4"/>
  <c r="C20" i="4"/>
  <c r="B21" i="4"/>
  <c r="C21" i="4"/>
  <c r="S21" i="4"/>
  <c r="B22" i="4"/>
  <c r="O22" i="4"/>
  <c r="C22" i="4"/>
  <c r="B23" i="4"/>
  <c r="C23" i="4"/>
  <c r="S23" i="4"/>
  <c r="B24" i="4"/>
  <c r="O24" i="4"/>
  <c r="C24" i="4"/>
  <c r="S24" i="4"/>
  <c r="B25" i="4"/>
  <c r="O25" i="4"/>
  <c r="C25" i="4"/>
  <c r="S25" i="4"/>
  <c r="B26" i="4"/>
  <c r="O26" i="4"/>
  <c r="C26" i="4"/>
  <c r="S26" i="4"/>
  <c r="B28" i="4"/>
  <c r="O28" i="4"/>
  <c r="C28" i="4"/>
  <c r="B29" i="4"/>
  <c r="C29" i="4"/>
  <c r="S29" i="4"/>
  <c r="B30" i="4"/>
  <c r="O30" i="4"/>
  <c r="C30" i="4"/>
  <c r="S30" i="4"/>
  <c r="B31" i="4"/>
  <c r="O31" i="4"/>
  <c r="C31" i="4"/>
  <c r="S31" i="4"/>
  <c r="B33" i="4"/>
  <c r="C33" i="4"/>
  <c r="B34" i="4"/>
  <c r="O34" i="4"/>
  <c r="C34" i="4"/>
  <c r="S34" i="4"/>
  <c r="B35" i="4"/>
  <c r="O35" i="4"/>
  <c r="C35" i="4"/>
  <c r="S35" i="4"/>
  <c r="B36" i="4"/>
  <c r="C36" i="4"/>
  <c r="B38" i="4"/>
  <c r="C38" i="4"/>
  <c r="S38" i="4"/>
  <c r="B39" i="4"/>
  <c r="C39" i="4"/>
  <c r="S39" i="4"/>
  <c r="B40" i="4"/>
  <c r="O40" i="4"/>
  <c r="C40" i="4"/>
  <c r="B41" i="4"/>
  <c r="O41" i="4"/>
  <c r="C41" i="4"/>
  <c r="B43" i="4"/>
  <c r="O43" i="4"/>
  <c r="C43" i="4"/>
  <c r="S43" i="4"/>
  <c r="B44" i="4"/>
  <c r="O44" i="4"/>
  <c r="C44" i="4"/>
  <c r="S44" i="4"/>
  <c r="B45" i="4"/>
  <c r="O45" i="4"/>
  <c r="C45" i="4"/>
  <c r="S45" i="4"/>
  <c r="B46" i="4"/>
  <c r="C46" i="4"/>
  <c r="S46" i="4"/>
  <c r="B48" i="4"/>
  <c r="O48" i="4"/>
  <c r="C48" i="4"/>
  <c r="S48" i="4"/>
  <c r="B49" i="4"/>
  <c r="C49" i="4"/>
  <c r="B50" i="4"/>
  <c r="O50" i="4"/>
  <c r="C50" i="4"/>
  <c r="S50" i="4"/>
  <c r="B51" i="4"/>
  <c r="O51" i="4"/>
  <c r="C51" i="4"/>
  <c r="S51" i="4"/>
  <c r="B53" i="4"/>
  <c r="O53" i="4"/>
  <c r="C53" i="4"/>
  <c r="S53" i="4"/>
  <c r="B54" i="4"/>
  <c r="C54" i="4"/>
  <c r="S54" i="4"/>
  <c r="B55" i="4"/>
  <c r="O55" i="4"/>
  <c r="C55" i="4"/>
  <c r="B56" i="4"/>
  <c r="C56" i="4"/>
  <c r="S56" i="4"/>
  <c r="D9" i="5"/>
  <c r="E9" i="5"/>
  <c r="Q11" i="5"/>
  <c r="R11" i="5"/>
  <c r="U11" i="5"/>
  <c r="V11" i="5"/>
  <c r="L14" i="5"/>
  <c r="Q14" i="5"/>
  <c r="L15" i="5"/>
  <c r="M15" i="5"/>
  <c r="N15" i="5"/>
  <c r="O15" i="5"/>
  <c r="Q15" i="5"/>
  <c r="L16" i="5"/>
  <c r="M16" i="5"/>
  <c r="Q16" i="5"/>
  <c r="L17" i="5"/>
  <c r="Q17" i="5"/>
  <c r="L18" i="5"/>
  <c r="M18" i="5"/>
  <c r="N18" i="5"/>
  <c r="O18" i="5"/>
  <c r="Q18" i="5"/>
  <c r="L20" i="5"/>
  <c r="Q20" i="5"/>
  <c r="L21" i="5"/>
  <c r="M21" i="5"/>
  <c r="Q21" i="5"/>
  <c r="L22" i="5"/>
  <c r="M22" i="5"/>
  <c r="Q22" i="5"/>
  <c r="L23" i="5"/>
  <c r="Q23" i="5"/>
  <c r="L24" i="5"/>
  <c r="M24" i="5"/>
  <c r="N24" i="5"/>
  <c r="O24" i="5"/>
  <c r="Q24" i="5"/>
  <c r="L25" i="5"/>
  <c r="M25" i="5"/>
  <c r="N25" i="5"/>
  <c r="O25" i="5"/>
  <c r="Q25" i="5"/>
  <c r="L26" i="5"/>
  <c r="M26" i="5"/>
  <c r="N26" i="5"/>
  <c r="O26" i="5"/>
  <c r="Q26" i="5"/>
  <c r="L28" i="5"/>
  <c r="M28" i="5"/>
  <c r="N28" i="5"/>
  <c r="O28" i="5"/>
  <c r="Q28" i="5"/>
  <c r="L29" i="5"/>
  <c r="M29" i="5"/>
  <c r="N29" i="5"/>
  <c r="O29" i="5"/>
  <c r="Q29" i="5"/>
  <c r="L30" i="5"/>
  <c r="Q30" i="5"/>
  <c r="L31" i="5"/>
  <c r="M31" i="5"/>
  <c r="N31" i="5"/>
  <c r="O31" i="5"/>
  <c r="Q31" i="5"/>
  <c r="L33" i="5"/>
  <c r="M33" i="5"/>
  <c r="Q33" i="5"/>
  <c r="L34" i="5"/>
  <c r="M34" i="5"/>
  <c r="Q34" i="5"/>
  <c r="L35" i="5"/>
  <c r="M35" i="5"/>
  <c r="Q35" i="5"/>
  <c r="L36" i="5"/>
  <c r="M36" i="5"/>
  <c r="N36" i="5"/>
  <c r="O36" i="5"/>
  <c r="Q36" i="5"/>
  <c r="L38" i="5"/>
  <c r="Q38" i="5"/>
  <c r="L39" i="5"/>
  <c r="M39" i="5"/>
  <c r="Q39" i="5"/>
  <c r="L40" i="5"/>
  <c r="Q40" i="5"/>
  <c r="L41" i="5"/>
  <c r="M41" i="5"/>
  <c r="N41" i="5"/>
  <c r="O41" i="5"/>
  <c r="Q41" i="5"/>
  <c r="L43" i="5"/>
  <c r="M43" i="5"/>
  <c r="Q43" i="5"/>
  <c r="L44" i="5"/>
  <c r="M44" i="5"/>
  <c r="Q44" i="5"/>
  <c r="L45" i="5"/>
  <c r="Q45" i="5"/>
  <c r="L46" i="5"/>
  <c r="M46" i="5"/>
  <c r="Q46" i="5"/>
  <c r="L48" i="5"/>
  <c r="M48" i="5"/>
  <c r="Q48" i="5"/>
  <c r="L49" i="5"/>
  <c r="Q49" i="5"/>
  <c r="L50" i="5"/>
  <c r="M50" i="5"/>
  <c r="Q50" i="5"/>
  <c r="L51" i="5"/>
  <c r="M51" i="5"/>
  <c r="Q51" i="5"/>
  <c r="L53" i="5"/>
  <c r="Q53" i="5"/>
  <c r="L54" i="5"/>
  <c r="M54" i="5"/>
  <c r="N54" i="5"/>
  <c r="Q54" i="5"/>
  <c r="L55" i="5"/>
  <c r="Q55" i="5"/>
  <c r="L56" i="5"/>
  <c r="M56" i="5"/>
  <c r="Q56" i="5"/>
  <c r="F8" i="10"/>
  <c r="G8" i="10"/>
  <c r="B61" i="10" s="1"/>
  <c r="B14" i="10"/>
  <c r="C14" i="10"/>
  <c r="E14" i="10"/>
  <c r="B15" i="10"/>
  <c r="C15" i="10"/>
  <c r="E15" i="10"/>
  <c r="B16" i="10"/>
  <c r="C16" i="10"/>
  <c r="D16" i="10"/>
  <c r="E16" i="10"/>
  <c r="B17" i="10"/>
  <c r="C17" i="10"/>
  <c r="E17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2" i="10"/>
  <c r="C32" i="10"/>
  <c r="E32" i="10"/>
  <c r="B33" i="10"/>
  <c r="C33" i="10"/>
  <c r="D33" i="10"/>
  <c r="E33" i="10"/>
  <c r="B34" i="10"/>
  <c r="C34" i="10"/>
  <c r="D34" i="10"/>
  <c r="E34" i="10"/>
  <c r="B35" i="10"/>
  <c r="C35" i="10"/>
  <c r="D35" i="10"/>
  <c r="E35" i="10"/>
  <c r="B37" i="10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7" i="10"/>
  <c r="C47" i="10"/>
  <c r="D47" i="10"/>
  <c r="E47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2" i="10"/>
  <c r="C52" i="10"/>
  <c r="D52" i="10"/>
  <c r="E52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D8" i="3"/>
  <c r="I12" i="3" s="1"/>
  <c r="E8" i="3"/>
  <c r="B31" i="3" s="1"/>
  <c r="B15" i="3"/>
  <c r="C15" i="3"/>
  <c r="B16" i="3"/>
  <c r="C16" i="3"/>
  <c r="B17" i="3"/>
  <c r="C17" i="3"/>
  <c r="B18" i="3"/>
  <c r="C18" i="3"/>
  <c r="B19" i="3"/>
  <c r="C19" i="3"/>
  <c r="B21" i="3"/>
  <c r="C21" i="3"/>
  <c r="B22" i="3"/>
  <c r="C22" i="3"/>
  <c r="B23" i="3"/>
  <c r="C23" i="3"/>
  <c r="B24" i="3"/>
  <c r="C24" i="3"/>
  <c r="B25" i="3"/>
  <c r="C25" i="3"/>
  <c r="B26" i="3"/>
  <c r="C26" i="3"/>
  <c r="D8" i="2"/>
  <c r="E8" i="2"/>
  <c r="D28" i="2"/>
  <c r="E28" i="2"/>
  <c r="J33" i="2"/>
  <c r="J34" i="2"/>
  <c r="J35" i="2"/>
  <c r="J36" i="2"/>
  <c r="D46" i="2"/>
  <c r="D48" i="2"/>
  <c r="E48" i="2"/>
  <c r="G48" i="2"/>
  <c r="D63" i="2"/>
  <c r="E63" i="2"/>
  <c r="D76" i="2"/>
  <c r="E76" i="2"/>
  <c r="E97" i="2"/>
  <c r="D98" i="2"/>
  <c r="E98" i="2"/>
  <c r="A104" i="2"/>
  <c r="E10" i="1"/>
  <c r="F10" i="1"/>
  <c r="N10" i="1"/>
  <c r="O10" i="1"/>
  <c r="U10" i="1"/>
  <c r="V10" i="1"/>
  <c r="N19" i="1"/>
  <c r="O19" i="1"/>
  <c r="U22" i="1"/>
  <c r="V22" i="1"/>
  <c r="E30" i="1"/>
  <c r="H30" i="1" s="1"/>
  <c r="F30" i="1"/>
  <c r="I30" i="1"/>
  <c r="H35" i="1"/>
  <c r="H36" i="1"/>
  <c r="M53" i="5"/>
  <c r="O39" i="4"/>
  <c r="M14" i="5"/>
  <c r="H18" i="11"/>
  <c r="M17" i="5"/>
  <c r="N17" i="5"/>
  <c r="O17" i="5"/>
  <c r="D32" i="10"/>
  <c r="S28" i="4"/>
  <c r="S14" i="4"/>
  <c r="N34" i="5"/>
  <c r="O34" i="5"/>
  <c r="S40" i="4"/>
  <c r="S22" i="4"/>
  <c r="M49" i="5"/>
  <c r="D17" i="10"/>
  <c r="D14" i="10"/>
  <c r="O21" i="4"/>
  <c r="S33" i="4"/>
  <c r="O14" i="4"/>
  <c r="O20" i="4"/>
  <c r="N16" i="5"/>
  <c r="O16" i="5"/>
  <c r="S20" i="4"/>
  <c r="M40" i="5"/>
  <c r="M45" i="5"/>
  <c r="N45" i="5"/>
  <c r="N14" i="5"/>
  <c r="O14" i="5"/>
  <c r="N53" i="5"/>
  <c r="S49" i="4"/>
  <c r="M20" i="5"/>
  <c r="O38" i="4"/>
  <c r="M30" i="5"/>
  <c r="N30" i="5"/>
  <c r="M38" i="5"/>
  <c r="N38" i="5"/>
  <c r="O38" i="5"/>
  <c r="O23" i="4"/>
  <c r="O18" i="4"/>
  <c r="S36" i="4"/>
  <c r="O46" i="4"/>
  <c r="O33" i="4"/>
  <c r="O56" i="4"/>
  <c r="S55" i="4"/>
  <c r="N22" i="5"/>
  <c r="O22" i="5"/>
  <c r="O53" i="5"/>
  <c r="O54" i="4"/>
  <c r="O30" i="5"/>
  <c r="O29" i="4"/>
  <c r="N23" i="5"/>
  <c r="O36" i="4"/>
  <c r="M23" i="5"/>
  <c r="O23" i="5"/>
  <c r="N48" i="5"/>
  <c r="O48" i="5"/>
  <c r="N44" i="5"/>
  <c r="O44" i="5"/>
  <c r="N43" i="5"/>
  <c r="O43" i="5"/>
  <c r="N40" i="5"/>
  <c r="N49" i="5"/>
  <c r="O49" i="5"/>
  <c r="O45" i="5"/>
  <c r="S41" i="4"/>
  <c r="N56" i="5"/>
  <c r="O56" i="5"/>
  <c r="N46" i="5"/>
  <c r="O46" i="5"/>
  <c r="N51" i="5"/>
  <c r="N33" i="5"/>
  <c r="O33" i="5"/>
  <c r="N35" i="5"/>
  <c r="O35" i="5"/>
  <c r="O54" i="5"/>
  <c r="O40" i="5"/>
  <c r="N39" i="5"/>
  <c r="O39" i="5"/>
  <c r="N21" i="5"/>
  <c r="O21" i="5"/>
  <c r="N20" i="5"/>
  <c r="O20" i="5"/>
  <c r="O15" i="4"/>
  <c r="M55" i="5"/>
  <c r="N55" i="5"/>
  <c r="O49" i="4"/>
  <c r="N50" i="5"/>
  <c r="O50" i="5"/>
  <c r="O17" i="4"/>
  <c r="O55" i="5"/>
  <c r="O51" i="5"/>
  <c r="D49" i="2"/>
  <c r="K34" i="2"/>
  <c r="K35" i="2"/>
  <c r="E49" i="2"/>
  <c r="K33" i="2"/>
  <c r="G49" i="2"/>
  <c r="K36" i="2"/>
  <c r="R16" i="5"/>
  <c r="R38" i="5"/>
  <c r="R55" i="5"/>
  <c r="R51" i="5"/>
  <c r="R50" i="5"/>
  <c r="R48" i="5"/>
  <c r="R49" i="5"/>
  <c r="R36" i="5"/>
  <c r="R33" i="5"/>
  <c r="R34" i="5"/>
  <c r="R41" i="5"/>
  <c r="R40" i="5"/>
  <c r="R39" i="5"/>
  <c r="R18" i="5"/>
  <c r="R15" i="5"/>
  <c r="R22" i="5"/>
  <c r="R24" i="5"/>
  <c r="R25" i="5"/>
  <c r="R14" i="5"/>
  <c r="R23" i="5"/>
  <c r="R54" i="5"/>
  <c r="R43" i="5"/>
  <c r="R44" i="5"/>
  <c r="R46" i="5"/>
  <c r="R30" i="5"/>
  <c r="R28" i="5"/>
  <c r="R31" i="5"/>
  <c r="R29" i="5"/>
  <c r="E25" i="7"/>
  <c r="P34" i="4"/>
  <c r="P14" i="4"/>
  <c r="P39" i="4"/>
  <c r="P48" i="4"/>
  <c r="P55" i="4"/>
  <c r="E22" i="7"/>
  <c r="E14" i="7"/>
  <c r="E24" i="7"/>
  <c r="E16" i="7"/>
  <c r="P50" i="4"/>
  <c r="P46" i="4"/>
  <c r="P45" i="4"/>
  <c r="P43" i="4"/>
  <c r="P41" i="4"/>
  <c r="P18" i="4"/>
  <c r="P25" i="4"/>
  <c r="P17" i="4"/>
  <c r="P15" i="4"/>
  <c r="P20" i="4"/>
  <c r="P22" i="4"/>
  <c r="P16" i="4"/>
  <c r="P26" i="4"/>
  <c r="H21" i="11"/>
  <c r="H35" i="11"/>
  <c r="T46" i="4"/>
  <c r="T26" i="4"/>
  <c r="T21" i="4"/>
  <c r="P23" i="4"/>
  <c r="P31" i="4"/>
  <c r="E17" i="7"/>
  <c r="T16" i="4"/>
  <c r="P33" i="4"/>
  <c r="P24" i="4"/>
  <c r="P21" i="4"/>
  <c r="P29" i="4"/>
  <c r="P44" i="4"/>
  <c r="P53" i="4"/>
  <c r="P28" i="4"/>
  <c r="P56" i="4"/>
  <c r="E23" i="7"/>
  <c r="P36" i="4"/>
  <c r="P54" i="4"/>
  <c r="T20" i="4"/>
  <c r="T53" i="4"/>
  <c r="P35" i="4"/>
  <c r="P19" i="4"/>
  <c r="T40" i="4"/>
  <c r="T24" i="4"/>
  <c r="T33" i="4"/>
  <c r="T30" i="4"/>
  <c r="T36" i="4"/>
  <c r="T23" i="4"/>
  <c r="T15" i="4"/>
  <c r="T39" i="4"/>
  <c r="T25" i="4"/>
  <c r="I35" i="1"/>
  <c r="T43" i="4"/>
  <c r="E43" i="4" s="1"/>
  <c r="T18" i="4"/>
  <c r="T45" i="4"/>
  <c r="T49" i="4"/>
  <c r="T14" i="4"/>
  <c r="T38" i="4"/>
  <c r="T22" i="4"/>
  <c r="E22" i="4" s="1"/>
  <c r="T35" i="4"/>
  <c r="T55" i="4"/>
  <c r="E55" i="4" s="1"/>
  <c r="T28" i="4"/>
  <c r="T31" i="4"/>
  <c r="T34" i="4"/>
  <c r="T48" i="4"/>
  <c r="T19" i="4"/>
  <c r="T29" i="4"/>
  <c r="T41" i="4"/>
  <c r="T51" i="4"/>
  <c r="T17" i="4"/>
  <c r="T54" i="4"/>
  <c r="T44" i="4"/>
  <c r="E44" i="4" s="1"/>
  <c r="T50" i="4"/>
  <c r="T56" i="4"/>
  <c r="P40" i="4"/>
  <c r="P49" i="4"/>
  <c r="E19" i="7"/>
  <c r="I36" i="1"/>
  <c r="P38" i="4"/>
  <c r="E21" i="7"/>
  <c r="E15" i="7"/>
  <c r="F15" i="7" s="1"/>
  <c r="E18" i="7"/>
  <c r="R21" i="5"/>
  <c r="P30" i="4"/>
  <c r="P51" i="4"/>
  <c r="R19" i="5"/>
  <c r="R20" i="5"/>
  <c r="R26" i="5"/>
  <c r="R17" i="5"/>
  <c r="R35" i="5"/>
  <c r="E20" i="7"/>
  <c r="F20" i="7" s="1"/>
  <c r="R45" i="5"/>
  <c r="R53" i="5"/>
  <c r="R56" i="5"/>
  <c r="O12" i="3" l="1"/>
  <c r="U25" i="5"/>
  <c r="D25" i="5" s="1"/>
  <c r="A105" i="2"/>
  <c r="U33" i="5"/>
  <c r="D33" i="5" s="1"/>
  <c r="E18" i="4"/>
  <c r="E40" i="4"/>
  <c r="E39" i="4"/>
  <c r="E50" i="4"/>
  <c r="D53" i="4"/>
  <c r="F53" i="4" s="1"/>
  <c r="D14" i="4"/>
  <c r="E15" i="4"/>
  <c r="D20" i="4"/>
  <c r="F23" i="7"/>
  <c r="D30" i="4"/>
  <c r="E53" i="4"/>
  <c r="V55" i="5"/>
  <c r="E55" i="5" s="1"/>
  <c r="G54" i="10" s="1"/>
  <c r="V39" i="5"/>
  <c r="E39" i="5" s="1"/>
  <c r="G38" i="10" s="1"/>
  <c r="V31" i="5"/>
  <c r="E31" i="5" s="1"/>
  <c r="V43" i="5"/>
  <c r="E43" i="5" s="1"/>
  <c r="G42" i="10" s="1"/>
  <c r="E16" i="4"/>
  <c r="P17" i="3" s="1"/>
  <c r="E56" i="4"/>
  <c r="E23" i="4"/>
  <c r="H49" i="11"/>
  <c r="F18" i="7"/>
  <c r="F14" i="7"/>
  <c r="F24" i="7"/>
  <c r="Q17" i="3"/>
  <c r="F25" i="7"/>
  <c r="D28" i="4"/>
  <c r="D19" i="4"/>
  <c r="E38" i="4"/>
  <c r="E46" i="4"/>
  <c r="E41" i="4"/>
  <c r="E29" i="4"/>
  <c r="E20" i="4"/>
  <c r="D22" i="4"/>
  <c r="F22" i="4" s="1"/>
  <c r="E35" i="4"/>
  <c r="E51" i="4"/>
  <c r="D41" i="4"/>
  <c r="E33" i="4"/>
  <c r="E28" i="4"/>
  <c r="D24" i="4"/>
  <c r="D18" i="4"/>
  <c r="D23" i="4"/>
  <c r="V50" i="5"/>
  <c r="E50" i="5" s="1"/>
  <c r="G49" i="10" s="1"/>
  <c r="V15" i="5"/>
  <c r="E15" i="5" s="1"/>
  <c r="V48" i="5"/>
  <c r="E48" i="5" s="1"/>
  <c r="V36" i="5"/>
  <c r="E36" i="5" s="1"/>
  <c r="V38" i="5"/>
  <c r="E38" i="5" s="1"/>
  <c r="V45" i="5"/>
  <c r="E45" i="5" s="1"/>
  <c r="V21" i="5"/>
  <c r="E21" i="5" s="1"/>
  <c r="V54" i="5"/>
  <c r="E54" i="5" s="1"/>
  <c r="V56" i="5"/>
  <c r="E56" i="5" s="1"/>
  <c r="V53" i="5"/>
  <c r="E53" i="5" s="1"/>
  <c r="V23" i="5"/>
  <c r="E23" i="5" s="1"/>
  <c r="V30" i="5"/>
  <c r="E30" i="5" s="1"/>
  <c r="V20" i="5"/>
  <c r="E20" i="5" s="1"/>
  <c r="V26" i="5"/>
  <c r="E26" i="5" s="1"/>
  <c r="V14" i="5"/>
  <c r="E14" i="5" s="1"/>
  <c r="V22" i="5"/>
  <c r="E22" i="5" s="1"/>
  <c r="G21" i="10" s="1"/>
  <c r="V28" i="5"/>
  <c r="E28" i="5" s="1"/>
  <c r="V40" i="5"/>
  <c r="E40" i="5" s="1"/>
  <c r="G39" i="10" s="1"/>
  <c r="U24" i="5"/>
  <c r="D24" i="5" s="1"/>
  <c r="V34" i="5"/>
  <c r="E34" i="5" s="1"/>
  <c r="V19" i="5"/>
  <c r="E19" i="5" s="1"/>
  <c r="V44" i="5"/>
  <c r="E44" i="5" s="1"/>
  <c r="V18" i="5"/>
  <c r="E18" i="5" s="1"/>
  <c r="E19" i="3" s="1"/>
  <c r="V25" i="5"/>
  <c r="E25" i="5" s="1"/>
  <c r="V35" i="5"/>
  <c r="E35" i="5" s="1"/>
  <c r="U26" i="5"/>
  <c r="D26" i="5" s="1"/>
  <c r="U35" i="5"/>
  <c r="D35" i="5" s="1"/>
  <c r="V24" i="5"/>
  <c r="E24" i="5" s="1"/>
  <c r="U50" i="5"/>
  <c r="D50" i="5" s="1"/>
  <c r="U19" i="5"/>
  <c r="D19" i="5" s="1"/>
  <c r="H16" i="11"/>
  <c r="H53" i="11"/>
  <c r="H48" i="11"/>
  <c r="H43" i="11"/>
  <c r="H40" i="11"/>
  <c r="H24" i="11"/>
  <c r="H46" i="11"/>
  <c r="H17" i="11"/>
  <c r="H20" i="11"/>
  <c r="H56" i="11"/>
  <c r="H45" i="11"/>
  <c r="H44" i="11"/>
  <c r="H29" i="11"/>
  <c r="H22" i="11"/>
  <c r="H54" i="11"/>
  <c r="H39" i="11"/>
  <c r="H34" i="11"/>
  <c r="H28" i="11"/>
  <c r="H33" i="11"/>
  <c r="H14" i="11"/>
  <c r="H38" i="11"/>
  <c r="H23" i="11"/>
  <c r="H15" i="11"/>
  <c r="H51" i="11"/>
  <c r="H41" i="11"/>
  <c r="H36" i="11"/>
  <c r="H31" i="11"/>
  <c r="H26" i="11"/>
  <c r="H19" i="11"/>
  <c r="H25" i="11"/>
  <c r="H55" i="11"/>
  <c r="H50" i="11"/>
  <c r="H30" i="11"/>
  <c r="F22" i="7"/>
  <c r="F16" i="7"/>
  <c r="F17" i="7"/>
  <c r="F19" i="7"/>
  <c r="F21" i="7"/>
  <c r="D26" i="4"/>
  <c r="E34" i="4"/>
  <c r="E36" i="4"/>
  <c r="E26" i="4"/>
  <c r="E31" i="4"/>
  <c r="E54" i="4"/>
  <c r="D51" i="4"/>
  <c r="E17" i="4"/>
  <c r="E25" i="4"/>
  <c r="E24" i="4"/>
  <c r="E48" i="4"/>
  <c r="D56" i="4"/>
  <c r="D17" i="4"/>
  <c r="D16" i="4"/>
  <c r="J17" i="3" s="1"/>
  <c r="E19" i="4"/>
  <c r="E14" i="4"/>
  <c r="F14" i="4" s="1"/>
  <c r="E49" i="4"/>
  <c r="E45" i="4"/>
  <c r="E30" i="4"/>
  <c r="E21" i="4"/>
  <c r="D43" i="4"/>
  <c r="F43" i="4" s="1"/>
  <c r="D29" i="4"/>
  <c r="D46" i="4"/>
  <c r="D54" i="4"/>
  <c r="D15" i="4"/>
  <c r="F15" i="4" s="1"/>
  <c r="D45" i="4"/>
  <c r="D31" i="4"/>
  <c r="U51" i="5"/>
  <c r="D51" i="5" s="1"/>
  <c r="U55" i="5"/>
  <c r="D55" i="5" s="1"/>
  <c r="U30" i="5"/>
  <c r="D30" i="5" s="1"/>
  <c r="U36" i="5"/>
  <c r="D36" i="5" s="1"/>
  <c r="U20" i="5"/>
  <c r="D20" i="5" s="1"/>
  <c r="U21" i="5"/>
  <c r="D21" i="5" s="1"/>
  <c r="U29" i="5"/>
  <c r="D29" i="5" s="1"/>
  <c r="U54" i="5"/>
  <c r="D54" i="5" s="1"/>
  <c r="U31" i="5"/>
  <c r="D31" i="5" s="1"/>
  <c r="U41" i="5"/>
  <c r="D41" i="5" s="1"/>
  <c r="U28" i="5"/>
  <c r="D28" i="5" s="1"/>
  <c r="U15" i="5"/>
  <c r="D15" i="5" s="1"/>
  <c r="U45" i="5"/>
  <c r="D45" i="5" s="1"/>
  <c r="U43" i="5"/>
  <c r="D43" i="5" s="1"/>
  <c r="U18" i="5"/>
  <c r="U44" i="5"/>
  <c r="D44" i="5" s="1"/>
  <c r="U14" i="5"/>
  <c r="D14" i="5" s="1"/>
  <c r="U38" i="5"/>
  <c r="D38" i="5" s="1"/>
  <c r="U34" i="5"/>
  <c r="D34" i="5" s="1"/>
  <c r="U49" i="5"/>
  <c r="D49" i="5" s="1"/>
  <c r="U17" i="5"/>
  <c r="D17" i="5" s="1"/>
  <c r="U22" i="5"/>
  <c r="D22" i="5" s="1"/>
  <c r="U46" i="5"/>
  <c r="D46" i="5" s="1"/>
  <c r="U16" i="5"/>
  <c r="D16" i="5" s="1"/>
  <c r="U23" i="5"/>
  <c r="D23" i="5" s="1"/>
  <c r="D24" i="3" s="1"/>
  <c r="U53" i="5"/>
  <c r="D53" i="5" s="1"/>
  <c r="U48" i="5"/>
  <c r="D48" i="5" s="1"/>
  <c r="U56" i="5"/>
  <c r="D56" i="5" s="1"/>
  <c r="U39" i="5"/>
  <c r="D39" i="5" s="1"/>
  <c r="D38" i="4"/>
  <c r="K17" i="3"/>
  <c r="D34" i="4"/>
  <c r="D25" i="4"/>
  <c r="D21" i="4"/>
  <c r="D50" i="4"/>
  <c r="F50" i="4" s="1"/>
  <c r="D44" i="4"/>
  <c r="F44" i="4" s="1"/>
  <c r="D48" i="4"/>
  <c r="D39" i="4"/>
  <c r="D55" i="4"/>
  <c r="F55" i="4" s="1"/>
  <c r="D35" i="4"/>
  <c r="D40" i="4"/>
  <c r="F40" i="4" s="1"/>
  <c r="D49" i="4"/>
  <c r="D33" i="4"/>
  <c r="D36" i="4"/>
  <c r="V41" i="5"/>
  <c r="E41" i="5" s="1"/>
  <c r="V16" i="5"/>
  <c r="E16" i="5" s="1"/>
  <c r="V33" i="5"/>
  <c r="E33" i="5" s="1"/>
  <c r="U40" i="5"/>
  <c r="D40" i="5" s="1"/>
  <c r="V49" i="5"/>
  <c r="E49" i="5" s="1"/>
  <c r="V51" i="5"/>
  <c r="E51" i="5" s="1"/>
  <c r="V46" i="5"/>
  <c r="E46" i="5" s="1"/>
  <c r="V29" i="5"/>
  <c r="E29" i="5" s="1"/>
  <c r="V17" i="5"/>
  <c r="E17" i="5" s="1"/>
  <c r="F55" i="5" l="1"/>
  <c r="A106" i="2"/>
  <c r="D23" i="3"/>
  <c r="F20" i="4"/>
  <c r="F39" i="4"/>
  <c r="E16" i="3"/>
  <c r="F26" i="4"/>
  <c r="F18" i="4"/>
  <c r="F43" i="10"/>
  <c r="F30" i="4"/>
  <c r="F27" i="10"/>
  <c r="F41" i="4"/>
  <c r="G52" i="10"/>
  <c r="F34" i="4"/>
  <c r="F20" i="5"/>
  <c r="G30" i="10"/>
  <c r="G15" i="10"/>
  <c r="F50" i="5"/>
  <c r="F14" i="5"/>
  <c r="F23" i="4"/>
  <c r="G22" i="10"/>
  <c r="G55" i="10"/>
  <c r="F35" i="4"/>
  <c r="F56" i="4"/>
  <c r="F21" i="4"/>
  <c r="G27" i="10"/>
  <c r="F24" i="10"/>
  <c r="G37" i="10"/>
  <c r="G35" i="10"/>
  <c r="D25" i="3"/>
  <c r="F39" i="5"/>
  <c r="F38" i="5"/>
  <c r="G24" i="10"/>
  <c r="E23" i="3"/>
  <c r="F31" i="5"/>
  <c r="F19" i="10"/>
  <c r="G47" i="10"/>
  <c r="F48" i="5"/>
  <c r="G25" i="10"/>
  <c r="F28" i="4"/>
  <c r="F17" i="10"/>
  <c r="F33" i="4"/>
  <c r="F51" i="4"/>
  <c r="G33" i="10"/>
  <c r="F40" i="10"/>
  <c r="F46" i="4"/>
  <c r="F24" i="4"/>
  <c r="F55" i="10"/>
  <c r="D20" i="3"/>
  <c r="G19" i="10"/>
  <c r="F23" i="10"/>
  <c r="E21" i="3"/>
  <c r="F29" i="4"/>
  <c r="F16" i="10"/>
  <c r="F45" i="10"/>
  <c r="D16" i="3"/>
  <c r="F36" i="4"/>
  <c r="G20" i="10"/>
  <c r="E22" i="3"/>
  <c r="G44" i="10"/>
  <c r="G53" i="10"/>
  <c r="E24" i="3"/>
  <c r="F24" i="3" s="1"/>
  <c r="F45" i="5"/>
  <c r="F36" i="5"/>
  <c r="F19" i="5"/>
  <c r="E25" i="3"/>
  <c r="F24" i="5"/>
  <c r="G23" i="10"/>
  <c r="F44" i="5"/>
  <c r="G43" i="10"/>
  <c r="G34" i="10"/>
  <c r="F35" i="5"/>
  <c r="F18" i="10"/>
  <c r="F37" i="10"/>
  <c r="E20" i="3"/>
  <c r="F25" i="5"/>
  <c r="D18" i="3"/>
  <c r="F15" i="5"/>
  <c r="F26" i="5"/>
  <c r="I17" i="3"/>
  <c r="L17" i="3" s="1"/>
  <c r="M17" i="3" s="1"/>
  <c r="D21" i="3"/>
  <c r="G29" i="10"/>
  <c r="E26" i="3"/>
  <c r="F50" i="10"/>
  <c r="F54" i="4"/>
  <c r="F31" i="4"/>
  <c r="F45" i="4"/>
  <c r="F48" i="4"/>
  <c r="F17" i="4"/>
  <c r="F16" i="4"/>
  <c r="F19" i="4"/>
  <c r="F49" i="4"/>
  <c r="G18" i="10"/>
  <c r="E15" i="3"/>
  <c r="G14" i="10"/>
  <c r="D17" i="3"/>
  <c r="F38" i="4"/>
  <c r="F25" i="4"/>
  <c r="F28" i="10"/>
  <c r="F34" i="5"/>
  <c r="F33" i="10"/>
  <c r="F54" i="5"/>
  <c r="F53" i="10"/>
  <c r="F21" i="5"/>
  <c r="D22" i="3"/>
  <c r="F20" i="10"/>
  <c r="F52" i="10"/>
  <c r="F53" i="5"/>
  <c r="F29" i="10"/>
  <c r="F30" i="5"/>
  <c r="F23" i="5"/>
  <c r="F22" i="5"/>
  <c r="F49" i="10"/>
  <c r="H49" i="10" s="1"/>
  <c r="F30" i="10"/>
  <c r="F25" i="10"/>
  <c r="F56" i="5"/>
  <c r="F14" i="10"/>
  <c r="D15" i="3"/>
  <c r="F42" i="10"/>
  <c r="H42" i="10" s="1"/>
  <c r="F43" i="5"/>
  <c r="F21" i="10"/>
  <c r="H21" i="10" s="1"/>
  <c r="F15" i="10"/>
  <c r="F44" i="10"/>
  <c r="F22" i="10"/>
  <c r="D18" i="5"/>
  <c r="D19" i="3" s="1"/>
  <c r="F47" i="10"/>
  <c r="F28" i="5"/>
  <c r="D26" i="3"/>
  <c r="F38" i="10"/>
  <c r="H38" i="10" s="1"/>
  <c r="F35" i="10"/>
  <c r="F39" i="10"/>
  <c r="H39" i="10" s="1"/>
  <c r="F32" i="10"/>
  <c r="F54" i="10"/>
  <c r="H54" i="10" s="1"/>
  <c r="F34" i="10"/>
  <c r="F48" i="10"/>
  <c r="F40" i="5"/>
  <c r="F51" i="5"/>
  <c r="G50" i="10"/>
  <c r="G48" i="10"/>
  <c r="F49" i="5"/>
  <c r="G32" i="10"/>
  <c r="F33" i="5"/>
  <c r="G16" i="10"/>
  <c r="O17" i="3"/>
  <c r="R17" i="3" s="1"/>
  <c r="S17" i="3" s="1"/>
  <c r="F16" i="5"/>
  <c r="E17" i="3"/>
  <c r="F41" i="5"/>
  <c r="G40" i="10"/>
  <c r="G45" i="10"/>
  <c r="F46" i="5"/>
  <c r="F17" i="5"/>
  <c r="E18" i="3"/>
  <c r="G17" i="10"/>
  <c r="G28" i="10"/>
  <c r="F29" i="5"/>
  <c r="H27" i="10" l="1"/>
  <c r="H18" i="10"/>
  <c r="B38" i="3"/>
  <c r="F16" i="3"/>
  <c r="F23" i="3"/>
  <c r="A109" i="2"/>
  <c r="A110" i="2" s="1"/>
  <c r="F25" i="3"/>
  <c r="H52" i="10"/>
  <c r="H24" i="10"/>
  <c r="H23" i="10"/>
  <c r="H17" i="10"/>
  <c r="H15" i="10"/>
  <c r="H30" i="10"/>
  <c r="H35" i="10"/>
  <c r="H22" i="10"/>
  <c r="H37" i="10"/>
  <c r="H55" i="10"/>
  <c r="H45" i="10"/>
  <c r="H47" i="10"/>
  <c r="H25" i="10"/>
  <c r="H19" i="10"/>
  <c r="H33" i="10"/>
  <c r="F20" i="3"/>
  <c r="H40" i="10"/>
  <c r="H43" i="10"/>
  <c r="H20" i="10"/>
  <c r="F21" i="3"/>
  <c r="F18" i="3"/>
  <c r="H16" i="10"/>
  <c r="F22" i="3"/>
  <c r="H34" i="10"/>
  <c r="H53" i="10"/>
  <c r="H44" i="10"/>
  <c r="F26" i="3"/>
  <c r="F15" i="3"/>
  <c r="H50" i="10"/>
  <c r="H29" i="10"/>
  <c r="H28" i="10"/>
  <c r="H14" i="10"/>
  <c r="F17" i="3"/>
  <c r="F18" i="5"/>
  <c r="H48" i="10"/>
  <c r="H32" i="10"/>
  <c r="A112" i="2" l="1"/>
  <c r="A113" i="2" s="1"/>
  <c r="F19" i="3"/>
</calcChain>
</file>

<file path=xl/sharedStrings.xml><?xml version="1.0" encoding="utf-8"?>
<sst xmlns="http://schemas.openxmlformats.org/spreadsheetml/2006/main" count="391" uniqueCount="157">
  <si>
    <t>Philadelphia Water Department</t>
  </si>
  <si>
    <t xml:space="preserve">Last Updated </t>
  </si>
  <si>
    <t>Table of Contents</t>
  </si>
  <si>
    <t>Wastewater Charges</t>
  </si>
  <si>
    <t>Monthly Wastewater Service Charges</t>
  </si>
  <si>
    <t>Water Charges</t>
  </si>
  <si>
    <t>Monthly Water Service Charges</t>
  </si>
  <si>
    <t>Typical Res Bill Impacts</t>
  </si>
  <si>
    <t xml:space="preserve">Typical Residential Customer Total Bills </t>
  </si>
  <si>
    <t>Typ Non Res Bill Impact</t>
  </si>
  <si>
    <t>Typical Non-Residential Customer Total Bills</t>
  </si>
  <si>
    <t>Typical Bills Water</t>
  </si>
  <si>
    <t>Typical Water Bills Under Current &amp; Proposed Rates</t>
  </si>
  <si>
    <t>Typical Bills Sanitary</t>
  </si>
  <si>
    <t>Typical Sanitary Sewer Bills Under Current &amp; Proposed Rates</t>
  </si>
  <si>
    <t>Typical Res Bills SW</t>
  </si>
  <si>
    <t>Typical Stormwater Bills for Residential Customers Under Current &amp; Proposed Rates</t>
  </si>
  <si>
    <t>Typical Non-Res Bills SW</t>
  </si>
  <si>
    <t>Typical Stormwater Bills for Non-Residential Customers Under Current &amp; Proposed Rates</t>
  </si>
  <si>
    <t>Inputs</t>
  </si>
  <si>
    <t>Input Dates</t>
  </si>
  <si>
    <t>TOC</t>
  </si>
  <si>
    <t>Table WW-18</t>
  </si>
  <si>
    <t>Table SW-19A</t>
  </si>
  <si>
    <t>Table SW-19B</t>
  </si>
  <si>
    <t>WASTEWATER:  PROPOSED RATES</t>
  </si>
  <si>
    <t>STORMWATER:  PROPOSED RATES</t>
  </si>
  <si>
    <t>FOR GENERAL SERVICE</t>
  </si>
  <si>
    <t>FOR RESIDENTIAL SERVICE</t>
  </si>
  <si>
    <t>FOR NON-RESIDENTIAL</t>
  </si>
  <si>
    <t>SANITARY SEWER</t>
  </si>
  <si>
    <t>METER BASED SERVICE CHARGE</t>
  </si>
  <si>
    <t>STORMWATER MANAGEMENT SERVICE CHARGE</t>
  </si>
  <si>
    <t>Monthly</t>
  </si>
  <si>
    <t>Meter Size</t>
  </si>
  <si>
    <t>Charge</t>
  </si>
  <si>
    <t>Inches</t>
  </si>
  <si>
    <t>$</t>
  </si>
  <si>
    <t>5/8</t>
  </si>
  <si>
    <t>Charge Per Parcel</t>
  </si>
  <si>
    <t>Min Charge</t>
  </si>
  <si>
    <t>3/4</t>
  </si>
  <si>
    <t>BILLING &amp; COLLECTION CHARGE</t>
  </si>
  <si>
    <t>GA ($/500 sf)</t>
  </si>
  <si>
    <t>1-1/4</t>
  </si>
  <si>
    <t>IA ($/500 sf)</t>
  </si>
  <si>
    <t>1-1/2</t>
  </si>
  <si>
    <t>Charge per Bill</t>
  </si>
  <si>
    <t>QUANTITY CHARGE (BASE RATES)</t>
  </si>
  <si>
    <t>QUANTITY CHARGE (TOTAL)</t>
  </si>
  <si>
    <t>per Mcf</t>
  </si>
  <si>
    <t>All Billable Water Usage</t>
  </si>
  <si>
    <t>Groundwater Charge</t>
  </si>
  <si>
    <t/>
  </si>
  <si>
    <t>per 1000 gallons</t>
  </si>
  <si>
    <t>Wastewater Delivered to WPCP</t>
  </si>
  <si>
    <t>TAP RIDER SEWER SURCHARGE</t>
  </si>
  <si>
    <t xml:space="preserve">FY 2020 TAP Rate Rider Surcharge rate is estimated and subject to annual reconciliation. </t>
  </si>
  <si>
    <t>SURCHARGE RATES</t>
  </si>
  <si>
    <t>BOD ($/lb in excess of 250 mg/l)</t>
  </si>
  <si>
    <t>SS ($/lb in excess of 350 mg/l)</t>
  </si>
  <si>
    <t>Mcf - Thousand cubic feet</t>
  </si>
  <si>
    <t>mg/l - milligrams per liter</t>
  </si>
  <si>
    <t>TABLE W-18</t>
  </si>
  <si>
    <t>PROPOSED WATER RATES FOR</t>
  </si>
  <si>
    <t>GENERAL SERVICE</t>
  </si>
  <si>
    <t>SERVICE CHARGE</t>
  </si>
  <si>
    <t>Monthly Water Usage</t>
  </si>
  <si>
    <t>First 2 Mcf</t>
  </si>
  <si>
    <t>Next 98 Mcf</t>
  </si>
  <si>
    <t>Next 1,900 Mcf</t>
  </si>
  <si>
    <t>Over 2,000 Mcf</t>
  </si>
  <si>
    <t>TAP RIDER WATER SURCHARGE</t>
  </si>
  <si>
    <t>TABLE W-19</t>
  </si>
  <si>
    <t>PROPOSED RATES FOR</t>
  </si>
  <si>
    <t>FIRE PROTECTION</t>
  </si>
  <si>
    <t>PRIVATE FIRE PROTECTION</t>
  </si>
  <si>
    <t>Size of Meter</t>
  </si>
  <si>
    <t>or Connection</t>
  </si>
  <si>
    <t>4" or less</t>
  </si>
  <si>
    <t>PUBLIC FIRE PROTECTION</t>
  </si>
  <si>
    <t>Annual</t>
  </si>
  <si>
    <t>Standard Pressure</t>
  </si>
  <si>
    <t>TABLE W-19A</t>
  </si>
  <si>
    <t>RESIDENTIAL PRIVATE FIRE PROTECTION</t>
  </si>
  <si>
    <t>Line</t>
  </si>
  <si>
    <t>No.</t>
  </si>
  <si>
    <t>Water Service Charge Including Fire Protection</t>
  </si>
  <si>
    <t>Sewer Service Charge</t>
  </si>
  <si>
    <t>TABLE C-4</t>
  </si>
  <si>
    <t>COMBINED SYSTEM:  COMPARISON OF TYPICAL</t>
  </si>
  <si>
    <t>BILL FOR RESIDENTIAL CUSTOMERS</t>
  </si>
  <si>
    <t>UNDER EXISTING AND PROPOSED RATES</t>
  </si>
  <si>
    <t>SENIOR CITIZEN DISCOUNT CALCULATION</t>
  </si>
  <si>
    <t>Meter</t>
  </si>
  <si>
    <t>Existing</t>
  </si>
  <si>
    <t>Proposed</t>
  </si>
  <si>
    <t>% Proposed</t>
  </si>
  <si>
    <t>Size</t>
  </si>
  <si>
    <t>Use</t>
  </si>
  <si>
    <t>Rates</t>
  </si>
  <si>
    <t>of Existing</t>
  </si>
  <si>
    <t>Mcf</t>
  </si>
  <si>
    <t>%</t>
  </si>
  <si>
    <t>Water</t>
  </si>
  <si>
    <t>Sewer</t>
  </si>
  <si>
    <t>SW</t>
  </si>
  <si>
    <t>Total</t>
  </si>
  <si>
    <t>Discount</t>
  </si>
  <si>
    <t>Typical Senior</t>
  </si>
  <si>
    <t>Typical Residential</t>
  </si>
  <si>
    <t xml:space="preserve">Notes: </t>
  </si>
  <si>
    <t xml:space="preserve">The TAP-R Rates are subject to annual reconciliation. </t>
  </si>
  <si>
    <t xml:space="preserve">Typical Senior Citizen is presented prior to discount. Eligible Senior Citizen's receive a 25% discount </t>
  </si>
  <si>
    <t>TABLE C-5</t>
  </si>
  <si>
    <t>COMBINED SYSTEM:  COMPARISON OF EXAMPLE BILLS</t>
  </si>
  <si>
    <t>FOR NON-RESIDENTIAL CUSTOMERS</t>
  </si>
  <si>
    <t>Impervious</t>
  </si>
  <si>
    <t>Gross</t>
  </si>
  <si>
    <t>Area</t>
  </si>
  <si>
    <t>sf</t>
  </si>
  <si>
    <t>Typical Small Business</t>
  </si>
  <si>
    <t xml:space="preserve">(a) Examples with gross area less than 5,000 square feet reflect an impervious area of 85% of the gross area consistent with PWD Regulations </t>
  </si>
  <si>
    <t xml:space="preserve">       section 304.3.</t>
  </si>
  <si>
    <t>sf - square feet</t>
  </si>
  <si>
    <t>WATER:  COMPARISON OF TYPICAL BILLS</t>
  </si>
  <si>
    <t>Volume by Block</t>
  </si>
  <si>
    <t>Service Charge</t>
  </si>
  <si>
    <t>Volume Charge including TAP-R Surcharge</t>
  </si>
  <si>
    <t>&gt; 2000</t>
  </si>
  <si>
    <t>WASTEWATER:  COMPARISON OF TYPICAL BILLS</t>
  </si>
  <si>
    <t xml:space="preserve">STORMWATER:  COMPARISON OF TYPICAL RESIDENTIAL </t>
  </si>
  <si>
    <t>BILLS UNDER EXISTING AND PROPOSED RATES</t>
  </si>
  <si>
    <t xml:space="preserve">Proposed </t>
  </si>
  <si>
    <t xml:space="preserve">STORMWATER: COMPARISON OF EXAMPLE NON-RESIDENTIAL </t>
  </si>
  <si>
    <t>Non Residential Non Discount</t>
  </si>
  <si>
    <t># of Parcels</t>
  </si>
  <si>
    <t>GA (1000 Sq ft)</t>
  </si>
  <si>
    <t>Average GA (sq ft)</t>
  </si>
  <si>
    <t>IA (1000 Sq ft)</t>
  </si>
  <si>
    <t>Average IA (sq ft)</t>
  </si>
  <si>
    <t>Source: BV Fin Plan Model</t>
  </si>
  <si>
    <t>Current Year</t>
  </si>
  <si>
    <t>Rate Year 1</t>
  </si>
  <si>
    <t>FY 2024</t>
  </si>
  <si>
    <t>FY 2025</t>
  </si>
  <si>
    <t>Effective Date</t>
  </si>
  <si>
    <t>September 1, 2023</t>
  </si>
  <si>
    <t>September 1, 2024</t>
  </si>
  <si>
    <t xml:space="preserve"> </t>
  </si>
  <si>
    <t xml:space="preserve"> approved base rates for FY 2025 and 5.9% ($4.43) is associated with the proposed TAP-R rates in this proceeding.</t>
  </si>
  <si>
    <t xml:space="preserve"> approved base rates for FY 2025 and 4.6% ($5.91) is associated with the proposed TAP-R rates in this proceeding.</t>
  </si>
  <si>
    <t>Of the estimated 14.0% ($10.46) increase in the typical residential customer's bill, 8.1% ($6.03) is associated with the previously</t>
  </si>
  <si>
    <t>Of the estimated 12.9% ($5.82) increase in the typical senior customer's bill, 8.0% ($3.61) is associated with the previously</t>
  </si>
  <si>
    <t xml:space="preserve"> approved base rates for FY 2025 and 4.9% ($2.21) is associated with the proposed TAP-R rates in this proceeding.</t>
  </si>
  <si>
    <t>(e) Of the estimated 13.5% ($17.26) increase in the example small business customer's bill, 8.9% ($11.35) is associated with the previously</t>
  </si>
  <si>
    <t>Typical Bill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</si>
</sst>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0&quot;_);_(@_)"/>
    <numFmt numFmtId="165" formatCode="#,##0.000_);\(#,##0.000\)"/>
    <numFmt numFmtId="166" formatCode="#,##0.0_);\(#,##0.0\)"/>
    <numFmt numFmtId="167" formatCode="#,##0.0000_);\(#,##0.0000\)"/>
    <numFmt numFmtId="168" formatCode="_(* #,##0_);_(* \(#,##0\);_(* &quot;-&quot;??_);_(@_)"/>
    <numFmt numFmtId="169" formatCode="0_);\(0\)"/>
    <numFmt numFmtId="170" formatCode="0.0"/>
    <numFmt numFmtId="171" formatCode="0.000"/>
    <numFmt numFmtId="172" formatCode="0.00_);\(0.00\)"/>
    <numFmt numFmtId="173" formatCode="0.0%"/>
  </numFmts>
  <fonts count="80">
    <font>
      <sz val="11"/>
      <color theme="1"/>
      <name val="Times New Roman"/>
      <family val="2"/>
      <scheme val="minor"/>
    </font>
    <font>
      <b/>
      <sz val="14"/>
      <color indexed="8"/>
      <name val="Arial"/>
      <family val="2"/>
    </font>
    <font>
      <sz val="12"/>
      <name val="Arial MT"/>
    </font>
    <font>
      <b/>
      <sz val="12"/>
      <color indexed="8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u val="singleAccounting"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shadow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color indexed="23"/>
      <name val="Times New Roman"/>
      <family val="1"/>
    </font>
    <font>
      <sz val="10"/>
      <color indexed="12"/>
      <name val="Times New Roman"/>
      <family val="1"/>
    </font>
    <font>
      <sz val="8"/>
      <color indexed="8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4"/>
      <name val="Arial"/>
      <family val="2"/>
    </font>
    <font>
      <shadow/>
      <sz val="10"/>
      <color indexed="16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2"/>
      <color indexed="9"/>
      <name val="Arial"/>
      <family val="2"/>
    </font>
    <font>
      <sz val="12"/>
      <color indexed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1"/>
      <color indexed="31"/>
      <name val="Calibri"/>
      <family val="2"/>
    </font>
    <font>
      <b/>
      <sz val="11"/>
      <color indexed="13"/>
      <name val="Calibri"/>
      <family val="2"/>
    </font>
    <font>
      <b/>
      <sz val="11"/>
      <color indexed="31"/>
      <name val="Calibri"/>
      <family val="2"/>
    </font>
    <font>
      <i/>
      <sz val="11"/>
      <color indexed="63"/>
      <name val="Calibri"/>
      <family val="2"/>
    </font>
    <font>
      <b/>
      <sz val="11"/>
      <color indexed="48"/>
      <name val="Calibri"/>
      <family val="2"/>
    </font>
    <font>
      <sz val="11"/>
      <color indexed="13"/>
      <name val="Calibri"/>
      <family val="2"/>
    </font>
    <font>
      <sz val="11"/>
      <color indexed="19"/>
      <name val="Calibri"/>
      <family val="2"/>
    </font>
    <font>
      <b/>
      <sz val="18"/>
      <color indexed="48"/>
      <name val="Cambria"/>
      <family val="2"/>
    </font>
    <font>
      <sz val="10"/>
      <color indexed="12"/>
      <name val="Arial"/>
      <family val="2"/>
    </font>
    <font>
      <shadow/>
      <sz val="12"/>
      <color indexed="12"/>
      <name val="Arial"/>
      <family val="2"/>
    </font>
    <font>
      <b/>
      <sz val="14"/>
      <name val="Times New Roman"/>
      <family val="1"/>
    </font>
    <font>
      <sz val="6"/>
      <name val="Times New Roman"/>
      <family val="1"/>
    </font>
    <font>
      <sz val="10"/>
      <color indexed="16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8"/>
      <name val="Times New 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Times New Roman"/>
      <family val="2"/>
      <scheme val="minor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1"/>
      <color theme="1"/>
      <name val="Calibri"/>
      <family val="2"/>
    </font>
    <font>
      <sz val="10"/>
      <color rgb="FFFF0000"/>
      <name val="Times New Roman"/>
      <family val="1"/>
    </font>
    <font>
      <b/>
      <u val="singleAccounting"/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Times New Roman"/>
      <family val="2"/>
      <scheme val="minor"/>
    </font>
    <font>
      <sz val="11"/>
      <name val="Times New Roman"/>
      <family val="1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</font>
    <font>
      <sz val="10"/>
      <color rgb="FF0070C0"/>
      <name val="Calibri"/>
      <family val="2"/>
    </font>
    <font>
      <b/>
      <sz val="12"/>
      <color theme="0"/>
      <name val="Arial"/>
      <family val="2"/>
      <scheme val="major"/>
    </font>
    <font>
      <b/>
      <u/>
      <sz val="11"/>
      <color theme="0"/>
      <name val="Calibri"/>
      <family val="2"/>
    </font>
    <font>
      <b/>
      <u/>
      <sz val="10"/>
      <color theme="0"/>
      <name val="Times New Roman"/>
      <family val="1"/>
    </font>
    <font>
      <sz val="11"/>
      <color theme="3"/>
      <name val="Times New Roman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u/>
      <sz val="10"/>
      <color theme="0"/>
      <name val="Times New Roman"/>
      <family val="1"/>
    </font>
    <font>
      <b/>
      <sz val="11"/>
      <color theme="0"/>
      <name val="Times New Roman"/>
      <family val="1"/>
      <scheme val="minor"/>
    </font>
    <font>
      <b/>
      <sz val="16"/>
      <color theme="1"/>
      <name val="Times New Roman"/>
      <family val="1"/>
      <scheme val="minor"/>
    </font>
    <font>
      <sz val="10"/>
      <color theme="1"/>
      <name val="Calibri"/>
      <family val="2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u val="singleAccounting"/>
      <sz val="11"/>
      <color theme="0"/>
      <name val="Arial"/>
      <family val="2"/>
      <scheme val="maj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gray0625">
        <fgColor indexed="8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6"/>
      </patternFill>
    </fill>
    <fill>
      <patternFill patternType="solid">
        <fgColor indexed="31"/>
        <bgColor indexed="11"/>
      </patternFill>
    </fill>
    <fill>
      <patternFill patternType="solid">
        <fgColor indexed="43"/>
      </patternFill>
    </fill>
    <fill>
      <patternFill patternType="solid">
        <fgColor indexed="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9D"/>
        <bgColor indexed="64"/>
      </patternFill>
    </fill>
    <fill>
      <patternFill patternType="solid">
        <fgColor rgb="FF0077A4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2" tint="-0.499984740745262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185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12" borderId="0" applyNumberFormat="0" applyBorder="0" applyAlignment="0" applyProtection="0"/>
    <xf numFmtId="0" fontId="37" fillId="5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3" borderId="0" applyNumberFormat="0" applyBorder="0" applyAlignment="0" applyProtection="0"/>
    <xf numFmtId="0" fontId="37" fillId="9" borderId="0" applyNumberFormat="0" applyBorder="0" applyAlignment="0" applyProtection="0"/>
    <xf numFmtId="0" fontId="23" fillId="6" borderId="0" applyNumberFormat="0" applyBorder="0" applyAlignment="0" applyProtection="0"/>
    <xf numFmtId="0" fontId="38" fillId="16" borderId="1" applyNumberFormat="0" applyAlignment="0" applyProtection="0"/>
    <xf numFmtId="0" fontId="39" fillId="16" borderId="2" applyNumberFormat="0" applyAlignment="0" applyProtection="0"/>
    <xf numFmtId="43" fontId="5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3" fillId="0" borderId="0" applyFont="0" applyFill="0" applyBorder="0" applyAlignment="0" applyProtection="0"/>
    <xf numFmtId="4" fontId="20" fillId="17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0" fillId="17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20" fillId="17" borderId="0" applyFont="0" applyFill="0" applyBorder="0" applyAlignment="0" applyProtection="0"/>
    <xf numFmtId="0" fontId="20" fillId="17" borderId="0" applyFont="0" applyFill="0" applyBorder="0" applyAlignment="0" applyProtection="0"/>
    <xf numFmtId="0" fontId="40" fillId="0" borderId="0" applyNumberFormat="0" applyFill="0" applyBorder="0" applyAlignment="0" applyProtection="0"/>
    <xf numFmtId="2" fontId="20" fillId="17" borderId="0" applyFont="0" applyFill="0" applyBorder="0" applyAlignment="0" applyProtection="0"/>
    <xf numFmtId="0" fontId="24" fillId="7" borderId="0" applyNumberFormat="0" applyBorder="0" applyAlignment="0" applyProtection="0"/>
    <xf numFmtId="0" fontId="36" fillId="17" borderId="0" applyFont="0" applyFill="0" applyBorder="0" applyAlignment="0" applyProtection="0"/>
    <xf numFmtId="0" fontId="31" fillId="17" borderId="0" applyFont="0" applyFill="0" applyBorder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10" fillId="0" borderId="0">
      <alignment horizontal="left"/>
    </xf>
    <xf numFmtId="38" fontId="21" fillId="0" borderId="0"/>
    <xf numFmtId="3" fontId="2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3" fontId="18" fillId="0" borderId="0" applyNumberFormat="0" applyFill="0" applyBorder="0" applyAlignment="0"/>
    <xf numFmtId="37" fontId="46" fillId="18" borderId="0" applyNumberFormat="0" applyBorder="0" applyAlignment="0">
      <protection locked="0"/>
    </xf>
    <xf numFmtId="37" fontId="11" fillId="5" borderId="0" applyNumberFormat="0" applyAlignment="0">
      <protection locked="0"/>
    </xf>
    <xf numFmtId="37" fontId="11" fillId="19" borderId="0" applyNumberFormat="0" applyAlignment="0">
      <protection locked="0"/>
    </xf>
    <xf numFmtId="37" fontId="11" fillId="5" borderId="0" applyNumberFormat="0" applyAlignment="0">
      <protection locked="0"/>
    </xf>
    <xf numFmtId="37" fontId="11" fillId="5" borderId="0" applyAlignment="0">
      <protection locked="0"/>
    </xf>
    <xf numFmtId="0" fontId="42" fillId="0" borderId="4" applyNumberFormat="0" applyFill="0" applyAlignment="0" applyProtection="0"/>
    <xf numFmtId="37" fontId="17" fillId="20" borderId="0" applyNumberFormat="0" applyAlignment="0"/>
    <xf numFmtId="37" fontId="17" fillId="21" borderId="0" applyNumberFormat="0" applyAlignment="0"/>
    <xf numFmtId="37" fontId="17" fillId="20" borderId="0" applyNumberFormat="0" applyAlignment="0"/>
    <xf numFmtId="37" fontId="17" fillId="20" borderId="0" applyNumberFormat="0" applyBorder="0" applyAlignment="0"/>
    <xf numFmtId="167" fontId="7" fillId="22" borderId="5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3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4" fillId="0" borderId="6" applyNumberFormat="0" applyBorder="0">
      <alignment horizontal="center"/>
    </xf>
    <xf numFmtId="0" fontId="31" fillId="25" borderId="0" applyNumberFormat="0" applyBorder="0" applyAlignment="0" applyProtection="0"/>
    <xf numFmtId="0" fontId="31" fillId="26" borderId="7" applyNumberFormat="0" applyBorder="0" applyAlignment="0" applyProtection="0"/>
    <xf numFmtId="0" fontId="31" fillId="26" borderId="7" applyNumberFormat="0" applyBorder="0" applyAlignment="0" applyProtection="0"/>
    <xf numFmtId="38" fontId="19" fillId="27" borderId="0" applyNumberFormat="0" applyAlignment="0"/>
    <xf numFmtId="0" fontId="19" fillId="0" borderId="0"/>
    <xf numFmtId="38" fontId="19" fillId="27" borderId="0" applyNumberFormat="0" applyAlignment="0"/>
    <xf numFmtId="37" fontId="49" fillId="28" borderId="5" applyNumberFormat="0" applyAlignment="0"/>
    <xf numFmtId="38" fontId="19" fillId="27" borderId="0" applyNumberFormat="0" applyBorder="0" applyAlignment="0"/>
    <xf numFmtId="0" fontId="43" fillId="29" borderId="0" applyNumberFormat="0" applyBorder="0" applyAlignment="0" applyProtection="0"/>
    <xf numFmtId="0" fontId="55" fillId="0" borderId="0"/>
    <xf numFmtId="0" fontId="55" fillId="0" borderId="0"/>
    <xf numFmtId="38" fontId="50" fillId="0" borderId="0"/>
    <xf numFmtId="38" fontId="53" fillId="0" borderId="0"/>
    <xf numFmtId="0" fontId="27" fillId="0" borderId="0"/>
    <xf numFmtId="0" fontId="27" fillId="0" borderId="0"/>
    <xf numFmtId="38" fontId="4" fillId="0" borderId="0"/>
    <xf numFmtId="0" fontId="55" fillId="0" borderId="0"/>
    <xf numFmtId="38" fontId="4" fillId="0" borderId="0"/>
    <xf numFmtId="38" fontId="4" fillId="0" borderId="0"/>
    <xf numFmtId="0" fontId="20" fillId="0" borderId="0"/>
    <xf numFmtId="0" fontId="20" fillId="0" borderId="0"/>
    <xf numFmtId="0" fontId="55" fillId="0" borderId="0"/>
    <xf numFmtId="0" fontId="20" fillId="0" borderId="0">
      <alignment vertical="top"/>
    </xf>
    <xf numFmtId="37" fontId="28" fillId="0" borderId="0" applyFill="0" applyBorder="0" applyAlignment="0"/>
    <xf numFmtId="0" fontId="27" fillId="0" borderId="0"/>
    <xf numFmtId="0" fontId="27" fillId="0" borderId="0"/>
    <xf numFmtId="38" fontId="4" fillId="0" borderId="0"/>
    <xf numFmtId="38" fontId="9" fillId="0" borderId="0"/>
    <xf numFmtId="0" fontId="27" fillId="8" borderId="8" applyNumberFormat="0" applyFont="0" applyAlignment="0" applyProtection="0"/>
    <xf numFmtId="0" fontId="25" fillId="16" borderId="1" applyNumberFormat="0" applyAlignment="0" applyProtection="0"/>
    <xf numFmtId="9" fontId="55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20" fillId="17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169" fontId="12" fillId="8" borderId="9">
      <alignment horizontal="left" vertical="center"/>
    </xf>
    <xf numFmtId="37" fontId="12" fillId="8" borderId="10" applyAlignment="0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11">
      <alignment horizontal="left" vertical="center"/>
    </xf>
    <xf numFmtId="39" fontId="15" fillId="0" borderId="0">
      <alignment horizontal="center"/>
    </xf>
    <xf numFmtId="37" fontId="15" fillId="0" borderId="0">
      <alignment horizontal="center"/>
    </xf>
    <xf numFmtId="2" fontId="14" fillId="30" borderId="0" applyNumberFormat="0" applyBorder="0" applyAlignment="0" applyProtection="0"/>
    <xf numFmtId="2" fontId="14" fillId="30" borderId="0" applyNumberFormat="0" applyBorder="0" applyAlignment="0" applyProtection="0"/>
    <xf numFmtId="38" fontId="14" fillId="30" borderId="0" applyNumberFormat="0" applyAlignment="0" applyProtection="0"/>
    <xf numFmtId="0" fontId="47" fillId="0" borderId="0"/>
    <xf numFmtId="0" fontId="16" fillId="0" borderId="0"/>
    <xf numFmtId="0" fontId="48" fillId="0" borderId="0"/>
    <xf numFmtId="0" fontId="29" fillId="0" borderId="0"/>
    <xf numFmtId="0" fontId="16" fillId="0" borderId="0"/>
    <xf numFmtId="0" fontId="44" fillId="0" borderId="0" applyNumberFormat="0" applyFill="0" applyBorder="0" applyAlignment="0" applyProtection="0"/>
    <xf numFmtId="37" fontId="1" fillId="0" borderId="0">
      <alignment horizontal="center"/>
    </xf>
    <xf numFmtId="0" fontId="1" fillId="0" borderId="0">
      <alignment horizontal="centerContinuous"/>
    </xf>
    <xf numFmtId="0" fontId="20" fillId="17" borderId="0" applyFont="0" applyFill="0" applyBorder="0" applyAlignment="0" applyProtection="0"/>
    <xf numFmtId="168" fontId="45" fillId="0" borderId="0" applyNumberFormat="0" applyBorder="0" applyAlignment="0">
      <protection locked="0"/>
    </xf>
    <xf numFmtId="0" fontId="13" fillId="0" borderId="0"/>
    <xf numFmtId="0" fontId="26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0" xfId="180" applyAlignment="1"/>
    <xf numFmtId="37" fontId="2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center"/>
    </xf>
    <xf numFmtId="38" fontId="4" fillId="0" borderId="0" xfId="0" applyNumberFormat="1" applyFont="1"/>
    <xf numFmtId="37" fontId="5" fillId="0" borderId="0" xfId="0" applyNumberFormat="1" applyFont="1" applyAlignment="1">
      <alignment horizontal="center"/>
    </xf>
    <xf numFmtId="38" fontId="6" fillId="0" borderId="0" xfId="0" applyNumberFormat="1" applyFont="1"/>
    <xf numFmtId="38" fontId="6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7" fontId="4" fillId="0" borderId="0" xfId="0" quotePrefix="1" applyNumberFormat="1" applyFont="1" applyAlignment="1">
      <alignment horizontal="center"/>
    </xf>
    <xf numFmtId="9" fontId="4" fillId="0" borderId="0" xfId="141" applyFont="1" applyProtection="1"/>
    <xf numFmtId="39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 indent="1"/>
    </xf>
    <xf numFmtId="164" fontId="4" fillId="0" borderId="0" xfId="0" applyNumberFormat="1" applyFont="1"/>
    <xf numFmtId="37" fontId="4" fillId="0" borderId="0" xfId="0" applyNumberFormat="1" applyFont="1" applyAlignment="1">
      <alignment horizontal="left" indent="2"/>
    </xf>
    <xf numFmtId="37" fontId="4" fillId="0" borderId="0" xfId="0" applyNumberFormat="1" applyFont="1" applyAlignment="1">
      <alignment horizontal="left" indent="3"/>
    </xf>
    <xf numFmtId="37" fontId="5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3" fillId="0" borderId="0" xfId="180" applyFont="1" applyAlignment="1">
      <alignment horizontal="center"/>
    </xf>
    <xf numFmtId="37" fontId="4" fillId="0" borderId="0" xfId="0" applyNumberFormat="1" applyFont="1" applyAlignment="1">
      <alignment horizontal="left"/>
    </xf>
    <xf numFmtId="39" fontId="0" fillId="0" borderId="0" xfId="0" applyNumberFormat="1"/>
    <xf numFmtId="0" fontId="1" fillId="0" borderId="0" xfId="180" applyAlignment="1">
      <alignment horizontal="center"/>
    </xf>
    <xf numFmtId="38" fontId="0" fillId="0" borderId="0" xfId="0" quotePrefix="1" applyNumberFormat="1"/>
    <xf numFmtId="39" fontId="0" fillId="0" borderId="0" xfId="0" quotePrefix="1" applyNumberFormat="1"/>
    <xf numFmtId="38" fontId="0" fillId="0" borderId="0" xfId="0" applyNumberFormat="1"/>
    <xf numFmtId="166" fontId="4" fillId="0" borderId="0" xfId="0" applyNumberFormat="1" applyFont="1"/>
    <xf numFmtId="39" fontId="4" fillId="0" borderId="0" xfId="0" applyNumberFormat="1" applyFont="1"/>
    <xf numFmtId="166" fontId="8" fillId="0" borderId="0" xfId="0" applyNumberFormat="1" applyFont="1"/>
    <xf numFmtId="39" fontId="8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37" fontId="56" fillId="0" borderId="0" xfId="0" quotePrefix="1" applyNumberFormat="1" applyFont="1" applyAlignment="1">
      <alignment horizontal="center"/>
    </xf>
    <xf numFmtId="38" fontId="8" fillId="0" borderId="0" xfId="0" applyNumberFormat="1" applyFont="1" applyAlignment="1">
      <alignment horizontal="center"/>
    </xf>
    <xf numFmtId="37" fontId="57" fillId="31" borderId="0" xfId="0" applyNumberFormat="1" applyFont="1" applyFill="1"/>
    <xf numFmtId="166" fontId="57" fillId="31" borderId="0" xfId="0" applyNumberFormat="1" applyFont="1" applyFill="1"/>
    <xf numFmtId="37" fontId="57" fillId="31" borderId="0" xfId="0" applyNumberFormat="1" applyFont="1" applyFill="1" applyAlignment="1">
      <alignment horizontal="center"/>
    </xf>
    <xf numFmtId="10" fontId="4" fillId="0" borderId="0" xfId="141" applyNumberFormat="1" applyFont="1" applyProtection="1"/>
    <xf numFmtId="38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 wrapText="1"/>
    </xf>
    <xf numFmtId="37" fontId="7" fillId="0" borderId="0" xfId="0" applyNumberFormat="1" applyFont="1" applyAlignment="1">
      <alignment horizontal="center"/>
    </xf>
    <xf numFmtId="0" fontId="0" fillId="32" borderId="0" xfId="0" applyFill="1"/>
    <xf numFmtId="37" fontId="57" fillId="32" borderId="0" xfId="0" applyNumberFormat="1" applyFont="1" applyFill="1" applyAlignment="1">
      <alignment horizontal="center"/>
    </xf>
    <xf numFmtId="166" fontId="57" fillId="32" borderId="0" xfId="0" applyNumberFormat="1" applyFont="1" applyFill="1"/>
    <xf numFmtId="39" fontId="4" fillId="32" borderId="0" xfId="0" applyNumberFormat="1" applyFont="1" applyFill="1"/>
    <xf numFmtId="166" fontId="4" fillId="32" borderId="0" xfId="0" applyNumberFormat="1" applyFont="1" applyFill="1"/>
    <xf numFmtId="38" fontId="4" fillId="32" borderId="0" xfId="0" applyNumberFormat="1" applyFont="1" applyFill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3" fontId="0" fillId="0" borderId="7" xfId="0" applyNumberFormat="1" applyBorder="1"/>
    <xf numFmtId="0" fontId="0" fillId="0" borderId="16" xfId="0" applyBorder="1"/>
    <xf numFmtId="0" fontId="0" fillId="0" borderId="17" xfId="0" applyBorder="1"/>
    <xf numFmtId="3" fontId="0" fillId="0" borderId="18" xfId="0" applyNumberFormat="1" applyBorder="1"/>
    <xf numFmtId="37" fontId="57" fillId="32" borderId="0" xfId="0" applyNumberFormat="1" applyFont="1" applyFill="1"/>
    <xf numFmtId="37" fontId="57" fillId="31" borderId="7" xfId="0" applyNumberFormat="1" applyFont="1" applyFill="1" applyBorder="1"/>
    <xf numFmtId="0" fontId="58" fillId="0" borderId="0" xfId="0" applyFont="1"/>
    <xf numFmtId="0" fontId="0" fillId="33" borderId="0" xfId="0" applyFill="1"/>
    <xf numFmtId="37" fontId="57" fillId="33" borderId="0" xfId="0" applyNumberFormat="1" applyFont="1" applyFill="1" applyAlignment="1">
      <alignment horizontal="center"/>
    </xf>
    <xf numFmtId="39" fontId="8" fillId="33" borderId="0" xfId="0" applyNumberFormat="1" applyFont="1" applyFill="1"/>
    <xf numFmtId="166" fontId="8" fillId="33" borderId="0" xfId="0" applyNumberFormat="1" applyFont="1" applyFill="1"/>
    <xf numFmtId="166" fontId="4" fillId="33" borderId="0" xfId="0" applyNumberFormat="1" applyFont="1" applyFill="1"/>
    <xf numFmtId="0" fontId="1" fillId="0" borderId="0" xfId="180">
      <alignment horizontal="centerContinuous"/>
    </xf>
    <xf numFmtId="4" fontId="0" fillId="0" borderId="0" xfId="0" applyNumberFormat="1"/>
    <xf numFmtId="39" fontId="59" fillId="0" borderId="0" xfId="0" applyNumberFormat="1" applyFont="1" applyAlignment="1">
      <alignment horizontal="center"/>
    </xf>
    <xf numFmtId="165" fontId="59" fillId="0" borderId="0" xfId="0" applyNumberFormat="1" applyFont="1" applyAlignment="1">
      <alignment horizontal="center"/>
    </xf>
    <xf numFmtId="0" fontId="3" fillId="0" borderId="0" xfId="180" applyFont="1" applyAlignment="1"/>
    <xf numFmtId="37" fontId="2" fillId="0" borderId="0" xfId="0" applyNumberFormat="1" applyFont="1" applyAlignment="1">
      <alignment horizontal="centerContinuous"/>
    </xf>
    <xf numFmtId="171" fontId="0" fillId="0" borderId="0" xfId="0" applyNumberFormat="1"/>
    <xf numFmtId="171" fontId="0" fillId="33" borderId="0" xfId="0" applyNumberFormat="1" applyFill="1"/>
    <xf numFmtId="171" fontId="0" fillId="32" borderId="0" xfId="0" applyNumberFormat="1" applyFill="1"/>
    <xf numFmtId="43" fontId="55" fillId="0" borderId="0" xfId="28" applyFont="1"/>
    <xf numFmtId="0" fontId="3" fillId="0" borderId="0" xfId="180" applyFont="1">
      <alignment horizontal="centerContinuous"/>
    </xf>
    <xf numFmtId="0" fontId="60" fillId="34" borderId="0" xfId="0" applyFont="1" applyFill="1" applyAlignment="1">
      <alignment horizontal="center"/>
    </xf>
    <xf numFmtId="0" fontId="61" fillId="34" borderId="0" xfId="0" applyFont="1" applyFill="1" applyAlignment="1">
      <alignment horizontal="center"/>
    </xf>
    <xf numFmtId="0" fontId="62" fillId="0" borderId="0" xfId="0" quotePrefix="1" applyFont="1"/>
    <xf numFmtId="37" fontId="51" fillId="0" borderId="23" xfId="0" applyNumberFormat="1" applyFont="1" applyBorder="1" applyAlignment="1">
      <alignment horizontal="center" vertical="center"/>
    </xf>
    <xf numFmtId="165" fontId="0" fillId="0" borderId="0" xfId="0" applyNumberFormat="1"/>
    <xf numFmtId="0" fontId="62" fillId="0" borderId="0" xfId="0" quotePrefix="1" applyFont="1" applyAlignment="1">
      <alignment horizontal="left" indent="1"/>
    </xf>
    <xf numFmtId="39" fontId="4" fillId="0" borderId="0" xfId="137" applyNumberFormat="1" applyAlignment="1">
      <alignment horizontal="center"/>
    </xf>
    <xf numFmtId="0" fontId="3" fillId="0" borderId="0" xfId="180" applyFont="1" applyAlignment="1">
      <alignment horizontal="left"/>
    </xf>
    <xf numFmtId="168" fontId="4" fillId="0" borderId="0" xfId="28" applyNumberFormat="1" applyFont="1" applyAlignment="1" applyProtection="1">
      <alignment horizontal="center"/>
    </xf>
    <xf numFmtId="0" fontId="63" fillId="0" borderId="0" xfId="0" applyFont="1"/>
    <xf numFmtId="0" fontId="64" fillId="35" borderId="0" xfId="180" applyFont="1" applyFill="1">
      <alignment horizontal="centerContinuous"/>
    </xf>
    <xf numFmtId="0" fontId="60" fillId="34" borderId="0" xfId="0" applyFont="1" applyFill="1"/>
    <xf numFmtId="37" fontId="61" fillId="34" borderId="0" xfId="0" applyNumberFormat="1" applyFont="1" applyFill="1"/>
    <xf numFmtId="37" fontId="61" fillId="34" borderId="0" xfId="0" applyNumberFormat="1" applyFont="1" applyFill="1" applyAlignment="1">
      <alignment horizontal="center"/>
    </xf>
    <xf numFmtId="37" fontId="51" fillId="0" borderId="0" xfId="0" applyNumberFormat="1" applyFont="1" applyAlignment="1">
      <alignment horizontal="center"/>
    </xf>
    <xf numFmtId="37" fontId="51" fillId="0" borderId="0" xfId="0" applyNumberFormat="1" applyFont="1"/>
    <xf numFmtId="41" fontId="61" fillId="36" borderId="0" xfId="0" applyNumberFormat="1" applyFont="1" applyFill="1" applyAlignment="1">
      <alignment horizontal="centerContinuous"/>
    </xf>
    <xf numFmtId="37" fontId="51" fillId="0" borderId="24" xfId="0" applyNumberFormat="1" applyFont="1" applyBorder="1" applyAlignment="1">
      <alignment horizontal="center" vertical="center"/>
    </xf>
    <xf numFmtId="172" fontId="51" fillId="0" borderId="24" xfId="0" applyNumberFormat="1" applyFont="1" applyBorder="1" applyAlignment="1">
      <alignment horizontal="center" vertical="center"/>
    </xf>
    <xf numFmtId="2" fontId="0" fillId="0" borderId="0" xfId="0" applyNumberFormat="1"/>
    <xf numFmtId="2" fontId="0" fillId="33" borderId="0" xfId="0" applyNumberFormat="1" applyFill="1"/>
    <xf numFmtId="2" fontId="0" fillId="32" borderId="0" xfId="0" applyNumberFormat="1" applyFill="1"/>
    <xf numFmtId="41" fontId="65" fillId="0" borderId="0" xfId="137" applyNumberFormat="1" applyFont="1"/>
    <xf numFmtId="41" fontId="65" fillId="0" borderId="0" xfId="137" applyNumberFormat="1" applyFont="1" applyAlignment="1">
      <alignment horizontal="center"/>
    </xf>
    <xf numFmtId="37" fontId="61" fillId="0" borderId="0" xfId="0" applyNumberFormat="1" applyFont="1" applyAlignment="1">
      <alignment horizontal="center"/>
    </xf>
    <xf numFmtId="49" fontId="0" fillId="0" borderId="0" xfId="0" applyNumberFormat="1"/>
    <xf numFmtId="37" fontId="51" fillId="37" borderId="25" xfId="134" applyFont="1" applyFill="1" applyBorder="1" applyAlignment="1">
      <alignment horizontal="center" vertical="center" wrapText="1"/>
    </xf>
    <xf numFmtId="39" fontId="51" fillId="37" borderId="25" xfId="134" applyNumberFormat="1" applyFont="1" applyFill="1" applyBorder="1" applyAlignment="1">
      <alignment horizontal="center" vertical="center" wrapText="1"/>
    </xf>
    <xf numFmtId="170" fontId="51" fillId="37" borderId="25" xfId="141" applyNumberFormat="1" applyFont="1" applyFill="1" applyBorder="1" applyAlignment="1">
      <alignment horizontal="center" vertical="center" wrapText="1"/>
    </xf>
    <xf numFmtId="166" fontId="51" fillId="37" borderId="25" xfId="134" applyNumberFormat="1" applyFont="1" applyFill="1" applyBorder="1" applyAlignment="1">
      <alignment horizontal="right" vertical="center" wrapText="1"/>
    </xf>
    <xf numFmtId="37" fontId="51" fillId="37" borderId="25" xfId="134" applyFont="1" applyFill="1" applyBorder="1" applyAlignment="1">
      <alignment horizontal="right" vertical="center" wrapText="1"/>
    </xf>
    <xf numFmtId="39" fontId="51" fillId="37" borderId="25" xfId="134" applyNumberFormat="1" applyFont="1" applyFill="1" applyBorder="1" applyAlignment="1">
      <alignment horizontal="right" vertical="center" wrapText="1"/>
    </xf>
    <xf numFmtId="38" fontId="4" fillId="38" borderId="0" xfId="0" applyNumberFormat="1" applyFont="1" applyFill="1" applyAlignment="1">
      <alignment horizontal="center"/>
    </xf>
    <xf numFmtId="166" fontId="4" fillId="38" borderId="0" xfId="0" applyNumberFormat="1" applyFont="1" applyFill="1" applyAlignment="1">
      <alignment horizontal="right"/>
    </xf>
    <xf numFmtId="37" fontId="4" fillId="38" borderId="0" xfId="0" applyNumberFormat="1" applyFont="1" applyFill="1" applyAlignment="1">
      <alignment horizontal="right"/>
    </xf>
    <xf numFmtId="39" fontId="4" fillId="38" borderId="0" xfId="0" applyNumberFormat="1" applyFont="1" applyFill="1" applyAlignment="1">
      <alignment horizontal="right"/>
    </xf>
    <xf numFmtId="39" fontId="66" fillId="0" borderId="0" xfId="0" applyNumberFormat="1" applyFont="1" applyAlignment="1">
      <alignment horizontal="center"/>
    </xf>
    <xf numFmtId="37" fontId="51" fillId="0" borderId="0" xfId="0" quotePrefix="1" applyNumberFormat="1" applyFont="1" applyAlignment="1">
      <alignment horizontal="center"/>
    </xf>
    <xf numFmtId="167" fontId="0" fillId="0" borderId="0" xfId="0" applyNumberFormat="1"/>
    <xf numFmtId="0" fontId="67" fillId="39" borderId="0" xfId="180" applyFont="1" applyFill="1">
      <alignment horizontal="centerContinuous"/>
    </xf>
    <xf numFmtId="37" fontId="61" fillId="40" borderId="0" xfId="0" applyNumberFormat="1" applyFont="1" applyFill="1" applyAlignment="1">
      <alignment horizontal="centerContinuous"/>
    </xf>
    <xf numFmtId="37" fontId="68" fillId="40" borderId="0" xfId="0" applyNumberFormat="1" applyFont="1" applyFill="1" applyAlignment="1">
      <alignment horizontal="centerContinuous"/>
    </xf>
    <xf numFmtId="0" fontId="60" fillId="40" borderId="0" xfId="0" applyFont="1" applyFill="1" applyAlignment="1">
      <alignment horizontal="centerContinuous"/>
    </xf>
    <xf numFmtId="0" fontId="61" fillId="40" borderId="0" xfId="0" applyFont="1" applyFill="1" applyAlignment="1">
      <alignment horizontal="center"/>
    </xf>
    <xf numFmtId="0" fontId="60" fillId="40" borderId="0" xfId="0" applyFont="1" applyFill="1" applyAlignment="1">
      <alignment horizontal="center"/>
    </xf>
    <xf numFmtId="0" fontId="64" fillId="0" borderId="0" xfId="180" applyFont="1">
      <alignment horizontal="centerContinuous"/>
    </xf>
    <xf numFmtId="0" fontId="0" fillId="37" borderId="0" xfId="0" applyFill="1"/>
    <xf numFmtId="0" fontId="69" fillId="41" borderId="19" xfId="86" applyFont="1" applyFill="1" applyBorder="1" applyAlignment="1" applyProtection="1">
      <alignment horizontal="center"/>
    </xf>
    <xf numFmtId="9" fontId="4" fillId="0" borderId="0" xfId="141" quotePrefix="1" applyFont="1" applyProtection="1"/>
    <xf numFmtId="14" fontId="70" fillId="31" borderId="0" xfId="0" applyNumberFormat="1" applyFont="1" applyFill="1"/>
    <xf numFmtId="172" fontId="0" fillId="0" borderId="0" xfId="0" applyNumberFormat="1"/>
    <xf numFmtId="0" fontId="0" fillId="0" borderId="0" xfId="0" applyAlignment="1">
      <alignment horizontal="centerContinuous"/>
    </xf>
    <xf numFmtId="0" fontId="71" fillId="0" borderId="0" xfId="0" quotePrefix="1" applyFont="1"/>
    <xf numFmtId="0" fontId="71" fillId="0" borderId="0" xfId="0" quotePrefix="1" applyFont="1" applyAlignment="1">
      <alignment horizontal="left" indent="1"/>
    </xf>
    <xf numFmtId="0" fontId="71" fillId="0" borderId="0" xfId="0" applyFont="1"/>
    <xf numFmtId="37" fontId="51" fillId="37" borderId="26" xfId="134" applyFont="1" applyFill="1" applyBorder="1" applyAlignment="1">
      <alignment horizontal="center" vertical="center" wrapText="1"/>
    </xf>
    <xf numFmtId="39" fontId="51" fillId="37" borderId="26" xfId="134" applyNumberFormat="1" applyFont="1" applyFill="1" applyBorder="1" applyAlignment="1">
      <alignment horizontal="center" vertical="center" wrapText="1"/>
    </xf>
    <xf numFmtId="170" fontId="51" fillId="37" borderId="26" xfId="141" applyNumberFormat="1" applyFont="1" applyFill="1" applyBorder="1" applyAlignment="1">
      <alignment horizontal="center" vertical="center" wrapText="1"/>
    </xf>
    <xf numFmtId="37" fontId="51" fillId="37" borderId="27" xfId="134" applyFont="1" applyFill="1" applyBorder="1" applyAlignment="1">
      <alignment horizontal="center" vertical="center" wrapText="1"/>
    </xf>
    <xf numFmtId="39" fontId="51" fillId="37" borderId="27" xfId="134" applyNumberFormat="1" applyFont="1" applyFill="1" applyBorder="1" applyAlignment="1">
      <alignment horizontal="center" vertical="center" wrapText="1"/>
    </xf>
    <xf numFmtId="170" fontId="51" fillId="37" borderId="27" xfId="141" applyNumberFormat="1" applyFont="1" applyFill="1" applyBorder="1" applyAlignment="1">
      <alignment horizontal="center" vertical="center" wrapText="1"/>
    </xf>
    <xf numFmtId="37" fontId="51" fillId="37" borderId="28" xfId="134" applyFont="1" applyFill="1" applyBorder="1" applyAlignment="1">
      <alignment horizontal="center" vertical="center" wrapText="1"/>
    </xf>
    <xf numFmtId="39" fontId="51" fillId="37" borderId="28" xfId="134" applyNumberFormat="1" applyFont="1" applyFill="1" applyBorder="1" applyAlignment="1">
      <alignment horizontal="center" vertical="center" wrapText="1"/>
    </xf>
    <xf numFmtId="170" fontId="51" fillId="37" borderId="28" xfId="141" applyNumberFormat="1" applyFont="1" applyFill="1" applyBorder="1" applyAlignment="1">
      <alignment horizontal="center" vertical="center" wrapText="1"/>
    </xf>
    <xf numFmtId="0" fontId="72" fillId="0" borderId="0" xfId="0" quotePrefix="1" applyFont="1" applyAlignment="1">
      <alignment horizontal="left" indent="1"/>
    </xf>
    <xf numFmtId="37" fontId="51" fillId="37" borderId="29" xfId="134" applyFont="1" applyFill="1" applyBorder="1" applyAlignment="1">
      <alignment horizontal="center" vertical="center" wrapText="1"/>
    </xf>
    <xf numFmtId="39" fontId="51" fillId="37" borderId="30" xfId="134" applyNumberFormat="1" applyFont="1" applyFill="1" applyBorder="1" applyAlignment="1">
      <alignment horizontal="center" vertical="center" wrapText="1"/>
    </xf>
    <xf numFmtId="166" fontId="51" fillId="37" borderId="26" xfId="134" applyNumberFormat="1" applyFont="1" applyFill="1" applyBorder="1" applyAlignment="1">
      <alignment horizontal="right" vertical="center" wrapText="1"/>
    </xf>
    <xf numFmtId="37" fontId="51" fillId="37" borderId="26" xfId="134" applyFont="1" applyFill="1" applyBorder="1" applyAlignment="1">
      <alignment horizontal="right" vertical="center" wrapText="1"/>
    </xf>
    <xf numFmtId="39" fontId="51" fillId="37" borderId="26" xfId="134" applyNumberFormat="1" applyFont="1" applyFill="1" applyBorder="1" applyAlignment="1">
      <alignment horizontal="right" vertical="center" wrapText="1"/>
    </xf>
    <xf numFmtId="166" fontId="51" fillId="37" borderId="27" xfId="134" applyNumberFormat="1" applyFont="1" applyFill="1" applyBorder="1" applyAlignment="1">
      <alignment horizontal="right" vertical="center" wrapText="1"/>
    </xf>
    <xf numFmtId="37" fontId="51" fillId="37" borderId="27" xfId="134" applyFont="1" applyFill="1" applyBorder="1" applyAlignment="1">
      <alignment horizontal="right" vertical="center" wrapText="1"/>
    </xf>
    <xf numFmtId="39" fontId="51" fillId="37" borderId="27" xfId="134" applyNumberFormat="1" applyFont="1" applyFill="1" applyBorder="1" applyAlignment="1">
      <alignment horizontal="right" vertical="center" wrapText="1"/>
    </xf>
    <xf numFmtId="166" fontId="51" fillId="37" borderId="30" xfId="134" applyNumberFormat="1" applyFont="1" applyFill="1" applyBorder="1" applyAlignment="1">
      <alignment horizontal="right" vertical="center" wrapText="1"/>
    </xf>
    <xf numFmtId="37" fontId="51" fillId="37" borderId="30" xfId="134" applyFont="1" applyFill="1" applyBorder="1" applyAlignment="1">
      <alignment horizontal="right" vertical="center" wrapText="1"/>
    </xf>
    <xf numFmtId="39" fontId="51" fillId="37" borderId="30" xfId="134" applyNumberFormat="1" applyFont="1" applyFill="1" applyBorder="1" applyAlignment="1">
      <alignment horizontal="right" vertical="center" wrapText="1"/>
    </xf>
    <xf numFmtId="166" fontId="51" fillId="37" borderId="31" xfId="134" applyNumberFormat="1" applyFont="1" applyFill="1" applyBorder="1" applyAlignment="1">
      <alignment horizontal="right" vertical="center" wrapText="1"/>
    </xf>
    <xf numFmtId="10" fontId="55" fillId="0" borderId="0" xfId="141" applyNumberFormat="1" applyFont="1"/>
    <xf numFmtId="39" fontId="57" fillId="31" borderId="0" xfId="0" applyNumberFormat="1" applyFont="1" applyFill="1" applyAlignment="1">
      <alignment horizontal="center"/>
    </xf>
    <xf numFmtId="165" fontId="57" fillId="31" borderId="0" xfId="0" applyNumberFormat="1" applyFont="1" applyFill="1" applyAlignment="1">
      <alignment horizontal="center"/>
    </xf>
    <xf numFmtId="168" fontId="57" fillId="31" borderId="0" xfId="28" applyNumberFormat="1" applyFont="1" applyFill="1" applyAlignment="1" applyProtection="1">
      <alignment horizontal="center"/>
    </xf>
    <xf numFmtId="0" fontId="0" fillId="0" borderId="0" xfId="0" applyAlignment="1">
      <alignment wrapText="1"/>
    </xf>
    <xf numFmtId="39" fontId="57" fillId="33" borderId="0" xfId="0" applyNumberFormat="1" applyFont="1" applyFill="1"/>
    <xf numFmtId="0" fontId="64" fillId="35" borderId="0" xfId="180" applyFont="1" applyFill="1" applyAlignment="1">
      <alignment horizontal="center"/>
    </xf>
    <xf numFmtId="0" fontId="71" fillId="0" borderId="0" xfId="0" quotePrefix="1" applyFont="1" applyAlignment="1">
      <alignment horizontal="left"/>
    </xf>
    <xf numFmtId="166" fontId="51" fillId="37" borderId="31" xfId="134" applyNumberFormat="1" applyFont="1" applyFill="1" applyBorder="1" applyAlignment="1">
      <alignment horizontal="center" vertical="center" wrapText="1"/>
    </xf>
    <xf numFmtId="0" fontId="72" fillId="0" borderId="0" xfId="0" quotePrefix="1" applyFont="1"/>
    <xf numFmtId="173" fontId="0" fillId="0" borderId="0" xfId="141" applyNumberFormat="1" applyFont="1"/>
    <xf numFmtId="0" fontId="76" fillId="0" borderId="0" xfId="0" quotePrefix="1" applyFont="1" applyAlignment="1">
      <alignment horizontal="left" indent="1"/>
    </xf>
    <xf numFmtId="0" fontId="76" fillId="0" borderId="0" xfId="0" quotePrefix="1" applyFont="1" applyAlignment="1">
      <alignment horizontal="left"/>
    </xf>
    <xf numFmtId="37" fontId="51" fillId="0" borderId="0" xfId="0" applyNumberFormat="1" applyFont="1" applyAlignment="1">
      <alignment horizontal="left" indent="1"/>
    </xf>
    <xf numFmtId="39" fontId="57" fillId="0" borderId="0" xfId="0" applyNumberFormat="1" applyFont="1" applyAlignment="1">
      <alignment horizontal="center"/>
    </xf>
    <xf numFmtId="168" fontId="57" fillId="0" borderId="0" xfId="28" applyNumberFormat="1" applyFont="1" applyFill="1" applyAlignment="1" applyProtection="1">
      <alignment horizontal="center"/>
    </xf>
    <xf numFmtId="37" fontId="77" fillId="34" borderId="0" xfId="0" applyNumberFormat="1" applyFont="1" applyFill="1" applyAlignment="1">
      <alignment horizontal="centerContinuous"/>
    </xf>
    <xf numFmtId="0" fontId="78" fillId="0" borderId="0" xfId="0" applyFont="1"/>
    <xf numFmtId="0" fontId="79" fillId="34" borderId="0" xfId="0" applyFont="1" applyFill="1" applyAlignment="1">
      <alignment horizontal="center"/>
    </xf>
    <xf numFmtId="165" fontId="71" fillId="0" borderId="0" xfId="0" applyNumberFormat="1" applyFont="1"/>
    <xf numFmtId="39" fontId="71" fillId="0" borderId="0" xfId="0" applyNumberFormat="1" applyFont="1"/>
    <xf numFmtId="2" fontId="71" fillId="0" borderId="0" xfId="0" applyNumberFormat="1" applyFont="1"/>
    <xf numFmtId="0" fontId="74" fillId="42" borderId="20" xfId="0" applyFont="1" applyFill="1" applyBorder="1" applyAlignment="1">
      <alignment horizontal="center"/>
    </xf>
    <xf numFmtId="0" fontId="74" fillId="42" borderId="22" xfId="0" applyFont="1" applyFill="1" applyBorder="1" applyAlignment="1">
      <alignment horizontal="center"/>
    </xf>
    <xf numFmtId="0" fontId="74" fillId="42" borderId="21" xfId="0" applyFont="1" applyFill="1" applyBorder="1" applyAlignment="1">
      <alignment horizontal="center"/>
    </xf>
    <xf numFmtId="0" fontId="73" fillId="42" borderId="20" xfId="86" quotePrefix="1" applyFont="1" applyFill="1" applyBorder="1" applyAlignment="1" applyProtection="1">
      <alignment horizontal="center"/>
    </xf>
    <xf numFmtId="0" fontId="73" fillId="42" borderId="21" xfId="86" applyFont="1" applyFill="1" applyBorder="1" applyAlignment="1" applyProtection="1">
      <alignment horizontal="center"/>
    </xf>
    <xf numFmtId="0" fontId="75" fillId="37" borderId="0" xfId="0" applyFont="1" applyFill="1" applyAlignment="1">
      <alignment horizontal="center"/>
    </xf>
    <xf numFmtId="0" fontId="1" fillId="0" borderId="0" xfId="180" applyAlignment="1">
      <alignment horizontal="center"/>
    </xf>
    <xf numFmtId="0" fontId="3" fillId="0" borderId="0" xfId="180" applyFont="1" applyAlignment="1">
      <alignment horizontal="center"/>
    </xf>
    <xf numFmtId="0" fontId="64" fillId="35" borderId="0" xfId="180" applyFont="1" applyFill="1" applyAlignment="1">
      <alignment horizontal="center"/>
    </xf>
    <xf numFmtId="38" fontId="6" fillId="0" borderId="0" xfId="0" applyNumberFormat="1" applyFont="1" applyAlignment="1">
      <alignment horizontal="center"/>
    </xf>
  </cellXfs>
  <cellStyles count="18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[0] 2 2" xfId="30" xr:uid="{00000000-0005-0000-0000-00001D000000}"/>
    <cellStyle name="Comma [0] 3" xfId="31" xr:uid="{00000000-0005-0000-0000-00001E000000}"/>
    <cellStyle name="Comma 10" xfId="32" xr:uid="{00000000-0005-0000-0000-00001F000000}"/>
    <cellStyle name="Comma 10 2" xfId="33" xr:uid="{00000000-0005-0000-0000-000020000000}"/>
    <cellStyle name="Comma 10 3" xfId="34" xr:uid="{00000000-0005-0000-0000-000021000000}"/>
    <cellStyle name="Comma 11" xfId="35" xr:uid="{00000000-0005-0000-0000-000022000000}"/>
    <cellStyle name="Comma 12" xfId="36" xr:uid="{00000000-0005-0000-0000-000023000000}"/>
    <cellStyle name="Comma 13" xfId="37" xr:uid="{00000000-0005-0000-0000-000024000000}"/>
    <cellStyle name="Comma 14" xfId="38" xr:uid="{00000000-0005-0000-0000-000025000000}"/>
    <cellStyle name="Comma 15" xfId="39" xr:uid="{00000000-0005-0000-0000-000026000000}"/>
    <cellStyle name="Comma 16" xfId="40" xr:uid="{00000000-0005-0000-0000-000027000000}"/>
    <cellStyle name="Comma 17" xfId="41" xr:uid="{00000000-0005-0000-0000-000028000000}"/>
    <cellStyle name="Comma 18" xfId="42" xr:uid="{00000000-0005-0000-0000-000029000000}"/>
    <cellStyle name="Comma 19" xfId="43" xr:uid="{00000000-0005-0000-0000-00002A000000}"/>
    <cellStyle name="Comma 2" xfId="44" xr:uid="{00000000-0005-0000-0000-00002B000000}"/>
    <cellStyle name="Comma 2 2" xfId="45" xr:uid="{00000000-0005-0000-0000-00002C000000}"/>
    <cellStyle name="Comma 2 3" xfId="46" xr:uid="{00000000-0005-0000-0000-00002D000000}"/>
    <cellStyle name="Comma 2 4" xfId="47" xr:uid="{00000000-0005-0000-0000-00002E000000}"/>
    <cellStyle name="Comma 3" xfId="48" xr:uid="{00000000-0005-0000-0000-00002F000000}"/>
    <cellStyle name="Comma 4" xfId="49" xr:uid="{00000000-0005-0000-0000-000030000000}"/>
    <cellStyle name="Comma 5" xfId="50" xr:uid="{00000000-0005-0000-0000-000031000000}"/>
    <cellStyle name="Comma 5 2" xfId="51" xr:uid="{00000000-0005-0000-0000-000032000000}"/>
    <cellStyle name="Comma 6" xfId="52" xr:uid="{00000000-0005-0000-0000-000033000000}"/>
    <cellStyle name="Comma 7" xfId="53" xr:uid="{00000000-0005-0000-0000-000034000000}"/>
    <cellStyle name="Comma 8" xfId="54" xr:uid="{00000000-0005-0000-0000-000035000000}"/>
    <cellStyle name="Comma 9" xfId="55" xr:uid="{00000000-0005-0000-0000-000036000000}"/>
    <cellStyle name="Comma0" xfId="56" xr:uid="{00000000-0005-0000-0000-000037000000}"/>
    <cellStyle name="Currency [0] 2" xfId="57" xr:uid="{00000000-0005-0000-0000-000038000000}"/>
    <cellStyle name="Currency [0] 2 2" xfId="58" xr:uid="{00000000-0005-0000-0000-000039000000}"/>
    <cellStyle name="Currency [0] 3" xfId="59" xr:uid="{00000000-0005-0000-0000-00003A000000}"/>
    <cellStyle name="Currency 10" xfId="60" xr:uid="{00000000-0005-0000-0000-00003B000000}"/>
    <cellStyle name="Currency 11" xfId="61" xr:uid="{00000000-0005-0000-0000-00003C000000}"/>
    <cellStyle name="Currency 12" xfId="62" xr:uid="{00000000-0005-0000-0000-00003D000000}"/>
    <cellStyle name="Currency 13" xfId="63" xr:uid="{00000000-0005-0000-0000-00003E000000}"/>
    <cellStyle name="Currency 2" xfId="64" xr:uid="{00000000-0005-0000-0000-00003F000000}"/>
    <cellStyle name="Currency 2 2" xfId="65" xr:uid="{00000000-0005-0000-0000-000040000000}"/>
    <cellStyle name="Currency 3" xfId="66" xr:uid="{00000000-0005-0000-0000-000041000000}"/>
    <cellStyle name="Currency 4" xfId="67" xr:uid="{00000000-0005-0000-0000-000042000000}"/>
    <cellStyle name="Currency 5" xfId="68" xr:uid="{00000000-0005-0000-0000-000043000000}"/>
    <cellStyle name="Currency 5 2" xfId="69" xr:uid="{00000000-0005-0000-0000-000044000000}"/>
    <cellStyle name="Currency 6" xfId="70" xr:uid="{00000000-0005-0000-0000-000045000000}"/>
    <cellStyle name="Currency 7" xfId="71" xr:uid="{00000000-0005-0000-0000-000046000000}"/>
    <cellStyle name="Currency 8" xfId="72" xr:uid="{00000000-0005-0000-0000-000047000000}"/>
    <cellStyle name="Currency 9" xfId="73" xr:uid="{00000000-0005-0000-0000-000048000000}"/>
    <cellStyle name="Currency0" xfId="74" xr:uid="{00000000-0005-0000-0000-000049000000}"/>
    <cellStyle name="Date" xfId="75" xr:uid="{00000000-0005-0000-0000-00004A000000}"/>
    <cellStyle name="Explanatory Text 2" xfId="76" xr:uid="{00000000-0005-0000-0000-00004B000000}"/>
    <cellStyle name="Fixed" xfId="77" xr:uid="{00000000-0005-0000-0000-00004C000000}"/>
    <cellStyle name="Good 2" xfId="78" xr:uid="{00000000-0005-0000-0000-00004D000000}"/>
    <cellStyle name="Heading 1 2" xfId="79" xr:uid="{00000000-0005-0000-0000-00004E000000}"/>
    <cellStyle name="Heading 2 2" xfId="80" xr:uid="{00000000-0005-0000-0000-00004F000000}"/>
    <cellStyle name="Heading 3 2" xfId="81" xr:uid="{00000000-0005-0000-0000-000050000000}"/>
    <cellStyle name="Heading 4 2" xfId="82" xr:uid="{00000000-0005-0000-0000-000051000000}"/>
    <cellStyle name="Headings" xfId="83" xr:uid="{00000000-0005-0000-0000-000052000000}"/>
    <cellStyle name="Hidden" xfId="84" xr:uid="{00000000-0005-0000-0000-000053000000}"/>
    <cellStyle name="Hidden 2" xfId="85" xr:uid="{00000000-0005-0000-0000-000054000000}"/>
    <cellStyle name="Hyperlink" xfId="86" builtinId="8"/>
    <cellStyle name="IncomeChartSubtitle" xfId="87" xr:uid="{00000000-0005-0000-0000-000056000000}"/>
    <cellStyle name="Input 2" xfId="88" xr:uid="{00000000-0005-0000-0000-000057000000}"/>
    <cellStyle name="Input 2 2" xfId="89" xr:uid="{00000000-0005-0000-0000-000058000000}"/>
    <cellStyle name="Input 3" xfId="90" xr:uid="{00000000-0005-0000-0000-000059000000}"/>
    <cellStyle name="Input 4" xfId="91" xr:uid="{00000000-0005-0000-0000-00005A000000}"/>
    <cellStyle name="Input 5" xfId="92" xr:uid="{00000000-0005-0000-0000-00005B000000}"/>
    <cellStyle name="Linked Cell 2" xfId="93" xr:uid="{00000000-0005-0000-0000-00005C000000}"/>
    <cellStyle name="Linked Data" xfId="94" xr:uid="{00000000-0005-0000-0000-00005D000000}"/>
    <cellStyle name="Linked Data 2" xfId="95" xr:uid="{00000000-0005-0000-0000-00005E000000}"/>
    <cellStyle name="Linked Data 2 2" xfId="96" xr:uid="{00000000-0005-0000-0000-00005F000000}"/>
    <cellStyle name="Linked Data 3" xfId="97" xr:uid="{00000000-0005-0000-0000-000060000000}"/>
    <cellStyle name="Linked Data 4" xfId="98" xr:uid="{00000000-0005-0000-0000-000061000000}"/>
    <cellStyle name="Model Formula Ref Another Tab" xfId="99" xr:uid="{00000000-0005-0000-0000-000062000000}"/>
    <cellStyle name="Model Formula Ref Another Tab 2" xfId="100" xr:uid="{00000000-0005-0000-0000-000063000000}"/>
    <cellStyle name="Model Formula Ref Another Tab_Reading Rate Model v10.4" xfId="101" xr:uid="{00000000-0005-0000-0000-000064000000}"/>
    <cellStyle name="Model Formula Ref Only Within Tab" xfId="102" xr:uid="{00000000-0005-0000-0000-000065000000}"/>
    <cellStyle name="Model Formula Ref Only Within Tab 2" xfId="103" xr:uid="{00000000-0005-0000-0000-000066000000}"/>
    <cellStyle name="Model Formula Ref Only Within Tab_Reading Rate Model v10.4" xfId="104" xr:uid="{00000000-0005-0000-0000-000067000000}"/>
    <cellStyle name="Model Heading" xfId="105" xr:uid="{00000000-0005-0000-0000-000068000000}"/>
    <cellStyle name="Model Input" xfId="106" xr:uid="{00000000-0005-0000-0000-000069000000}"/>
    <cellStyle name="Model Input 2" xfId="107" xr:uid="{00000000-0005-0000-0000-00006A000000}"/>
    <cellStyle name="Model Input 3" xfId="108" xr:uid="{00000000-0005-0000-0000-00006B000000}"/>
    <cellStyle name="Model Input_Reading Rate Model v10.4" xfId="109" xr:uid="{00000000-0005-0000-0000-00006C000000}"/>
    <cellStyle name="Model List" xfId="110" xr:uid="{00000000-0005-0000-0000-00006D000000}"/>
    <cellStyle name="Model Sub Heading" xfId="111" xr:uid="{00000000-0005-0000-0000-00006E000000}"/>
    <cellStyle name="Model Sub Heading 2" xfId="112" xr:uid="{00000000-0005-0000-0000-00006F000000}"/>
    <cellStyle name="Model Sub Heading 2 2" xfId="113" xr:uid="{00000000-0005-0000-0000-000070000000}"/>
    <cellStyle name="Net Number" xfId="114" xr:uid="{00000000-0005-0000-0000-000071000000}"/>
    <cellStyle name="Net Number 2" xfId="115" xr:uid="{00000000-0005-0000-0000-000072000000}"/>
    <cellStyle name="Net Number 2 2" xfId="116" xr:uid="{00000000-0005-0000-0000-000073000000}"/>
    <cellStyle name="Net Number 3" xfId="117" xr:uid="{00000000-0005-0000-0000-000074000000}"/>
    <cellStyle name="Net Number 4" xfId="118" xr:uid="{00000000-0005-0000-0000-000075000000}"/>
    <cellStyle name="Neutral 2" xfId="119" xr:uid="{00000000-0005-0000-0000-000076000000}"/>
    <cellStyle name="Normal" xfId="0" builtinId="0"/>
    <cellStyle name="Normal 10" xfId="120" xr:uid="{00000000-0005-0000-0000-000078000000}"/>
    <cellStyle name="Normal 10 9 2" xfId="121" xr:uid="{00000000-0005-0000-0000-000079000000}"/>
    <cellStyle name="Normal 11" xfId="122" xr:uid="{00000000-0005-0000-0000-00007A000000}"/>
    <cellStyle name="Normal 12" xfId="123" xr:uid="{00000000-0005-0000-0000-00007B000000}"/>
    <cellStyle name="Normal 132" xfId="124" xr:uid="{00000000-0005-0000-0000-00007C000000}"/>
    <cellStyle name="Normal 2" xfId="125" xr:uid="{00000000-0005-0000-0000-00007D000000}"/>
    <cellStyle name="Normal 2 2" xfId="126" xr:uid="{00000000-0005-0000-0000-00007E000000}"/>
    <cellStyle name="Normal 3" xfId="127" xr:uid="{00000000-0005-0000-0000-00007F000000}"/>
    <cellStyle name="Normal 335" xfId="128" xr:uid="{00000000-0005-0000-0000-000080000000}"/>
    <cellStyle name="Normal 336" xfId="129" xr:uid="{00000000-0005-0000-0000-000081000000}"/>
    <cellStyle name="Normal 371" xfId="130" xr:uid="{00000000-0005-0000-0000-000082000000}"/>
    <cellStyle name="Normal 371 2" xfId="131" xr:uid="{00000000-0005-0000-0000-000083000000}"/>
    <cellStyle name="Normal 4" xfId="132" xr:uid="{00000000-0005-0000-0000-000084000000}"/>
    <cellStyle name="Normal 5" xfId="133" xr:uid="{00000000-0005-0000-0000-000085000000}"/>
    <cellStyle name="Normal 6" xfId="134" xr:uid="{00000000-0005-0000-0000-000086000000}"/>
    <cellStyle name="Normal 7" xfId="135" xr:uid="{00000000-0005-0000-0000-000087000000}"/>
    <cellStyle name="Normal 7 3" xfId="136" xr:uid="{00000000-0005-0000-0000-000088000000}"/>
    <cellStyle name="Normal 8" xfId="137" xr:uid="{00000000-0005-0000-0000-000089000000}"/>
    <cellStyle name="Normal 9" xfId="138" xr:uid="{00000000-0005-0000-0000-00008A000000}"/>
    <cellStyle name="Note 2" xfId="139" xr:uid="{00000000-0005-0000-0000-00008B000000}"/>
    <cellStyle name="Output 2" xfId="140" xr:uid="{00000000-0005-0000-0000-00008C000000}"/>
    <cellStyle name="Percent" xfId="141" builtinId="5"/>
    <cellStyle name="Percent 10" xfId="142" xr:uid="{00000000-0005-0000-0000-00008E000000}"/>
    <cellStyle name="Percent 2" xfId="143" xr:uid="{00000000-0005-0000-0000-00008F000000}"/>
    <cellStyle name="Percent 2 2" xfId="144" xr:uid="{00000000-0005-0000-0000-000090000000}"/>
    <cellStyle name="Percent 2 3" xfId="145" xr:uid="{00000000-0005-0000-0000-000091000000}"/>
    <cellStyle name="Percent 2 4" xfId="146" xr:uid="{00000000-0005-0000-0000-000092000000}"/>
    <cellStyle name="Percent 2 5" xfId="147" xr:uid="{00000000-0005-0000-0000-000093000000}"/>
    <cellStyle name="Percent 3" xfId="148" xr:uid="{00000000-0005-0000-0000-000094000000}"/>
    <cellStyle name="Percent 3 2" xfId="149" xr:uid="{00000000-0005-0000-0000-000095000000}"/>
    <cellStyle name="Percent 4" xfId="150" xr:uid="{00000000-0005-0000-0000-000096000000}"/>
    <cellStyle name="Percent 4 2" xfId="151" xr:uid="{00000000-0005-0000-0000-000097000000}"/>
    <cellStyle name="Percent 4 3" xfId="152" xr:uid="{00000000-0005-0000-0000-000098000000}"/>
    <cellStyle name="Percent 4 4" xfId="153" xr:uid="{00000000-0005-0000-0000-000099000000}"/>
    <cellStyle name="Percent 5" xfId="154" xr:uid="{00000000-0005-0000-0000-00009A000000}"/>
    <cellStyle name="Percent 5 2" xfId="155" xr:uid="{00000000-0005-0000-0000-00009B000000}"/>
    <cellStyle name="Percent 5 3" xfId="156" xr:uid="{00000000-0005-0000-0000-00009C000000}"/>
    <cellStyle name="Percent 6" xfId="157" xr:uid="{00000000-0005-0000-0000-00009D000000}"/>
    <cellStyle name="Percent 6 2" xfId="158" xr:uid="{00000000-0005-0000-0000-00009E000000}"/>
    <cellStyle name="Percent 7" xfId="159" xr:uid="{00000000-0005-0000-0000-00009F000000}"/>
    <cellStyle name="Percent 8" xfId="160" xr:uid="{00000000-0005-0000-0000-0000A0000000}"/>
    <cellStyle name="Percent 9" xfId="161" xr:uid="{00000000-0005-0000-0000-0000A1000000}"/>
    <cellStyle name="PSChar" xfId="162" xr:uid="{00000000-0005-0000-0000-0000A2000000}"/>
    <cellStyle name="Range Header" xfId="163" xr:uid="{00000000-0005-0000-0000-0000A3000000}"/>
    <cellStyle name="Range Header 2" xfId="164" xr:uid="{00000000-0005-0000-0000-0000A4000000}"/>
    <cellStyle name="Range Header 3" xfId="165" xr:uid="{00000000-0005-0000-0000-0000A5000000}"/>
    <cellStyle name="Range Header 4" xfId="166" xr:uid="{00000000-0005-0000-0000-0000A6000000}"/>
    <cellStyle name="Range Header_DaytonWorkingCopy33" xfId="167" xr:uid="{00000000-0005-0000-0000-0000A7000000}"/>
    <cellStyle name="Reference" xfId="168" xr:uid="{00000000-0005-0000-0000-0000A8000000}"/>
    <cellStyle name="Reference 2" xfId="169" xr:uid="{00000000-0005-0000-0000-0000A9000000}"/>
    <cellStyle name="REVISED" xfId="170" xr:uid="{00000000-0005-0000-0000-0000AA000000}"/>
    <cellStyle name="REVISED 2" xfId="171" xr:uid="{00000000-0005-0000-0000-0000AB000000}"/>
    <cellStyle name="REVISED 3" xfId="172" xr:uid="{00000000-0005-0000-0000-0000AC000000}"/>
    <cellStyle name="STYL1 - Style1" xfId="173" xr:uid="{00000000-0005-0000-0000-0000AD000000}"/>
    <cellStyle name="STYL2 - Style2" xfId="174" xr:uid="{00000000-0005-0000-0000-0000AE000000}"/>
    <cellStyle name="STYL3 - Style3" xfId="175" xr:uid="{00000000-0005-0000-0000-0000AF000000}"/>
    <cellStyle name="STYL4 - Style4" xfId="176" xr:uid="{00000000-0005-0000-0000-0000B0000000}"/>
    <cellStyle name="STYL5 - Style5" xfId="177" xr:uid="{00000000-0005-0000-0000-0000B1000000}"/>
    <cellStyle name="Title 2" xfId="178" xr:uid="{00000000-0005-0000-0000-0000B2000000}"/>
    <cellStyle name="Title 3" xfId="179" xr:uid="{00000000-0005-0000-0000-0000B3000000}"/>
    <cellStyle name="Titles" xfId="180" xr:uid="{00000000-0005-0000-0000-0000B4000000}"/>
    <cellStyle name="Total 2" xfId="181" xr:uid="{00000000-0005-0000-0000-0000B5000000}"/>
    <cellStyle name="Unprotected" xfId="182" xr:uid="{00000000-0005-0000-0000-0000B6000000}"/>
    <cellStyle name="Version" xfId="183" xr:uid="{00000000-0005-0000-0000-0000B7000000}"/>
    <cellStyle name="Warning Text 2" xfId="184" xr:uid="{00000000-0005-0000-0000-0000B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361950</xdr:colOff>
      <xdr:row>5</xdr:row>
      <xdr:rowOff>6350</xdr:rowOff>
    </xdr:to>
    <xdr:pic>
      <xdr:nvPicPr>
        <xdr:cNvPr id="19768" name="Picture 1" descr="image001">
          <a:extLst>
            <a:ext uri="{FF2B5EF4-FFF2-40B4-BE49-F238E27FC236}">
              <a16:creationId xmlns:a16="http://schemas.microsoft.com/office/drawing/2014/main" id="{0ADFE423-54C0-D8D4-715B-10E27631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7800"/>
          <a:ext cx="248285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ackandveatch-my.sharepoint.com/Users/kes94483/AppData/Local/Microsoft/Windows/INetCache/Content.Outlook/QJNVLDFU/PWD%20Misc%20Fee%20Model%202020.12.28-Ve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H Rate"/>
      <sheetName val="Salary Information"/>
      <sheetName val="Personnel Rates"/>
      <sheetName val="Equipment Rates"/>
      <sheetName val="Material Costs"/>
      <sheetName val="Labor Cost Calc"/>
      <sheetName val="Equipment Cost Calc "/>
      <sheetName val="Material Cost Calc"/>
      <sheetName val="Fee Calc"/>
      <sheetName val="CB_DATA_"/>
      <sheetName val="Existing Fees "/>
      <sheetName val="Proposed Fees"/>
      <sheetName val="Proposed FY 22-23 Fees"/>
      <sheetName val="Proposed FY 22-23 Overtime Fees"/>
      <sheetName val="Hydrant Permit Usage Cost"/>
      <sheetName val="Proposed Fees Comp Benchmarking"/>
      <sheetName val="Benchmarking"/>
      <sheetName val="Activity Volume"/>
      <sheetName val="Summary"/>
    </sheetNames>
    <sheetDataSet>
      <sheetData sheetId="0">
        <row r="2">
          <cell r="C2" t="str">
            <v>Philadelphia Water Department</v>
          </cell>
        </row>
        <row r="4">
          <cell r="C4" t="str">
            <v>Miscellaneous Fees &amp; Charges Model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9"/>
  <sheetViews>
    <sheetView zoomScaleNormal="100" workbookViewId="0">
      <selection activeCell="O10" sqref="O10"/>
    </sheetView>
  </sheetViews>
  <sheetFormatPr defaultRowHeight="15"/>
  <cols>
    <col min="2" max="3" width="15.140625" customWidth="1"/>
    <col min="5" max="10" width="12.85546875" customWidth="1"/>
    <col min="11" max="11" width="2.5703125" customWidth="1"/>
    <col min="13" max="13" width="13.140625" bestFit="1" customWidth="1"/>
    <col min="14" max="14" width="9.85546875" bestFit="1" customWidth="1"/>
  </cols>
  <sheetData>
    <row r="1" spans="1:14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4" ht="20.25">
      <c r="A3" s="121"/>
      <c r="B3" s="121"/>
      <c r="C3" s="121"/>
      <c r="D3" s="121"/>
      <c r="E3" s="179" t="s">
        <v>0</v>
      </c>
      <c r="F3" s="179"/>
      <c r="G3" s="179"/>
      <c r="H3" s="179"/>
      <c r="I3" s="179"/>
      <c r="J3" s="179"/>
      <c r="K3" s="121"/>
      <c r="M3" t="s">
        <v>1</v>
      </c>
      <c r="N3" s="124">
        <v>45350</v>
      </c>
    </row>
    <row r="4" spans="1:14" ht="20.25">
      <c r="A4" s="121"/>
      <c r="B4" s="121"/>
      <c r="C4" s="121"/>
      <c r="D4" s="121"/>
      <c r="E4" s="179" t="s">
        <v>156</v>
      </c>
      <c r="F4" s="179"/>
      <c r="G4" s="179"/>
      <c r="H4" s="179"/>
      <c r="I4" s="179"/>
      <c r="J4" s="179"/>
      <c r="K4" s="121"/>
    </row>
    <row r="5" spans="1:14" ht="20.25">
      <c r="A5" s="121"/>
      <c r="B5" s="121"/>
      <c r="C5" s="121"/>
      <c r="D5" s="121"/>
      <c r="E5" s="179"/>
      <c r="F5" s="179"/>
      <c r="G5" s="179"/>
      <c r="H5" s="179"/>
      <c r="I5" s="179"/>
      <c r="J5" s="179"/>
      <c r="K5" s="121"/>
    </row>
    <row r="6" spans="1:14" ht="15.75" thickBo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4" ht="15.75" thickBot="1">
      <c r="A7" s="121"/>
      <c r="B7" s="174" t="s">
        <v>2</v>
      </c>
      <c r="C7" s="175"/>
      <c r="D7" s="175"/>
      <c r="E7" s="175"/>
      <c r="F7" s="175"/>
      <c r="G7" s="175"/>
      <c r="H7" s="175"/>
      <c r="I7" s="175"/>
      <c r="J7" s="176"/>
      <c r="K7" s="121"/>
    </row>
    <row r="8" spans="1:14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4" ht="15.75" thickBo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4" ht="15.75" thickBot="1">
      <c r="A10" s="121"/>
      <c r="B10" s="177" t="s">
        <v>3</v>
      </c>
      <c r="C10" s="178"/>
      <c r="D10" s="121"/>
      <c r="E10" s="121" t="s">
        <v>4</v>
      </c>
      <c r="F10" s="121"/>
      <c r="G10" s="121"/>
      <c r="H10" s="121"/>
      <c r="I10" s="121"/>
      <c r="J10" s="121"/>
      <c r="K10" s="121"/>
    </row>
    <row r="11" spans="1:14" ht="15.75" thickBo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4" ht="15.75" thickBot="1">
      <c r="A12" s="121"/>
      <c r="B12" s="177" t="s">
        <v>5</v>
      </c>
      <c r="C12" s="178"/>
      <c r="D12" s="121"/>
      <c r="E12" s="121" t="s">
        <v>6</v>
      </c>
      <c r="F12" s="121"/>
      <c r="G12" s="121"/>
      <c r="H12" s="121"/>
      <c r="I12" s="121"/>
      <c r="J12" s="121"/>
      <c r="K12" s="121"/>
    </row>
    <row r="13" spans="1:14" ht="15.75" thickBot="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4" ht="15.75" thickBot="1">
      <c r="A14" s="121"/>
      <c r="B14" s="177" t="s">
        <v>7</v>
      </c>
      <c r="C14" s="178"/>
      <c r="D14" s="121"/>
      <c r="E14" s="121" t="s">
        <v>8</v>
      </c>
      <c r="F14" s="121"/>
      <c r="G14" s="121"/>
      <c r="H14" s="121"/>
      <c r="I14" s="121"/>
      <c r="J14" s="121"/>
      <c r="K14" s="121"/>
    </row>
    <row r="15" spans="1:14" ht="15.75" thickBo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4" ht="15.75" thickBot="1">
      <c r="A16" s="121"/>
      <c r="B16" s="177" t="s">
        <v>9</v>
      </c>
      <c r="C16" s="178"/>
      <c r="D16" s="121"/>
      <c r="E16" s="121" t="s">
        <v>10</v>
      </c>
      <c r="F16" s="121"/>
      <c r="G16" s="121"/>
      <c r="H16" s="121"/>
      <c r="I16" s="121"/>
      <c r="J16" s="121"/>
      <c r="K16" s="121"/>
    </row>
    <row r="17" spans="1:11" ht="15.75" thickBot="1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ht="15.75" thickBot="1">
      <c r="A18" s="121"/>
      <c r="B18" s="177" t="s">
        <v>11</v>
      </c>
      <c r="C18" s="178"/>
      <c r="D18" s="121"/>
      <c r="E18" s="121" t="s">
        <v>12</v>
      </c>
      <c r="F18" s="121"/>
      <c r="G18" s="121"/>
      <c r="H18" s="121"/>
      <c r="I18" s="121"/>
      <c r="J18" s="121"/>
      <c r="K18" s="121"/>
    </row>
    <row r="19" spans="1:11" ht="15.75" thickBot="1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</row>
    <row r="20" spans="1:11" ht="15.75" thickBot="1">
      <c r="A20" s="121"/>
      <c r="B20" s="177" t="s">
        <v>13</v>
      </c>
      <c r="C20" s="178"/>
      <c r="D20" s="121"/>
      <c r="E20" s="121" t="s">
        <v>14</v>
      </c>
      <c r="F20" s="121"/>
      <c r="G20" s="121"/>
      <c r="H20" s="121"/>
      <c r="I20" s="121"/>
      <c r="J20" s="121"/>
      <c r="K20" s="121"/>
    </row>
    <row r="21" spans="1:11" ht="15.75" thickBo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</row>
    <row r="22" spans="1:11" ht="15.75" thickBot="1">
      <c r="A22" s="121"/>
      <c r="B22" s="177" t="s">
        <v>15</v>
      </c>
      <c r="C22" s="178"/>
      <c r="D22" s="121"/>
      <c r="E22" s="121" t="s">
        <v>16</v>
      </c>
      <c r="F22" s="121"/>
      <c r="G22" s="121"/>
      <c r="H22" s="121"/>
      <c r="I22" s="121"/>
      <c r="J22" s="121"/>
      <c r="K22" s="121"/>
    </row>
    <row r="23" spans="1:11" ht="15.75" thickBo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</row>
    <row r="24" spans="1:11" ht="15.75" thickBot="1">
      <c r="A24" s="121"/>
      <c r="B24" s="177" t="s">
        <v>17</v>
      </c>
      <c r="C24" s="178"/>
      <c r="D24" s="121"/>
      <c r="E24" s="121" t="s">
        <v>18</v>
      </c>
      <c r="F24" s="121"/>
      <c r="G24" s="121"/>
      <c r="H24" s="121"/>
      <c r="I24" s="121"/>
      <c r="J24" s="121"/>
      <c r="K24" s="121"/>
    </row>
    <row r="25" spans="1:11" ht="15.75" thickBo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1" ht="15.75" thickBot="1">
      <c r="A26" s="121"/>
      <c r="B26" s="177" t="s">
        <v>19</v>
      </c>
      <c r="C26" s="178"/>
      <c r="D26" s="121"/>
      <c r="E26" s="121" t="s">
        <v>20</v>
      </c>
      <c r="F26" s="121"/>
      <c r="G26" s="121"/>
      <c r="H26" s="121"/>
      <c r="I26" s="121"/>
      <c r="J26" s="121"/>
      <c r="K26" s="121"/>
    </row>
    <row r="27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  <row r="52" spans="1:1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1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</row>
    <row r="54" spans="1:1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</row>
    <row r="55" spans="1:11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</row>
    <row r="56" spans="1:11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</row>
    <row r="57" spans="1:11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</row>
    <row r="58" spans="1:1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</row>
    <row r="59" spans="1:11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</row>
  </sheetData>
  <mergeCells count="13">
    <mergeCell ref="B18:C18"/>
    <mergeCell ref="B20:C20"/>
    <mergeCell ref="B22:C22"/>
    <mergeCell ref="B24:C24"/>
    <mergeCell ref="B26:C26"/>
    <mergeCell ref="B7:J7"/>
    <mergeCell ref="B16:C16"/>
    <mergeCell ref="E3:J3"/>
    <mergeCell ref="E4:J4"/>
    <mergeCell ref="E5:J5"/>
    <mergeCell ref="B10:C10"/>
    <mergeCell ref="B12:C12"/>
    <mergeCell ref="B14:C14"/>
  </mergeCells>
  <hyperlinks>
    <hyperlink ref="B10:C10" location="'Wastewater Charges'!A1" display="'Wastewater Charges'!A1" xr:uid="{00000000-0004-0000-0000-000000000000}"/>
    <hyperlink ref="B12:C12" location="'Water Charges'!A1" display="'Water Charges'!A1" xr:uid="{00000000-0004-0000-0000-000001000000}"/>
    <hyperlink ref="B14:C14" location="'Typical Res Bills TOTAL'!A1" display="Typical Res Bill Impacts" xr:uid="{00000000-0004-0000-0000-000002000000}"/>
    <hyperlink ref="B16:C16" location="'Typ Non Res Bill TOTAL PARCEL'!A1" display="Typ Non Res Bill Bill Impact" xr:uid="{00000000-0004-0000-0000-000003000000}"/>
    <hyperlink ref="B18:C18" location="'Typical Bills WATER'!A1" display="Typical Bills Water" xr:uid="{00000000-0004-0000-0000-000004000000}"/>
    <hyperlink ref="B20:C20" location="'Typical Bills SANITARY'!A1" display="Typical Bills Sanitary" xr:uid="{00000000-0004-0000-0000-000005000000}"/>
    <hyperlink ref="B22:C22" location="'Typical Res Bills SW'!A1" display="'Typical Res Bills SW'!A1" xr:uid="{00000000-0004-0000-0000-000006000000}"/>
    <hyperlink ref="B24:C24" location="'Typical Non-Res Bills SW'!A1" display="'Typical Non-Res Bills SW'!A1" xr:uid="{00000000-0004-0000-0000-000007000000}"/>
    <hyperlink ref="B26:C26" location="Inputs!A1" display="Misc. Fees (Overtime)" xr:uid="{00000000-0004-0000-0000-000008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E9"/>
  <sheetViews>
    <sheetView workbookViewId="0"/>
  </sheetViews>
  <sheetFormatPr defaultRowHeight="15"/>
  <cols>
    <col min="2" max="2" width="16" customWidth="1"/>
    <col min="3" max="3" width="16.140625" customWidth="1"/>
    <col min="4" max="5" width="16.42578125" bestFit="1" customWidth="1"/>
    <col min="6" max="6" width="13.5703125" customWidth="1"/>
  </cols>
  <sheetData>
    <row r="1" spans="1:5" ht="15.75" thickBot="1">
      <c r="A1" s="122" t="s">
        <v>21</v>
      </c>
    </row>
    <row r="3" spans="1:5">
      <c r="C3" t="s">
        <v>142</v>
      </c>
      <c r="D3" t="s">
        <v>143</v>
      </c>
    </row>
    <row r="4" spans="1:5">
      <c r="C4" t="s">
        <v>144</v>
      </c>
      <c r="D4" t="s">
        <v>145</v>
      </c>
    </row>
    <row r="6" spans="1:5">
      <c r="B6" t="s">
        <v>146</v>
      </c>
      <c r="C6" s="100" t="s">
        <v>147</v>
      </c>
      <c r="D6" s="100" t="s">
        <v>148</v>
      </c>
      <c r="E6" s="100"/>
    </row>
    <row r="9" spans="1:5">
      <c r="B9" s="156"/>
    </row>
  </sheetData>
  <phoneticPr fontId="52" type="noConversion"/>
  <hyperlinks>
    <hyperlink ref="A1" location="TOC!A1" display="TOC!A1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T60"/>
  <sheetViews>
    <sheetView tabSelected="1" zoomScaleNormal="100" zoomScaleSheetLayoutView="90" workbookViewId="0"/>
  </sheetViews>
  <sheetFormatPr defaultRowHeight="15" outlineLevelCol="1"/>
  <cols>
    <col min="2" max="2" width="10.85546875" customWidth="1"/>
    <col min="4" max="4" width="11" customWidth="1"/>
    <col min="5" max="6" width="13.85546875" bestFit="1" customWidth="1"/>
    <col min="7" max="9" width="9.140625" customWidth="1"/>
    <col min="10" max="10" width="10.5703125" customWidth="1" outlineLevel="1"/>
    <col min="11" max="11" width="4" customWidth="1"/>
    <col min="12" max="16" width="9.42578125" customWidth="1"/>
    <col min="17" max="17" width="13.42578125" customWidth="1"/>
    <col min="19" max="19" width="9.140625" customWidth="1"/>
    <col min="21" max="21" width="9.140625" customWidth="1"/>
    <col min="23" max="23" width="11" customWidth="1"/>
  </cols>
  <sheetData>
    <row r="1" spans="1:46" ht="15.75" thickBot="1">
      <c r="A1" s="122" t="s">
        <v>21</v>
      </c>
    </row>
    <row r="2" spans="1:46" ht="18">
      <c r="B2" s="1"/>
      <c r="C2" s="180" t="s">
        <v>22</v>
      </c>
      <c r="D2" s="180"/>
      <c r="E2" s="180"/>
      <c r="F2" s="180"/>
      <c r="G2" s="180"/>
      <c r="H2" s="64"/>
      <c r="I2" s="64"/>
      <c r="J2" s="22"/>
      <c r="K2" s="22"/>
      <c r="L2" s="64" t="s">
        <v>23</v>
      </c>
      <c r="M2" s="64"/>
      <c r="N2" s="64"/>
      <c r="O2" s="64"/>
      <c r="P2" s="64"/>
      <c r="R2" s="22"/>
      <c r="S2" s="64" t="s">
        <v>24</v>
      </c>
      <c r="T2" s="64"/>
      <c r="U2" s="64"/>
      <c r="V2" s="64"/>
      <c r="W2" s="64"/>
    </row>
    <row r="3" spans="1:46" ht="18">
      <c r="B3" s="1"/>
      <c r="C3" s="1"/>
      <c r="D3" s="1"/>
      <c r="E3" s="1"/>
      <c r="F3" s="1"/>
      <c r="G3" s="1"/>
      <c r="H3" s="1"/>
      <c r="I3" s="1"/>
      <c r="J3" s="1"/>
      <c r="K3" s="1"/>
      <c r="L3" s="64"/>
      <c r="M3" s="64"/>
      <c r="N3" s="64"/>
      <c r="O3" s="64"/>
      <c r="P3" s="1"/>
      <c r="R3" s="1"/>
      <c r="S3" s="64"/>
      <c r="T3" s="64"/>
      <c r="U3" s="64"/>
      <c r="V3" s="64"/>
      <c r="W3" s="1"/>
    </row>
    <row r="4" spans="1:46" ht="18">
      <c r="B4" s="1"/>
      <c r="C4" s="180" t="s">
        <v>25</v>
      </c>
      <c r="D4" s="180"/>
      <c r="E4" s="180"/>
      <c r="F4" s="180"/>
      <c r="G4" s="180"/>
      <c r="H4" s="64"/>
      <c r="I4" s="64"/>
      <c r="J4" s="64"/>
      <c r="K4" s="22"/>
      <c r="L4" s="64" t="s">
        <v>26</v>
      </c>
      <c r="M4" s="64"/>
      <c r="N4" s="64"/>
      <c r="O4" s="64"/>
      <c r="P4" s="64"/>
      <c r="R4" s="22"/>
      <c r="S4" s="64" t="s">
        <v>26</v>
      </c>
      <c r="T4" s="64"/>
      <c r="U4" s="64"/>
      <c r="V4" s="64"/>
      <c r="W4" s="64"/>
    </row>
    <row r="5" spans="1:46" ht="18">
      <c r="B5" s="1"/>
      <c r="C5" s="180" t="s">
        <v>27</v>
      </c>
      <c r="D5" s="180"/>
      <c r="E5" s="180"/>
      <c r="F5" s="180"/>
      <c r="G5" s="180"/>
      <c r="H5" s="64"/>
      <c r="I5" s="64"/>
      <c r="J5" s="64"/>
      <c r="K5" s="22"/>
      <c r="L5" s="64" t="s">
        <v>28</v>
      </c>
      <c r="M5" s="64"/>
      <c r="N5" s="64"/>
      <c r="O5" s="64"/>
      <c r="P5" s="64"/>
      <c r="R5" s="22"/>
      <c r="S5" s="64" t="s">
        <v>29</v>
      </c>
      <c r="T5" s="64"/>
      <c r="U5" s="64"/>
      <c r="V5" s="64"/>
      <c r="W5" s="64"/>
    </row>
    <row r="6" spans="1:46" ht="18">
      <c r="B6" s="1"/>
      <c r="C6" s="180" t="s">
        <v>30</v>
      </c>
      <c r="D6" s="180"/>
      <c r="E6" s="180"/>
      <c r="F6" s="180"/>
      <c r="G6" s="180"/>
      <c r="H6" s="64"/>
      <c r="I6" s="64"/>
      <c r="J6" s="22"/>
      <c r="K6" s="22"/>
      <c r="L6" s="180"/>
      <c r="M6" s="180"/>
      <c r="N6" s="180"/>
      <c r="O6" s="180"/>
      <c r="P6" s="22"/>
      <c r="S6" s="180"/>
      <c r="T6" s="180"/>
      <c r="U6" s="180"/>
      <c r="V6" s="180"/>
    </row>
    <row r="7" spans="1:46" ht="15.7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S7" s="69"/>
      <c r="T7" s="69"/>
      <c r="U7" s="69"/>
      <c r="V7" s="69"/>
    </row>
    <row r="8" spans="1:46" ht="15.75">
      <c r="B8" s="68"/>
      <c r="C8" s="181" t="s">
        <v>31</v>
      </c>
      <c r="D8" s="181"/>
      <c r="E8" s="181"/>
      <c r="F8" s="181"/>
      <c r="G8" s="181"/>
      <c r="H8" s="19"/>
      <c r="I8" s="19"/>
      <c r="J8" s="19"/>
      <c r="K8" s="19"/>
      <c r="L8" s="74" t="s">
        <v>32</v>
      </c>
      <c r="M8" s="74"/>
      <c r="N8" s="74"/>
      <c r="O8" s="74"/>
      <c r="P8" s="74"/>
      <c r="S8" s="74" t="s">
        <v>32</v>
      </c>
      <c r="T8" s="74"/>
      <c r="U8" s="74"/>
      <c r="V8" s="74"/>
      <c r="W8" s="74"/>
    </row>
    <row r="9" spans="1:46">
      <c r="B9" s="3"/>
      <c r="C9" s="3"/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5"/>
      <c r="S9" s="3"/>
      <c r="T9" s="3"/>
      <c r="U9" s="3"/>
      <c r="V9" s="3"/>
    </row>
    <row r="10" spans="1:46">
      <c r="B10" s="4"/>
      <c r="C10" s="4"/>
      <c r="D10" s="3"/>
      <c r="E10" s="4" t="str">
        <f>Inputs!$C$4</f>
        <v>FY 2024</v>
      </c>
      <c r="F10" s="4" t="str">
        <f>Inputs!$D$4</f>
        <v>FY 2025</v>
      </c>
      <c r="G10" s="4"/>
      <c r="H10" s="4"/>
      <c r="I10" s="4"/>
      <c r="J10" s="4"/>
      <c r="K10" s="4"/>
      <c r="L10" s="4"/>
      <c r="M10" s="4"/>
      <c r="N10" s="4" t="str">
        <f>Inputs!$C$4</f>
        <v>FY 2024</v>
      </c>
      <c r="O10" s="4" t="str">
        <f>Inputs!$D$4</f>
        <v>FY 2025</v>
      </c>
      <c r="P10" s="4"/>
      <c r="S10" s="4"/>
      <c r="T10" s="3"/>
      <c r="U10" s="4" t="str">
        <f>Inputs!$C$4</f>
        <v>FY 2024</v>
      </c>
      <c r="V10" s="4" t="str">
        <f>Inputs!$D$4</f>
        <v>FY 2025</v>
      </c>
    </row>
    <row r="11" spans="1:46">
      <c r="B11" s="4"/>
      <c r="C11" s="4"/>
      <c r="D11" s="3"/>
      <c r="E11" s="4" t="s">
        <v>33</v>
      </c>
      <c r="F11" s="4" t="s">
        <v>33</v>
      </c>
      <c r="G11" s="4"/>
      <c r="H11" s="4"/>
      <c r="I11" s="4"/>
      <c r="J11" s="4"/>
      <c r="K11" s="4"/>
      <c r="L11" s="4"/>
      <c r="M11" s="4"/>
      <c r="N11" s="4" t="s">
        <v>33</v>
      </c>
      <c r="O11" s="4" t="s">
        <v>33</v>
      </c>
      <c r="P11" s="4"/>
      <c r="S11" s="4"/>
      <c r="T11" s="3"/>
      <c r="U11" s="4" t="s">
        <v>33</v>
      </c>
      <c r="V11" s="4" t="s">
        <v>33</v>
      </c>
    </row>
    <row r="12" spans="1:46" ht="16.5">
      <c r="A12" s="7"/>
      <c r="B12" s="7"/>
      <c r="C12" s="6" t="s">
        <v>34</v>
      </c>
      <c r="D12" s="7"/>
      <c r="E12" s="8" t="s">
        <v>35</v>
      </c>
      <c r="F12" s="8" t="s">
        <v>35</v>
      </c>
      <c r="G12" s="8"/>
      <c r="H12" s="8"/>
      <c r="I12" s="8"/>
      <c r="J12" s="8"/>
      <c r="K12" s="8"/>
      <c r="L12" s="8"/>
      <c r="M12" s="8"/>
      <c r="N12" s="8" t="s">
        <v>35</v>
      </c>
      <c r="O12" s="8" t="s">
        <v>35</v>
      </c>
      <c r="P12" s="8"/>
      <c r="S12" s="6"/>
      <c r="T12" s="7"/>
      <c r="U12" s="8" t="s">
        <v>35</v>
      </c>
      <c r="V12" s="8" t="s">
        <v>35</v>
      </c>
    </row>
    <row r="13" spans="1:46">
      <c r="A13" s="3"/>
      <c r="B13" s="3"/>
      <c r="C13" s="4" t="s">
        <v>36</v>
      </c>
      <c r="D13" s="3"/>
      <c r="E13" s="4" t="s">
        <v>37</v>
      </c>
      <c r="F13" s="4" t="s">
        <v>37</v>
      </c>
      <c r="G13" s="4"/>
      <c r="H13" s="4"/>
      <c r="I13" s="4"/>
      <c r="J13" s="4"/>
      <c r="K13" s="4"/>
      <c r="L13" s="4"/>
      <c r="M13" s="4"/>
      <c r="N13" s="4" t="s">
        <v>37</v>
      </c>
      <c r="O13" s="4" t="s">
        <v>37</v>
      </c>
      <c r="P13" s="4"/>
      <c r="S13" s="4"/>
      <c r="T13" s="3"/>
      <c r="U13" s="4" t="s">
        <v>37</v>
      </c>
      <c r="V13" s="4" t="s">
        <v>37</v>
      </c>
    </row>
    <row r="14" spans="1:46">
      <c r="C14" s="3"/>
      <c r="D14" s="3"/>
      <c r="E14" s="3"/>
      <c r="F14" s="3"/>
      <c r="G14" s="9"/>
      <c r="H14" s="9"/>
      <c r="I14" s="9"/>
      <c r="J14" s="9"/>
      <c r="K14" s="9"/>
      <c r="L14" s="4"/>
      <c r="M14" s="3"/>
      <c r="N14" s="3"/>
      <c r="O14" s="3"/>
      <c r="P14" s="9"/>
      <c r="S14" s="4"/>
      <c r="T14" s="3"/>
      <c r="U14" s="3"/>
      <c r="V14" s="3"/>
    </row>
    <row r="15" spans="1:46">
      <c r="C15" s="10" t="s">
        <v>38</v>
      </c>
      <c r="D15" s="11"/>
      <c r="E15" s="153">
        <v>7.26</v>
      </c>
      <c r="F15" s="153">
        <v>7.64</v>
      </c>
      <c r="G15" s="66"/>
      <c r="H15" s="66"/>
      <c r="I15" s="66"/>
      <c r="J15" s="12"/>
      <c r="K15" s="12"/>
      <c r="L15" s="20" t="s">
        <v>39</v>
      </c>
      <c r="M15" s="11"/>
      <c r="N15" s="153">
        <v>16.63</v>
      </c>
      <c r="O15" s="153">
        <v>18.47</v>
      </c>
      <c r="P15" s="12"/>
      <c r="S15" s="20" t="s">
        <v>40</v>
      </c>
      <c r="T15" s="11"/>
      <c r="U15" s="153">
        <v>16.63</v>
      </c>
      <c r="V15" s="153">
        <v>18.47</v>
      </c>
      <c r="Z15" s="21"/>
      <c r="AA15" s="21"/>
      <c r="AJ15" s="21"/>
      <c r="AK15" s="21"/>
      <c r="AS15" s="21"/>
      <c r="AT15" s="21"/>
    </row>
    <row r="16" spans="1:46">
      <c r="C16" s="10" t="s">
        <v>41</v>
      </c>
      <c r="D16" s="11"/>
      <c r="E16" s="153">
        <v>9.27</v>
      </c>
      <c r="F16" s="153">
        <v>9.7899999999999991</v>
      </c>
      <c r="G16" s="66"/>
      <c r="H16" s="66"/>
      <c r="I16" s="66"/>
      <c r="J16" s="12"/>
      <c r="K16" s="12"/>
      <c r="L16" s="12"/>
      <c r="M16" s="12"/>
      <c r="N16" s="12"/>
      <c r="O16" s="66"/>
      <c r="P16" s="12"/>
      <c r="S16" s="10"/>
      <c r="T16" s="11"/>
      <c r="U16" s="12"/>
      <c r="V16" s="12"/>
      <c r="Z16" s="21"/>
      <c r="AA16" s="21"/>
      <c r="AJ16" s="21"/>
    </row>
    <row r="17" spans="2:46" ht="15.75">
      <c r="C17" s="4">
        <v>1</v>
      </c>
      <c r="D17" s="11"/>
      <c r="E17" s="153">
        <v>13.6</v>
      </c>
      <c r="F17" s="153">
        <v>14.43</v>
      </c>
      <c r="G17" s="66"/>
      <c r="H17" s="66"/>
      <c r="I17" s="66"/>
      <c r="J17" s="12"/>
      <c r="K17" s="12"/>
      <c r="L17" s="68" t="s">
        <v>42</v>
      </c>
      <c r="M17" s="68"/>
      <c r="N17" s="68"/>
      <c r="O17" s="68"/>
      <c r="P17" s="12"/>
      <c r="S17" s="5" t="s">
        <v>43</v>
      </c>
      <c r="T17" s="11"/>
      <c r="U17" s="154">
        <v>0.77700000000000002</v>
      </c>
      <c r="V17" s="154">
        <v>0.86199999999999999</v>
      </c>
      <c r="W17" s="18"/>
      <c r="X17" s="18"/>
      <c r="Z17" s="21"/>
      <c r="AA17" s="21"/>
      <c r="AS17" s="79"/>
      <c r="AT17" s="79"/>
    </row>
    <row r="18" spans="2:46">
      <c r="C18" s="10" t="s">
        <v>44</v>
      </c>
      <c r="D18" s="11"/>
      <c r="E18" s="153">
        <v>19.149999999999999</v>
      </c>
      <c r="F18" s="153">
        <v>20.36</v>
      </c>
      <c r="G18" s="66"/>
      <c r="H18" s="66"/>
      <c r="I18" s="66"/>
      <c r="J18" s="12"/>
      <c r="K18" s="12"/>
      <c r="L18" s="12"/>
      <c r="M18" s="12"/>
      <c r="N18" s="12"/>
      <c r="O18" s="12"/>
      <c r="P18" s="12"/>
      <c r="S18" s="5" t="s">
        <v>45</v>
      </c>
      <c r="T18" s="11"/>
      <c r="U18" s="154">
        <v>5.6849999999999996</v>
      </c>
      <c r="V18" s="154">
        <v>6.3090000000000002</v>
      </c>
      <c r="W18" s="18"/>
      <c r="X18" s="18"/>
      <c r="Z18" s="21"/>
      <c r="AA18" s="21"/>
      <c r="AS18" s="79"/>
      <c r="AT18" s="79"/>
    </row>
    <row r="19" spans="2:46">
      <c r="C19" s="10" t="s">
        <v>46</v>
      </c>
      <c r="D19" s="11"/>
      <c r="E19" s="153">
        <v>23.96</v>
      </c>
      <c r="F19" s="153">
        <v>25.53</v>
      </c>
      <c r="G19" s="66"/>
      <c r="H19" s="66"/>
      <c r="I19" s="66"/>
      <c r="J19" s="12"/>
      <c r="K19" s="12"/>
      <c r="L19" s="4"/>
      <c r="M19" s="4"/>
      <c r="N19" s="4" t="str">
        <f>Inputs!$C$4</f>
        <v>FY 2024</v>
      </c>
      <c r="O19" s="4" t="str">
        <f>Inputs!$D$4</f>
        <v>FY 2025</v>
      </c>
      <c r="P19" s="12"/>
      <c r="V19" s="79"/>
      <c r="W19" s="67"/>
      <c r="X19" s="67"/>
      <c r="Z19" s="21"/>
      <c r="AA19" s="21"/>
    </row>
    <row r="20" spans="2:46" ht="15.75">
      <c r="C20" s="10">
        <v>2</v>
      </c>
      <c r="D20" s="11"/>
      <c r="E20" s="153">
        <v>36.979999999999997</v>
      </c>
      <c r="F20" s="153">
        <v>39.44</v>
      </c>
      <c r="G20" s="66"/>
      <c r="H20" s="66"/>
      <c r="I20" s="66"/>
      <c r="J20" s="12"/>
      <c r="K20" s="12"/>
      <c r="L20" s="4"/>
      <c r="M20" s="4"/>
      <c r="N20" s="4" t="s">
        <v>33</v>
      </c>
      <c r="O20" s="4" t="s">
        <v>33</v>
      </c>
      <c r="P20" s="12"/>
      <c r="S20" s="68" t="s">
        <v>42</v>
      </c>
      <c r="T20" s="68"/>
      <c r="U20" s="68"/>
      <c r="V20" s="68"/>
      <c r="W20" s="12"/>
      <c r="Z20" s="21"/>
      <c r="AA20" s="21"/>
    </row>
    <row r="21" spans="2:46" ht="16.5">
      <c r="C21" s="10">
        <v>3</v>
      </c>
      <c r="D21" s="11"/>
      <c r="E21" s="153">
        <v>66.7</v>
      </c>
      <c r="F21" s="153">
        <v>71.260000000000005</v>
      </c>
      <c r="G21" s="66"/>
      <c r="H21" s="66"/>
      <c r="I21" s="66"/>
      <c r="J21" s="12"/>
      <c r="K21" s="12"/>
      <c r="L21" s="8"/>
      <c r="M21" s="8"/>
      <c r="N21" s="8" t="s">
        <v>35</v>
      </c>
      <c r="O21" s="8" t="s">
        <v>35</v>
      </c>
      <c r="P21" s="12"/>
      <c r="S21" s="10"/>
      <c r="T21" s="11"/>
      <c r="U21" s="11"/>
      <c r="V21" s="12"/>
      <c r="Z21" s="21"/>
      <c r="AA21" s="21"/>
    </row>
    <row r="22" spans="2:46">
      <c r="C22" s="10">
        <v>4</v>
      </c>
      <c r="D22" s="11"/>
      <c r="E22" s="153">
        <v>113.34</v>
      </c>
      <c r="F22" s="153">
        <v>120.98</v>
      </c>
      <c r="G22" s="66"/>
      <c r="H22" s="66"/>
      <c r="I22" s="66"/>
      <c r="J22" s="12"/>
      <c r="K22" s="12"/>
      <c r="L22" s="4"/>
      <c r="M22" s="4"/>
      <c r="N22" s="4" t="s">
        <v>37</v>
      </c>
      <c r="O22" s="4" t="s">
        <v>37</v>
      </c>
      <c r="P22" s="12"/>
      <c r="S22" s="15"/>
      <c r="T22" s="3"/>
      <c r="U22" s="4" t="str">
        <f>Inputs!$C$4</f>
        <v>FY 2024</v>
      </c>
      <c r="V22" s="4" t="str">
        <f>Inputs!$D$4</f>
        <v>FY 2025</v>
      </c>
      <c r="Z22" s="21"/>
      <c r="AA22" s="21"/>
    </row>
    <row r="23" spans="2:46">
      <c r="C23" s="10">
        <v>6</v>
      </c>
      <c r="D23" s="11"/>
      <c r="E23" s="153">
        <v>223.43</v>
      </c>
      <c r="F23" s="153">
        <v>238.64</v>
      </c>
      <c r="G23" s="66"/>
      <c r="H23" s="66"/>
      <c r="I23" s="66"/>
      <c r="J23" s="12"/>
      <c r="K23" s="12"/>
      <c r="L23" s="3"/>
      <c r="M23" s="3"/>
      <c r="N23" s="3"/>
      <c r="O23" s="3"/>
      <c r="P23" s="12"/>
      <c r="S23" s="16"/>
      <c r="T23" s="3"/>
      <c r="U23" s="4" t="s">
        <v>33</v>
      </c>
      <c r="V23" s="4" t="s">
        <v>33</v>
      </c>
      <c r="Z23" s="21"/>
      <c r="AA23" s="21"/>
    </row>
    <row r="24" spans="2:46" ht="16.5">
      <c r="C24" s="10">
        <v>8</v>
      </c>
      <c r="D24" s="11"/>
      <c r="E24" s="153">
        <v>353.59</v>
      </c>
      <c r="F24" s="153">
        <v>377.82</v>
      </c>
      <c r="G24" s="66"/>
      <c r="H24" s="66"/>
      <c r="I24" s="66"/>
      <c r="J24" s="12"/>
      <c r="K24" s="12"/>
      <c r="L24" s="5" t="s">
        <v>47</v>
      </c>
      <c r="M24" s="11"/>
      <c r="N24" s="153">
        <v>1.87</v>
      </c>
      <c r="O24" s="153">
        <v>1.94</v>
      </c>
      <c r="P24" s="12"/>
      <c r="S24" s="17"/>
      <c r="T24" s="3"/>
      <c r="U24" s="8" t="s">
        <v>35</v>
      </c>
      <c r="V24" s="8" t="s">
        <v>35</v>
      </c>
      <c r="Z24" s="21"/>
      <c r="AA24" s="21"/>
      <c r="AJ24" s="21"/>
      <c r="AK24" s="21"/>
    </row>
    <row r="25" spans="2:46">
      <c r="C25" s="10">
        <v>10</v>
      </c>
      <c r="D25" s="11"/>
      <c r="E25" s="153">
        <v>510.31</v>
      </c>
      <c r="F25" s="153">
        <v>545.20000000000005</v>
      </c>
      <c r="G25" s="66"/>
      <c r="H25" s="66"/>
      <c r="I25" s="66"/>
      <c r="J25" s="12"/>
      <c r="K25" s="12"/>
      <c r="O25" s="21"/>
      <c r="P25" s="12"/>
      <c r="S25" s="3"/>
      <c r="T25" s="3"/>
      <c r="U25" s="4" t="s">
        <v>37</v>
      </c>
      <c r="V25" s="4" t="s">
        <v>37</v>
      </c>
      <c r="Z25" s="21"/>
      <c r="AA25" s="21"/>
    </row>
    <row r="26" spans="2:46">
      <c r="C26" s="10">
        <v>12</v>
      </c>
      <c r="D26" s="11"/>
      <c r="E26" s="153">
        <v>927.96</v>
      </c>
      <c r="F26" s="153">
        <v>992.49</v>
      </c>
      <c r="G26" s="66"/>
      <c r="H26" s="66"/>
      <c r="I26" s="66"/>
      <c r="J26" s="12"/>
      <c r="K26" s="12"/>
      <c r="N26" s="21"/>
      <c r="O26" s="21"/>
      <c r="P26" s="12"/>
      <c r="S26" s="5"/>
      <c r="T26" s="3"/>
      <c r="U26" s="3"/>
      <c r="V26" s="3"/>
      <c r="Z26" s="21"/>
      <c r="AA26" s="21"/>
    </row>
    <row r="27" spans="2:46">
      <c r="B27" s="13"/>
      <c r="C27" s="13"/>
      <c r="D27" s="3"/>
      <c r="E27" s="3"/>
      <c r="F27" s="3"/>
      <c r="G27" s="37"/>
      <c r="H27" s="37"/>
      <c r="I27" s="37"/>
      <c r="J27" s="14"/>
      <c r="K27" s="14"/>
      <c r="L27" s="12"/>
      <c r="M27" s="12"/>
      <c r="N27" s="12"/>
      <c r="O27" s="12"/>
      <c r="P27" s="14"/>
      <c r="S27" s="5" t="s">
        <v>47</v>
      </c>
      <c r="T27" s="11"/>
      <c r="U27" s="153">
        <v>2.44</v>
      </c>
      <c r="V27" s="153">
        <v>2.52</v>
      </c>
      <c r="W27" s="12"/>
      <c r="X27" s="12"/>
      <c r="AS27" s="21"/>
      <c r="AT27" s="21"/>
    </row>
    <row r="28" spans="2:46" ht="15.75">
      <c r="B28" s="74" t="s">
        <v>48</v>
      </c>
      <c r="C28" s="74"/>
      <c r="D28" s="74"/>
      <c r="E28" s="74"/>
      <c r="F28" s="74"/>
      <c r="G28" s="68"/>
      <c r="H28" s="82" t="s">
        <v>49</v>
      </c>
      <c r="I28" s="19"/>
      <c r="J28" s="19"/>
      <c r="K28" s="19"/>
      <c r="O28" s="21"/>
      <c r="P28" s="19"/>
      <c r="W28" s="21"/>
      <c r="X28" s="21"/>
    </row>
    <row r="29" spans="2:46">
      <c r="B29" s="15"/>
      <c r="C29" s="15"/>
      <c r="D29" s="3"/>
      <c r="E29" s="3"/>
      <c r="F29" s="3"/>
      <c r="G29" s="14"/>
      <c r="H29" s="14"/>
      <c r="I29" s="14"/>
      <c r="J29" s="14"/>
      <c r="K29" s="14"/>
      <c r="N29" s="21"/>
      <c r="O29" s="21"/>
      <c r="P29" s="14"/>
      <c r="S29" s="15"/>
      <c r="T29" s="3"/>
      <c r="U29" s="3"/>
      <c r="V29" s="27"/>
    </row>
    <row r="30" spans="2:46">
      <c r="B30" s="15"/>
      <c r="C30" s="15"/>
      <c r="D30" s="3"/>
      <c r="E30" s="4" t="str">
        <f>Inputs!$C$4</f>
        <v>FY 2024</v>
      </c>
      <c r="F30" s="4" t="str">
        <f>Inputs!$D$4</f>
        <v>FY 2025</v>
      </c>
      <c r="G30" s="4"/>
      <c r="H30" s="4" t="str">
        <f>E30</f>
        <v>FY 2024</v>
      </c>
      <c r="I30" s="4" t="str">
        <f>Inputs!$D$4</f>
        <v>FY 2025</v>
      </c>
      <c r="J30" s="4"/>
      <c r="K30" s="4"/>
      <c r="O30" s="21"/>
      <c r="P30" s="4"/>
    </row>
    <row r="31" spans="2:46">
      <c r="B31" s="16"/>
      <c r="C31" s="16"/>
      <c r="D31" s="3"/>
      <c r="E31" s="4" t="s">
        <v>35</v>
      </c>
      <c r="F31" s="4" t="s">
        <v>35</v>
      </c>
      <c r="G31" s="4"/>
      <c r="H31" s="4" t="s">
        <v>35</v>
      </c>
      <c r="I31" s="4" t="s">
        <v>35</v>
      </c>
      <c r="J31" s="4"/>
      <c r="K31" s="4"/>
      <c r="O31" s="21"/>
      <c r="P31" s="4"/>
    </row>
    <row r="32" spans="2:46" ht="16.5">
      <c r="B32" s="16"/>
      <c r="C32" s="16"/>
      <c r="D32" s="3"/>
      <c r="E32" s="8" t="s">
        <v>50</v>
      </c>
      <c r="F32" s="8" t="s">
        <v>50</v>
      </c>
      <c r="G32" s="8"/>
      <c r="H32" s="8" t="s">
        <v>50</v>
      </c>
      <c r="I32" s="8" t="s">
        <v>50</v>
      </c>
      <c r="J32" s="8"/>
      <c r="K32" s="8"/>
      <c r="P32" s="8"/>
    </row>
    <row r="33" spans="2:27">
      <c r="B33" s="3"/>
      <c r="C33" s="3"/>
      <c r="D33" s="3"/>
      <c r="E33" s="4" t="s">
        <v>37</v>
      </c>
      <c r="F33" s="4" t="s">
        <v>37</v>
      </c>
      <c r="G33" s="4"/>
      <c r="H33" s="4" t="s">
        <v>37</v>
      </c>
      <c r="I33" s="4" t="s">
        <v>37</v>
      </c>
      <c r="J33" s="4"/>
      <c r="K33" s="4"/>
      <c r="P33" s="4"/>
    </row>
    <row r="34" spans="2:27">
      <c r="B34" s="3"/>
      <c r="C34" s="3"/>
      <c r="D34" s="3"/>
      <c r="E34" s="3"/>
      <c r="F34" s="3"/>
      <c r="G34" s="3"/>
      <c r="H34" s="3"/>
      <c r="I34" s="3"/>
      <c r="J34" s="3"/>
      <c r="K34" s="3"/>
      <c r="P34" s="3"/>
    </row>
    <row r="35" spans="2:27">
      <c r="B35" s="5" t="s">
        <v>51</v>
      </c>
      <c r="C35" s="5"/>
      <c r="D35" s="11"/>
      <c r="E35" s="153">
        <v>37.93</v>
      </c>
      <c r="F35" s="153">
        <v>41.11</v>
      </c>
      <c r="G35" s="66"/>
      <c r="H35" s="12">
        <f>E35+E45</f>
        <v>38.17</v>
      </c>
      <c r="I35" s="12">
        <f>F35+F45</f>
        <v>47.15</v>
      </c>
      <c r="J35" s="12"/>
      <c r="K35" s="12"/>
      <c r="P35" s="12"/>
      <c r="Z35" s="21"/>
      <c r="AA35" s="21"/>
    </row>
    <row r="36" spans="2:27">
      <c r="B36" s="5" t="s">
        <v>52</v>
      </c>
      <c r="C36" s="5"/>
      <c r="D36" s="11"/>
      <c r="E36" s="153">
        <v>13.47</v>
      </c>
      <c r="F36" s="153">
        <v>14.81</v>
      </c>
      <c r="G36" s="66"/>
      <c r="H36" s="12">
        <f>E36</f>
        <v>13.47</v>
      </c>
      <c r="I36" s="12">
        <f>F36</f>
        <v>14.81</v>
      </c>
      <c r="J36" s="12"/>
      <c r="K36" s="12"/>
      <c r="P36" s="12"/>
      <c r="Z36" s="21"/>
      <c r="AA36" s="21"/>
    </row>
    <row r="37" spans="2:27">
      <c r="B37" s="5"/>
      <c r="C37" s="5"/>
      <c r="D37" s="11"/>
      <c r="E37" s="12"/>
      <c r="F37" s="12"/>
      <c r="G37" s="66"/>
      <c r="H37" s="12"/>
      <c r="I37" s="12"/>
      <c r="J37" s="12"/>
      <c r="K37" s="12"/>
      <c r="P37" s="12"/>
      <c r="Z37" s="21"/>
      <c r="AA37" s="21"/>
    </row>
    <row r="38" spans="2:27">
      <c r="B38" s="5"/>
      <c r="C38" s="5"/>
      <c r="D38" s="11"/>
      <c r="E38" s="4" t="str">
        <f>Inputs!$C$4</f>
        <v>FY 2024</v>
      </c>
      <c r="F38" s="4" t="str">
        <f>Inputs!$D$4</f>
        <v>FY 2025</v>
      </c>
      <c r="G38" s="66"/>
      <c r="H38" s="12"/>
      <c r="I38" s="12"/>
      <c r="J38" s="12"/>
      <c r="K38" s="12"/>
      <c r="P38" s="12"/>
      <c r="Z38" s="21"/>
      <c r="AA38" s="21"/>
    </row>
    <row r="39" spans="2:27">
      <c r="B39" s="5"/>
      <c r="C39" s="5"/>
      <c r="D39" s="11"/>
      <c r="E39" s="4" t="s">
        <v>35</v>
      </c>
      <c r="F39" s="4" t="s">
        <v>35</v>
      </c>
      <c r="G39" s="66"/>
      <c r="H39" s="12"/>
      <c r="I39" s="12"/>
      <c r="J39" s="12"/>
      <c r="K39" s="12"/>
      <c r="P39" s="12"/>
      <c r="Z39" s="21"/>
      <c r="AA39" s="21"/>
    </row>
    <row r="40" spans="2:27" ht="16.5">
      <c r="B40" s="5"/>
      <c r="C40" s="5"/>
      <c r="D40" s="123" t="s">
        <v>53</v>
      </c>
      <c r="E40" s="8" t="s">
        <v>54</v>
      </c>
      <c r="F40" s="8" t="s">
        <v>54</v>
      </c>
      <c r="G40" s="66"/>
      <c r="H40" s="12"/>
      <c r="I40" s="12"/>
      <c r="J40" s="12"/>
      <c r="K40" s="12"/>
      <c r="P40" s="12"/>
      <c r="Z40" s="21"/>
      <c r="AA40" s="21"/>
    </row>
    <row r="41" spans="2:27">
      <c r="B41" s="5" t="s">
        <v>55</v>
      </c>
      <c r="C41" s="5"/>
      <c r="D41" s="3"/>
      <c r="E41" s="153">
        <v>62.25</v>
      </c>
      <c r="F41" s="153">
        <v>65.88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27">
      <c r="B42" s="5"/>
      <c r="C42" s="5"/>
      <c r="D42" s="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2:27" ht="15.75">
      <c r="B43" s="181" t="s">
        <v>56</v>
      </c>
      <c r="C43" s="181"/>
      <c r="D43" s="181"/>
      <c r="E43" s="181"/>
      <c r="F43" s="181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2:27">
      <c r="B44" s="5"/>
      <c r="C44" s="5"/>
      <c r="D44" s="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27">
      <c r="B45" s="5" t="s">
        <v>51</v>
      </c>
      <c r="C45" s="5"/>
      <c r="D45" s="3"/>
      <c r="E45" s="153">
        <v>0.24</v>
      </c>
      <c r="F45" s="153">
        <v>6.04</v>
      </c>
      <c r="G45" s="67"/>
      <c r="H45" s="67"/>
      <c r="I45" s="67"/>
      <c r="J45" s="12"/>
      <c r="K45" s="12"/>
      <c r="L45" s="12"/>
      <c r="M45" s="12"/>
      <c r="N45" s="12"/>
      <c r="O45" s="12"/>
      <c r="P45" s="12"/>
      <c r="Z45" s="21"/>
      <c r="AA45" s="21"/>
    </row>
    <row r="46" spans="2:27">
      <c r="B46" s="5"/>
      <c r="C46" s="5"/>
      <c r="D46" s="3"/>
      <c r="E46" s="12"/>
      <c r="F46" s="12"/>
      <c r="G46" s="67"/>
      <c r="H46" s="67"/>
      <c r="I46" s="67"/>
      <c r="J46" s="12"/>
      <c r="K46" s="12"/>
      <c r="L46" s="12"/>
      <c r="M46" s="12"/>
      <c r="N46" s="12"/>
      <c r="O46" s="12"/>
      <c r="P46" s="12"/>
    </row>
    <row r="47" spans="2:27">
      <c r="B47" s="80" t="s">
        <v>57</v>
      </c>
      <c r="C47" s="5"/>
      <c r="D47" s="3"/>
      <c r="E47" s="12"/>
      <c r="F47" s="12"/>
      <c r="G47" s="67"/>
      <c r="H47" s="67"/>
      <c r="I47" s="67"/>
      <c r="J47" s="12"/>
      <c r="K47" s="12"/>
      <c r="L47" s="12"/>
      <c r="M47" s="12"/>
      <c r="N47" s="12"/>
      <c r="O47" s="12"/>
      <c r="P47" s="12"/>
    </row>
    <row r="48" spans="2:27">
      <c r="B48" s="77"/>
      <c r="C48" s="5"/>
      <c r="D48" s="3"/>
      <c r="E48" s="12"/>
      <c r="F48" s="66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2:27" ht="15.75">
      <c r="B49" s="181" t="s">
        <v>58</v>
      </c>
      <c r="C49" s="181"/>
      <c r="D49" s="181"/>
      <c r="E49" s="181"/>
      <c r="F49" s="181"/>
      <c r="G49" s="181"/>
      <c r="H49" s="19"/>
      <c r="I49" s="19"/>
      <c r="J49" s="19"/>
      <c r="K49" s="19"/>
      <c r="L49" s="12"/>
      <c r="M49" s="12"/>
      <c r="N49" s="12"/>
      <c r="O49" s="12"/>
      <c r="P49" s="19"/>
    </row>
    <row r="50" spans="2:27">
      <c r="B50" s="5"/>
      <c r="C50" s="5"/>
      <c r="D50" s="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2:27">
      <c r="B51" s="5" t="s">
        <v>59</v>
      </c>
      <c r="C51" s="5"/>
      <c r="D51" s="11"/>
      <c r="E51" s="154">
        <v>0.42599999999999999</v>
      </c>
      <c r="F51" s="154">
        <v>0.45</v>
      </c>
      <c r="G51" s="67"/>
      <c r="H51" s="67"/>
      <c r="I51" s="67"/>
      <c r="J51" s="18"/>
      <c r="K51" s="18"/>
      <c r="L51" s="18"/>
      <c r="M51" s="18"/>
      <c r="N51" s="18"/>
      <c r="O51" s="18"/>
      <c r="P51" s="18"/>
      <c r="Z51" s="113"/>
      <c r="AA51" s="113"/>
    </row>
    <row r="52" spans="2:27">
      <c r="B52" s="5" t="s">
        <v>60</v>
      </c>
      <c r="C52" s="5"/>
      <c r="D52" s="11"/>
      <c r="E52" s="154">
        <v>0.432</v>
      </c>
      <c r="F52" s="154">
        <v>0.45800000000000002</v>
      </c>
      <c r="G52" s="67"/>
      <c r="H52" s="67"/>
      <c r="I52" s="67"/>
      <c r="J52" s="18"/>
      <c r="K52" s="18"/>
      <c r="L52" s="18"/>
      <c r="M52" s="18"/>
      <c r="N52" s="18"/>
      <c r="O52" s="18"/>
      <c r="P52" s="18"/>
      <c r="Z52" s="113"/>
      <c r="AA52" s="113"/>
    </row>
    <row r="53" spans="2:27"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2:27">
      <c r="B54" s="13" t="s">
        <v>61</v>
      </c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27">
      <c r="B55" s="13" t="s">
        <v>62</v>
      </c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60" spans="2:27" ht="18">
      <c r="B60" s="1"/>
      <c r="C60" s="1"/>
      <c r="D60" s="1"/>
      <c r="E60" s="1"/>
      <c r="F60" s="1"/>
      <c r="G60" s="22"/>
      <c r="H60" s="22"/>
      <c r="I60" s="22"/>
      <c r="J60" s="22"/>
      <c r="K60" s="22"/>
      <c r="L60" s="180"/>
      <c r="M60" s="180"/>
      <c r="N60" s="180"/>
      <c r="O60" s="180"/>
      <c r="P60" s="22"/>
      <c r="S60" s="180"/>
      <c r="T60" s="180"/>
      <c r="U60" s="180"/>
      <c r="V60" s="180"/>
    </row>
  </sheetData>
  <mergeCells count="11">
    <mergeCell ref="C4:G4"/>
    <mergeCell ref="C5:G5"/>
    <mergeCell ref="C6:G6"/>
    <mergeCell ref="C2:G2"/>
    <mergeCell ref="L60:O60"/>
    <mergeCell ref="S60:V60"/>
    <mergeCell ref="B43:F43"/>
    <mergeCell ref="L6:O6"/>
    <mergeCell ref="S6:V6"/>
    <mergeCell ref="C8:G8"/>
    <mergeCell ref="B49:G49"/>
  </mergeCells>
  <hyperlinks>
    <hyperlink ref="A1" location="TOC!A1" display="TOC!A1" xr:uid="{00000000-0004-0000-0100-000000000000}"/>
  </hyperlinks>
  <printOptions horizontalCentered="1"/>
  <pageMargins left="0.7" right="0.7" top="0.75" bottom="0.75" header="0.3" footer="0.3"/>
  <pageSetup scale="80" fitToWidth="0" orientation="portrait" r:id="rId1"/>
  <colBreaks count="3" manualBreakCount="3">
    <brk id="11" max="53" man="1"/>
    <brk id="16" max="46" man="1"/>
    <brk id="17" max="46" man="1"/>
  </colBreaks>
  <ignoredErrors>
    <ignoredError sqref="C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W114"/>
  <sheetViews>
    <sheetView zoomScaleNormal="100" workbookViewId="0">
      <selection activeCell="A110" sqref="A110"/>
    </sheetView>
  </sheetViews>
  <sheetFormatPr defaultRowHeight="15" outlineLevelCol="1"/>
  <cols>
    <col min="2" max="2" width="17.42578125" customWidth="1"/>
    <col min="3" max="3" width="9.42578125" customWidth="1"/>
    <col min="4" max="4" width="9.5703125" customWidth="1"/>
    <col min="5" max="5" width="11.140625" bestFit="1" customWidth="1"/>
    <col min="6" max="6" width="11.140625" customWidth="1" outlineLevel="1"/>
    <col min="7" max="7" width="11.140625" bestFit="1" customWidth="1"/>
    <col min="8" max="8" width="9.140625" customWidth="1"/>
    <col min="10" max="10" width="9.140625" customWidth="1"/>
    <col min="12" max="12" width="8.85546875" customWidth="1" outlineLevel="1"/>
    <col min="15" max="15" width="6" customWidth="1"/>
    <col min="16" max="16" width="23.85546875" customWidth="1"/>
    <col min="17" max="18" width="9.140625" customWidth="1"/>
    <col min="19" max="20" width="17.5703125" customWidth="1"/>
  </cols>
  <sheetData>
    <row r="1" spans="1:23" ht="15.75" thickBot="1">
      <c r="A1" s="122" t="s">
        <v>21</v>
      </c>
    </row>
    <row r="2" spans="1:23" ht="18">
      <c r="B2" s="64" t="s">
        <v>63</v>
      </c>
      <c r="C2" s="64"/>
      <c r="D2" s="64"/>
      <c r="E2" s="64"/>
      <c r="F2" s="64"/>
      <c r="G2" s="64"/>
    </row>
    <row r="3" spans="1:23" ht="18">
      <c r="B3" s="1"/>
      <c r="C3" s="1"/>
      <c r="D3" s="1"/>
      <c r="E3" s="1"/>
      <c r="F3" s="1"/>
      <c r="G3" s="1"/>
      <c r="H3" s="1"/>
    </row>
    <row r="4" spans="1:23" ht="18">
      <c r="A4" s="64"/>
      <c r="B4" s="64" t="s">
        <v>64</v>
      </c>
      <c r="C4" s="64"/>
      <c r="D4" s="64"/>
      <c r="E4" s="64"/>
      <c r="F4" s="64"/>
      <c r="G4" s="64"/>
    </row>
    <row r="5" spans="1:23" ht="18">
      <c r="A5" s="64"/>
      <c r="B5" s="64" t="s">
        <v>65</v>
      </c>
      <c r="C5" s="64"/>
      <c r="D5" s="64"/>
      <c r="E5" s="64"/>
      <c r="F5" s="64"/>
      <c r="G5" s="64"/>
    </row>
    <row r="6" spans="1:23" ht="15.75">
      <c r="B6" s="181" t="s">
        <v>66</v>
      </c>
      <c r="C6" s="181"/>
      <c r="D6" s="181"/>
      <c r="E6" s="181"/>
      <c r="F6" s="181"/>
      <c r="G6" s="181"/>
      <c r="H6" s="19"/>
    </row>
    <row r="7" spans="1:23">
      <c r="B7" s="3"/>
      <c r="C7" s="3"/>
      <c r="D7" s="3"/>
      <c r="E7" s="3"/>
      <c r="F7" s="3"/>
      <c r="G7" s="40"/>
      <c r="H7" s="40"/>
    </row>
    <row r="8" spans="1:23">
      <c r="B8" s="4"/>
      <c r="C8" s="3"/>
      <c r="D8" s="4" t="str">
        <f>Inputs!$C$4</f>
        <v>FY 2024</v>
      </c>
      <c r="E8" s="4" t="str">
        <f>Inputs!$D$4</f>
        <v>FY 2025</v>
      </c>
      <c r="F8" s="4"/>
      <c r="G8" s="4"/>
      <c r="H8" s="4"/>
    </row>
    <row r="9" spans="1:23">
      <c r="B9" s="4"/>
      <c r="C9" s="3"/>
      <c r="D9" s="4" t="s">
        <v>33</v>
      </c>
      <c r="E9" s="4" t="s">
        <v>33</v>
      </c>
      <c r="F9" s="4"/>
      <c r="G9" s="4"/>
      <c r="H9" s="4"/>
    </row>
    <row r="10" spans="1:23" ht="16.5">
      <c r="B10" s="6" t="s">
        <v>34</v>
      </c>
      <c r="C10" s="7"/>
      <c r="D10" s="8" t="s">
        <v>35</v>
      </c>
      <c r="E10" s="8" t="s">
        <v>35</v>
      </c>
      <c r="F10" s="8"/>
      <c r="G10" s="8"/>
      <c r="H10" s="8"/>
    </row>
    <row r="11" spans="1:23">
      <c r="B11" s="4" t="s">
        <v>36</v>
      </c>
      <c r="C11" s="3"/>
      <c r="D11" s="4" t="s">
        <v>37</v>
      </c>
      <c r="E11" s="4" t="s">
        <v>37</v>
      </c>
      <c r="F11" s="4"/>
      <c r="G11" s="4"/>
      <c r="H11" s="4"/>
    </row>
    <row r="12" spans="1:23">
      <c r="B12" s="3"/>
      <c r="C12" s="3"/>
      <c r="D12" s="3"/>
      <c r="E12" s="3"/>
      <c r="F12" s="3"/>
      <c r="G12" s="9"/>
      <c r="H12" s="9"/>
    </row>
    <row r="13" spans="1:23">
      <c r="B13" s="10" t="s">
        <v>38</v>
      </c>
      <c r="C13" s="12"/>
      <c r="D13" s="153">
        <v>5.1100000000000003</v>
      </c>
      <c r="E13" s="153">
        <v>5.17</v>
      </c>
      <c r="F13" s="3"/>
      <c r="G13" s="12"/>
      <c r="H13" s="66"/>
      <c r="V13" s="21"/>
      <c r="W13" s="21"/>
    </row>
    <row r="14" spans="1:23">
      <c r="B14" s="10" t="s">
        <v>41</v>
      </c>
      <c r="C14" s="12"/>
      <c r="D14" s="153">
        <v>5.61</v>
      </c>
      <c r="E14" s="153">
        <v>5.7</v>
      </c>
      <c r="F14" s="3"/>
      <c r="G14" s="12"/>
      <c r="H14" s="66"/>
      <c r="V14" s="21"/>
      <c r="W14" s="21"/>
    </row>
    <row r="15" spans="1:23">
      <c r="B15" s="4">
        <v>1</v>
      </c>
      <c r="C15" s="12"/>
      <c r="D15" s="153">
        <v>7.03</v>
      </c>
      <c r="E15" s="153">
        <v>7.19</v>
      </c>
      <c r="F15" s="3"/>
      <c r="G15" s="12"/>
      <c r="H15" s="66"/>
      <c r="V15" s="21"/>
      <c r="W15" s="21"/>
    </row>
    <row r="16" spans="1:23">
      <c r="B16" s="10" t="s">
        <v>44</v>
      </c>
      <c r="C16" s="12"/>
      <c r="D16" s="153">
        <v>8.75</v>
      </c>
      <c r="E16" s="153">
        <v>9</v>
      </c>
      <c r="F16" s="3"/>
      <c r="G16" s="12"/>
      <c r="H16" s="66"/>
      <c r="V16" s="21"/>
      <c r="W16" s="21"/>
    </row>
    <row r="17" spans="2:23">
      <c r="B17" s="10" t="s">
        <v>46</v>
      </c>
      <c r="C17" s="12"/>
      <c r="D17" s="153">
        <v>9.9600000000000009</v>
      </c>
      <c r="E17" s="153">
        <v>10.29</v>
      </c>
      <c r="F17" s="3"/>
      <c r="G17" s="12"/>
      <c r="H17" s="66"/>
      <c r="V17" s="21"/>
      <c r="W17" s="21"/>
    </row>
    <row r="18" spans="2:23">
      <c r="B18" s="10">
        <v>2</v>
      </c>
      <c r="C18" s="12"/>
      <c r="D18" s="153">
        <v>14.22</v>
      </c>
      <c r="E18" s="153">
        <v>14.75</v>
      </c>
      <c r="F18" s="3"/>
      <c r="G18" s="12"/>
      <c r="H18" s="66"/>
      <c r="V18" s="21"/>
      <c r="W18" s="21"/>
    </row>
    <row r="19" spans="2:23">
      <c r="B19" s="10">
        <v>3</v>
      </c>
      <c r="C19" s="12"/>
      <c r="D19" s="153">
        <v>23.32</v>
      </c>
      <c r="E19" s="153">
        <v>24.33</v>
      </c>
      <c r="F19" s="3"/>
      <c r="G19" s="12"/>
      <c r="H19" s="66"/>
      <c r="V19" s="21"/>
      <c r="W19" s="21"/>
    </row>
    <row r="20" spans="2:23">
      <c r="B20" s="10">
        <v>4</v>
      </c>
      <c r="C20" s="12"/>
      <c r="D20" s="153">
        <v>41.6</v>
      </c>
      <c r="E20" s="153">
        <v>43.28</v>
      </c>
      <c r="F20" s="3"/>
      <c r="G20" s="12"/>
      <c r="H20" s="66"/>
      <c r="V20" s="21"/>
      <c r="W20" s="21"/>
    </row>
    <row r="21" spans="2:23">
      <c r="B21" s="10">
        <v>6</v>
      </c>
      <c r="C21" s="12"/>
      <c r="D21" s="153">
        <v>79.099999999999994</v>
      </c>
      <c r="E21" s="153">
        <v>82.46</v>
      </c>
      <c r="F21" s="3"/>
      <c r="G21" s="12"/>
      <c r="H21" s="66"/>
      <c r="V21" s="21"/>
      <c r="W21" s="21"/>
    </row>
    <row r="22" spans="2:23">
      <c r="B22" s="10">
        <v>8</v>
      </c>
      <c r="C22" s="12"/>
      <c r="D22" s="153">
        <v>121.64</v>
      </c>
      <c r="E22" s="153">
        <v>127.03</v>
      </c>
      <c r="F22" s="3"/>
      <c r="G22" s="12"/>
      <c r="H22" s="66"/>
      <c r="V22" s="21"/>
      <c r="W22" s="21"/>
    </row>
    <row r="23" spans="2:23">
      <c r="B23" s="10">
        <v>10</v>
      </c>
      <c r="C23" s="12"/>
      <c r="D23" s="153">
        <v>177.43</v>
      </c>
      <c r="E23" s="153">
        <v>185.16</v>
      </c>
      <c r="F23" s="3"/>
      <c r="G23" s="12"/>
      <c r="H23" s="66"/>
      <c r="V23" s="21"/>
      <c r="W23" s="21"/>
    </row>
    <row r="24" spans="2:23">
      <c r="B24" s="10">
        <v>12</v>
      </c>
      <c r="C24" s="12"/>
      <c r="D24" s="153">
        <v>298.75</v>
      </c>
      <c r="E24" s="153">
        <v>313.27</v>
      </c>
      <c r="F24" s="3"/>
      <c r="G24" s="12"/>
      <c r="H24" s="66"/>
      <c r="V24" s="21"/>
      <c r="W24" s="21"/>
    </row>
    <row r="25" spans="2:23">
      <c r="B25" s="13"/>
      <c r="C25" s="3"/>
      <c r="D25" s="3"/>
      <c r="E25" s="3"/>
      <c r="F25" s="3"/>
      <c r="G25" s="14"/>
      <c r="H25" s="14"/>
    </row>
    <row r="26" spans="2:23" ht="15.75">
      <c r="B26" s="181" t="s">
        <v>48</v>
      </c>
      <c r="C26" s="181"/>
      <c r="D26" s="181"/>
      <c r="E26" s="181"/>
      <c r="F26" s="181"/>
      <c r="G26" s="181"/>
      <c r="H26" s="19"/>
      <c r="I26" s="181" t="s">
        <v>49</v>
      </c>
      <c r="J26" s="181"/>
      <c r="K26" s="181"/>
      <c r="L26" s="181"/>
      <c r="M26" s="181"/>
    </row>
    <row r="27" spans="2:23">
      <c r="B27" s="15"/>
      <c r="C27" s="3"/>
      <c r="D27" s="3"/>
      <c r="E27" s="3"/>
      <c r="F27" s="3"/>
      <c r="G27" s="14"/>
      <c r="H27" s="14"/>
    </row>
    <row r="28" spans="2:23">
      <c r="B28" s="15"/>
      <c r="C28" s="3"/>
      <c r="D28" s="4" t="str">
        <f>Inputs!$C$4</f>
        <v>FY 2024</v>
      </c>
      <c r="E28" s="4" t="str">
        <f>Inputs!$D$4</f>
        <v>FY 2025</v>
      </c>
      <c r="F28" s="4"/>
      <c r="G28" s="4"/>
      <c r="H28" s="4"/>
      <c r="J28" s="4" t="str">
        <f>Inputs!$C$4</f>
        <v>FY 2024</v>
      </c>
      <c r="K28" s="4" t="str">
        <f>Inputs!$D$4</f>
        <v>FY 2025</v>
      </c>
      <c r="L28" s="4"/>
    </row>
    <row r="29" spans="2:23">
      <c r="B29" s="16"/>
      <c r="C29" s="3"/>
      <c r="D29" s="4" t="s">
        <v>35</v>
      </c>
      <c r="E29" s="4" t="s">
        <v>35</v>
      </c>
      <c r="F29" s="4"/>
      <c r="G29" s="4"/>
      <c r="H29" s="4"/>
      <c r="J29" s="4" t="s">
        <v>35</v>
      </c>
      <c r="K29" s="4" t="s">
        <v>35</v>
      </c>
      <c r="L29" s="4"/>
    </row>
    <row r="30" spans="2:23" ht="16.5">
      <c r="B30" s="17" t="s">
        <v>67</v>
      </c>
      <c r="C30" s="3"/>
      <c r="D30" s="8" t="s">
        <v>50</v>
      </c>
      <c r="E30" s="8" t="s">
        <v>50</v>
      </c>
      <c r="F30" s="8"/>
      <c r="G30" s="8"/>
      <c r="H30" s="8"/>
      <c r="J30" s="8" t="s">
        <v>50</v>
      </c>
      <c r="K30" s="8" t="s">
        <v>50</v>
      </c>
      <c r="L30" s="8"/>
    </row>
    <row r="31" spans="2:23">
      <c r="B31" s="3"/>
      <c r="C31" s="3"/>
      <c r="D31" s="4" t="s">
        <v>37</v>
      </c>
      <c r="E31" s="4" t="s">
        <v>37</v>
      </c>
      <c r="F31" s="4"/>
      <c r="G31" s="4"/>
      <c r="H31" s="4"/>
      <c r="J31" s="4" t="s">
        <v>37</v>
      </c>
      <c r="K31" s="4" t="s">
        <v>37</v>
      </c>
      <c r="L31" s="4"/>
    </row>
    <row r="32" spans="2:23">
      <c r="B32" s="3"/>
      <c r="C32" s="3"/>
      <c r="D32" s="3"/>
      <c r="E32" s="3"/>
      <c r="F32" s="3"/>
      <c r="G32" s="3"/>
      <c r="H32" s="3"/>
      <c r="J32" s="3"/>
      <c r="K32" s="3"/>
      <c r="L32" s="3"/>
    </row>
    <row r="33" spans="2:23">
      <c r="B33" s="5" t="s">
        <v>68</v>
      </c>
      <c r="C33" s="12"/>
      <c r="D33" s="153">
        <v>59.32</v>
      </c>
      <c r="E33" s="153">
        <v>64.319999999999993</v>
      </c>
      <c r="F33" s="3"/>
      <c r="G33" s="12"/>
      <c r="H33" s="12"/>
      <c r="I33" s="84"/>
      <c r="J33" s="81">
        <f>D33+$D$42</f>
        <v>59.47</v>
      </c>
      <c r="K33" s="81">
        <f>E33+$E$42</f>
        <v>68.509999999999991</v>
      </c>
      <c r="L33" s="81"/>
      <c r="V33" s="21"/>
      <c r="W33" s="21"/>
    </row>
    <row r="34" spans="2:23">
      <c r="B34" s="20" t="s">
        <v>69</v>
      </c>
      <c r="C34" s="12"/>
      <c r="D34" s="153">
        <v>53.37</v>
      </c>
      <c r="E34" s="153">
        <v>57.88</v>
      </c>
      <c r="F34" s="3"/>
      <c r="G34" s="12"/>
      <c r="H34" s="12"/>
      <c r="I34" s="84"/>
      <c r="J34" s="81">
        <f>D34+$D$42</f>
        <v>53.519999999999996</v>
      </c>
      <c r="K34" s="81">
        <f>E34+$E$42</f>
        <v>62.07</v>
      </c>
      <c r="L34" s="81"/>
      <c r="V34" s="21"/>
      <c r="W34" s="21"/>
    </row>
    <row r="35" spans="2:23">
      <c r="B35" s="20" t="s">
        <v>70</v>
      </c>
      <c r="C35" s="12"/>
      <c r="D35" s="153">
        <v>41.34</v>
      </c>
      <c r="E35" s="153">
        <v>44.84</v>
      </c>
      <c r="F35" s="3"/>
      <c r="G35" s="12"/>
      <c r="H35" s="12"/>
      <c r="I35" s="84"/>
      <c r="J35" s="81">
        <f>D35+$D$42</f>
        <v>41.49</v>
      </c>
      <c r="K35" s="81">
        <f>E35+$E$42</f>
        <v>49.03</v>
      </c>
      <c r="L35" s="81"/>
      <c r="V35" s="21"/>
      <c r="W35" s="21"/>
    </row>
    <row r="36" spans="2:23">
      <c r="B36" s="3" t="s">
        <v>71</v>
      </c>
      <c r="C36" s="12"/>
      <c r="D36" s="153">
        <v>40.22</v>
      </c>
      <c r="E36" s="153">
        <v>43.62</v>
      </c>
      <c r="F36" s="3"/>
      <c r="G36" s="12"/>
      <c r="H36" s="12"/>
      <c r="I36" s="84"/>
      <c r="J36" s="81">
        <f>D36+$D$42</f>
        <v>40.369999999999997</v>
      </c>
      <c r="K36" s="81">
        <f>E36+$E$42</f>
        <v>47.809999999999995</v>
      </c>
      <c r="L36" s="81"/>
      <c r="V36" s="21"/>
      <c r="W36" s="21"/>
    </row>
    <row r="37" spans="2:23" ht="15.75">
      <c r="B37" s="5"/>
      <c r="C37" s="3"/>
      <c r="D37" s="3"/>
      <c r="E37" s="2"/>
      <c r="F37" s="2"/>
      <c r="G37" s="2"/>
      <c r="H37" s="2"/>
    </row>
    <row r="38" spans="2:23" ht="15.75">
      <c r="B38" s="13" t="s">
        <v>61</v>
      </c>
      <c r="C38" s="3"/>
      <c r="D38" s="3"/>
      <c r="E38" s="2"/>
      <c r="F38" s="2"/>
      <c r="G38" s="2"/>
      <c r="H38" s="2"/>
    </row>
    <row r="39" spans="2:23" ht="15.75">
      <c r="B39" s="3"/>
      <c r="C39" s="3"/>
      <c r="D39" s="3"/>
      <c r="E39" s="2"/>
      <c r="F39" s="2"/>
      <c r="G39" s="2"/>
      <c r="H39" s="2"/>
    </row>
    <row r="40" spans="2:23" ht="15.75">
      <c r="B40" s="74" t="s">
        <v>72</v>
      </c>
      <c r="C40" s="74"/>
      <c r="D40" s="74"/>
      <c r="E40" s="74"/>
      <c r="F40" s="74"/>
      <c r="G40" s="74"/>
      <c r="H40" s="68"/>
      <c r="I40" s="12"/>
    </row>
    <row r="41" spans="2:23">
      <c r="B41" s="5"/>
      <c r="C41" s="5"/>
      <c r="D41" s="3"/>
      <c r="E41" s="12"/>
      <c r="F41" s="12"/>
      <c r="G41" s="12"/>
      <c r="H41" s="12"/>
      <c r="I41" s="12"/>
    </row>
    <row r="42" spans="2:23">
      <c r="B42" s="5" t="s">
        <v>51</v>
      </c>
      <c r="C42" s="5"/>
      <c r="D42" s="153">
        <v>0.15</v>
      </c>
      <c r="E42" s="153">
        <v>4.1900000000000004</v>
      </c>
      <c r="F42" s="12"/>
      <c r="G42" s="12"/>
      <c r="H42" s="67"/>
    </row>
    <row r="44" spans="2:23">
      <c r="B44" s="80" t="s">
        <v>57</v>
      </c>
    </row>
    <row r="46" spans="2:23" ht="30">
      <c r="D46" s="38" t="str">
        <f>+B33</f>
        <v>First 2 Mcf</v>
      </c>
      <c r="E46" s="38" t="s">
        <v>69</v>
      </c>
      <c r="F46" s="38" t="s">
        <v>70</v>
      </c>
      <c r="G46" s="39" t="s">
        <v>71</v>
      </c>
    </row>
    <row r="48" spans="2:23">
      <c r="B48" s="4" t="str">
        <f>Inputs!$C$4</f>
        <v>FY 2024</v>
      </c>
      <c r="D48" s="21">
        <f>+D$33+D42</f>
        <v>59.47</v>
      </c>
      <c r="E48" s="21">
        <f>+D$34+D42</f>
        <v>53.519999999999996</v>
      </c>
      <c r="F48" s="21">
        <f>+D$35+D42</f>
        <v>41.49</v>
      </c>
      <c r="G48" s="21">
        <f>+D$36+D42</f>
        <v>40.369999999999997</v>
      </c>
    </row>
    <row r="49" spans="2:8">
      <c r="B49" s="4" t="str">
        <f>Inputs!$D$4</f>
        <v>FY 2025</v>
      </c>
      <c r="D49" s="21">
        <f>+E$33+E42</f>
        <v>68.509999999999991</v>
      </c>
      <c r="E49" s="21">
        <f>+E$34+E42</f>
        <v>62.07</v>
      </c>
      <c r="F49" s="21">
        <f>+E$35+E42</f>
        <v>49.03</v>
      </c>
      <c r="G49" s="21">
        <f>+E$36+E42</f>
        <v>47.809999999999995</v>
      </c>
    </row>
    <row r="50" spans="2:8">
      <c r="B50" s="4"/>
      <c r="D50" s="21"/>
      <c r="E50" s="21"/>
      <c r="F50" s="21"/>
      <c r="G50" s="21"/>
      <c r="H50" s="21"/>
    </row>
    <row r="55" spans="2:8" ht="18">
      <c r="B55" s="64" t="s">
        <v>73</v>
      </c>
      <c r="C55" s="64"/>
      <c r="D55" s="64"/>
      <c r="E55" s="64"/>
      <c r="F55" s="64"/>
      <c r="G55" s="64"/>
    </row>
    <row r="56" spans="2:8" ht="18">
      <c r="B56" s="64"/>
      <c r="C56" s="64"/>
      <c r="D56" s="64"/>
      <c r="E56" s="64"/>
      <c r="F56" s="64"/>
      <c r="G56" s="64"/>
      <c r="H56" s="64"/>
    </row>
    <row r="57" spans="2:8" ht="18">
      <c r="B57" s="64" t="s">
        <v>74</v>
      </c>
      <c r="C57" s="64"/>
      <c r="D57" s="64"/>
      <c r="E57" s="64"/>
      <c r="F57" s="64"/>
      <c r="G57" s="64"/>
    </row>
    <row r="58" spans="2:8" ht="18">
      <c r="B58" s="64" t="s">
        <v>75</v>
      </c>
      <c r="C58" s="64"/>
      <c r="D58" s="64"/>
      <c r="E58" s="64"/>
      <c r="F58" s="64"/>
      <c r="G58" s="64"/>
    </row>
    <row r="59" spans="2:8" ht="18">
      <c r="B59" s="180"/>
      <c r="C59" s="180"/>
      <c r="D59" s="180"/>
      <c r="E59" s="180"/>
      <c r="F59" s="180"/>
      <c r="G59" s="180"/>
      <c r="H59" s="22"/>
    </row>
    <row r="60" spans="2:8" ht="15.75">
      <c r="B60" s="2"/>
      <c r="C60" s="2"/>
      <c r="D60" s="2"/>
      <c r="E60" s="2"/>
      <c r="F60" s="2"/>
      <c r="G60" s="2"/>
      <c r="H60" s="2"/>
    </row>
    <row r="61" spans="2:8" ht="15.75">
      <c r="B61" s="181" t="s">
        <v>76</v>
      </c>
      <c r="C61" s="181"/>
      <c r="D61" s="181"/>
      <c r="E61" s="181"/>
      <c r="F61" s="181"/>
      <c r="G61" s="181"/>
      <c r="H61" s="19"/>
    </row>
    <row r="62" spans="2:8">
      <c r="B62" s="3"/>
      <c r="C62" s="3"/>
      <c r="D62" s="3"/>
      <c r="E62" s="3"/>
      <c r="F62" s="3"/>
      <c r="G62" s="40"/>
      <c r="H62" s="40"/>
    </row>
    <row r="63" spans="2:8">
      <c r="B63" s="4"/>
      <c r="C63" s="3"/>
      <c r="D63" s="4" t="str">
        <f>Inputs!$C$4</f>
        <v>FY 2024</v>
      </c>
      <c r="E63" s="4" t="str">
        <f>Inputs!$D$4</f>
        <v>FY 2025</v>
      </c>
      <c r="F63" s="4"/>
      <c r="G63" s="4"/>
      <c r="H63" s="4"/>
    </row>
    <row r="64" spans="2:8">
      <c r="B64" s="4" t="s">
        <v>77</v>
      </c>
      <c r="C64" s="3"/>
      <c r="D64" s="4" t="s">
        <v>33</v>
      </c>
      <c r="E64" s="4" t="s">
        <v>33</v>
      </c>
      <c r="F64" s="4"/>
      <c r="G64" s="4"/>
      <c r="H64" s="4"/>
    </row>
    <row r="65" spans="2:23" ht="16.5">
      <c r="B65" s="6" t="s">
        <v>78</v>
      </c>
      <c r="C65" s="7"/>
      <c r="D65" s="8" t="s">
        <v>35</v>
      </c>
      <c r="E65" s="8" t="s">
        <v>35</v>
      </c>
      <c r="F65" s="8"/>
      <c r="G65" s="8"/>
      <c r="H65" s="8"/>
    </row>
    <row r="66" spans="2:23">
      <c r="B66" s="4" t="s">
        <v>36</v>
      </c>
      <c r="C66" s="3"/>
      <c r="D66" s="4" t="s">
        <v>37</v>
      </c>
      <c r="E66" s="4" t="s">
        <v>37</v>
      </c>
      <c r="F66" s="4"/>
      <c r="G66" s="4"/>
      <c r="H66" s="4"/>
    </row>
    <row r="67" spans="2:23">
      <c r="B67" s="3"/>
      <c r="C67" s="3"/>
      <c r="D67" s="3"/>
      <c r="E67" s="3"/>
      <c r="F67" s="3"/>
      <c r="G67" s="9"/>
      <c r="H67" s="9"/>
    </row>
    <row r="68" spans="2:23">
      <c r="B68" s="10" t="s">
        <v>79</v>
      </c>
      <c r="C68" s="12"/>
      <c r="D68" s="153">
        <v>27.97</v>
      </c>
      <c r="E68" s="153">
        <v>28.06</v>
      </c>
      <c r="F68" s="166"/>
      <c r="G68" s="12"/>
      <c r="H68" s="66"/>
      <c r="V68" s="21"/>
      <c r="W68" s="21"/>
    </row>
    <row r="69" spans="2:23">
      <c r="B69" s="10">
        <v>6</v>
      </c>
      <c r="C69" s="12"/>
      <c r="D69" s="153">
        <v>51.85</v>
      </c>
      <c r="E69" s="153">
        <v>52.02</v>
      </c>
      <c r="F69" s="166"/>
      <c r="G69" s="12"/>
      <c r="H69" s="66"/>
      <c r="V69" s="21"/>
      <c r="W69" s="21"/>
    </row>
    <row r="70" spans="2:23">
      <c r="B70" s="10">
        <v>8</v>
      </c>
      <c r="C70" s="12"/>
      <c r="D70" s="153">
        <v>78.03</v>
      </c>
      <c r="E70" s="153">
        <v>78.31</v>
      </c>
      <c r="F70" s="166"/>
      <c r="G70" s="12"/>
      <c r="H70" s="66"/>
      <c r="V70" s="21"/>
      <c r="W70" s="21"/>
    </row>
    <row r="71" spans="2:23">
      <c r="B71" s="10">
        <v>10</v>
      </c>
      <c r="C71" s="12"/>
      <c r="D71" s="153">
        <v>114.74</v>
      </c>
      <c r="E71" s="153">
        <v>115.13</v>
      </c>
      <c r="F71" s="166"/>
      <c r="G71" s="12"/>
      <c r="H71" s="66"/>
      <c r="V71" s="21"/>
      <c r="W71" s="21"/>
    </row>
    <row r="72" spans="2:23">
      <c r="B72" s="10">
        <v>12</v>
      </c>
      <c r="C72" s="12"/>
      <c r="D72" s="153">
        <v>181.54</v>
      </c>
      <c r="E72" s="153">
        <v>182.34</v>
      </c>
      <c r="F72" s="166"/>
      <c r="G72" s="12"/>
      <c r="H72" s="66"/>
    </row>
    <row r="73" spans="2:23">
      <c r="B73" s="13"/>
      <c r="C73" s="3"/>
      <c r="D73" s="3"/>
      <c r="E73" s="3"/>
      <c r="F73" s="3"/>
      <c r="G73" s="14"/>
      <c r="H73" s="14"/>
    </row>
    <row r="74" spans="2:23" ht="15.75">
      <c r="B74" s="181" t="s">
        <v>80</v>
      </c>
      <c r="C74" s="181"/>
      <c r="D74" s="181"/>
      <c r="E74" s="181"/>
      <c r="F74" s="181"/>
      <c r="G74" s="181"/>
      <c r="H74" s="19"/>
    </row>
    <row r="75" spans="2:23">
      <c r="B75" s="15"/>
      <c r="C75" s="3"/>
      <c r="D75" s="3"/>
      <c r="E75" s="3"/>
      <c r="F75" s="3"/>
      <c r="G75" s="40"/>
      <c r="H75" s="40"/>
    </row>
    <row r="76" spans="2:23">
      <c r="B76" s="15"/>
      <c r="C76" s="3"/>
      <c r="D76" s="4" t="str">
        <f>Inputs!$C$4</f>
        <v>FY 2024</v>
      </c>
      <c r="E76" s="4" t="str">
        <f>Inputs!$D$4</f>
        <v>FY 2025</v>
      </c>
      <c r="F76" s="4"/>
      <c r="G76" s="4"/>
      <c r="H76" s="4"/>
    </row>
    <row r="77" spans="2:23">
      <c r="B77" s="16"/>
      <c r="C77" s="3"/>
      <c r="D77" s="4" t="s">
        <v>81</v>
      </c>
      <c r="E77" s="4" t="s">
        <v>81</v>
      </c>
      <c r="F77" s="4"/>
      <c r="G77" s="4"/>
      <c r="H77" s="4"/>
    </row>
    <row r="78" spans="2:23" ht="16.5">
      <c r="B78" s="17"/>
      <c r="C78" s="3"/>
      <c r="D78" s="8" t="s">
        <v>35</v>
      </c>
      <c r="E78" s="8" t="s">
        <v>35</v>
      </c>
      <c r="F78" s="8"/>
      <c r="G78" s="8"/>
      <c r="H78" s="8"/>
    </row>
    <row r="79" spans="2:23">
      <c r="B79" s="3"/>
      <c r="C79" s="3"/>
      <c r="D79" s="4" t="s">
        <v>37</v>
      </c>
      <c r="E79" s="4" t="s">
        <v>37</v>
      </c>
      <c r="F79" s="4"/>
      <c r="G79" s="4"/>
      <c r="H79" s="4"/>
    </row>
    <row r="80" spans="2:23">
      <c r="B80" s="3"/>
      <c r="C80" s="3"/>
      <c r="D80" s="3"/>
      <c r="E80" s="3"/>
      <c r="F80" s="3"/>
      <c r="G80" s="3"/>
      <c r="H80" s="3"/>
    </row>
    <row r="81" spans="1:23">
      <c r="B81" s="5" t="s">
        <v>82</v>
      </c>
      <c r="C81" s="3"/>
      <c r="D81" s="155">
        <v>7551000</v>
      </c>
      <c r="E81" s="155">
        <v>8248000</v>
      </c>
      <c r="F81" s="167"/>
      <c r="G81" s="83"/>
      <c r="V81" s="21"/>
      <c r="W81" s="21"/>
    </row>
    <row r="91" spans="1:23" ht="18">
      <c r="A91" s="182" t="s">
        <v>83</v>
      </c>
      <c r="B91" s="182"/>
      <c r="C91" s="182"/>
      <c r="D91" s="182"/>
      <c r="E91" s="182"/>
      <c r="F91" s="158"/>
      <c r="G91" s="120"/>
    </row>
    <row r="92" spans="1:23" ht="18" hidden="1">
      <c r="A92" s="85"/>
      <c r="B92" s="85"/>
      <c r="C92" s="85"/>
      <c r="D92" s="85"/>
      <c r="E92" s="85"/>
      <c r="F92" s="85"/>
      <c r="G92" s="120"/>
      <c r="H92" s="1"/>
    </row>
    <row r="93" spans="1:23" ht="18">
      <c r="A93" s="182" t="s">
        <v>74</v>
      </c>
      <c r="B93" s="182"/>
      <c r="C93" s="182"/>
      <c r="D93" s="182"/>
      <c r="E93" s="182"/>
      <c r="F93" s="158"/>
      <c r="G93" s="120"/>
    </row>
    <row r="94" spans="1:23" ht="18">
      <c r="A94" s="182" t="s">
        <v>75</v>
      </c>
      <c r="B94" s="182"/>
      <c r="C94" s="182"/>
      <c r="D94" s="182"/>
      <c r="E94" s="182"/>
      <c r="F94" s="158"/>
      <c r="G94" s="120"/>
    </row>
    <row r="95" spans="1:23" ht="18">
      <c r="A95" s="182" t="s">
        <v>84</v>
      </c>
      <c r="B95" s="182"/>
      <c r="C95" s="182"/>
      <c r="D95" s="182"/>
      <c r="E95" s="182"/>
      <c r="F95" s="158"/>
      <c r="G95" s="120"/>
      <c r="H95" s="22"/>
    </row>
    <row r="96" spans="1:23" ht="3.95" customHeight="1"/>
    <row r="97" spans="1:20" ht="18">
      <c r="A97" s="86"/>
      <c r="B97" s="87"/>
      <c r="C97" s="87"/>
      <c r="D97" s="88"/>
      <c r="E97" s="88">
        <f>D97-1</f>
        <v>-1</v>
      </c>
      <c r="F97" s="88"/>
      <c r="G97" s="99"/>
      <c r="O97" s="97"/>
      <c r="P97" s="98"/>
      <c r="Q97" s="98"/>
      <c r="R97" s="98"/>
      <c r="S97" s="99"/>
      <c r="T97" s="99"/>
    </row>
    <row r="98" spans="1:20" ht="17.25">
      <c r="A98" s="86"/>
      <c r="B98" s="86"/>
      <c r="C98" s="76"/>
      <c r="D98" s="76" t="str">
        <f>Inputs!$C$4</f>
        <v>FY 2024</v>
      </c>
      <c r="E98" s="76" t="str">
        <f>Inputs!$D$4</f>
        <v>FY 2025</v>
      </c>
      <c r="F98" s="76"/>
      <c r="J98" s="4"/>
      <c r="K98" s="4"/>
    </row>
    <row r="99" spans="1:20">
      <c r="A99" s="88" t="s">
        <v>85</v>
      </c>
      <c r="B99" s="88" t="s">
        <v>77</v>
      </c>
      <c r="C99" s="88"/>
      <c r="D99" s="88" t="s">
        <v>33</v>
      </c>
      <c r="E99" s="88" t="s">
        <v>33</v>
      </c>
      <c r="F99" s="88"/>
      <c r="J99" s="4"/>
      <c r="K99" s="4"/>
    </row>
    <row r="100" spans="1:20" ht="17.25">
      <c r="A100" s="75" t="s">
        <v>86</v>
      </c>
      <c r="B100" s="75" t="s">
        <v>78</v>
      </c>
      <c r="C100" s="75"/>
      <c r="D100" s="75" t="s">
        <v>35</v>
      </c>
      <c r="E100" s="75" t="s">
        <v>35</v>
      </c>
      <c r="F100" s="75"/>
      <c r="J100" s="8"/>
      <c r="K100" s="8"/>
    </row>
    <row r="101" spans="1:20">
      <c r="A101" s="89"/>
      <c r="B101" s="89" t="s">
        <v>36</v>
      </c>
      <c r="C101" s="90"/>
      <c r="D101" s="89" t="s">
        <v>37</v>
      </c>
      <c r="E101" s="89" t="s">
        <v>37</v>
      </c>
      <c r="F101" s="89"/>
      <c r="G101" s="78"/>
      <c r="J101" s="4"/>
      <c r="K101" s="4"/>
    </row>
    <row r="102" spans="1:20">
      <c r="A102" s="91" t="s">
        <v>87</v>
      </c>
      <c r="B102" s="91"/>
      <c r="C102" s="91"/>
      <c r="D102" s="91"/>
      <c r="E102" s="91"/>
      <c r="F102" s="91"/>
    </row>
    <row r="103" spans="1:20">
      <c r="A103" s="92">
        <v>1</v>
      </c>
      <c r="B103" s="92" t="s">
        <v>41</v>
      </c>
      <c r="C103" s="78"/>
      <c r="D103" s="93">
        <v>7.2200000000000006</v>
      </c>
      <c r="E103" s="93">
        <v>9.4699999999999989</v>
      </c>
      <c r="F103" s="93"/>
      <c r="H103" s="125"/>
      <c r="I103" s="125"/>
      <c r="N103" s="21"/>
      <c r="O103" s="21"/>
    </row>
    <row r="104" spans="1:20">
      <c r="A104" s="92">
        <f>1+MAX(A$97:A103)</f>
        <v>2</v>
      </c>
      <c r="B104" s="92">
        <v>1</v>
      </c>
      <c r="C104" s="78"/>
      <c r="D104" s="93">
        <v>8.42</v>
      </c>
      <c r="E104" s="93">
        <v>10.93</v>
      </c>
      <c r="F104" s="93"/>
      <c r="H104" s="125"/>
      <c r="I104" s="125"/>
      <c r="N104" s="21"/>
      <c r="O104" s="21"/>
    </row>
    <row r="105" spans="1:20">
      <c r="A105" s="92">
        <f>1+MAX(A$97:A104)</f>
        <v>3</v>
      </c>
      <c r="B105" s="92" t="s">
        <v>46</v>
      </c>
      <c r="C105" s="78"/>
      <c r="D105" s="93">
        <v>10.81</v>
      </c>
      <c r="E105" s="93">
        <v>13.94</v>
      </c>
      <c r="F105" s="93"/>
      <c r="H105" s="125"/>
      <c r="I105" s="125"/>
      <c r="N105" s="21"/>
      <c r="O105" s="21"/>
    </row>
    <row r="106" spans="1:20">
      <c r="A106" s="92">
        <f>1+MAX(A$97:A105)</f>
        <v>4</v>
      </c>
      <c r="B106" s="92">
        <v>2</v>
      </c>
      <c r="C106" s="78"/>
      <c r="D106" s="93">
        <v>14.44</v>
      </c>
      <c r="E106" s="93">
        <v>18.310000000000002</v>
      </c>
      <c r="F106" s="93"/>
      <c r="H106" s="125"/>
      <c r="I106" s="125"/>
      <c r="N106" s="21"/>
      <c r="O106" s="21"/>
    </row>
    <row r="107" spans="1:20" ht="2.25" customHeight="1">
      <c r="A107" s="58"/>
      <c r="B107" s="58"/>
      <c r="C107" s="58"/>
      <c r="D107" s="58"/>
      <c r="E107" s="58"/>
      <c r="F107" s="58"/>
    </row>
    <row r="108" spans="1:20">
      <c r="A108" s="91" t="s">
        <v>88</v>
      </c>
      <c r="B108" s="91"/>
      <c r="C108" s="91"/>
      <c r="D108" s="91"/>
      <c r="E108" s="91"/>
      <c r="F108" s="91"/>
    </row>
    <row r="109" spans="1:20">
      <c r="A109" s="92">
        <f>1+MAX(A$97:A108)</f>
        <v>5</v>
      </c>
      <c r="B109" s="92" t="s">
        <v>41</v>
      </c>
      <c r="C109" s="78"/>
      <c r="D109" s="93">
        <v>7.5</v>
      </c>
      <c r="E109" s="93">
        <v>7.54</v>
      </c>
      <c r="F109" s="93"/>
      <c r="N109" s="21"/>
      <c r="O109" s="21"/>
    </row>
    <row r="110" spans="1:20">
      <c r="A110" s="92">
        <f>1+MAX(A$97:A109)</f>
        <v>6</v>
      </c>
      <c r="B110" s="92">
        <v>1</v>
      </c>
      <c r="C110" s="78"/>
      <c r="D110" s="93">
        <v>7.5</v>
      </c>
      <c r="E110" s="93">
        <v>7.54</v>
      </c>
      <c r="F110" s="93"/>
      <c r="N110" s="21"/>
      <c r="O110" s="21"/>
    </row>
    <row r="111" spans="1:20" hidden="1">
      <c r="A111" s="112"/>
      <c r="B111" s="112" t="s">
        <v>44</v>
      </c>
      <c r="C111" s="112"/>
      <c r="D111" s="111">
        <v>7.5</v>
      </c>
      <c r="E111" s="93">
        <v>7.54</v>
      </c>
      <c r="F111" s="93"/>
    </row>
    <row r="112" spans="1:20">
      <c r="A112" s="92">
        <f>1+MAX(A$97:A111)</f>
        <v>7</v>
      </c>
      <c r="B112" s="92" t="s">
        <v>46</v>
      </c>
      <c r="C112" s="78"/>
      <c r="D112" s="93">
        <v>7.5</v>
      </c>
      <c r="E112" s="93">
        <v>7.54</v>
      </c>
      <c r="F112" s="93"/>
      <c r="N112" s="21"/>
      <c r="O112" s="21"/>
    </row>
    <row r="113" spans="1:15">
      <c r="A113" s="92">
        <f>1+MAX(A$97:A112)</f>
        <v>8</v>
      </c>
      <c r="B113" s="92">
        <v>2</v>
      </c>
      <c r="C113" s="78"/>
      <c r="D113" s="93">
        <v>7.5</v>
      </c>
      <c r="E113" s="93">
        <v>7.54</v>
      </c>
      <c r="F113" s="93"/>
      <c r="N113" s="21"/>
      <c r="O113" s="21"/>
    </row>
    <row r="114" spans="1:15" ht="2.25" customHeight="1"/>
  </sheetData>
  <mergeCells count="10">
    <mergeCell ref="A95:E95"/>
    <mergeCell ref="I26:M26"/>
    <mergeCell ref="B74:G74"/>
    <mergeCell ref="B26:G26"/>
    <mergeCell ref="B6:G6"/>
    <mergeCell ref="B59:G59"/>
    <mergeCell ref="B61:G61"/>
    <mergeCell ref="A91:E91"/>
    <mergeCell ref="A93:E93"/>
    <mergeCell ref="A94:E94"/>
  </mergeCells>
  <hyperlinks>
    <hyperlink ref="A1" location="TOC!A1" display="TOC!A1" xr:uid="{00000000-0004-0000-0200-000000000000}"/>
  </hyperlinks>
  <printOptions horizontalCentered="1"/>
  <pageMargins left="0.7" right="0.7" top="0.75" bottom="0.75" header="0.3" footer="0.3"/>
  <pageSetup fitToWidth="0" orientation="portrait" r:id="rId1"/>
  <ignoredErrors>
    <ignoredError sqref="A17:B17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T47"/>
  <sheetViews>
    <sheetView zoomScaleNormal="100" workbookViewId="0">
      <selection activeCell="R22" sqref="R22"/>
    </sheetView>
  </sheetViews>
  <sheetFormatPr defaultRowHeight="15"/>
  <cols>
    <col min="2" max="6" width="15.85546875" customWidth="1"/>
    <col min="7" max="7" width="23.85546875" customWidth="1"/>
    <col min="8" max="11" width="9.140625" customWidth="1"/>
    <col min="12" max="12" width="6.42578125" customWidth="1"/>
    <col min="14" max="14" width="2.85546875" customWidth="1"/>
    <col min="19" max="19" width="8.85546875" customWidth="1"/>
    <col min="20" max="20" width="1.5703125" customWidth="1"/>
  </cols>
  <sheetData>
    <row r="1" spans="1:20" ht="15.75" thickBot="1">
      <c r="A1" s="122" t="s">
        <v>21</v>
      </c>
    </row>
    <row r="2" spans="1:20" ht="15.75">
      <c r="B2" s="114" t="s">
        <v>89</v>
      </c>
      <c r="C2" s="114"/>
      <c r="D2" s="114"/>
      <c r="E2" s="114"/>
      <c r="F2" s="114"/>
    </row>
    <row r="3" spans="1:20" ht="15.75">
      <c r="B3" s="114" t="s">
        <v>90</v>
      </c>
      <c r="C3" s="114"/>
      <c r="D3" s="114"/>
      <c r="E3" s="114"/>
      <c r="F3" s="114"/>
    </row>
    <row r="4" spans="1:20" ht="15.75">
      <c r="B4" s="114" t="s">
        <v>91</v>
      </c>
      <c r="C4" s="114"/>
      <c r="D4" s="114"/>
      <c r="E4" s="114"/>
      <c r="F4" s="114"/>
    </row>
    <row r="5" spans="1:20" ht="15.75">
      <c r="B5" s="114" t="s">
        <v>92</v>
      </c>
      <c r="C5" s="114"/>
      <c r="D5" s="114"/>
      <c r="E5" s="114"/>
      <c r="F5" s="114"/>
    </row>
    <row r="6" spans="1:20">
      <c r="B6" s="23"/>
      <c r="C6" s="23"/>
      <c r="D6" s="23"/>
      <c r="E6" s="24"/>
      <c r="F6" s="23"/>
    </row>
    <row r="7" spans="1:20">
      <c r="B7" s="115">
        <v>-1</v>
      </c>
      <c r="C7" s="115">
        <v>-2</v>
      </c>
      <c r="D7" s="115">
        <v>-3</v>
      </c>
      <c r="E7" s="115">
        <v>-4</v>
      </c>
      <c r="F7" s="115">
        <v>-5</v>
      </c>
    </row>
    <row r="8" spans="1:20" ht="16.5" customHeight="1">
      <c r="B8" s="119"/>
      <c r="C8" s="119"/>
      <c r="D8" s="119" t="str">
        <f>Inputs!$C$4</f>
        <v>FY 2024</v>
      </c>
      <c r="E8" s="117" t="str">
        <f>Inputs!$D$4</f>
        <v>FY 2025</v>
      </c>
      <c r="F8" s="117"/>
    </row>
    <row r="9" spans="1:20" ht="5.0999999999999996" hidden="1" customHeight="1"/>
    <row r="10" spans="1:20" ht="15.75">
      <c r="B10" s="115"/>
      <c r="C10" s="115"/>
      <c r="D10" s="115"/>
      <c r="E10" s="115"/>
      <c r="F10" s="115"/>
      <c r="I10" s="114" t="s">
        <v>93</v>
      </c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0">
      <c r="B11" s="115" t="s">
        <v>94</v>
      </c>
      <c r="C11" s="115" t="s">
        <v>33</v>
      </c>
      <c r="D11" s="115" t="s">
        <v>95</v>
      </c>
      <c r="E11" s="115" t="s">
        <v>96</v>
      </c>
      <c r="F11" s="115" t="s">
        <v>97</v>
      </c>
    </row>
    <row r="12" spans="1:20" ht="17.25">
      <c r="B12" s="119" t="s">
        <v>98</v>
      </c>
      <c r="C12" s="119" t="s">
        <v>99</v>
      </c>
      <c r="D12" s="119" t="s">
        <v>100</v>
      </c>
      <c r="E12" s="119" t="s">
        <v>100</v>
      </c>
      <c r="F12" s="119" t="s">
        <v>101</v>
      </c>
      <c r="I12" s="168" t="str">
        <f>D8</f>
        <v>FY 2024</v>
      </c>
      <c r="J12" s="168"/>
      <c r="K12" s="168"/>
      <c r="L12" s="168"/>
      <c r="M12" s="168"/>
      <c r="N12" s="169"/>
      <c r="O12" s="168" t="str">
        <f>E8</f>
        <v>FY 2025</v>
      </c>
      <c r="P12" s="168"/>
      <c r="Q12" s="168"/>
      <c r="R12" s="168"/>
      <c r="S12" s="168"/>
    </row>
    <row r="13" spans="1:20">
      <c r="B13" s="115" t="s">
        <v>36</v>
      </c>
      <c r="C13" s="115" t="s">
        <v>102</v>
      </c>
      <c r="D13" s="115" t="s">
        <v>37</v>
      </c>
      <c r="E13" s="115" t="s">
        <v>37</v>
      </c>
      <c r="F13" s="115" t="s">
        <v>103</v>
      </c>
      <c r="I13" s="168"/>
      <c r="J13" s="168"/>
      <c r="K13" s="168"/>
      <c r="L13" s="168"/>
      <c r="M13" s="168"/>
      <c r="N13" s="169"/>
      <c r="O13" s="168"/>
      <c r="P13" s="168"/>
      <c r="Q13" s="168"/>
      <c r="R13" s="168"/>
      <c r="S13" s="168"/>
    </row>
    <row r="14" spans="1:20" ht="3.6" customHeight="1" thickBot="1">
      <c r="B14" s="3"/>
      <c r="C14" s="3"/>
      <c r="D14" s="3"/>
      <c r="E14" s="3"/>
      <c r="F14" s="3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</row>
    <row r="15" spans="1:20" ht="21" thickTop="1" thickBot="1">
      <c r="B15" s="101" t="str">
        <f>+'Typical Bills WATER'!B14</f>
        <v>5/8</v>
      </c>
      <c r="C15" s="102">
        <f>+'Typical Bills WATER'!C14</f>
        <v>0</v>
      </c>
      <c r="D15" s="102">
        <f>+'Typical Bills WATER'!D14+'Typical Bills SANITARY'!D14+'Typical Res Bills SW'!D14</f>
        <v>30.87</v>
      </c>
      <c r="E15" s="102">
        <f>+'Typical Bills WATER'!E14+'Typical Bills SANITARY'!E14+'Typical Res Bills SW'!E14</f>
        <v>33.22</v>
      </c>
      <c r="F15" s="103">
        <f t="shared" ref="F15:F26" si="0">(+E15/D15-1)*100</f>
        <v>7.6125688370586309</v>
      </c>
      <c r="I15" s="170" t="s">
        <v>104</v>
      </c>
      <c r="J15" s="170" t="s">
        <v>105</v>
      </c>
      <c r="K15" s="170" t="s">
        <v>106</v>
      </c>
      <c r="L15" s="170" t="s">
        <v>107</v>
      </c>
      <c r="M15" s="170" t="s">
        <v>108</v>
      </c>
      <c r="N15" s="169"/>
      <c r="O15" s="170" t="s">
        <v>104</v>
      </c>
      <c r="P15" s="170" t="s">
        <v>105</v>
      </c>
      <c r="Q15" s="170" t="s">
        <v>106</v>
      </c>
      <c r="R15" s="170" t="s">
        <v>107</v>
      </c>
      <c r="S15" s="170" t="s">
        <v>108</v>
      </c>
    </row>
    <row r="16" spans="1:20" ht="16.5" thickTop="1" thickBot="1">
      <c r="B16" s="130" t="str">
        <f>+'Typical Bills WATER'!B15</f>
        <v>5/8</v>
      </c>
      <c r="C16" s="131">
        <f>+'Typical Bills WATER'!C15</f>
        <v>0.2</v>
      </c>
      <c r="D16" s="131">
        <f>+'Typical Bills WATER'!D15+'Typical Bills SANITARY'!D15+'Typical Res Bills SW'!D15</f>
        <v>50.39</v>
      </c>
      <c r="E16" s="131">
        <f>+'Typical Bills WATER'!E15+'Typical Bills SANITARY'!E15+'Typical Res Bills SW'!E15</f>
        <v>56.349999999999994</v>
      </c>
      <c r="F16" s="132">
        <f t="shared" si="0"/>
        <v>11.827743599920604</v>
      </c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</row>
    <row r="17" spans="2:19" ht="16.5" thickTop="1" thickBot="1">
      <c r="B17" s="140" t="str">
        <f>+'Typical Bills WATER'!B16</f>
        <v>5/8</v>
      </c>
      <c r="C17" s="141">
        <f>+'Typical Bills WATER'!C16</f>
        <v>0.3</v>
      </c>
      <c r="D17" s="141">
        <f>+'Typical Bills WATER'!D16+'Typical Bills SANITARY'!D16+'Typical Res Bills SW'!D16</f>
        <v>60.16</v>
      </c>
      <c r="E17" s="141">
        <f>+'Typical Bills WATER'!E16+'Typical Bills SANITARY'!E16+'Typical Res Bills SW'!E16</f>
        <v>67.92</v>
      </c>
      <c r="F17" s="160">
        <f t="shared" si="0"/>
        <v>12.898936170212782</v>
      </c>
      <c r="G17" s="139" t="s">
        <v>109</v>
      </c>
      <c r="I17" s="171">
        <f>ROUND(+'Typical Bills WATER'!D16,2)</f>
        <v>22.95</v>
      </c>
      <c r="J17" s="172">
        <f>ROUND(+'Typical Bills SANITARY'!D16,2)</f>
        <v>18.71</v>
      </c>
      <c r="K17" s="172">
        <f>+'Typical Res Bills SW'!D16</f>
        <v>18.5</v>
      </c>
      <c r="L17" s="172">
        <f>+I17+J17+K17</f>
        <v>60.16</v>
      </c>
      <c r="M17" s="173">
        <f>L17-ROUND(L17*0.25,2)</f>
        <v>45.12</v>
      </c>
      <c r="N17" s="129"/>
      <c r="O17" s="171">
        <f>ROUND(+'Typical Bills WATER'!E16,2)</f>
        <v>25.72</v>
      </c>
      <c r="P17" s="172">
        <f>ROUND(+'Typical Bills SANITARY'!E16,2)</f>
        <v>21.79</v>
      </c>
      <c r="Q17" s="172">
        <f>+'Typical Res Bills SW'!E16</f>
        <v>20.41</v>
      </c>
      <c r="R17" s="172">
        <f>+O17+P17+Q17</f>
        <v>67.92</v>
      </c>
      <c r="S17" s="173">
        <f>R17-ROUND(R17*0.25,2)</f>
        <v>50.94</v>
      </c>
    </row>
    <row r="18" spans="2:19" ht="16.5" thickTop="1" thickBot="1">
      <c r="B18" s="136" t="str">
        <f>+'Typical Bills WATER'!B17</f>
        <v>5/8</v>
      </c>
      <c r="C18" s="137">
        <f>+'Typical Bills WATER'!C17</f>
        <v>0.4</v>
      </c>
      <c r="D18" s="137">
        <f>+'Typical Bills WATER'!D17+'Typical Bills SANITARY'!D17+'Typical Res Bills SW'!D17</f>
        <v>69.930000000000007</v>
      </c>
      <c r="E18" s="137">
        <f>+'Typical Bills WATER'!E17+'Typical Bills SANITARY'!E17+'Typical Res Bills SW'!E17</f>
        <v>79.48</v>
      </c>
      <c r="F18" s="138">
        <f t="shared" si="0"/>
        <v>13.656513656513658</v>
      </c>
      <c r="G18" s="139"/>
      <c r="S18" s="94" t="s">
        <v>149</v>
      </c>
    </row>
    <row r="19" spans="2:19" ht="16.5" thickTop="1" thickBot="1">
      <c r="B19" s="140" t="str">
        <f>+'Typical Bills WATER'!B18</f>
        <v>5/8</v>
      </c>
      <c r="C19" s="141">
        <f>+'Typical Bills WATER'!C18</f>
        <v>0.45</v>
      </c>
      <c r="D19" s="141">
        <f>+'Typical Bills WATER'!D18+'Typical Bills SANITARY'!D18+'Typical Res Bills SW'!D18</f>
        <v>74.81</v>
      </c>
      <c r="E19" s="141">
        <f>+'Typical Bills WATER'!E18+'Typical Bills SANITARY'!E18+'Typical Res Bills SW'!E18</f>
        <v>85.27</v>
      </c>
      <c r="F19" s="160">
        <f t="shared" si="0"/>
        <v>13.982087956155587</v>
      </c>
      <c r="G19" s="139" t="s">
        <v>110</v>
      </c>
      <c r="H19" s="21"/>
      <c r="S19" s="162"/>
    </row>
    <row r="20" spans="2:19" ht="16.5" thickTop="1" thickBot="1">
      <c r="B20" s="133" t="str">
        <f>+'Typical Bills WATER'!B19</f>
        <v>5/8</v>
      </c>
      <c r="C20" s="134">
        <f>+'Typical Bills WATER'!C19</f>
        <v>0.5</v>
      </c>
      <c r="D20" s="134">
        <f>+'Typical Bills WATER'!D19+'Typical Bills SANITARY'!D19+'Typical Res Bills SW'!D19</f>
        <v>79.7</v>
      </c>
      <c r="E20" s="134">
        <f>+'Typical Bills WATER'!E19+'Typical Bills SANITARY'!E19+'Typical Res Bills SW'!E19</f>
        <v>91.06</v>
      </c>
      <c r="F20" s="135">
        <f>(+E20/D20-1)*100</f>
        <v>14.253450439146809</v>
      </c>
      <c r="G20" s="139"/>
      <c r="H20" s="21"/>
    </row>
    <row r="21" spans="2:19" ht="16.5" thickTop="1" thickBot="1">
      <c r="B21" s="133" t="str">
        <f>+'Typical Bills WATER'!B20</f>
        <v>5/8</v>
      </c>
      <c r="C21" s="134">
        <f>+'Typical Bills WATER'!C20</f>
        <v>0.6</v>
      </c>
      <c r="D21" s="134">
        <f>+'Typical Bills WATER'!D20+'Typical Bills SANITARY'!D20+'Typical Res Bills SW'!D20</f>
        <v>89.449999999999989</v>
      </c>
      <c r="E21" s="134">
        <f>+'Typical Bills WATER'!E20+'Typical Bills SANITARY'!E20+'Typical Res Bills SW'!E20</f>
        <v>102.62</v>
      </c>
      <c r="F21" s="135">
        <f t="shared" si="0"/>
        <v>14.723309111235338</v>
      </c>
    </row>
    <row r="22" spans="2:19" ht="16.5" thickTop="1" thickBot="1">
      <c r="B22" s="101" t="str">
        <f>+'Typical Bills WATER'!B21</f>
        <v>5/8</v>
      </c>
      <c r="C22" s="102">
        <f>+'Typical Bills WATER'!C21</f>
        <v>0.7</v>
      </c>
      <c r="D22" s="102">
        <f>+'Typical Bills WATER'!D21+'Typical Bills SANITARY'!D21+'Typical Res Bills SW'!D21</f>
        <v>99.22</v>
      </c>
      <c r="E22" s="102">
        <f>+'Typical Bills WATER'!E21+'Typical Bills SANITARY'!E21+'Typical Res Bills SW'!E21</f>
        <v>114.19</v>
      </c>
      <c r="F22" s="103">
        <f t="shared" si="0"/>
        <v>15.087683934690578</v>
      </c>
    </row>
    <row r="23" spans="2:19" ht="16.5" thickTop="1" thickBot="1">
      <c r="B23" s="101" t="str">
        <f>+'Typical Bills WATER'!B22</f>
        <v>5/8</v>
      </c>
      <c r="C23" s="102">
        <f>+'Typical Bills WATER'!C22</f>
        <v>0.8</v>
      </c>
      <c r="D23" s="102">
        <f>+'Typical Bills WATER'!D22+'Typical Bills SANITARY'!D22+'Typical Res Bills SW'!D22</f>
        <v>108.99</v>
      </c>
      <c r="E23" s="102">
        <f>+'Typical Bills WATER'!E22+'Typical Bills SANITARY'!E22+'Typical Res Bills SW'!E22</f>
        <v>125.75</v>
      </c>
      <c r="F23" s="103">
        <f t="shared" si="0"/>
        <v>15.377557574089362</v>
      </c>
    </row>
    <row r="24" spans="2:19" ht="16.5" thickTop="1" thickBot="1">
      <c r="B24" s="101" t="str">
        <f>+'Typical Bills WATER'!B23</f>
        <v>5/8</v>
      </c>
      <c r="C24" s="102">
        <f>+'Typical Bills WATER'!C23</f>
        <v>1.7</v>
      </c>
      <c r="D24" s="102">
        <f>+'Typical Bills WATER'!D23+'Typical Bills SANITARY'!D23+'Typical Res Bills SW'!D23</f>
        <v>196.86</v>
      </c>
      <c r="E24" s="102">
        <f>+'Typical Bills WATER'!E23+'Typical Bills SANITARY'!E23+'Typical Res Bills SW'!E23</f>
        <v>229.85</v>
      </c>
      <c r="F24" s="103">
        <f t="shared" si="0"/>
        <v>16.758102204612403</v>
      </c>
    </row>
    <row r="25" spans="2:19" ht="16.5" thickTop="1" thickBot="1">
      <c r="B25" s="101" t="str">
        <f>+'Typical Bills WATER'!B24</f>
        <v>5/8</v>
      </c>
      <c r="C25" s="102">
        <f>+'Typical Bills WATER'!C24</f>
        <v>2.7</v>
      </c>
      <c r="D25" s="102">
        <f>+'Typical Bills WATER'!D24+'Typical Bills SANITARY'!D24+'Typical Res Bills SW'!D24</f>
        <v>290.33000000000004</v>
      </c>
      <c r="E25" s="102">
        <f>+'Typical Bills WATER'!E24+'Typical Bills SANITARY'!E24+'Typical Res Bills SW'!E24</f>
        <v>341</v>
      </c>
      <c r="F25" s="103">
        <f t="shared" si="0"/>
        <v>17.452553990286891</v>
      </c>
      <c r="K25" s="21"/>
      <c r="L25" s="162"/>
      <c r="M25" s="94"/>
    </row>
    <row r="26" spans="2:19" ht="16.5" thickTop="1" thickBot="1">
      <c r="B26" s="101" t="str">
        <f>+'Typical Bills WATER'!B25</f>
        <v>5/8</v>
      </c>
      <c r="C26" s="102">
        <f>+'Typical Bills WATER'!C25</f>
        <v>3.3</v>
      </c>
      <c r="D26" s="102">
        <f>+'Typical Bills WATER'!D25+'Typical Bills SANITARY'!D25+'Typical Res Bills SW'!D25</f>
        <v>345.35</v>
      </c>
      <c r="E26" s="102">
        <f>+'Typical Bills WATER'!E25+'Typical Bills SANITARY'!E25+'Typical Res Bills SW'!E25</f>
        <v>406.53000000000003</v>
      </c>
      <c r="F26" s="103">
        <f t="shared" si="0"/>
        <v>17.715361227739979</v>
      </c>
      <c r="I26" s="21"/>
      <c r="K26" s="21"/>
      <c r="M26" s="162"/>
    </row>
    <row r="27" spans="2:19" ht="15.75" thickTop="1">
      <c r="B27" s="9"/>
      <c r="C27" s="26"/>
      <c r="D27" s="27"/>
      <c r="E27" s="27"/>
      <c r="F27" s="3"/>
      <c r="J27" s="21"/>
      <c r="K27" s="21"/>
    </row>
    <row r="28" spans="2:19">
      <c r="B28" s="127" t="s">
        <v>111</v>
      </c>
      <c r="C28" s="26"/>
      <c r="D28" s="27"/>
      <c r="E28" s="27"/>
      <c r="F28" s="3"/>
      <c r="J28" s="21"/>
    </row>
    <row r="29" spans="2:19">
      <c r="B29" s="128" t="str">
        <f>"FY 2024 figures reflect the existing base and current TAP-R rates, of $"&amp;FIXED('Water Charges'!$D$42,2,TRUE)&amp;"/Mcf for water and $"&amp;FIXED('Wastewater Charges'!$E$45,2,TRUE)&amp;"/Mcf for sewer. "</f>
        <v xml:space="preserve">FY 2024 figures reflect the existing base and current TAP-R rates, of $0.15/Mcf for water and $0.24/Mcf for sewer. </v>
      </c>
      <c r="C29" s="3"/>
      <c r="D29" s="3"/>
      <c r="E29" s="3"/>
      <c r="F29" s="3"/>
      <c r="K29" s="21"/>
      <c r="L29" s="162"/>
    </row>
    <row r="30" spans="2:19">
      <c r="B30" s="128" t="str">
        <f>"FY 2025 figures reflect the adopted base rates and proposed TAP-R rates of $"&amp;FIXED('Water Charges'!$E$42,2,TRUE)&amp;"/Mcf for water and $"&amp;FIXED('Wastewater Charges'!$F$45,2,TRUE)&amp;"/Mcf for sewer. "</f>
        <v xml:space="preserve">FY 2025 figures reflect the adopted base rates and proposed TAP-R rates of $4.19/Mcf for water and $6.04/Mcf for sewer. </v>
      </c>
      <c r="C30" s="3"/>
      <c r="D30" s="3"/>
      <c r="E30" s="3"/>
      <c r="F30" s="3"/>
    </row>
    <row r="31" spans="2:19">
      <c r="B31" s="128" t="str">
        <f>"The "&amp;TEXT($E$8,"0")&amp;" TAP-R rates are subject to the Rate Board's Determination in the "&amp;TEXT($D$8,"0")&amp;" TAP-R Reconciliation Proceeding."</f>
        <v>The FY 2025 TAP-R rates are subject to the Rate Board's Determination in the FY 2024 TAP-R Reconciliation Proceeding.</v>
      </c>
      <c r="C31" s="3"/>
      <c r="D31" s="3"/>
      <c r="E31" s="3"/>
      <c r="F31" s="3"/>
    </row>
    <row r="32" spans="2:19">
      <c r="B32" s="128" t="s">
        <v>112</v>
      </c>
      <c r="C32" s="3"/>
      <c r="D32" s="3"/>
      <c r="E32" s="3"/>
      <c r="F32" s="3"/>
    </row>
    <row r="33" spans="2:15">
      <c r="B33" s="128"/>
      <c r="C33" s="3"/>
      <c r="D33" s="3"/>
      <c r="E33" s="3"/>
      <c r="F33" s="3"/>
    </row>
    <row r="34" spans="2:15">
      <c r="B34" s="163" t="s">
        <v>152</v>
      </c>
      <c r="C34" s="3"/>
      <c r="D34" s="3"/>
      <c r="E34" s="3"/>
      <c r="F34" s="3"/>
    </row>
    <row r="35" spans="2:15">
      <c r="B35" s="163" t="s">
        <v>150</v>
      </c>
      <c r="C35" s="3"/>
      <c r="D35" s="3"/>
      <c r="E35" s="3"/>
      <c r="F35" s="3"/>
    </row>
    <row r="36" spans="2:15">
      <c r="C36" s="3"/>
      <c r="D36" s="3"/>
      <c r="E36" s="3"/>
      <c r="F36" s="3"/>
    </row>
    <row r="37" spans="2:15">
      <c r="B37" s="165" t="s">
        <v>113</v>
      </c>
      <c r="C37" s="3"/>
      <c r="D37" s="3"/>
      <c r="E37" s="3"/>
      <c r="F37" s="3"/>
    </row>
    <row r="38" spans="2:15">
      <c r="B38" s="165" t="str">
        <f>"on their total bill. The associated "&amp;TEXT($D$8,"0")&amp;" and "&amp;TEXT($E$8,"0")&amp;" bills would be $"&amp;FIXED($M$17,2,TRUE)&amp;" and $"&amp;TEXT($S$17,"0.00")&amp;", respectively. "</f>
        <v xml:space="preserve">on their total bill. The associated FY 2024 and FY 2025 bills would be $45.12 and $50.94, respectively. </v>
      </c>
      <c r="C38" s="3"/>
      <c r="D38" s="3"/>
      <c r="E38" s="3"/>
      <c r="F38" s="3"/>
      <c r="O38" s="21"/>
    </row>
    <row r="39" spans="2:15">
      <c r="C39" s="3"/>
      <c r="D39" s="3"/>
      <c r="E39" s="3"/>
      <c r="F39" s="3"/>
    </row>
    <row r="40" spans="2:15">
      <c r="B40" s="163" t="s">
        <v>153</v>
      </c>
      <c r="C40" s="3"/>
      <c r="D40" s="3"/>
      <c r="E40" s="3"/>
      <c r="F40" s="3"/>
    </row>
    <row r="41" spans="2:15">
      <c r="B41" s="163" t="s">
        <v>154</v>
      </c>
    </row>
    <row r="42" spans="2:15">
      <c r="B42" s="128"/>
    </row>
    <row r="43" spans="2:15">
      <c r="B43" s="90" t="s">
        <v>61</v>
      </c>
    </row>
    <row r="45" spans="2:15">
      <c r="B45" s="163"/>
    </row>
    <row r="46" spans="2:15">
      <c r="B46" s="163"/>
    </row>
    <row r="47" spans="2:15">
      <c r="B47" s="163"/>
    </row>
  </sheetData>
  <conditionalFormatting sqref="E18 E23:F23">
    <cfRule type="cellIs" dxfId="7" priority="14" operator="lessThan">
      <formula>0</formula>
    </cfRule>
  </conditionalFormatting>
  <hyperlinks>
    <hyperlink ref="A1" location="TOC!A1" display="TOC!A1" xr:uid="{00000000-0004-0000-0300-000000000000}"/>
  </hyperlinks>
  <printOptions horizontalCentered="1"/>
  <pageMargins left="0.75" right="0.75" top="0.75" bottom="0.75" header="0.05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67"/>
  <sheetViews>
    <sheetView zoomScaleNormal="100" zoomScaleSheetLayoutView="100" workbookViewId="0"/>
  </sheetViews>
  <sheetFormatPr defaultRowHeight="15"/>
  <cols>
    <col min="2" max="8" width="15.85546875" customWidth="1"/>
    <col min="9" max="9" width="8.85546875"/>
  </cols>
  <sheetData>
    <row r="1" spans="1:16" ht="15.75" thickBot="1">
      <c r="A1" s="122" t="s">
        <v>21</v>
      </c>
    </row>
    <row r="2" spans="1:16" ht="15.75">
      <c r="B2" s="114" t="s">
        <v>114</v>
      </c>
      <c r="C2" s="114"/>
      <c r="D2" s="114"/>
      <c r="E2" s="114"/>
      <c r="F2" s="114"/>
      <c r="G2" s="114"/>
      <c r="H2" s="114"/>
    </row>
    <row r="3" spans="1:16" ht="15.75">
      <c r="B3" s="114" t="s">
        <v>115</v>
      </c>
      <c r="C3" s="114"/>
      <c r="D3" s="114"/>
      <c r="E3" s="114"/>
      <c r="F3" s="114"/>
      <c r="G3" s="114"/>
      <c r="H3" s="114"/>
    </row>
    <row r="4" spans="1:16" ht="15.75">
      <c r="B4" s="114" t="s">
        <v>116</v>
      </c>
      <c r="C4" s="114"/>
      <c r="D4" s="114"/>
      <c r="E4" s="114"/>
      <c r="F4" s="114"/>
      <c r="G4" s="114"/>
      <c r="H4" s="114"/>
    </row>
    <row r="5" spans="1:16" ht="15.75">
      <c r="B5" s="114" t="s">
        <v>92</v>
      </c>
      <c r="C5" s="114"/>
      <c r="D5" s="114"/>
      <c r="E5" s="114"/>
      <c r="F5" s="114"/>
      <c r="G5" s="114"/>
      <c r="H5" s="114"/>
    </row>
    <row r="6" spans="1:16">
      <c r="B6" s="23"/>
      <c r="C6" s="23"/>
      <c r="D6" s="23"/>
      <c r="E6" s="23"/>
      <c r="F6" s="23"/>
      <c r="G6" s="24"/>
      <c r="H6" s="23"/>
    </row>
    <row r="7" spans="1:16">
      <c r="B7" s="115">
        <v>-1</v>
      </c>
      <c r="C7" s="115">
        <v>-2</v>
      </c>
      <c r="D7" s="115">
        <v>-3</v>
      </c>
      <c r="E7" s="115">
        <v>-4</v>
      </c>
      <c r="F7" s="115">
        <v>-5</v>
      </c>
      <c r="G7" s="115">
        <v>-6</v>
      </c>
      <c r="H7" s="115">
        <v>-7</v>
      </c>
    </row>
    <row r="8" spans="1:16" ht="17.25">
      <c r="B8" s="115"/>
      <c r="C8" s="115"/>
      <c r="D8" s="115"/>
      <c r="E8" s="115"/>
      <c r="F8" s="117" t="str">
        <f>Inputs!$C$4</f>
        <v>FY 2024</v>
      </c>
      <c r="G8" s="117" t="str">
        <f>Inputs!$D$4</f>
        <v>FY 2025</v>
      </c>
      <c r="H8" s="117"/>
    </row>
    <row r="9" spans="1:16" ht="17.25">
      <c r="B9" s="115"/>
      <c r="C9" s="115"/>
      <c r="D9" s="115"/>
      <c r="E9" s="115"/>
      <c r="F9" s="116"/>
      <c r="G9" s="117"/>
      <c r="H9" s="117"/>
    </row>
    <row r="10" spans="1:16">
      <c r="B10" s="118" t="s">
        <v>94</v>
      </c>
      <c r="C10" s="118" t="s">
        <v>33</v>
      </c>
      <c r="D10" s="118" t="s">
        <v>117</v>
      </c>
      <c r="E10" s="118" t="s">
        <v>118</v>
      </c>
      <c r="F10" s="118" t="s">
        <v>95</v>
      </c>
      <c r="G10" s="115" t="s">
        <v>96</v>
      </c>
      <c r="H10" s="118" t="s">
        <v>97</v>
      </c>
    </row>
    <row r="11" spans="1:16" ht="17.25">
      <c r="B11" s="119" t="s">
        <v>98</v>
      </c>
      <c r="C11" s="119" t="s">
        <v>99</v>
      </c>
      <c r="D11" s="119" t="s">
        <v>119</v>
      </c>
      <c r="E11" s="119" t="s">
        <v>119</v>
      </c>
      <c r="F11" s="119" t="s">
        <v>100</v>
      </c>
      <c r="G11" s="119" t="s">
        <v>100</v>
      </c>
      <c r="H11" s="119" t="s">
        <v>101</v>
      </c>
    </row>
    <row r="12" spans="1:16">
      <c r="B12" s="115" t="s">
        <v>36</v>
      </c>
      <c r="C12" s="115" t="s">
        <v>102</v>
      </c>
      <c r="D12" s="115" t="s">
        <v>120</v>
      </c>
      <c r="E12" s="115" t="s">
        <v>120</v>
      </c>
      <c r="F12" s="115" t="s">
        <v>37</v>
      </c>
      <c r="G12" s="115" t="s">
        <v>37</v>
      </c>
      <c r="H12" s="115" t="s">
        <v>103</v>
      </c>
    </row>
    <row r="13" spans="1:16" ht="4.3499999999999996" customHeight="1" thickBot="1">
      <c r="B13" s="9"/>
      <c r="C13" s="3"/>
      <c r="D13" s="3"/>
      <c r="E13" s="3"/>
      <c r="F13" s="27"/>
      <c r="G13" s="27"/>
      <c r="H13" s="3"/>
    </row>
    <row r="14" spans="1:16" ht="16.5" thickTop="1" thickBot="1">
      <c r="B14" s="101" t="str">
        <f>+'Typical Bills WATER'!B14</f>
        <v>5/8</v>
      </c>
      <c r="C14" s="104">
        <f>+'Typical Bills WATER'!C14</f>
        <v>0</v>
      </c>
      <c r="D14" s="105">
        <f>+'Typical Non-Res Bills SW'!D14</f>
        <v>1794</v>
      </c>
      <c r="E14" s="105">
        <f>+'Typical Non-Res Bills SW'!E14</f>
        <v>2110</v>
      </c>
      <c r="F14" s="106">
        <f>+'Typical Bills WATER'!D14+'Typical Bills SANITARY'!D14+'Typical Non-Res Bills SW'!F14</f>
        <v>41.44</v>
      </c>
      <c r="G14" s="106">
        <f>+'Typical Bills WATER'!E14+'Typical Bills SANITARY'!E14+'Typical Non-Res Bills SW'!G14</f>
        <v>44.879999999999995</v>
      </c>
      <c r="H14" s="104">
        <f t="shared" ref="H14:H25" si="0">(+G14/F14-1)*100</f>
        <v>8.3011583011582957</v>
      </c>
      <c r="P14" s="152"/>
    </row>
    <row r="15" spans="1:16" ht="16.5" thickTop="1" thickBot="1">
      <c r="B15" s="101" t="str">
        <f>+'Typical Bills WATER'!B15</f>
        <v>5/8</v>
      </c>
      <c r="C15" s="104">
        <f>+'Typical Bills WATER'!C15</f>
        <v>0.2</v>
      </c>
      <c r="D15" s="105">
        <f>+'Typical Non-Res Bills SW'!D14</f>
        <v>1794</v>
      </c>
      <c r="E15" s="105">
        <f>+'Typical Non-Res Bills SW'!E14</f>
        <v>2110</v>
      </c>
      <c r="F15" s="106">
        <f>+'Typical Bills WATER'!D15+'Typical Bills SANITARY'!D15+'Typical Non-Res Bills SW'!F15</f>
        <v>60.96</v>
      </c>
      <c r="G15" s="106">
        <f>+'Typical Bills WATER'!E15+'Typical Bills SANITARY'!E15+'Typical Non-Res Bills SW'!G15</f>
        <v>68.009999999999991</v>
      </c>
      <c r="H15" s="104">
        <f>(+G15/F15-1)*100</f>
        <v>11.56496062992125</v>
      </c>
    </row>
    <row r="16" spans="1:16" ht="16.5" thickTop="1" thickBot="1">
      <c r="B16" s="101" t="str">
        <f>+'Typical Bills WATER'!B16</f>
        <v>5/8</v>
      </c>
      <c r="C16" s="104">
        <f>+'Typical Bills WATER'!C16</f>
        <v>0.3</v>
      </c>
      <c r="D16" s="105">
        <f>+'Typical Non-Res Bills SW'!D16</f>
        <v>1794</v>
      </c>
      <c r="E16" s="105">
        <f>+'Typical Non-Res Bills SW'!E16</f>
        <v>2110</v>
      </c>
      <c r="F16" s="106">
        <f>+'Typical Bills WATER'!D16+'Typical Bills SANITARY'!D16+'Typical Non-Res Bills SW'!F16</f>
        <v>70.72999999999999</v>
      </c>
      <c r="G16" s="106">
        <f>+'Typical Bills WATER'!E16+'Typical Bills SANITARY'!E16+'Typical Non-Res Bills SW'!G16</f>
        <v>79.58</v>
      </c>
      <c r="H16" s="104">
        <f t="shared" si="0"/>
        <v>12.512370988265253</v>
      </c>
    </row>
    <row r="17" spans="2:18" ht="16.5" thickTop="1" thickBot="1">
      <c r="B17" s="101" t="str">
        <f>+'Typical Bills WATER'!B17</f>
        <v>5/8</v>
      </c>
      <c r="C17" s="104">
        <f>+'Typical Bills WATER'!C17</f>
        <v>0.4</v>
      </c>
      <c r="D17" s="105">
        <f>+'Typical Non-Res Bills SW'!D17</f>
        <v>1794</v>
      </c>
      <c r="E17" s="105">
        <f>+'Typical Non-Res Bills SW'!E17</f>
        <v>2110</v>
      </c>
      <c r="F17" s="106">
        <f>+'Typical Bills WATER'!D17+'Typical Bills SANITARY'!D17+'Typical Non-Res Bills SW'!F17</f>
        <v>80.5</v>
      </c>
      <c r="G17" s="106">
        <f>+'Typical Bills WATER'!E17+'Typical Bills SANITARY'!E17+'Typical Non-Res Bills SW'!G17</f>
        <v>91.14</v>
      </c>
      <c r="H17" s="104">
        <f>(+G17/F17-1)*100</f>
        <v>13.217391304347824</v>
      </c>
    </row>
    <row r="18" spans="2:18" ht="16.5" thickTop="1" thickBot="1">
      <c r="B18" s="130" t="str">
        <f>+'Typical Bills WATER'!B19</f>
        <v>5/8</v>
      </c>
      <c r="C18" s="142">
        <f>+'Typical Bills WATER'!C19</f>
        <v>0.5</v>
      </c>
      <c r="D18" s="143">
        <f>+'Typical Non-Res Bills SW'!D19</f>
        <v>4000</v>
      </c>
      <c r="E18" s="143">
        <f>+'Typical Non-Res Bills SW'!E19</f>
        <v>5500</v>
      </c>
      <c r="F18" s="144">
        <f>+'Typical Bills WATER'!D19+'Typical Bills SANITARY'!D19+'Typical Non-Res Bills SW'!F19</f>
        <v>117.67</v>
      </c>
      <c r="G18" s="144">
        <f>+'Typical Bills WATER'!E19+'Typical Bills SANITARY'!E19+'Typical Non-Res Bills SW'!G19</f>
        <v>133.12</v>
      </c>
      <c r="H18" s="142">
        <f t="shared" si="0"/>
        <v>13.129939661765967</v>
      </c>
    </row>
    <row r="19" spans="2:18" ht="16.5" thickTop="1" thickBot="1">
      <c r="B19" s="140" t="str">
        <f>+'Typical Bills WATER'!B20</f>
        <v>5/8</v>
      </c>
      <c r="C19" s="148">
        <f>+'Typical Bills WATER'!C20</f>
        <v>0.6</v>
      </c>
      <c r="D19" s="149">
        <f>+'Typical Non-Res Bills SW'!D20</f>
        <v>4000</v>
      </c>
      <c r="E19" s="149">
        <f>+'Typical Non-Res Bills SW'!E20</f>
        <v>5500</v>
      </c>
      <c r="F19" s="150">
        <f>+'Typical Bills WATER'!D20+'Typical Bills SANITARY'!D20+'Typical Non-Res Bills SW'!F20</f>
        <v>127.41999999999999</v>
      </c>
      <c r="G19" s="150">
        <f>+'Typical Bills WATER'!E20+'Typical Bills SANITARY'!E20+'Typical Non-Res Bills SW'!G20</f>
        <v>144.68</v>
      </c>
      <c r="H19" s="151">
        <f t="shared" si="0"/>
        <v>13.545754198712935</v>
      </c>
      <c r="I19" s="161" t="s">
        <v>121</v>
      </c>
      <c r="J19" s="21"/>
      <c r="N19" s="21"/>
      <c r="Q19" s="21"/>
      <c r="R19" s="162"/>
    </row>
    <row r="20" spans="2:18" ht="16.5" thickTop="1" thickBot="1">
      <c r="B20" s="133" t="str">
        <f>+'Typical Bills WATER'!B21</f>
        <v>5/8</v>
      </c>
      <c r="C20" s="145">
        <f>+'Typical Bills WATER'!C21</f>
        <v>0.7</v>
      </c>
      <c r="D20" s="146">
        <f>+'Typical Non-Res Bills SW'!D21</f>
        <v>4000</v>
      </c>
      <c r="E20" s="146">
        <f>+'Typical Non-Res Bills SW'!E21</f>
        <v>5500</v>
      </c>
      <c r="F20" s="147">
        <f>+'Typical Bills WATER'!D21+'Typical Bills SANITARY'!D21+'Typical Non-Res Bills SW'!F21</f>
        <v>137.19</v>
      </c>
      <c r="G20" s="147">
        <f>+'Typical Bills WATER'!E21+'Typical Bills SANITARY'!E21+'Typical Non-Res Bills SW'!G21</f>
        <v>156.25</v>
      </c>
      <c r="H20" s="145">
        <f t="shared" si="0"/>
        <v>13.893140899482482</v>
      </c>
      <c r="Q20" s="21"/>
      <c r="R20" s="162"/>
    </row>
    <row r="21" spans="2:18" ht="16.5" thickTop="1" thickBot="1">
      <c r="B21" s="101" t="str">
        <f>+'Typical Bills WATER'!B22</f>
        <v>5/8</v>
      </c>
      <c r="C21" s="104">
        <f>+'Typical Bills WATER'!C22</f>
        <v>0.8</v>
      </c>
      <c r="D21" s="105">
        <f>+'Typical Non-Res Bills SW'!D22</f>
        <v>26000</v>
      </c>
      <c r="E21" s="105">
        <f>+'Typical Non-Res Bills SW'!E22</f>
        <v>38000</v>
      </c>
      <c r="F21" s="106">
        <f>+'Typical Bills WATER'!D22+'Typical Bills SANITARY'!D22+'Typical Non-Res Bills SW'!F22</f>
        <v>447.6</v>
      </c>
      <c r="G21" s="106">
        <f>+'Typical Bills WATER'!E22+'Typical Bills SANITARY'!E22+'Typical Non-Res Bills SW'!G22</f>
        <v>501.44000000000005</v>
      </c>
      <c r="H21" s="104">
        <f t="shared" si="0"/>
        <v>12.028596961572834</v>
      </c>
    </row>
    <row r="22" spans="2:18" ht="16.5" thickTop="1" thickBot="1">
      <c r="B22" s="101" t="str">
        <f>+'Typical Bills WATER'!B23</f>
        <v>5/8</v>
      </c>
      <c r="C22" s="104">
        <f>+'Typical Bills WATER'!C23</f>
        <v>1.7</v>
      </c>
      <c r="D22" s="105">
        <f>+'Typical Non-Res Bills SW'!D23</f>
        <v>26000</v>
      </c>
      <c r="E22" s="105">
        <f>+'Typical Non-Res Bills SW'!E23</f>
        <v>38000</v>
      </c>
      <c r="F22" s="106">
        <f>+'Typical Bills WATER'!D23+'Typical Bills SANITARY'!D23+'Typical Non-Res Bills SW'!F23</f>
        <v>535.47</v>
      </c>
      <c r="G22" s="106">
        <f>+'Typical Bills WATER'!E23+'Typical Bills SANITARY'!E23+'Typical Non-Res Bills SW'!G23</f>
        <v>605.54</v>
      </c>
      <c r="H22" s="104">
        <f t="shared" si="0"/>
        <v>13.085700412721524</v>
      </c>
    </row>
    <row r="23" spans="2:18" ht="16.5" thickTop="1" thickBot="1">
      <c r="B23" s="101" t="str">
        <f>+'Typical Bills WATER'!B24</f>
        <v>5/8</v>
      </c>
      <c r="C23" s="104">
        <f>+'Typical Bills WATER'!C24</f>
        <v>2.7</v>
      </c>
      <c r="D23" s="105">
        <f>+'Typical Non-Res Bills SW'!D24</f>
        <v>4000</v>
      </c>
      <c r="E23" s="105">
        <f>+'Typical Non-Res Bills SW'!E24</f>
        <v>5500</v>
      </c>
      <c r="F23" s="106">
        <f>+'Typical Bills WATER'!D24+'Typical Bills SANITARY'!D24+'Typical Non-Res Bills SW'!F24</f>
        <v>328.30000000000007</v>
      </c>
      <c r="G23" s="106">
        <f>+'Typical Bills WATER'!E24+'Typical Bills SANITARY'!E24+'Typical Non-Res Bills SW'!G24</f>
        <v>383.05999999999995</v>
      </c>
      <c r="H23" s="104">
        <f t="shared" si="0"/>
        <v>16.679865976241203</v>
      </c>
    </row>
    <row r="24" spans="2:18" ht="16.5" thickTop="1" thickBot="1">
      <c r="B24" s="101" t="str">
        <f>+'Typical Bills WATER'!B25</f>
        <v>5/8</v>
      </c>
      <c r="C24" s="104">
        <f>+'Typical Bills WATER'!C25</f>
        <v>3.3</v>
      </c>
      <c r="D24" s="105">
        <f>+'Typical Non-Res Bills SW'!D25</f>
        <v>4000</v>
      </c>
      <c r="E24" s="105">
        <f>+'Typical Non-Res Bills SW'!E25</f>
        <v>5500</v>
      </c>
      <c r="F24" s="106">
        <f>+'Typical Bills WATER'!D25+'Typical Bills SANITARY'!D25+'Typical Non-Res Bills SW'!F25</f>
        <v>383.32000000000005</v>
      </c>
      <c r="G24" s="106">
        <f>+'Typical Bills WATER'!E25+'Typical Bills SANITARY'!E25+'Typical Non-Res Bills SW'!G25</f>
        <v>448.59000000000003</v>
      </c>
      <c r="H24" s="104">
        <f t="shared" si="0"/>
        <v>17.027548784305523</v>
      </c>
    </row>
    <row r="25" spans="2:18" ht="16.5" thickTop="1" thickBot="1">
      <c r="B25" s="101" t="str">
        <f>+'Typical Bills WATER'!B26</f>
        <v>5/8</v>
      </c>
      <c r="C25" s="104">
        <f>+'Typical Bills WATER'!C26</f>
        <v>11</v>
      </c>
      <c r="D25" s="105">
        <f>+'Typical Non-Res Bills SW'!D26</f>
        <v>7000</v>
      </c>
      <c r="E25" s="105">
        <f>+'Typical Non-Res Bills SW'!E26</f>
        <v>11000</v>
      </c>
      <c r="F25" s="106">
        <f>+'Typical Bills WATER'!D26+'Typical Bills SANITARY'!D26+'Typical Non-Res Bills SW'!F26</f>
        <v>1131.98</v>
      </c>
      <c r="G25" s="106">
        <f>+'Typical Bills WATER'!E26+'Typical Bills SANITARY'!E26+'Typical Non-Res Bills SW'!G26</f>
        <v>1336.9199999999998</v>
      </c>
      <c r="H25" s="104">
        <f t="shared" si="0"/>
        <v>18.104560151239401</v>
      </c>
    </row>
    <row r="26" spans="2:18" ht="4.3499999999999996" customHeight="1" thickTop="1" thickBot="1">
      <c r="B26" s="107"/>
      <c r="C26" s="108"/>
      <c r="D26" s="109"/>
      <c r="E26" s="109"/>
      <c r="F26" s="110"/>
      <c r="G26" s="110"/>
      <c r="H26" s="108"/>
    </row>
    <row r="27" spans="2:18" ht="16.5" thickTop="1" thickBot="1">
      <c r="B27" s="101">
        <f>+'Typical Bills WATER'!B28</f>
        <v>1</v>
      </c>
      <c r="C27" s="104">
        <f>+'Typical Bills WATER'!C28</f>
        <v>1.7</v>
      </c>
      <c r="D27" s="105">
        <f>+'Typical Non-Res Bills SW'!D28</f>
        <v>7700</v>
      </c>
      <c r="E27" s="105">
        <f>+'Typical Non-Res Bills SW'!E28</f>
        <v>7900</v>
      </c>
      <c r="F27" s="106">
        <f>+'Typical Bills WATER'!D28+'Typical Bills SANITARY'!D28+'Typical Non-Res Bills SW'!F28</f>
        <v>292.45</v>
      </c>
      <c r="G27" s="106">
        <f>+'Typical Bills WATER'!E28+'Typical Bills SANITARY'!E28+'Typical Non-Res Bills SW'!G28</f>
        <v>335.51</v>
      </c>
      <c r="H27" s="104">
        <f>(+G27/F27-1)*100</f>
        <v>14.723884424687972</v>
      </c>
    </row>
    <row r="28" spans="2:18" ht="16.5" thickTop="1" thickBot="1">
      <c r="B28" s="101">
        <f>+'Typical Bills WATER'!B29</f>
        <v>1</v>
      </c>
      <c r="C28" s="104">
        <f>+'Typical Bills WATER'!C29</f>
        <v>5</v>
      </c>
      <c r="D28" s="105">
        <f>+'Typical Non-Res Bills SW'!D29</f>
        <v>22500</v>
      </c>
      <c r="E28" s="105">
        <f>+'Typical Non-Res Bills SW'!E29</f>
        <v>24000</v>
      </c>
      <c r="F28" s="106">
        <f>+'Typical Bills WATER'!D29+'Typical Bills SANITARY'!D29+'Typical Non-Res Bills SW'!F29</f>
        <v>786.54</v>
      </c>
      <c r="G28" s="106">
        <f>+'Typical Bills WATER'!E29+'Typical Bills SANITARY'!E29+'Typical Non-Res Bills SW'!G29</f>
        <v>908.40000000000009</v>
      </c>
      <c r="H28" s="104">
        <f>(+G28/F28-1)*100</f>
        <v>15.493172629491214</v>
      </c>
    </row>
    <row r="29" spans="2:18" ht="16.5" thickTop="1" thickBot="1">
      <c r="B29" s="101">
        <f>+'Typical Bills WATER'!B30</f>
        <v>1</v>
      </c>
      <c r="C29" s="104">
        <f>+'Typical Bills WATER'!C30</f>
        <v>8</v>
      </c>
      <c r="D29" s="105">
        <f>+'Typical Non-Res Bills SW'!D30</f>
        <v>7700</v>
      </c>
      <c r="E29" s="105">
        <f>+'Typical Non-Res Bills SW'!E30</f>
        <v>7900</v>
      </c>
      <c r="F29" s="106">
        <f>+'Typical Bills WATER'!D30+'Typical Bills SANITARY'!D30+'Typical Non-Res Bills SW'!F30</f>
        <v>871.88</v>
      </c>
      <c r="G29" s="106">
        <f>+'Typical Bills WATER'!E30+'Typical Bills SANITARY'!E30+'Typical Non-Res Bills SW'!G30</f>
        <v>1025.52</v>
      </c>
      <c r="H29" s="104">
        <f>(+G29/F29-1)*100</f>
        <v>17.621691058402522</v>
      </c>
    </row>
    <row r="30" spans="2:18" ht="16.5" thickTop="1" thickBot="1">
      <c r="B30" s="101">
        <f>+'Typical Bills WATER'!B31</f>
        <v>1</v>
      </c>
      <c r="C30" s="104">
        <f>+'Typical Bills WATER'!C31</f>
        <v>17</v>
      </c>
      <c r="D30" s="105">
        <f>+'Typical Non-Res Bills SW'!D31</f>
        <v>22500</v>
      </c>
      <c r="E30" s="105">
        <f>+'Typical Non-Res Bills SW'!E31</f>
        <v>24000</v>
      </c>
      <c r="F30" s="106">
        <f>+'Typical Bills WATER'!D31+'Typical Bills SANITARY'!D31+'Typical Non-Res Bills SW'!F31</f>
        <v>1886.82</v>
      </c>
      <c r="G30" s="106">
        <f>+'Typical Bills WATER'!E31+'Typical Bills SANITARY'!E31+'Typical Non-Res Bills SW'!G31</f>
        <v>2219.04</v>
      </c>
      <c r="H30" s="104">
        <f>(+G30/F30-1)*100</f>
        <v>17.607402931917203</v>
      </c>
    </row>
    <row r="31" spans="2:18" ht="4.3499999999999996" customHeight="1" thickTop="1" thickBot="1">
      <c r="B31" s="107"/>
      <c r="C31" s="108"/>
      <c r="D31" s="109"/>
      <c r="E31" s="109"/>
      <c r="F31" s="110"/>
      <c r="G31" s="110"/>
      <c r="H31" s="108"/>
    </row>
    <row r="32" spans="2:18" ht="16.5" thickTop="1" thickBot="1">
      <c r="B32" s="101">
        <f>+'Typical Bills WATER'!B33</f>
        <v>2</v>
      </c>
      <c r="C32" s="104">
        <f>+'Typical Bills WATER'!C33</f>
        <v>7.6</v>
      </c>
      <c r="D32" s="105">
        <f>+'Typical Non-Res Bills SW'!D33</f>
        <v>1063</v>
      </c>
      <c r="E32" s="105">
        <f>+'Typical Non-Res Bills SW'!E33</f>
        <v>1250</v>
      </c>
      <c r="F32" s="106">
        <f>+'Typical Bills WATER'!D33+'Typical Bills SANITARY'!D33+'Typical Non-Res Bills SW'!F33</f>
        <v>781.7700000000001</v>
      </c>
      <c r="G32" s="106">
        <f>+'Typical Bills WATER'!E33+'Typical Bills SANITARY'!E33+'Typical Non-Res Bills SW'!G33</f>
        <v>921.17</v>
      </c>
      <c r="H32" s="104">
        <f>(+G32/F32-1)*100</f>
        <v>17.831331465776358</v>
      </c>
    </row>
    <row r="33" spans="2:8" ht="16.5" thickTop="1" thickBot="1">
      <c r="B33" s="101">
        <f>+'Typical Bills WATER'!B34</f>
        <v>2</v>
      </c>
      <c r="C33" s="104">
        <f>+'Typical Bills WATER'!C34</f>
        <v>16</v>
      </c>
      <c r="D33" s="105">
        <f>+'Typical Non-Res Bills SW'!D34</f>
        <v>22500</v>
      </c>
      <c r="E33" s="105">
        <f>+'Typical Non-Res Bills SW'!E34</f>
        <v>24000</v>
      </c>
      <c r="F33" s="106">
        <f>+'Typical Bills WATER'!D34+'Typical Bills SANITARY'!D34+'Typical Non-Res Bills SW'!F34</f>
        <v>1825.7</v>
      </c>
      <c r="G33" s="106">
        <f>+'Typical Bills WATER'!E34+'Typical Bills SANITARY'!E34+'Typical Non-Res Bills SW'!G34</f>
        <v>2142.39</v>
      </c>
      <c r="H33" s="104">
        <f>(+G33/F33-1)*100</f>
        <v>17.346223366380009</v>
      </c>
    </row>
    <row r="34" spans="2:8" ht="16.5" thickTop="1" thickBot="1">
      <c r="B34" s="101">
        <f>+'Typical Bills WATER'!B35</f>
        <v>2</v>
      </c>
      <c r="C34" s="104">
        <f>+'Typical Bills WATER'!C35</f>
        <v>33</v>
      </c>
      <c r="D34" s="105">
        <f>+'Typical Non-Res Bills SW'!D35</f>
        <v>66500</v>
      </c>
      <c r="E34" s="105">
        <f>+'Typical Non-Res Bills SW'!E35</f>
        <v>80000</v>
      </c>
      <c r="F34" s="106">
        <f>+'Typical Bills WATER'!D35+'Typical Bills SANITARY'!D35+'Typical Non-Res Bills SW'!F35</f>
        <v>3971.74</v>
      </c>
      <c r="G34" s="106">
        <f>+'Typical Bills WATER'!E35+'Typical Bills SANITARY'!E35+'Typical Non-Res Bills SW'!G35</f>
        <v>4650.87</v>
      </c>
      <c r="H34" s="104">
        <f>(+G34/F34-1)*100</f>
        <v>17.09905482231968</v>
      </c>
    </row>
    <row r="35" spans="2:8" ht="16.5" thickTop="1" thickBot="1">
      <c r="B35" s="101">
        <f>+'Typical Bills WATER'!B36</f>
        <v>2</v>
      </c>
      <c r="C35" s="104">
        <f>+'Typical Bills WATER'!C36</f>
        <v>100</v>
      </c>
      <c r="D35" s="105">
        <f>+'Typical Non-Res Bills SW'!D36</f>
        <v>7700</v>
      </c>
      <c r="E35" s="105">
        <f>+'Typical Non-Res Bills SW'!E36</f>
        <v>7900</v>
      </c>
      <c r="F35" s="106">
        <f>+'Typical Bills WATER'!D36+'Typical Bills SANITARY'!D36+'Typical Non-Res Bills SW'!F36</f>
        <v>9337.93</v>
      </c>
      <c r="G35" s="106">
        <f>+'Typical Bills WATER'!E36+'Typical Bills SANITARY'!E36+'Typical Non-Res Bills SW'!G36</f>
        <v>11106.33</v>
      </c>
      <c r="H35" s="104">
        <f>(+G35/F35-1)*100</f>
        <v>18.937815982771333</v>
      </c>
    </row>
    <row r="36" spans="2:8" ht="4.3499999999999996" customHeight="1" thickTop="1" thickBot="1">
      <c r="B36" s="107"/>
      <c r="C36" s="108"/>
      <c r="D36" s="109"/>
      <c r="E36" s="109"/>
      <c r="F36" s="110"/>
      <c r="G36" s="110"/>
      <c r="H36" s="108"/>
    </row>
    <row r="37" spans="2:8" ht="16.5" thickTop="1" thickBot="1">
      <c r="B37" s="101">
        <f>+'Typical Bills WATER'!B38</f>
        <v>4</v>
      </c>
      <c r="C37" s="104">
        <f>+'Typical Bills WATER'!C38</f>
        <v>30</v>
      </c>
      <c r="D37" s="105">
        <f>+'Typical Non-Res Bills SW'!D38</f>
        <v>7700</v>
      </c>
      <c r="E37" s="105">
        <f>+'Typical Non-Res Bills SW'!E38</f>
        <v>7900</v>
      </c>
      <c r="F37" s="106">
        <f>+'Typical Bills WATER'!D38+'Typical Bills SANITARY'!D38+'Typical Non-Res Bills SW'!F38</f>
        <v>3023.37</v>
      </c>
      <c r="G37" s="106">
        <f>+'Typical Bills WATER'!E38+'Typical Bills SANITARY'!E38+'Typical Non-Res Bills SW'!G38</f>
        <v>3571</v>
      </c>
      <c r="H37" s="104">
        <f>(+G37/F37-1)*100</f>
        <v>18.113231261803886</v>
      </c>
    </row>
    <row r="38" spans="2:8" ht="16.5" thickTop="1" thickBot="1">
      <c r="B38" s="101">
        <f>+'Typical Bills WATER'!B39</f>
        <v>4</v>
      </c>
      <c r="C38" s="104">
        <f>+'Typical Bills WATER'!C39</f>
        <v>170</v>
      </c>
      <c r="D38" s="105">
        <f>+'Typical Non-Res Bills SW'!D39</f>
        <v>10500</v>
      </c>
      <c r="E38" s="105">
        <f>+'Typical Non-Res Bills SW'!E39</f>
        <v>12000</v>
      </c>
      <c r="F38" s="106">
        <f>+'Typical Bills WATER'!D39+'Typical Bills SANITARY'!D39+'Typical Non-Res Bills SW'!F39</f>
        <v>15052.51</v>
      </c>
      <c r="G38" s="106">
        <f>+'Typical Bills WATER'!E39+'Typical Bills SANITARY'!E39+'Typical Non-Res Bills SW'!G39</f>
        <v>17987.439999999999</v>
      </c>
      <c r="H38" s="104">
        <f>(+G38/F38-1)*100</f>
        <v>19.497944196682138</v>
      </c>
    </row>
    <row r="39" spans="2:8" ht="16.5" thickTop="1" thickBot="1">
      <c r="B39" s="101">
        <f>+'Typical Bills WATER'!B40</f>
        <v>4</v>
      </c>
      <c r="C39" s="104">
        <f>+'Typical Bills WATER'!C40</f>
        <v>330</v>
      </c>
      <c r="D39" s="105">
        <f>+'Typical Non-Res Bills SW'!D40</f>
        <v>26000</v>
      </c>
      <c r="E39" s="105">
        <f>+'Typical Non-Res Bills SW'!E40</f>
        <v>38000</v>
      </c>
      <c r="F39" s="106">
        <f>+'Typical Bills WATER'!D40+'Typical Bills SANITARY'!D40+'Typical Non-Res Bills SW'!F40</f>
        <v>28014.75</v>
      </c>
      <c r="G39" s="106">
        <f>+'Typical Bills WATER'!E40+'Typical Bills SANITARY'!E40+'Typical Non-Res Bills SW'!G40</f>
        <v>33616.639999999992</v>
      </c>
      <c r="H39" s="104">
        <f>(+G39/F39-1)*100</f>
        <v>19.996216278924472</v>
      </c>
    </row>
    <row r="40" spans="2:8" ht="16.5" thickTop="1" thickBot="1">
      <c r="B40" s="101">
        <f>+'Typical Bills WATER'!B41</f>
        <v>4</v>
      </c>
      <c r="C40" s="104">
        <f>+'Typical Bills WATER'!C41</f>
        <v>500</v>
      </c>
      <c r="D40" s="105">
        <f>+'Typical Non-Res Bills SW'!D41</f>
        <v>140000</v>
      </c>
      <c r="E40" s="105">
        <f>+'Typical Non-Res Bills SW'!E41</f>
        <v>160000</v>
      </c>
      <c r="F40" s="106">
        <f>+'Typical Bills WATER'!D41+'Typical Bills SANITARY'!D41+'Typical Non-Res Bills SW'!F41</f>
        <v>43042.719999999994</v>
      </c>
      <c r="G40" s="106">
        <f>+'Typical Bills WATER'!E41+'Typical Bills SANITARY'!E41+'Typical Non-Res Bills SW'!G41</f>
        <v>51616.02</v>
      </c>
      <c r="H40" s="104">
        <f>(+G40/F40-1)*100</f>
        <v>19.91811855756329</v>
      </c>
    </row>
    <row r="41" spans="2:8" ht="4.3499999999999996" customHeight="1" thickTop="1" thickBot="1">
      <c r="B41" s="107"/>
      <c r="C41" s="108"/>
      <c r="D41" s="109"/>
      <c r="E41" s="109"/>
      <c r="F41" s="110"/>
      <c r="G41" s="110"/>
      <c r="H41" s="108"/>
    </row>
    <row r="42" spans="2:8" ht="16.5" thickTop="1" thickBot="1">
      <c r="B42" s="101">
        <f>+'Typical Bills WATER'!B43</f>
        <v>6</v>
      </c>
      <c r="C42" s="104">
        <f>+'Typical Bills WATER'!C43</f>
        <v>150</v>
      </c>
      <c r="D42" s="105">
        <f>+'Typical Non-Res Bills SW'!D43</f>
        <v>10500</v>
      </c>
      <c r="E42" s="105">
        <f>+'Typical Non-Res Bills SW'!E43</f>
        <v>12000</v>
      </c>
      <c r="F42" s="106">
        <f>+'Typical Bills WATER'!D43+'Typical Bills SANITARY'!D43+'Typical Non-Res Bills SW'!F43</f>
        <v>13606.9</v>
      </c>
      <c r="G42" s="106">
        <f>+'Typical Bills WATER'!E43+'Typical Bills SANITARY'!E43+'Typical Non-Res Bills SW'!G43</f>
        <v>16220.68</v>
      </c>
      <c r="H42" s="104">
        <f>(+G42/F42-1)*100</f>
        <v>19.209224731570007</v>
      </c>
    </row>
    <row r="43" spans="2:8" ht="16.5" thickTop="1" thickBot="1">
      <c r="B43" s="101">
        <f>+'Typical Bills WATER'!B44</f>
        <v>6</v>
      </c>
      <c r="C43" s="104">
        <f>+'Typical Bills WATER'!C44</f>
        <v>500</v>
      </c>
      <c r="D43" s="105">
        <f>+'Typical Non-Res Bills SW'!D44</f>
        <v>41750</v>
      </c>
      <c r="E43" s="105">
        <f>+'Typical Non-Res Bills SW'!E44</f>
        <v>45500</v>
      </c>
      <c r="F43" s="106">
        <f>+'Typical Bills WATER'!D44+'Typical Bills SANITARY'!D44+'Typical Non-Res Bills SW'!F44</f>
        <v>41898.120000000003</v>
      </c>
      <c r="G43" s="106">
        <f>+'Typical Bills WATER'!E44+'Typical Bills SANITARY'!E44+'Typical Non-Res Bills SW'!G44</f>
        <v>50338.899999999994</v>
      </c>
      <c r="H43" s="104">
        <f>(+G43/F43-1)*100</f>
        <v>20.145963589774407</v>
      </c>
    </row>
    <row r="44" spans="2:8" ht="16.5" thickTop="1" thickBot="1">
      <c r="B44" s="101">
        <f>+'Typical Bills WATER'!B45</f>
        <v>6</v>
      </c>
      <c r="C44" s="104">
        <f>+'Typical Bills WATER'!C45</f>
        <v>1000</v>
      </c>
      <c r="D44" s="105">
        <f>+'Typical Non-Res Bills SW'!D45</f>
        <v>26000</v>
      </c>
      <c r="E44" s="105">
        <f>+'Typical Non-Res Bills SW'!E45</f>
        <v>38000</v>
      </c>
      <c r="F44" s="106">
        <f>+'Typical Bills WATER'!D45+'Typical Bills SANITARY'!D45+'Typical Non-Res Bills SW'!F45</f>
        <v>81534.539999999994</v>
      </c>
      <c r="G44" s="106">
        <f>+'Typical Bills WATER'!E45+'Typical Bills SANITARY'!E45+'Typical Non-Res Bills SW'!G45</f>
        <v>98214.080000000002</v>
      </c>
      <c r="H44" s="104">
        <f>(+G44/F44-1)*100</f>
        <v>20.457023489676907</v>
      </c>
    </row>
    <row r="45" spans="2:8" ht="16.5" thickTop="1" thickBot="1">
      <c r="B45" s="101">
        <f>+'Typical Bills WATER'!B46</f>
        <v>6</v>
      </c>
      <c r="C45" s="104">
        <f>+'Typical Bills WATER'!C46</f>
        <v>1500</v>
      </c>
      <c r="D45" s="105">
        <f>+'Typical Non-Res Bills SW'!D46</f>
        <v>140000</v>
      </c>
      <c r="E45" s="105">
        <f>+'Typical Non-Res Bills SW'!E46</f>
        <v>160000</v>
      </c>
      <c r="F45" s="106">
        <f>+'Typical Bills WATER'!D46+'Typical Bills SANITARY'!D46+'Typical Non-Res Bills SW'!F46</f>
        <v>122850.31</v>
      </c>
      <c r="G45" s="106">
        <f>+'Typical Bills WATER'!E46+'Typical Bills SANITARY'!E46+'Typical Non-Res Bills SW'!G46</f>
        <v>147952.86000000002</v>
      </c>
      <c r="H45" s="104">
        <f>(+G45/F45-1)*100</f>
        <v>20.433444571690561</v>
      </c>
    </row>
    <row r="46" spans="2:8" ht="4.3499999999999996" customHeight="1" thickTop="1" thickBot="1">
      <c r="B46" s="107"/>
      <c r="C46" s="108"/>
      <c r="D46" s="109"/>
      <c r="E46" s="109"/>
      <c r="F46" s="110"/>
      <c r="G46" s="110"/>
      <c r="H46" s="108"/>
    </row>
    <row r="47" spans="2:8" ht="16.5" thickTop="1" thickBot="1">
      <c r="B47" s="101">
        <f>+'Typical Bills WATER'!B48</f>
        <v>8</v>
      </c>
      <c r="C47" s="104">
        <f>+'Typical Bills WATER'!C48</f>
        <v>750</v>
      </c>
      <c r="D47" s="105">
        <f>+'Typical Non-Res Bills SW'!D48</f>
        <v>10500</v>
      </c>
      <c r="E47" s="105">
        <f>+'Typical Non-Res Bills SW'!E48</f>
        <v>12000</v>
      </c>
      <c r="F47" s="106">
        <f>+'Typical Bills WATER'!D48+'Typical Bills SANITARY'!D48+'Typical Non-Res Bills SW'!F48</f>
        <v>61575.600000000006</v>
      </c>
      <c r="G47" s="106">
        <f>+'Typical Bills WATER'!E48+'Typical Bills SANITARY'!E48+'Typical Non-Res Bills SW'!G48</f>
        <v>74112.429999999993</v>
      </c>
      <c r="H47" s="104">
        <f>(+G47/F47-1)*100</f>
        <v>20.360061452913136</v>
      </c>
    </row>
    <row r="48" spans="2:8" ht="16.5" thickTop="1" thickBot="1">
      <c r="B48" s="101">
        <f>+'Typical Bills WATER'!B49</f>
        <v>8</v>
      </c>
      <c r="C48" s="104">
        <f>+'Typical Bills WATER'!C49</f>
        <v>1500</v>
      </c>
      <c r="D48" s="105">
        <f>+'Typical Non-Res Bills SW'!D49</f>
        <v>66500</v>
      </c>
      <c r="E48" s="105">
        <f>+'Typical Non-Res Bills SW'!E49</f>
        <v>80000</v>
      </c>
      <c r="F48" s="106">
        <f>+'Typical Bills WATER'!D49+'Typical Bills SANITARY'!D49+'Typical Non-Res Bills SW'!F49</f>
        <v>122063</v>
      </c>
      <c r="G48" s="106">
        <f>+'Typical Bills WATER'!E49+'Typical Bills SANITARY'!E49+'Typical Non-Res Bills SW'!G49</f>
        <v>147071.27000000002</v>
      </c>
      <c r="H48" s="104">
        <f>(+G48/F48-1)*100</f>
        <v>20.488002097277658</v>
      </c>
    </row>
    <row r="49" spans="2:8" ht="16.5" thickTop="1" thickBot="1">
      <c r="B49" s="101">
        <f>+'Typical Bills WATER'!B50</f>
        <v>8</v>
      </c>
      <c r="C49" s="104">
        <f>+'Typical Bills WATER'!C50</f>
        <v>2000</v>
      </c>
      <c r="D49" s="105">
        <f>+'Typical Non-Res Bills SW'!D50</f>
        <v>26000</v>
      </c>
      <c r="E49" s="105">
        <f>+'Typical Non-Res Bills SW'!E50</f>
        <v>38000</v>
      </c>
      <c r="F49" s="106">
        <f>+'Typical Bills WATER'!D50+'Typical Bills SANITARY'!D50+'Typical Non-Res Bills SW'!F50</f>
        <v>161367.24</v>
      </c>
      <c r="G49" s="106">
        <f>+'Typical Bills WATER'!E50+'Typical Bills SANITARY'!E50+'Typical Non-Res Bills SW'!G50</f>
        <v>194577.83000000002</v>
      </c>
      <c r="H49" s="104">
        <f>(+G49/F49-1)*100</f>
        <v>20.580751086775749</v>
      </c>
    </row>
    <row r="50" spans="2:8" ht="16.5" thickTop="1" thickBot="1">
      <c r="B50" s="101">
        <f>+'Typical Bills WATER'!B51</f>
        <v>8</v>
      </c>
      <c r="C50" s="104">
        <f>+'Typical Bills WATER'!C51</f>
        <v>3000</v>
      </c>
      <c r="D50" s="105">
        <f>+'Typical Non-Res Bills SW'!D51</f>
        <v>140000</v>
      </c>
      <c r="E50" s="105">
        <f>+'Typical Non-Res Bills SW'!E51</f>
        <v>160000</v>
      </c>
      <c r="F50" s="106">
        <f>+'Typical Bills WATER'!D51+'Typical Bills SANITARY'!D51+'Typical Non-Res Bills SW'!F51</f>
        <v>241393.01</v>
      </c>
      <c r="G50" s="106">
        <f>+'Typical Bills WATER'!E51+'Typical Bills SANITARY'!E51+'Typical Non-Res Bills SW'!G51</f>
        <v>291186.61</v>
      </c>
      <c r="H50" s="104">
        <f>(+G50/F50-1)*100</f>
        <v>20.627606408321419</v>
      </c>
    </row>
    <row r="51" spans="2:8" ht="4.3499999999999996" customHeight="1" thickTop="1" thickBot="1">
      <c r="B51" s="107"/>
      <c r="C51" s="108"/>
      <c r="D51" s="109"/>
      <c r="E51" s="109"/>
      <c r="F51" s="110"/>
      <c r="G51" s="110"/>
      <c r="H51" s="108"/>
    </row>
    <row r="52" spans="2:8" ht="16.5" thickTop="1" thickBot="1">
      <c r="B52" s="101">
        <f>+'Typical Bills WATER'!B53</f>
        <v>10</v>
      </c>
      <c r="C52" s="104">
        <f>+'Typical Bills WATER'!C53</f>
        <v>600</v>
      </c>
      <c r="D52" s="105">
        <f>+'Typical Non-Res Bills SW'!D53</f>
        <v>22500</v>
      </c>
      <c r="E52" s="105">
        <f>+'Typical Non-Res Bills SW'!E53</f>
        <v>24000</v>
      </c>
      <c r="F52" s="106">
        <f>+'Typical Bills WATER'!D53+'Typical Bills SANITARY'!D53+'Typical Non-Res Bills SW'!F53</f>
        <v>49994.2</v>
      </c>
      <c r="G52" s="106">
        <f>+'Typical Bills WATER'!E53+'Typical Bills SANITARY'!E53+'Typical Non-Res Bills SW'!G53</f>
        <v>60083.040000000008</v>
      </c>
      <c r="H52" s="104">
        <f>(+G52/F52-1)*100</f>
        <v>20.18002088242239</v>
      </c>
    </row>
    <row r="53" spans="2:8" ht="16.5" thickTop="1" thickBot="1">
      <c r="B53" s="101">
        <f>+'Typical Bills WATER'!B54</f>
        <v>10</v>
      </c>
      <c r="C53" s="104">
        <f>+'Typical Bills WATER'!C54</f>
        <v>1700</v>
      </c>
      <c r="D53" s="105">
        <f>+'Typical Non-Res Bills SW'!D54</f>
        <v>41750</v>
      </c>
      <c r="E53" s="105">
        <f>+'Typical Non-Res Bills SW'!E54</f>
        <v>45500</v>
      </c>
      <c r="F53" s="106">
        <f>+'Typical Bills WATER'!D54+'Typical Bills SANITARY'!D54+'Typical Non-Res Bills SW'!F54</f>
        <v>137875.32999999999</v>
      </c>
      <c r="G53" s="106">
        <f>+'Typical Bills WATER'!E54+'Typical Bills SANITARY'!E54+'Typical Non-Res Bills SW'!G54</f>
        <v>166164.16</v>
      </c>
      <c r="H53" s="104">
        <f>(+G53/F53-1)*100</f>
        <v>20.51768797217024</v>
      </c>
    </row>
    <row r="54" spans="2:8" ht="16.5" thickTop="1" thickBot="1">
      <c r="B54" s="101">
        <f>+'Typical Bills WATER'!B55</f>
        <v>10</v>
      </c>
      <c r="C54" s="104">
        <f>+'Typical Bills WATER'!C55</f>
        <v>3300</v>
      </c>
      <c r="D54" s="105">
        <f>+'Typical Non-Res Bills SW'!D55</f>
        <v>26000</v>
      </c>
      <c r="E54" s="105">
        <f>+'Typical Non-Res Bills SW'!E55</f>
        <v>38000</v>
      </c>
      <c r="F54" s="106">
        <f>+'Typical Bills WATER'!D55+'Typical Bills SANITARY'!D55+'Typical Non-Res Bills SW'!F55</f>
        <v>263681.75</v>
      </c>
      <c r="G54" s="106">
        <f>+'Typical Bills WATER'!E55+'Typical Bills SANITARY'!E55+'Typical Non-Res Bills SW'!G55</f>
        <v>318251.33999999997</v>
      </c>
      <c r="H54" s="104">
        <f>(+G54/F54-1)*100</f>
        <v>20.695247206149059</v>
      </c>
    </row>
    <row r="55" spans="2:8" ht="16.5" thickTop="1" thickBot="1">
      <c r="B55" s="101">
        <f>+'Typical Bills WATER'!B56</f>
        <v>10</v>
      </c>
      <c r="C55" s="104">
        <f>+'Typical Bills WATER'!C56</f>
        <v>6000</v>
      </c>
      <c r="D55" s="105">
        <f>+'Typical Non-Res Bills SW'!D56</f>
        <v>140000</v>
      </c>
      <c r="E55" s="105">
        <f>+'Typical Non-Res Bills SW'!E56</f>
        <v>160000</v>
      </c>
      <c r="F55" s="106">
        <f>+'Typical Bills WATER'!D56+'Typical Bills SANITARY'!D56+'Typical Non-Res Bills SW'!F56</f>
        <v>477225.52</v>
      </c>
      <c r="G55" s="106">
        <f>+'Typical Bills WATER'!E56+'Typical Bills SANITARY'!E56+'Typical Non-Res Bills SW'!G56</f>
        <v>576292.12</v>
      </c>
      <c r="H55" s="104">
        <f>(+G55/F55-1)*100</f>
        <v>20.758864697763848</v>
      </c>
    </row>
    <row r="56" spans="2:8" ht="9" customHeight="1" thickTop="1">
      <c r="B56" s="3"/>
      <c r="C56" s="3"/>
      <c r="D56" s="3"/>
      <c r="E56" s="3"/>
      <c r="F56" s="3"/>
      <c r="G56" s="3"/>
      <c r="H56" s="3"/>
    </row>
    <row r="57" spans="2:8">
      <c r="B57" s="90" t="s">
        <v>122</v>
      </c>
      <c r="C57" s="3"/>
      <c r="D57" s="3"/>
      <c r="E57" s="3"/>
      <c r="F57" s="3"/>
      <c r="G57" s="3"/>
      <c r="H57" s="3"/>
    </row>
    <row r="58" spans="2:8">
      <c r="B58" s="90" t="s">
        <v>123</v>
      </c>
      <c r="C58" s="3"/>
      <c r="D58" s="3"/>
      <c r="E58" s="3"/>
      <c r="F58" s="3"/>
      <c r="G58" s="3"/>
      <c r="H58" s="3"/>
    </row>
    <row r="59" spans="2:8">
      <c r="B59" s="127" t="str">
        <f>"(b) The FY 2024 figures reflect the existing base and current TAP-R rates, of $"&amp;FIXED('Water Charges'!$D$42,2,TRUE)&amp;"/Mcf for water and $"&amp;FIXED('Wastewater Charges'!$E$45,2,TRUE)&amp;"/Mcf for sewer. "</f>
        <v xml:space="preserve">(b) The FY 2024 figures reflect the existing base and current TAP-R rates, of $0.15/Mcf for water and $0.24/Mcf for sewer. </v>
      </c>
      <c r="C59" s="3"/>
      <c r="D59" s="3"/>
      <c r="E59" s="3"/>
      <c r="F59" s="3"/>
      <c r="G59" s="3"/>
      <c r="H59" s="3"/>
    </row>
    <row r="60" spans="2:8">
      <c r="B60" s="159" t="str">
        <f>"(c) FY 2025 figures reflect the adopted base and proposed TAP-R rates, of $"&amp;FIXED('Water Charges'!$E$42,2,TRUE)&amp;"/Mcf for water and $"&amp;FIXED('Wastewater Charges'!$F$45,2,TRUE)&amp;"/Mcf for sewer. "</f>
        <v xml:space="preserve">(c) FY 2025 figures reflect the adopted base and proposed TAP-R rates, of $4.19/Mcf for water and $6.04/Mcf for sewer. </v>
      </c>
      <c r="C60" s="3"/>
      <c r="D60" s="3"/>
      <c r="E60" s="3"/>
      <c r="F60" s="3"/>
      <c r="G60" s="3"/>
      <c r="H60" s="3"/>
    </row>
    <row r="61" spans="2:8">
      <c r="B61" s="129" t="str">
        <f>"(d) The "&amp;TEXT($G$8,"0")&amp;" TAP-R rates are subject to the Rate Board's Determination in the 2024 TAP-R Reconciliation Proceeding."</f>
        <v>(d) The FY 2025 TAP-R rates are subject to the Rate Board's Determination in the 2024 TAP-R Reconciliation Proceeding.</v>
      </c>
      <c r="C61" s="3"/>
      <c r="D61" s="3"/>
      <c r="E61" s="3"/>
      <c r="F61" s="3"/>
      <c r="G61" s="3"/>
      <c r="H61" s="3"/>
    </row>
    <row r="62" spans="2:8">
      <c r="B62" s="127" t="s">
        <v>112</v>
      </c>
      <c r="C62" s="3"/>
      <c r="D62" s="3"/>
      <c r="E62" s="3"/>
      <c r="F62" s="3"/>
      <c r="G62" s="3"/>
      <c r="H62" s="3"/>
    </row>
    <row r="63" spans="2:8">
      <c r="B63" s="164" t="s">
        <v>155</v>
      </c>
      <c r="C63" s="3"/>
      <c r="D63" s="3"/>
      <c r="E63" s="3"/>
      <c r="F63" s="3"/>
      <c r="G63" s="3"/>
      <c r="H63" s="3"/>
    </row>
    <row r="64" spans="2:8">
      <c r="B64" s="163" t="s">
        <v>151</v>
      </c>
      <c r="C64" s="3"/>
      <c r="D64" s="3"/>
      <c r="E64" s="3"/>
      <c r="F64" s="3"/>
      <c r="G64" s="3"/>
      <c r="H64" s="3"/>
    </row>
    <row r="65" spans="2:8">
      <c r="C65" s="3"/>
      <c r="D65" s="3"/>
      <c r="E65" s="3"/>
      <c r="F65" s="3"/>
      <c r="G65" s="3"/>
      <c r="H65" s="3"/>
    </row>
    <row r="66" spans="2:8">
      <c r="B66" s="90" t="s">
        <v>61</v>
      </c>
    </row>
    <row r="67" spans="2:8">
      <c r="B67" s="90" t="s">
        <v>124</v>
      </c>
    </row>
  </sheetData>
  <conditionalFormatting sqref="D17:F17 D21:F21 D25:F25">
    <cfRule type="cellIs" dxfId="6" priority="70" operator="lessThan">
      <formula>0</formula>
    </cfRule>
  </conditionalFormatting>
  <conditionalFormatting sqref="D30:F30">
    <cfRule type="cellIs" dxfId="5" priority="69" operator="lessThan">
      <formula>0</formula>
    </cfRule>
  </conditionalFormatting>
  <conditionalFormatting sqref="D35:F35">
    <cfRule type="cellIs" dxfId="4" priority="68" operator="lessThan">
      <formula>0</formula>
    </cfRule>
  </conditionalFormatting>
  <conditionalFormatting sqref="D40:F40">
    <cfRule type="cellIs" dxfId="3" priority="67" operator="lessThan">
      <formula>0</formula>
    </cfRule>
  </conditionalFormatting>
  <conditionalFormatting sqref="D45:F45">
    <cfRule type="cellIs" dxfId="2" priority="66" operator="lessThan">
      <formula>0</formula>
    </cfRule>
  </conditionalFormatting>
  <conditionalFormatting sqref="D50:F50">
    <cfRule type="cellIs" dxfId="1" priority="65" operator="lessThan">
      <formula>0</formula>
    </cfRule>
  </conditionalFormatting>
  <conditionalFormatting sqref="D55:F55">
    <cfRule type="cellIs" dxfId="0" priority="64" operator="lessThan">
      <formula>0</formula>
    </cfRule>
  </conditionalFormatting>
  <hyperlinks>
    <hyperlink ref="A1" location="TOC!A1" display="TOC!A1" xr:uid="{00000000-0004-0000-0400-000000000000}"/>
  </hyperlinks>
  <printOptions horizontalCentered="1"/>
  <pageMargins left="0.75" right="0.75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58"/>
  <sheetViews>
    <sheetView topLeftCell="H1" workbookViewId="0"/>
  </sheetViews>
  <sheetFormatPr defaultRowHeight="15" outlineLevelCol="1"/>
  <cols>
    <col min="4" max="4" width="9.85546875" customWidth="1"/>
    <col min="5" max="5" width="10" customWidth="1"/>
    <col min="6" max="6" width="12.5703125" customWidth="1"/>
    <col min="7" max="8" width="12.5703125" customWidth="1" outlineLevel="1"/>
    <col min="9" max="9" width="8.85546875"/>
    <col min="19" max="19" width="9.140625" customWidth="1" outlineLevel="1"/>
    <col min="20" max="20" width="8.85546875"/>
    <col min="21" max="22" width="12.42578125" customWidth="1"/>
    <col min="23" max="23" width="10" customWidth="1" outlineLevel="1"/>
    <col min="24" max="26" width="10" customWidth="1"/>
  </cols>
  <sheetData>
    <row r="1" spans="1:26" ht="15.75" thickBot="1">
      <c r="A1" s="122" t="s">
        <v>21</v>
      </c>
    </row>
    <row r="2" spans="1:26" ht="18">
      <c r="B2" s="1"/>
      <c r="C2" s="1"/>
      <c r="D2" s="1"/>
      <c r="E2" s="1"/>
      <c r="F2" s="1"/>
      <c r="G2" s="1"/>
      <c r="H2" s="1"/>
    </row>
    <row r="3" spans="1:26" ht="18">
      <c r="B3" s="1"/>
      <c r="C3" s="1"/>
      <c r="D3" s="1"/>
      <c r="E3" s="1"/>
      <c r="F3" s="1"/>
      <c r="G3" s="1"/>
      <c r="H3" s="1"/>
    </row>
    <row r="4" spans="1:26" ht="18">
      <c r="B4" s="64" t="s">
        <v>125</v>
      </c>
      <c r="C4" s="64"/>
      <c r="D4" s="64"/>
      <c r="E4" s="64"/>
      <c r="F4" s="64"/>
      <c r="G4" s="64"/>
      <c r="H4" s="64"/>
    </row>
    <row r="5" spans="1:26" ht="18">
      <c r="B5" s="64" t="s">
        <v>92</v>
      </c>
      <c r="C5" s="64"/>
      <c r="D5" s="64"/>
      <c r="E5" s="64"/>
      <c r="F5" s="64"/>
      <c r="G5" s="64"/>
      <c r="H5" s="64"/>
    </row>
    <row r="6" spans="1:26" ht="18">
      <c r="B6" s="180"/>
      <c r="C6" s="180"/>
      <c r="D6" s="180"/>
      <c r="E6" s="180"/>
      <c r="F6" s="180"/>
      <c r="G6" s="22"/>
      <c r="H6" s="22"/>
    </row>
    <row r="7" spans="1:26">
      <c r="B7" s="23"/>
      <c r="C7" s="23"/>
      <c r="D7" s="23"/>
      <c r="E7" s="24"/>
      <c r="F7" s="23"/>
      <c r="G7" s="23"/>
      <c r="H7" s="23"/>
    </row>
    <row r="8" spans="1:26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/>
      <c r="H8" s="32"/>
    </row>
    <row r="9" spans="1:26" ht="16.5">
      <c r="B9" s="25"/>
      <c r="C9" s="25"/>
      <c r="D9" s="8" t="str">
        <f>Inputs!$C$4</f>
        <v>FY 2024</v>
      </c>
      <c r="E9" s="183" t="str">
        <f>Inputs!$D$4</f>
        <v>FY 2025</v>
      </c>
      <c r="F9" s="183"/>
      <c r="G9" s="183"/>
      <c r="H9" s="183"/>
      <c r="L9" t="s">
        <v>126</v>
      </c>
      <c r="Q9" t="s">
        <v>127</v>
      </c>
      <c r="U9" t="s">
        <v>128</v>
      </c>
    </row>
    <row r="10" spans="1:26">
      <c r="B10" s="4" t="s">
        <v>94</v>
      </c>
      <c r="C10" s="4" t="s">
        <v>33</v>
      </c>
      <c r="D10" s="4" t="s">
        <v>95</v>
      </c>
      <c r="E10" s="4" t="s">
        <v>96</v>
      </c>
      <c r="F10" s="4" t="s">
        <v>97</v>
      </c>
      <c r="G10" s="4"/>
      <c r="H10" s="4"/>
    </row>
    <row r="11" spans="1:26" ht="16.5">
      <c r="B11" s="6" t="s">
        <v>98</v>
      </c>
      <c r="C11" s="6" t="s">
        <v>99</v>
      </c>
      <c r="D11" s="6" t="s">
        <v>100</v>
      </c>
      <c r="E11" s="6" t="s">
        <v>100</v>
      </c>
      <c r="F11" s="6" t="s">
        <v>101</v>
      </c>
      <c r="G11" s="6"/>
      <c r="H11" s="6"/>
      <c r="L11" s="30">
        <v>2</v>
      </c>
      <c r="M11" s="30">
        <v>100</v>
      </c>
      <c r="N11" s="30">
        <v>2000</v>
      </c>
      <c r="O11" s="30" t="s">
        <v>129</v>
      </c>
      <c r="Q11" s="4" t="str">
        <f>Inputs!$C$4</f>
        <v>FY 2024</v>
      </c>
      <c r="R11" s="4" t="str">
        <f>Inputs!$D$4</f>
        <v>FY 2025</v>
      </c>
      <c r="S11" s="4"/>
      <c r="U11" s="4" t="str">
        <f>Inputs!$C$4</f>
        <v>FY 2024</v>
      </c>
      <c r="V11" s="4" t="str">
        <f>Inputs!$D$4</f>
        <v>FY 2025</v>
      </c>
      <c r="W11" s="4"/>
      <c r="X11" s="4"/>
      <c r="Y11" s="4"/>
      <c r="Z11" s="4"/>
    </row>
    <row r="12" spans="1:26">
      <c r="B12" s="4" t="s">
        <v>36</v>
      </c>
      <c r="C12" s="4" t="s">
        <v>102</v>
      </c>
      <c r="D12" s="4" t="s">
        <v>37</v>
      </c>
      <c r="E12" s="4" t="s">
        <v>37</v>
      </c>
      <c r="F12" s="4" t="s">
        <v>103</v>
      </c>
      <c r="G12" s="4"/>
      <c r="H12" s="4"/>
    </row>
    <row r="13" spans="1:26">
      <c r="B13" s="3"/>
      <c r="C13" s="3"/>
      <c r="D13" s="3"/>
      <c r="E13" s="3"/>
      <c r="F13" s="3"/>
      <c r="G13" s="3"/>
      <c r="H13" s="3"/>
    </row>
    <row r="14" spans="1:26">
      <c r="B14" s="36" t="s">
        <v>38</v>
      </c>
      <c r="C14" s="35">
        <v>0</v>
      </c>
      <c r="D14" s="27">
        <f t="shared" ref="D14:D26" si="0">+Q14+U14</f>
        <v>5.1100000000000003</v>
      </c>
      <c r="E14" s="27">
        <f t="shared" ref="E14:E26" si="1">+R14+V14</f>
        <v>5.17</v>
      </c>
      <c r="F14" s="26">
        <f t="shared" ref="F14:F25" si="2">(+E14/D14-1)*100</f>
        <v>1.1741682974559575</v>
      </c>
      <c r="G14" s="27"/>
      <c r="H14" s="26"/>
      <c r="J14" s="94"/>
      <c r="L14" s="26">
        <f t="shared" ref="L14:L26" si="3">IF($C14&gt;L$11,L$11,$C14)</f>
        <v>0</v>
      </c>
      <c r="M14" s="26">
        <f>IF($C14&gt;M$11,M$11,$C14)-SUM($L14:L14)</f>
        <v>0</v>
      </c>
      <c r="N14" s="26">
        <f>IF($C14&gt;N$11,N$11,$C14)-SUM($L14:M14)</f>
        <v>0</v>
      </c>
      <c r="O14" s="26">
        <f>$C14-SUM($L14:N14)</f>
        <v>0</v>
      </c>
      <c r="Q14">
        <f>SUMIF('Water Charges'!$B$13:$B$24,'Typical Bills WATER'!$B14,'Water Charges'!D$13:D$24)</f>
        <v>5.1100000000000003</v>
      </c>
      <c r="R14">
        <f>SUMIF('Water Charges'!$B$13:$B$24,'Typical Bills WATER'!$B14,'Water Charges'!E$13:E$24)</f>
        <v>5.17</v>
      </c>
      <c r="U14">
        <f>ROUND((SUMPRODUCT($L14:$O14,'Water Charges'!$D$48:$G$48)),2)</f>
        <v>0</v>
      </c>
      <c r="V14">
        <f>ROUND((SUMPRODUCT($L14:$O14,'Water Charges'!$D$49:$G$49)),2)</f>
        <v>0</v>
      </c>
      <c r="X14" s="94"/>
      <c r="Y14" s="70"/>
      <c r="Z14" s="70"/>
    </row>
    <row r="15" spans="1:26">
      <c r="B15" s="36" t="s">
        <v>38</v>
      </c>
      <c r="C15" s="35">
        <v>0.2</v>
      </c>
      <c r="D15" s="29">
        <f t="shared" si="0"/>
        <v>17</v>
      </c>
      <c r="E15" s="29">
        <f t="shared" si="1"/>
        <v>18.869999999999997</v>
      </c>
      <c r="F15" s="26">
        <f>(+E15/D15-1)*100</f>
        <v>10.999999999999988</v>
      </c>
      <c r="G15" s="29"/>
      <c r="H15" s="26"/>
      <c r="L15" s="26">
        <f t="shared" si="3"/>
        <v>0.2</v>
      </c>
      <c r="M15" s="26">
        <f>IF($C15&gt;M$11,M$11,$C15)-SUM($L15:L15)</f>
        <v>0</v>
      </c>
      <c r="N15" s="26">
        <f>IF($C15&gt;N$11,N$11,$C15)-SUM($L15:M15)</f>
        <v>0</v>
      </c>
      <c r="O15" s="26">
        <f>$C15-SUM($L15:N15)</f>
        <v>0</v>
      </c>
      <c r="Q15">
        <f>SUMIF('Water Charges'!$B$13:$B$24,'Typical Bills WATER'!$B15,'Water Charges'!D$13:D$24)</f>
        <v>5.1100000000000003</v>
      </c>
      <c r="R15">
        <f>SUMIF('Water Charges'!$B$13:$B$24,'Typical Bills WATER'!$B15,'Water Charges'!E$13:E$24)</f>
        <v>5.17</v>
      </c>
      <c r="U15" s="94">
        <f>ROUND((SUMPRODUCT($L15:$O15,'Water Charges'!$D$48:$G$48)),2)</f>
        <v>11.89</v>
      </c>
      <c r="V15" s="94">
        <f>ROUND((SUMPRODUCT($L15:$O15,'Water Charges'!$D$49:$G$49)),2)</f>
        <v>13.7</v>
      </c>
      <c r="W15" s="94"/>
      <c r="Y15" s="70"/>
      <c r="Z15" s="70"/>
    </row>
    <row r="16" spans="1:26">
      <c r="B16" s="36" t="s">
        <v>38</v>
      </c>
      <c r="C16" s="35">
        <v>0.3</v>
      </c>
      <c r="D16" s="27">
        <f t="shared" si="0"/>
        <v>22.95</v>
      </c>
      <c r="E16" s="27">
        <f t="shared" si="1"/>
        <v>25.72</v>
      </c>
      <c r="F16" s="26">
        <f t="shared" si="2"/>
        <v>12.069716775599137</v>
      </c>
      <c r="G16" s="27"/>
      <c r="H16" s="26"/>
      <c r="L16" s="26">
        <f t="shared" si="3"/>
        <v>0.3</v>
      </c>
      <c r="M16" s="26">
        <f>IF($C16&gt;M$11,M$11,$C16)-SUM($L16:L16)</f>
        <v>0</v>
      </c>
      <c r="N16" s="26">
        <f>IF($C16&gt;N$11,N$11,$C16)-SUM($L16:M16)</f>
        <v>0</v>
      </c>
      <c r="O16" s="26">
        <f>$C16-SUM($L16:N16)</f>
        <v>0</v>
      </c>
      <c r="Q16">
        <f>SUMIF('Water Charges'!$B$13:$B$24,'Typical Bills WATER'!$B16,'Water Charges'!D$13:D$24)</f>
        <v>5.1100000000000003</v>
      </c>
      <c r="R16">
        <f>SUMIF('Water Charges'!$B$13:$B$24,'Typical Bills WATER'!$B16,'Water Charges'!E$13:E$24)</f>
        <v>5.17</v>
      </c>
      <c r="U16" s="94">
        <f>ROUND((SUMPRODUCT($L16:$O16,'Water Charges'!$D$48:$G$48)),2)</f>
        <v>17.84</v>
      </c>
      <c r="V16" s="94">
        <f>ROUND((SUMPRODUCT($L16:$O16,'Water Charges'!$D$49:$G$49)),2)</f>
        <v>20.55</v>
      </c>
      <c r="W16" s="94"/>
      <c r="Y16" s="70"/>
      <c r="Z16" s="70"/>
    </row>
    <row r="17" spans="1:26">
      <c r="B17" s="36" t="s">
        <v>38</v>
      </c>
      <c r="C17" s="35">
        <v>0.4</v>
      </c>
      <c r="D17" s="27">
        <f t="shared" si="0"/>
        <v>28.9</v>
      </c>
      <c r="E17" s="27">
        <f t="shared" si="1"/>
        <v>32.57</v>
      </c>
      <c r="F17" s="26">
        <f>(+E17/D17-1)*100</f>
        <v>12.69896193771627</v>
      </c>
      <c r="G17" s="27"/>
      <c r="H17" s="26"/>
      <c r="L17" s="26">
        <f t="shared" si="3"/>
        <v>0.4</v>
      </c>
      <c r="M17" s="26">
        <f>IF($C17&gt;M$11,M$11,$C17)-SUM($L17:L17)</f>
        <v>0</v>
      </c>
      <c r="N17" s="26">
        <f>IF($C17&gt;N$11,N$11,$C17)-SUM($L17:M17)</f>
        <v>0</v>
      </c>
      <c r="O17" s="26">
        <f>$C17-SUM($L17:N17)</f>
        <v>0</v>
      </c>
      <c r="Q17">
        <f>SUMIF('Water Charges'!$B$13:$B$24,'Typical Bills WATER'!$B17,'Water Charges'!D$13:D$24)</f>
        <v>5.1100000000000003</v>
      </c>
      <c r="R17">
        <f>SUMIF('Water Charges'!$B$13:$B$24,'Typical Bills WATER'!$B17,'Water Charges'!E$13:E$24)</f>
        <v>5.17</v>
      </c>
      <c r="U17" s="94">
        <f>ROUND((SUMPRODUCT($L17:$O17,'Water Charges'!$D$48:$G$48)),2)</f>
        <v>23.79</v>
      </c>
      <c r="V17" s="94">
        <f>ROUND((SUMPRODUCT($L17:$O17,'Water Charges'!$D$49:$G$49)),2)</f>
        <v>27.4</v>
      </c>
      <c r="W17" s="94"/>
      <c r="Y17" s="70"/>
      <c r="Z17" s="70"/>
    </row>
    <row r="18" spans="1:26">
      <c r="A18" s="59"/>
      <c r="B18" s="60" t="s">
        <v>38</v>
      </c>
      <c r="C18" s="157">
        <v>0.45</v>
      </c>
      <c r="D18" s="61">
        <f t="shared" si="0"/>
        <v>31.87</v>
      </c>
      <c r="E18" s="61">
        <f t="shared" si="1"/>
        <v>36</v>
      </c>
      <c r="F18" s="62">
        <f t="shared" si="2"/>
        <v>12.958895513021652</v>
      </c>
      <c r="G18" s="61"/>
      <c r="H18" s="62"/>
      <c r="I18" s="59"/>
      <c r="J18" s="59"/>
      <c r="K18" s="59"/>
      <c r="L18" s="63">
        <f t="shared" si="3"/>
        <v>0.45</v>
      </c>
      <c r="M18" s="63">
        <f>IF($C18&gt;M$11,M$11,$C18)-SUM($L18:L18)</f>
        <v>0</v>
      </c>
      <c r="N18" s="63">
        <f>IF($C18&gt;N$11,N$11,$C18)-SUM($L18:M18)</f>
        <v>0</v>
      </c>
      <c r="O18" s="63">
        <f>$C18-SUM($L18:N18)</f>
        <v>0</v>
      </c>
      <c r="P18" s="59"/>
      <c r="Q18" s="59">
        <f>SUMIF('Water Charges'!$B$13:$B$24,'Typical Bills WATER'!$B18,'Water Charges'!D$13:D$24)</f>
        <v>5.1100000000000003</v>
      </c>
      <c r="R18" s="59">
        <f>SUMIF('Water Charges'!$B$13:$B$24,'Typical Bills WATER'!$B18,'Water Charges'!E$13:E$24)</f>
        <v>5.17</v>
      </c>
      <c r="S18" s="59"/>
      <c r="T18" s="59"/>
      <c r="U18" s="95">
        <f>ROUND((SUMPRODUCT($L18:$O18,'Water Charges'!$D$48:$G$48)),2)</f>
        <v>26.76</v>
      </c>
      <c r="V18" s="95">
        <f>ROUND((SUMPRODUCT($L18:$O18,'Water Charges'!$D$49:$G$49)),2)</f>
        <v>30.83</v>
      </c>
      <c r="W18" s="95"/>
      <c r="X18" s="59"/>
      <c r="Y18" s="71"/>
      <c r="Z18" s="71"/>
    </row>
    <row r="19" spans="1:26">
      <c r="B19" s="36" t="s">
        <v>38</v>
      </c>
      <c r="C19" s="35">
        <v>0.5</v>
      </c>
      <c r="D19" s="27">
        <f>+Q19+U19</f>
        <v>34.85</v>
      </c>
      <c r="E19" s="27">
        <f>+R19+V19</f>
        <v>39.43</v>
      </c>
      <c r="F19" s="26">
        <f>(+E19/D19-1)*100</f>
        <v>13.142037302725962</v>
      </c>
      <c r="G19" s="27"/>
      <c r="H19" s="26"/>
      <c r="L19" s="26">
        <f>IF($C19&gt;L$11,L$11,$C19)</f>
        <v>0.5</v>
      </c>
      <c r="M19" s="26">
        <f>IF($C19&gt;M$11,M$11,$C19)-SUM($L19:L19)</f>
        <v>0</v>
      </c>
      <c r="N19" s="26">
        <f>IF($C19&gt;N$11,N$11,$C19)-SUM($L19:M19)</f>
        <v>0</v>
      </c>
      <c r="O19" s="26">
        <f>$C19-SUM($L19:N19)</f>
        <v>0</v>
      </c>
      <c r="Q19">
        <f>SUMIF('Water Charges'!$B$13:$B$24,'Typical Bills WATER'!$B19,'Water Charges'!D$13:D$24)</f>
        <v>5.1100000000000003</v>
      </c>
      <c r="R19">
        <f>SUMIF('Water Charges'!$B$13:$B$24,'Typical Bills WATER'!$B19,'Water Charges'!E$13:E$24)</f>
        <v>5.17</v>
      </c>
      <c r="U19" s="94">
        <f>ROUND((SUMPRODUCT($L19:$O19,'Water Charges'!$D$48:$G$48)),2)</f>
        <v>29.74</v>
      </c>
      <c r="V19" s="94">
        <f>ROUND((SUMPRODUCT($L19:$O19,'Water Charges'!$D$49:$G$49)),2)</f>
        <v>34.26</v>
      </c>
      <c r="W19" s="94"/>
      <c r="Y19" s="70"/>
      <c r="Z19" s="70"/>
    </row>
    <row r="20" spans="1:26">
      <c r="B20" s="36" t="s">
        <v>38</v>
      </c>
      <c r="C20" s="35">
        <v>0.6</v>
      </c>
      <c r="D20" s="27">
        <f>+Q20+U20</f>
        <v>40.79</v>
      </c>
      <c r="E20" s="27">
        <f>+R20+V20</f>
        <v>46.28</v>
      </c>
      <c r="F20" s="26">
        <f>(+E20/D20-1)*100</f>
        <v>13.45918117185585</v>
      </c>
      <c r="G20" s="27"/>
      <c r="H20" s="26"/>
      <c r="L20" s="26">
        <f>IF($C20&gt;L$11,L$11,$C20)</f>
        <v>0.6</v>
      </c>
      <c r="M20" s="26">
        <f>IF($C20&gt;M$11,M$11,$C20)-SUM($L20:L20)</f>
        <v>0</v>
      </c>
      <c r="N20" s="26">
        <f>IF($C20&gt;N$11,N$11,$C20)-SUM($L20:M20)</f>
        <v>0</v>
      </c>
      <c r="O20" s="26">
        <f>$C20-SUM($L20:N20)</f>
        <v>0</v>
      </c>
      <c r="Q20">
        <f>SUMIF('Water Charges'!$B$13:$B$24,'Typical Bills WATER'!$B20,'Water Charges'!D$13:D$24)</f>
        <v>5.1100000000000003</v>
      </c>
      <c r="R20">
        <f>SUMIF('Water Charges'!$B$13:$B$24,'Typical Bills WATER'!$B20,'Water Charges'!E$13:E$24)</f>
        <v>5.17</v>
      </c>
      <c r="U20" s="94">
        <f>ROUND((SUMPRODUCT($L20:$O20,'Water Charges'!$D$48:$G$48)),2)</f>
        <v>35.68</v>
      </c>
      <c r="V20" s="94">
        <f>ROUND((SUMPRODUCT($L20:$O20,'Water Charges'!$D$49:$G$49)),2)</f>
        <v>41.11</v>
      </c>
      <c r="W20" s="94"/>
      <c r="Y20" s="70"/>
      <c r="Z20" s="70"/>
    </row>
    <row r="21" spans="1:26">
      <c r="B21" s="36" t="s">
        <v>38</v>
      </c>
      <c r="C21" s="35">
        <v>0.7</v>
      </c>
      <c r="D21" s="27">
        <f t="shared" si="0"/>
        <v>46.74</v>
      </c>
      <c r="E21" s="27">
        <f t="shared" si="1"/>
        <v>53.13</v>
      </c>
      <c r="F21" s="26">
        <f t="shared" si="2"/>
        <v>13.671373555840827</v>
      </c>
      <c r="G21" s="27"/>
      <c r="H21" s="26"/>
      <c r="L21" s="26">
        <f t="shared" si="3"/>
        <v>0.7</v>
      </c>
      <c r="M21" s="26">
        <f>IF($C21&gt;M$11,M$11,$C21)-SUM($L21:L21)</f>
        <v>0</v>
      </c>
      <c r="N21" s="26">
        <f>IF($C21&gt;N$11,N$11,$C21)-SUM($L21:M21)</f>
        <v>0</v>
      </c>
      <c r="O21" s="26">
        <f>$C21-SUM($L21:N21)</f>
        <v>0</v>
      </c>
      <c r="Q21">
        <f>SUMIF('Water Charges'!$B$13:$B$24,'Typical Bills WATER'!$B21,'Water Charges'!D$13:D$24)</f>
        <v>5.1100000000000003</v>
      </c>
      <c r="R21">
        <f>SUMIF('Water Charges'!$B$13:$B$24,'Typical Bills WATER'!$B21,'Water Charges'!E$13:E$24)</f>
        <v>5.17</v>
      </c>
      <c r="U21" s="94">
        <f>ROUND((SUMPRODUCT($L21:$O21,'Water Charges'!$D$48:$G$48)),2)</f>
        <v>41.63</v>
      </c>
      <c r="V21" s="94">
        <f>ROUND((SUMPRODUCT($L21:$O21,'Water Charges'!$D$49:$G$49)),2)</f>
        <v>47.96</v>
      </c>
      <c r="W21" s="94"/>
      <c r="Y21" s="70"/>
      <c r="Z21" s="70"/>
    </row>
    <row r="22" spans="1:26">
      <c r="B22" s="36" t="s">
        <v>38</v>
      </c>
      <c r="C22" s="35">
        <v>0.8</v>
      </c>
      <c r="D22" s="27">
        <f t="shared" si="0"/>
        <v>52.69</v>
      </c>
      <c r="E22" s="27">
        <f t="shared" si="1"/>
        <v>59.980000000000004</v>
      </c>
      <c r="F22" s="26">
        <f t="shared" si="2"/>
        <v>13.835642436895057</v>
      </c>
      <c r="G22" s="27"/>
      <c r="H22" s="26"/>
      <c r="L22" s="26">
        <f t="shared" si="3"/>
        <v>0.8</v>
      </c>
      <c r="M22" s="26">
        <f>IF($C22&gt;M$11,M$11,$C22)-SUM($L22:L22)</f>
        <v>0</v>
      </c>
      <c r="N22" s="26">
        <f>IF($C22&gt;N$11,N$11,$C22)-SUM($L22:M22)</f>
        <v>0</v>
      </c>
      <c r="O22" s="26">
        <f>$C22-SUM($L22:N22)</f>
        <v>0</v>
      </c>
      <c r="Q22">
        <f>SUMIF('Water Charges'!$B$13:$B$24,'Typical Bills WATER'!$B22,'Water Charges'!D$13:D$24)</f>
        <v>5.1100000000000003</v>
      </c>
      <c r="R22">
        <f>SUMIF('Water Charges'!$B$13:$B$24,'Typical Bills WATER'!$B22,'Water Charges'!E$13:E$24)</f>
        <v>5.17</v>
      </c>
      <c r="U22" s="94">
        <f>ROUND((SUMPRODUCT($L22:$O22,'Water Charges'!$D$48:$G$48)),2)</f>
        <v>47.58</v>
      </c>
      <c r="V22" s="94">
        <f>ROUND((SUMPRODUCT($L22:$O22,'Water Charges'!$D$49:$G$49)),2)</f>
        <v>54.81</v>
      </c>
      <c r="W22" s="94"/>
      <c r="Y22" s="70"/>
      <c r="Z22" s="70"/>
    </row>
    <row r="23" spans="1:26">
      <c r="B23" s="36" t="s">
        <v>38</v>
      </c>
      <c r="C23" s="35">
        <v>1.7</v>
      </c>
      <c r="D23" s="27">
        <f t="shared" si="0"/>
        <v>106.21</v>
      </c>
      <c r="E23" s="27">
        <f t="shared" si="1"/>
        <v>121.64</v>
      </c>
      <c r="F23" s="26">
        <f t="shared" si="2"/>
        <v>14.527822238960564</v>
      </c>
      <c r="G23" s="27"/>
      <c r="H23" s="26"/>
      <c r="L23" s="26">
        <f t="shared" si="3"/>
        <v>1.7</v>
      </c>
      <c r="M23" s="26">
        <f>IF($C23&gt;M$11,M$11,$C23)-SUM($L23:L23)</f>
        <v>0</v>
      </c>
      <c r="N23" s="26">
        <f>IF($C23&gt;N$11,N$11,$C23)-SUM($L23:M23)</f>
        <v>0</v>
      </c>
      <c r="O23" s="26">
        <f>$C23-SUM($L23:N23)</f>
        <v>0</v>
      </c>
      <c r="Q23">
        <f>SUMIF('Water Charges'!$B$13:$B$24,'Typical Bills WATER'!$B23,'Water Charges'!D$13:D$24)</f>
        <v>5.1100000000000003</v>
      </c>
      <c r="R23">
        <f>SUMIF('Water Charges'!$B$13:$B$24,'Typical Bills WATER'!$B23,'Water Charges'!E$13:E$24)</f>
        <v>5.17</v>
      </c>
      <c r="U23" s="94">
        <f>ROUND((SUMPRODUCT($L23:$O23,'Water Charges'!$D$48:$G$48)),2)</f>
        <v>101.1</v>
      </c>
      <c r="V23" s="94">
        <f>ROUND((SUMPRODUCT($L23:$O23,'Water Charges'!$D$49:$G$49)),2)</f>
        <v>116.47</v>
      </c>
      <c r="W23" s="94"/>
      <c r="Y23" s="70"/>
      <c r="Z23" s="70"/>
    </row>
    <row r="24" spans="1:26">
      <c r="B24" s="36" t="s">
        <v>38</v>
      </c>
      <c r="C24" s="35">
        <v>2.7</v>
      </c>
      <c r="D24" s="27">
        <f t="shared" si="0"/>
        <v>161.51000000000002</v>
      </c>
      <c r="E24" s="27">
        <f t="shared" si="1"/>
        <v>185.64</v>
      </c>
      <c r="F24" s="26">
        <f t="shared" si="2"/>
        <v>14.940251377623648</v>
      </c>
      <c r="G24" s="27"/>
      <c r="H24" s="26"/>
      <c r="L24" s="26">
        <f t="shared" si="3"/>
        <v>2</v>
      </c>
      <c r="M24" s="26">
        <f>IF($C24&gt;M$11,M$11,$C24)-SUM($L24:L24)</f>
        <v>0.70000000000000018</v>
      </c>
      <c r="N24" s="26">
        <f>IF($C24&gt;N$11,N$11,$C24)-SUM($L24:M24)</f>
        <v>0</v>
      </c>
      <c r="O24" s="26">
        <f>$C24-SUM($L24:N24)</f>
        <v>0</v>
      </c>
      <c r="Q24">
        <f>SUMIF('Water Charges'!$B$13:$B$24,'Typical Bills WATER'!$B24,'Water Charges'!D$13:D$24)</f>
        <v>5.1100000000000003</v>
      </c>
      <c r="R24">
        <f>SUMIF('Water Charges'!$B$13:$B$24,'Typical Bills WATER'!$B24,'Water Charges'!E$13:E$24)</f>
        <v>5.17</v>
      </c>
      <c r="U24" s="94">
        <f>ROUND((SUMPRODUCT($L24:$O24,'Water Charges'!$D$48:$G$48)),2)</f>
        <v>156.4</v>
      </c>
      <c r="V24" s="94">
        <f>ROUND((SUMPRODUCT($L24:$O24,'Water Charges'!$D$49:$G$49)),2)</f>
        <v>180.47</v>
      </c>
      <c r="W24" s="94"/>
      <c r="Y24" s="70"/>
      <c r="Z24" s="70"/>
    </row>
    <row r="25" spans="1:26">
      <c r="B25" s="36" t="s">
        <v>38</v>
      </c>
      <c r="C25" s="35">
        <v>3.3</v>
      </c>
      <c r="D25" s="27">
        <f t="shared" si="0"/>
        <v>193.63000000000002</v>
      </c>
      <c r="E25" s="27">
        <f t="shared" si="1"/>
        <v>222.88</v>
      </c>
      <c r="F25" s="26">
        <f t="shared" si="2"/>
        <v>15.106130248411898</v>
      </c>
      <c r="G25" s="27"/>
      <c r="H25" s="26"/>
      <c r="L25" s="26">
        <f t="shared" si="3"/>
        <v>2</v>
      </c>
      <c r="M25" s="26">
        <f>IF($C25&gt;M$11,M$11,$C25)-SUM($L25:L25)</f>
        <v>1.2999999999999998</v>
      </c>
      <c r="N25" s="26">
        <f>IF($C25&gt;N$11,N$11,$C25)-SUM($L25:M25)</f>
        <v>0</v>
      </c>
      <c r="O25" s="26">
        <f>$C25-SUM($L25:N25)</f>
        <v>0</v>
      </c>
      <c r="Q25">
        <f>SUMIF('Water Charges'!$B$13:$B$24,'Typical Bills WATER'!$B25,'Water Charges'!D$13:D$24)</f>
        <v>5.1100000000000003</v>
      </c>
      <c r="R25">
        <f>SUMIF('Water Charges'!$B$13:$B$24,'Typical Bills WATER'!$B25,'Water Charges'!E$13:E$24)</f>
        <v>5.17</v>
      </c>
      <c r="U25" s="94">
        <f>ROUND((SUMPRODUCT($L25:$O25,'Water Charges'!$D$48:$G$48)),2)</f>
        <v>188.52</v>
      </c>
      <c r="V25" s="94">
        <f>ROUND((SUMPRODUCT($L25:$O25,'Water Charges'!$D$49:$G$49)),2)</f>
        <v>217.71</v>
      </c>
      <c r="W25" s="94"/>
      <c r="Y25" s="70"/>
      <c r="Z25" s="70"/>
    </row>
    <row r="26" spans="1:26">
      <c r="A26" s="41"/>
      <c r="B26" s="42" t="s">
        <v>38</v>
      </c>
      <c r="C26" s="43">
        <v>11</v>
      </c>
      <c r="D26" s="44">
        <f t="shared" si="0"/>
        <v>605.73</v>
      </c>
      <c r="E26" s="44">
        <f t="shared" si="1"/>
        <v>700.81999999999994</v>
      </c>
      <c r="F26" s="45">
        <f>(+E26/D26-1)*100</f>
        <v>15.698413484555807</v>
      </c>
      <c r="G26" s="44"/>
      <c r="H26" s="45"/>
      <c r="I26" s="41"/>
      <c r="J26" s="41"/>
      <c r="K26" s="41"/>
      <c r="L26" s="45">
        <f t="shared" si="3"/>
        <v>2</v>
      </c>
      <c r="M26" s="45">
        <f>IF($C26&gt;M$11,M$11,$C26)-SUM($L26:L26)</f>
        <v>9</v>
      </c>
      <c r="N26" s="45">
        <f>IF($C26&gt;N$11,N$11,$C26)-SUM($L26:M26)</f>
        <v>0</v>
      </c>
      <c r="O26" s="45">
        <f>$C26-SUM($L26:N26)</f>
        <v>0</v>
      </c>
      <c r="P26" s="41"/>
      <c r="Q26" s="41">
        <f>SUMIF('Water Charges'!$B$13:$B$24,'Typical Bills WATER'!$B26,'Water Charges'!D$13:D$24)</f>
        <v>5.1100000000000003</v>
      </c>
      <c r="R26" s="41">
        <f>SUMIF('Water Charges'!$B$13:$B$24,'Typical Bills WATER'!$B26,'Water Charges'!E$13:E$24)</f>
        <v>5.17</v>
      </c>
      <c r="S26" s="41"/>
      <c r="T26" s="41"/>
      <c r="U26" s="96">
        <f>ROUND((SUMPRODUCT($L26:$O26,'Water Charges'!$D$48:$G$48)),2)</f>
        <v>600.62</v>
      </c>
      <c r="V26" s="96">
        <f>ROUND((SUMPRODUCT($L26:$O26,'Water Charges'!$D$49:$G$49)),2)</f>
        <v>695.65</v>
      </c>
      <c r="W26" s="96"/>
      <c r="X26" s="41"/>
      <c r="Y26" s="72"/>
      <c r="Z26" s="72"/>
    </row>
    <row r="27" spans="1:26">
      <c r="B27" s="9"/>
      <c r="C27" s="3"/>
      <c r="D27" s="27"/>
      <c r="E27" s="27"/>
      <c r="F27" s="31"/>
      <c r="G27" s="27"/>
      <c r="H27" s="31"/>
    </row>
    <row r="28" spans="1:26">
      <c r="B28" s="36">
        <v>1</v>
      </c>
      <c r="C28" s="35">
        <v>1.7</v>
      </c>
      <c r="D28" s="27">
        <f t="shared" ref="D28:E31" si="4">+Q28+U28</f>
        <v>108.13</v>
      </c>
      <c r="E28" s="27">
        <f t="shared" si="4"/>
        <v>123.66</v>
      </c>
      <c r="F28" s="26">
        <f>(+E28/D28-1)*100</f>
        <v>14.362341625820774</v>
      </c>
      <c r="G28" s="27"/>
      <c r="H28" s="26"/>
      <c r="L28" s="26">
        <f>IF($C28&gt;L$11,L$11,$C28)</f>
        <v>1.7</v>
      </c>
      <c r="M28" s="26">
        <f>IF($C28&gt;M$11,M$11,$C28)-SUM($L28:L28)</f>
        <v>0</v>
      </c>
      <c r="N28" s="26">
        <f>IF($C28&gt;N$11,N$11,$C28)-SUM($L28:M28)</f>
        <v>0</v>
      </c>
      <c r="O28" s="26">
        <f>$C28-SUM($L28:N28)</f>
        <v>0</v>
      </c>
      <c r="Q28">
        <f>SUMIF('Water Charges'!$B$13:$B$24,'Typical Bills WATER'!$B28,'Water Charges'!D$13:D$24)</f>
        <v>7.03</v>
      </c>
      <c r="R28">
        <f>SUMIF('Water Charges'!$B$13:$B$24,'Typical Bills WATER'!$B28,'Water Charges'!E$13:E$24)</f>
        <v>7.19</v>
      </c>
      <c r="U28">
        <f>ROUND((SUMPRODUCT($L28:$O28,'Water Charges'!$D$48:$G$48)),2)</f>
        <v>101.1</v>
      </c>
      <c r="V28">
        <f>ROUND((SUMPRODUCT($L28:$O28,'Water Charges'!$D$49:$G$49)),2)</f>
        <v>116.47</v>
      </c>
      <c r="W28" s="94"/>
      <c r="Y28" s="70"/>
      <c r="Z28" s="70"/>
    </row>
    <row r="29" spans="1:26">
      <c r="B29" s="36">
        <v>1</v>
      </c>
      <c r="C29" s="35">
        <v>5</v>
      </c>
      <c r="D29" s="27">
        <f t="shared" si="4"/>
        <v>286.52999999999997</v>
      </c>
      <c r="E29" s="27">
        <f t="shared" si="4"/>
        <v>330.42</v>
      </c>
      <c r="F29" s="26">
        <f>(+E29/D29-1)*100</f>
        <v>15.317767773008084</v>
      </c>
      <c r="G29" s="27"/>
      <c r="H29" s="26"/>
      <c r="L29" s="26">
        <f>IF($C29&gt;L$11,L$11,$C29)</f>
        <v>2</v>
      </c>
      <c r="M29" s="26">
        <f>IF($C29&gt;M$11,M$11,$C29)-SUM($L29:L29)</f>
        <v>3</v>
      </c>
      <c r="N29" s="26">
        <f>IF($C29&gt;N$11,N$11,$C29)-SUM($L29:M29)</f>
        <v>0</v>
      </c>
      <c r="O29" s="26">
        <f>$C29-SUM($L29:N29)</f>
        <v>0</v>
      </c>
      <c r="Q29">
        <f>SUMIF('Water Charges'!$B$13:$B$24,'Typical Bills WATER'!$B29,'Water Charges'!D$13:D$24)</f>
        <v>7.03</v>
      </c>
      <c r="R29">
        <f>SUMIF('Water Charges'!$B$13:$B$24,'Typical Bills WATER'!$B29,'Water Charges'!E$13:E$24)</f>
        <v>7.19</v>
      </c>
      <c r="U29">
        <f>ROUND((SUMPRODUCT($L29:$O29,'Water Charges'!$D$48:$G$48)),2)</f>
        <v>279.5</v>
      </c>
      <c r="V29">
        <f>ROUND((SUMPRODUCT($L29:$O29,'Water Charges'!$D$49:$G$49)),2)</f>
        <v>323.23</v>
      </c>
      <c r="W29" s="94"/>
      <c r="Y29" s="70"/>
      <c r="Z29" s="70"/>
    </row>
    <row r="30" spans="1:26">
      <c r="B30" s="36">
        <v>1</v>
      </c>
      <c r="C30" s="35">
        <v>8</v>
      </c>
      <c r="D30" s="27">
        <f t="shared" si="4"/>
        <v>447.09</v>
      </c>
      <c r="E30" s="27">
        <f t="shared" si="4"/>
        <v>516.63</v>
      </c>
      <c r="F30" s="26">
        <f>(+E30/D30-1)*100</f>
        <v>15.553915319063272</v>
      </c>
      <c r="G30" s="27"/>
      <c r="H30" s="26"/>
      <c r="L30" s="26">
        <f>IF($C30&gt;L$11,L$11,$C30)</f>
        <v>2</v>
      </c>
      <c r="M30" s="26">
        <f>IF($C30&gt;M$11,M$11,$C30)-SUM($L30:L30)</f>
        <v>6</v>
      </c>
      <c r="N30" s="26">
        <f>IF($C30&gt;N$11,N$11,$C30)-SUM($L30:M30)</f>
        <v>0</v>
      </c>
      <c r="O30" s="26">
        <f>$C30-SUM($L30:N30)</f>
        <v>0</v>
      </c>
      <c r="Q30">
        <f>SUMIF('Water Charges'!$B$13:$B$24,'Typical Bills WATER'!$B30,'Water Charges'!D$13:D$24)</f>
        <v>7.03</v>
      </c>
      <c r="R30">
        <f>SUMIF('Water Charges'!$B$13:$B$24,'Typical Bills WATER'!$B30,'Water Charges'!E$13:E$24)</f>
        <v>7.19</v>
      </c>
      <c r="U30">
        <f>ROUND((SUMPRODUCT($L30:$O30,'Water Charges'!$D$48:$G$48)),2)</f>
        <v>440.06</v>
      </c>
      <c r="V30">
        <f>ROUND((SUMPRODUCT($L30:$O30,'Water Charges'!$D$49:$G$49)),2)</f>
        <v>509.44</v>
      </c>
      <c r="W30" s="94"/>
      <c r="Y30" s="70"/>
      <c r="Z30" s="70"/>
    </row>
    <row r="31" spans="1:26">
      <c r="B31" s="36">
        <v>1</v>
      </c>
      <c r="C31" s="35">
        <v>17</v>
      </c>
      <c r="D31" s="27">
        <f t="shared" si="4"/>
        <v>928.77</v>
      </c>
      <c r="E31" s="27">
        <f t="shared" si="4"/>
        <v>1075.26</v>
      </c>
      <c r="F31" s="26">
        <f>(+E31/D31-1)*100</f>
        <v>15.772473271100495</v>
      </c>
      <c r="G31" s="27"/>
      <c r="H31" s="26"/>
      <c r="L31" s="26">
        <f>IF($C31&gt;L$11,L$11,$C31)</f>
        <v>2</v>
      </c>
      <c r="M31" s="26">
        <f>IF($C31&gt;M$11,M$11,$C31)-SUM($L31:L31)</f>
        <v>15</v>
      </c>
      <c r="N31" s="26">
        <f>IF($C31&gt;N$11,N$11,$C31)-SUM($L31:M31)</f>
        <v>0</v>
      </c>
      <c r="O31" s="26">
        <f>$C31-SUM($L31:N31)</f>
        <v>0</v>
      </c>
      <c r="Q31">
        <f>SUMIF('Water Charges'!$B$13:$B$24,'Typical Bills WATER'!$B31,'Water Charges'!D$13:D$24)</f>
        <v>7.03</v>
      </c>
      <c r="R31">
        <f>SUMIF('Water Charges'!$B$13:$B$24,'Typical Bills WATER'!$B31,'Water Charges'!E$13:E$24)</f>
        <v>7.19</v>
      </c>
      <c r="U31">
        <f>ROUND((SUMPRODUCT($L31:$O31,'Water Charges'!$D$48:$G$48)),2)</f>
        <v>921.74</v>
      </c>
      <c r="V31">
        <f>ROUND((SUMPRODUCT($L31:$O31,'Water Charges'!$D$49:$G$49)),2)</f>
        <v>1068.07</v>
      </c>
      <c r="W31" s="94"/>
      <c r="Y31" s="70"/>
      <c r="Z31" s="70"/>
    </row>
    <row r="32" spans="1:26">
      <c r="B32" s="9"/>
      <c r="C32" s="3"/>
      <c r="D32" s="27"/>
      <c r="E32" s="27"/>
      <c r="F32" s="31"/>
      <c r="G32" s="27"/>
      <c r="H32" s="31"/>
    </row>
    <row r="33" spans="2:26">
      <c r="B33" s="36">
        <v>2</v>
      </c>
      <c r="C33" s="35">
        <v>7.6</v>
      </c>
      <c r="D33" s="27">
        <f t="shared" ref="D33:E36" si="5">+Q33+U33</f>
        <v>432.87</v>
      </c>
      <c r="E33" s="27">
        <f t="shared" si="5"/>
        <v>499.36</v>
      </c>
      <c r="F33" s="26">
        <f>(+E33/D33-1)*100</f>
        <v>15.360269826968832</v>
      </c>
      <c r="G33" s="27"/>
      <c r="H33" s="26"/>
      <c r="I33" s="21"/>
      <c r="L33" s="26">
        <f>IF($C33&gt;L$11,L$11,$C33)</f>
        <v>2</v>
      </c>
      <c r="M33" s="26">
        <f>IF($C33&gt;M$11,M$11,$C33)-SUM($L33:L33)</f>
        <v>5.6</v>
      </c>
      <c r="N33" s="26">
        <f>IF($C33&gt;N$11,N$11,$C33)-SUM($L33:M33)</f>
        <v>0</v>
      </c>
      <c r="O33" s="26">
        <f>$C33-SUM($L33:N33)</f>
        <v>0</v>
      </c>
      <c r="Q33">
        <f>SUMIF('Water Charges'!$B$13:$B$24,'Typical Bills WATER'!$B33,'Water Charges'!D$13:D$24)</f>
        <v>14.22</v>
      </c>
      <c r="R33">
        <f>SUMIF('Water Charges'!$B$13:$B$24,'Typical Bills WATER'!$B33,'Water Charges'!E$13:E$24)</f>
        <v>14.75</v>
      </c>
      <c r="U33" s="65">
        <f>ROUND((SUMPRODUCT($L33:$O33,'Water Charges'!$D$48:$G$48)),2)</f>
        <v>418.65</v>
      </c>
      <c r="V33" s="65">
        <f>ROUND((SUMPRODUCT($L33:$O33,'Water Charges'!$D$49:$G$49)),2)</f>
        <v>484.61</v>
      </c>
      <c r="W33" s="65"/>
      <c r="Y33" s="70"/>
      <c r="Z33" s="70"/>
    </row>
    <row r="34" spans="2:26">
      <c r="B34" s="36">
        <v>2</v>
      </c>
      <c r="C34" s="35">
        <v>16</v>
      </c>
      <c r="D34" s="27">
        <f t="shared" si="5"/>
        <v>882.44</v>
      </c>
      <c r="E34" s="27">
        <f t="shared" si="5"/>
        <v>1020.75</v>
      </c>
      <c r="F34" s="26">
        <f>(+E34/D34-1)*100</f>
        <v>15.673586872761881</v>
      </c>
      <c r="G34" s="27"/>
      <c r="H34" s="26"/>
      <c r="L34" s="26">
        <f>IF($C34&gt;L$11,L$11,$C34)</f>
        <v>2</v>
      </c>
      <c r="M34" s="26">
        <f>IF($C34&gt;M$11,M$11,$C34)-SUM($L34:L34)</f>
        <v>14</v>
      </c>
      <c r="N34" s="26">
        <f>IF($C34&gt;N$11,N$11,$C34)-SUM($L34:M34)</f>
        <v>0</v>
      </c>
      <c r="O34" s="26">
        <f>$C34-SUM($L34:N34)</f>
        <v>0</v>
      </c>
      <c r="Q34">
        <f>SUMIF('Water Charges'!$B$13:$B$24,'Typical Bills WATER'!$B34,'Water Charges'!D$13:D$24)</f>
        <v>14.22</v>
      </c>
      <c r="R34">
        <f>SUMIF('Water Charges'!$B$13:$B$24,'Typical Bills WATER'!$B34,'Water Charges'!E$13:E$24)</f>
        <v>14.75</v>
      </c>
      <c r="U34" s="65">
        <f>ROUND((SUMPRODUCT($L34:$O34,'Water Charges'!$D$48:$G$48)),2)</f>
        <v>868.22</v>
      </c>
      <c r="V34" s="65">
        <f>ROUND((SUMPRODUCT($L34:$O34,'Water Charges'!$D$49:$G$49)),2)</f>
        <v>1006</v>
      </c>
      <c r="W34" s="65"/>
      <c r="Y34" s="70"/>
      <c r="Z34" s="70"/>
    </row>
    <row r="35" spans="2:26">
      <c r="B35" s="36">
        <v>2</v>
      </c>
      <c r="C35" s="35">
        <v>33</v>
      </c>
      <c r="D35" s="27">
        <f t="shared" si="5"/>
        <v>1792.28</v>
      </c>
      <c r="E35" s="27">
        <f t="shared" si="5"/>
        <v>2075.94</v>
      </c>
      <c r="F35" s="26">
        <f>(+E35/D35-1)*100</f>
        <v>15.826768138906866</v>
      </c>
      <c r="G35" s="27"/>
      <c r="H35" s="26"/>
      <c r="L35" s="26">
        <f>IF($C35&gt;L$11,L$11,$C35)</f>
        <v>2</v>
      </c>
      <c r="M35" s="26">
        <f>IF($C35&gt;M$11,M$11,$C35)-SUM($L35:L35)</f>
        <v>31</v>
      </c>
      <c r="N35" s="26">
        <f>IF($C35&gt;N$11,N$11,$C35)-SUM($L35:M35)</f>
        <v>0</v>
      </c>
      <c r="O35" s="26">
        <f>$C35-SUM($L35:N35)</f>
        <v>0</v>
      </c>
      <c r="Q35">
        <f>SUMIF('Water Charges'!$B$13:$B$24,'Typical Bills WATER'!$B35,'Water Charges'!D$13:D$24)</f>
        <v>14.22</v>
      </c>
      <c r="R35">
        <f>SUMIF('Water Charges'!$B$13:$B$24,'Typical Bills WATER'!$B35,'Water Charges'!E$13:E$24)</f>
        <v>14.75</v>
      </c>
      <c r="U35" s="65">
        <f>ROUND((SUMPRODUCT($L35:$O35,'Water Charges'!$D$48:$G$48)),2)</f>
        <v>1778.06</v>
      </c>
      <c r="V35" s="65">
        <f>ROUND((SUMPRODUCT($L35:$O35,'Water Charges'!$D$49:$G$49)),2)</f>
        <v>2061.19</v>
      </c>
      <c r="W35" s="65"/>
      <c r="Y35" s="70"/>
      <c r="Z35" s="70"/>
    </row>
    <row r="36" spans="2:26">
      <c r="B36" s="36">
        <v>2</v>
      </c>
      <c r="C36" s="35">
        <v>100</v>
      </c>
      <c r="D36" s="27">
        <f t="shared" si="5"/>
        <v>5378.12</v>
      </c>
      <c r="E36" s="27">
        <f t="shared" si="5"/>
        <v>6234.63</v>
      </c>
      <c r="F36" s="26">
        <f>(+E36/D36-1)*100</f>
        <v>15.925825381360026</v>
      </c>
      <c r="G36" s="27"/>
      <c r="H36" s="26"/>
      <c r="L36" s="26">
        <f>IF($C36&gt;L$11,L$11,$C36)</f>
        <v>2</v>
      </c>
      <c r="M36" s="26">
        <f>IF($C36&gt;M$11,M$11,$C36)-SUM($L36:L36)</f>
        <v>98</v>
      </c>
      <c r="N36" s="26">
        <f>IF($C36&gt;N$11,N$11,$C36)-SUM($L36:M36)</f>
        <v>0</v>
      </c>
      <c r="O36" s="26">
        <f>$C36-SUM($L36:N36)</f>
        <v>0</v>
      </c>
      <c r="Q36">
        <f>SUMIF('Water Charges'!$B$13:$B$24,'Typical Bills WATER'!$B36,'Water Charges'!D$13:D$24)</f>
        <v>14.22</v>
      </c>
      <c r="R36">
        <f>SUMIF('Water Charges'!$B$13:$B$24,'Typical Bills WATER'!$B36,'Water Charges'!E$13:E$24)</f>
        <v>14.75</v>
      </c>
      <c r="U36" s="65">
        <f>ROUND((SUMPRODUCT($L36:$O36,'Water Charges'!$D$48:$G$48)),2)</f>
        <v>5363.9</v>
      </c>
      <c r="V36" s="65">
        <f>ROUND((SUMPRODUCT($L36:$O36,'Water Charges'!$D$49:$G$49)),2)</f>
        <v>6219.88</v>
      </c>
      <c r="W36" s="65"/>
      <c r="Y36" s="70"/>
      <c r="Z36" s="70"/>
    </row>
    <row r="37" spans="2:26">
      <c r="B37" s="9"/>
      <c r="C37" s="3"/>
      <c r="D37" s="27"/>
      <c r="E37" s="27"/>
      <c r="F37" s="31"/>
      <c r="G37" s="27"/>
      <c r="H37" s="31"/>
      <c r="U37" s="65"/>
      <c r="V37" s="65"/>
      <c r="W37" s="65"/>
      <c r="X37" s="65"/>
      <c r="Y37" s="65"/>
      <c r="Z37" s="65"/>
    </row>
    <row r="38" spans="2:26">
      <c r="B38" s="36">
        <v>4</v>
      </c>
      <c r="C38" s="35">
        <v>30</v>
      </c>
      <c r="D38" s="27">
        <f t="shared" ref="D38:E41" si="6">+Q38+U38</f>
        <v>1659.1</v>
      </c>
      <c r="E38" s="27">
        <f t="shared" si="6"/>
        <v>1918.26</v>
      </c>
      <c r="F38" s="26">
        <f>(+E38/D38-1)*100</f>
        <v>15.620517147851242</v>
      </c>
      <c r="G38" s="27"/>
      <c r="H38" s="26"/>
      <c r="L38" s="26">
        <f>IF($C38&gt;L$11,L$11,$C38)</f>
        <v>2</v>
      </c>
      <c r="M38" s="26">
        <f>IF($C38&gt;M$11,M$11,$C38)-SUM($L38:L38)</f>
        <v>28</v>
      </c>
      <c r="N38" s="26">
        <f>IF($C38&gt;N$11,N$11,$C38)-SUM($L38:M38)</f>
        <v>0</v>
      </c>
      <c r="O38" s="26">
        <f>$C38-SUM($L38:N38)</f>
        <v>0</v>
      </c>
      <c r="Q38">
        <f>SUMIF('Water Charges'!$B$13:$B$24,'Typical Bills WATER'!$B38,'Water Charges'!D$13:D$24)</f>
        <v>41.6</v>
      </c>
      <c r="R38">
        <f>SUMIF('Water Charges'!$B$13:$B$24,'Typical Bills WATER'!$B38,'Water Charges'!E$13:E$24)</f>
        <v>43.28</v>
      </c>
      <c r="U38" s="65">
        <f>ROUND((SUMPRODUCT($L38:$O38,'Water Charges'!$D$48:$G$48)),2)</f>
        <v>1617.5</v>
      </c>
      <c r="V38" s="65">
        <f>ROUND((SUMPRODUCT($L38:$O38,'Water Charges'!$D$49:$G$49)),2)</f>
        <v>1874.98</v>
      </c>
      <c r="W38" s="65"/>
      <c r="Y38" s="70"/>
      <c r="Z38" s="70"/>
    </row>
    <row r="39" spans="2:26">
      <c r="B39" s="36">
        <v>4</v>
      </c>
      <c r="C39" s="35">
        <v>170</v>
      </c>
      <c r="D39" s="27">
        <f t="shared" si="6"/>
        <v>8309.8000000000011</v>
      </c>
      <c r="E39" s="27">
        <f t="shared" si="6"/>
        <v>9695.26</v>
      </c>
      <c r="F39" s="26">
        <f>(+E39/D39-1)*100</f>
        <v>16.672603432092224</v>
      </c>
      <c r="G39" s="27"/>
      <c r="H39" s="26"/>
      <c r="L39" s="26">
        <f>IF($C39&gt;L$11,L$11,$C39)</f>
        <v>2</v>
      </c>
      <c r="M39" s="26">
        <f>IF($C39&gt;M$11,M$11,$C39)-SUM($L39:L39)</f>
        <v>98</v>
      </c>
      <c r="N39" s="26">
        <f>IF($C39&gt;N$11,N$11,$C39)-SUM($L39:M39)</f>
        <v>70</v>
      </c>
      <c r="O39" s="26">
        <f>$C39-SUM($L39:N39)</f>
        <v>0</v>
      </c>
      <c r="Q39">
        <f>SUMIF('Water Charges'!$B$13:$B$24,'Typical Bills WATER'!$B39,'Water Charges'!D$13:D$24)</f>
        <v>41.6</v>
      </c>
      <c r="R39">
        <f>SUMIF('Water Charges'!$B$13:$B$24,'Typical Bills WATER'!$B39,'Water Charges'!E$13:E$24)</f>
        <v>43.28</v>
      </c>
      <c r="U39" s="65">
        <f>ROUND((SUMPRODUCT($L39:$O39,'Water Charges'!$D$48:$G$48)),2)</f>
        <v>8268.2000000000007</v>
      </c>
      <c r="V39" s="65">
        <f>ROUND((SUMPRODUCT($L39:$O39,'Water Charges'!$D$49:$G$49)),2)</f>
        <v>9651.98</v>
      </c>
      <c r="W39" s="65"/>
      <c r="Y39" s="70"/>
      <c r="Z39" s="70"/>
    </row>
    <row r="40" spans="2:26">
      <c r="B40" s="36">
        <v>4</v>
      </c>
      <c r="C40" s="35">
        <v>330</v>
      </c>
      <c r="D40" s="27">
        <f t="shared" si="6"/>
        <v>14948.2</v>
      </c>
      <c r="E40" s="27">
        <f t="shared" si="6"/>
        <v>17540.059999999998</v>
      </c>
      <c r="F40" s="26">
        <f>(+E40/D40-1)*100</f>
        <v>17.338943819322704</v>
      </c>
      <c r="G40" s="27"/>
      <c r="H40" s="26"/>
      <c r="L40" s="26">
        <f>IF($C40&gt;L$11,L$11,$C40)</f>
        <v>2</v>
      </c>
      <c r="M40" s="26">
        <f>IF($C40&gt;M$11,M$11,$C40)-SUM($L40:L40)</f>
        <v>98</v>
      </c>
      <c r="N40" s="26">
        <f>IF($C40&gt;N$11,N$11,$C40)-SUM($L40:M40)</f>
        <v>230</v>
      </c>
      <c r="O40" s="26">
        <f>$C40-SUM($L40:N40)</f>
        <v>0</v>
      </c>
      <c r="Q40">
        <f>SUMIF('Water Charges'!$B$13:$B$24,'Typical Bills WATER'!$B40,'Water Charges'!D$13:D$24)</f>
        <v>41.6</v>
      </c>
      <c r="R40">
        <f>SUMIF('Water Charges'!$B$13:$B$24,'Typical Bills WATER'!$B40,'Water Charges'!E$13:E$24)</f>
        <v>43.28</v>
      </c>
      <c r="U40" s="65">
        <f>ROUND((SUMPRODUCT($L40:$O40,'Water Charges'!$D$48:$G$48)),2)</f>
        <v>14906.6</v>
      </c>
      <c r="V40" s="65">
        <f>ROUND((SUMPRODUCT($L40:$O40,'Water Charges'!$D$49:$G$49)),2)</f>
        <v>17496.78</v>
      </c>
      <c r="W40" s="65"/>
      <c r="Y40" s="70"/>
      <c r="Z40" s="70"/>
    </row>
    <row r="41" spans="2:26">
      <c r="B41" s="36">
        <v>4</v>
      </c>
      <c r="C41" s="35">
        <v>500</v>
      </c>
      <c r="D41" s="27">
        <f t="shared" si="6"/>
        <v>22001.5</v>
      </c>
      <c r="E41" s="27">
        <f t="shared" si="6"/>
        <v>25875.16</v>
      </c>
      <c r="F41" s="26">
        <f>(+E41/D41-1)*100</f>
        <v>17.606345021930323</v>
      </c>
      <c r="G41" s="27"/>
      <c r="H41" s="26"/>
      <c r="L41" s="26">
        <f>IF($C41&gt;L$11,L$11,$C41)</f>
        <v>2</v>
      </c>
      <c r="M41" s="26">
        <f>IF($C41&gt;M$11,M$11,$C41)-SUM($L41:L41)</f>
        <v>98</v>
      </c>
      <c r="N41" s="26">
        <f>IF($C41&gt;N$11,N$11,$C41)-SUM($L41:M41)</f>
        <v>400</v>
      </c>
      <c r="O41" s="26">
        <f>$C41-SUM($L41:N41)</f>
        <v>0</v>
      </c>
      <c r="Q41">
        <f>SUMIF('Water Charges'!$B$13:$B$24,'Typical Bills WATER'!$B41,'Water Charges'!D$13:D$24)</f>
        <v>41.6</v>
      </c>
      <c r="R41">
        <f>SUMIF('Water Charges'!$B$13:$B$24,'Typical Bills WATER'!$B41,'Water Charges'!E$13:E$24)</f>
        <v>43.28</v>
      </c>
      <c r="U41" s="65">
        <f>ROUND((SUMPRODUCT($L41:$O41,'Water Charges'!$D$48:$G$48)),2)</f>
        <v>21959.9</v>
      </c>
      <c r="V41" s="65">
        <f>ROUND((SUMPRODUCT($L41:$O41,'Water Charges'!$D$49:$G$49)),2)</f>
        <v>25831.88</v>
      </c>
      <c r="W41" s="65"/>
      <c r="Y41" s="70"/>
      <c r="Z41" s="70"/>
    </row>
    <row r="42" spans="2:26">
      <c r="B42" s="9"/>
      <c r="C42" s="3"/>
      <c r="D42" s="27"/>
      <c r="E42" s="27"/>
      <c r="G42" s="27"/>
      <c r="U42" s="65"/>
      <c r="V42" s="65"/>
      <c r="W42" s="65"/>
      <c r="X42" s="65"/>
      <c r="Y42" s="65"/>
      <c r="Z42" s="65"/>
    </row>
    <row r="43" spans="2:26">
      <c r="B43" s="36">
        <v>6</v>
      </c>
      <c r="C43" s="35">
        <v>150</v>
      </c>
      <c r="D43" s="27">
        <f t="shared" ref="D43:E46" si="7">+Q43+U43</f>
        <v>7517.5</v>
      </c>
      <c r="E43" s="27">
        <f t="shared" si="7"/>
        <v>8753.8399999999983</v>
      </c>
      <c r="F43" s="27">
        <f>(+E43/D43-1)*100</f>
        <v>16.446158962420988</v>
      </c>
      <c r="G43" s="27"/>
      <c r="H43" s="27"/>
      <c r="L43" s="26">
        <f>IF($C43&gt;L$11,L$11,$C43)</f>
        <v>2</v>
      </c>
      <c r="M43" s="26">
        <f>IF($C43&gt;M$11,M$11,$C43)-SUM($L43:L43)</f>
        <v>98</v>
      </c>
      <c r="N43" s="26">
        <f>IF($C43&gt;N$11,N$11,$C43)-SUM($L43:M43)</f>
        <v>50</v>
      </c>
      <c r="O43" s="26">
        <f>$C43-SUM($L43:N43)</f>
        <v>0</v>
      </c>
      <c r="Q43">
        <f>SUMIF('Water Charges'!$B$13:$B$24,'Typical Bills WATER'!$B43,'Water Charges'!D$13:D$24)</f>
        <v>79.099999999999994</v>
      </c>
      <c r="R43">
        <f>SUMIF('Water Charges'!$B$13:$B$24,'Typical Bills WATER'!$B43,'Water Charges'!E$13:E$24)</f>
        <v>82.46</v>
      </c>
      <c r="U43" s="65">
        <f>ROUND((SUMPRODUCT($L43:$O43,'Water Charges'!$D$48:$G$48)),2)</f>
        <v>7438.4</v>
      </c>
      <c r="V43" s="65">
        <f>ROUND((SUMPRODUCT($L43:$O43,'Water Charges'!$D$49:$G$49)),2)</f>
        <v>8671.3799999999992</v>
      </c>
      <c r="W43" s="65"/>
      <c r="Y43" s="73"/>
      <c r="Z43" s="73"/>
    </row>
    <row r="44" spans="2:26">
      <c r="B44" s="36">
        <v>6</v>
      </c>
      <c r="C44" s="35">
        <v>500</v>
      </c>
      <c r="D44" s="27">
        <f t="shared" si="7"/>
        <v>22039</v>
      </c>
      <c r="E44" s="27">
        <f t="shared" si="7"/>
        <v>25914.34</v>
      </c>
      <c r="F44" s="27">
        <f>(+E44/D44-1)*100</f>
        <v>17.584010163800535</v>
      </c>
      <c r="G44" s="27"/>
      <c r="H44" s="27"/>
      <c r="L44" s="26">
        <f>IF($C44&gt;L$11,L$11,$C44)</f>
        <v>2</v>
      </c>
      <c r="M44" s="26">
        <f>IF($C44&gt;M$11,M$11,$C44)-SUM($L44:L44)</f>
        <v>98</v>
      </c>
      <c r="N44" s="26">
        <f>IF($C44&gt;N$11,N$11,$C44)-SUM($L44:M44)</f>
        <v>400</v>
      </c>
      <c r="O44" s="26">
        <f>$C44-SUM($L44:N44)</f>
        <v>0</v>
      </c>
      <c r="Q44">
        <f>SUMIF('Water Charges'!$B$13:$B$24,'Typical Bills WATER'!$B44,'Water Charges'!D$13:D$24)</f>
        <v>79.099999999999994</v>
      </c>
      <c r="R44">
        <f>SUMIF('Water Charges'!$B$13:$B$24,'Typical Bills WATER'!$B44,'Water Charges'!E$13:E$24)</f>
        <v>82.46</v>
      </c>
      <c r="U44" s="65">
        <f>ROUND((SUMPRODUCT($L44:$O44,'Water Charges'!$D$48:$G$48)),2)</f>
        <v>21959.9</v>
      </c>
      <c r="V44" s="65">
        <f>ROUND((SUMPRODUCT($L44:$O44,'Water Charges'!$D$49:$G$49)),2)</f>
        <v>25831.88</v>
      </c>
      <c r="W44" s="65"/>
      <c r="Y44" s="73"/>
      <c r="Z44" s="73"/>
    </row>
    <row r="45" spans="2:26">
      <c r="B45" s="36">
        <v>6</v>
      </c>
      <c r="C45" s="35">
        <v>1000</v>
      </c>
      <c r="D45" s="27">
        <f t="shared" si="7"/>
        <v>42784</v>
      </c>
      <c r="E45" s="27">
        <f t="shared" si="7"/>
        <v>50429.34</v>
      </c>
      <c r="F45" s="27">
        <f>(+E45/D45-1)*100</f>
        <v>17.869624158563944</v>
      </c>
      <c r="G45" s="27"/>
      <c r="H45" s="27"/>
      <c r="L45" s="26">
        <f>IF($C45&gt;L$11,L$11,$C45)</f>
        <v>2</v>
      </c>
      <c r="M45" s="26">
        <f>IF($C45&gt;M$11,M$11,$C45)-SUM($L45:L45)</f>
        <v>98</v>
      </c>
      <c r="N45" s="26">
        <f>IF($C45&gt;N$11,N$11,$C45)-SUM($L45:M45)</f>
        <v>900</v>
      </c>
      <c r="O45" s="26">
        <f>$C45-SUM($L45:N45)</f>
        <v>0</v>
      </c>
      <c r="Q45">
        <f>SUMIF('Water Charges'!$B$13:$B$24,'Typical Bills WATER'!$B45,'Water Charges'!D$13:D$24)</f>
        <v>79.099999999999994</v>
      </c>
      <c r="R45">
        <f>SUMIF('Water Charges'!$B$13:$B$24,'Typical Bills WATER'!$B45,'Water Charges'!E$13:E$24)</f>
        <v>82.46</v>
      </c>
      <c r="U45" s="65">
        <f>ROUND((SUMPRODUCT($L45:$O45,'Water Charges'!$D$48:$G$48)),2)</f>
        <v>42704.9</v>
      </c>
      <c r="V45" s="65">
        <f>ROUND((SUMPRODUCT($L45:$O45,'Water Charges'!$D$49:$G$49)),2)</f>
        <v>50346.879999999997</v>
      </c>
      <c r="W45" s="65"/>
      <c r="Y45" s="73"/>
      <c r="Z45" s="73"/>
    </row>
    <row r="46" spans="2:26">
      <c r="B46" s="36">
        <v>6</v>
      </c>
      <c r="C46" s="35">
        <v>1500</v>
      </c>
      <c r="D46" s="27">
        <f t="shared" si="7"/>
        <v>63529</v>
      </c>
      <c r="E46" s="27">
        <f t="shared" si="7"/>
        <v>74944.340000000011</v>
      </c>
      <c r="F46" s="27">
        <f>(+E46/D46-1)*100</f>
        <v>17.968707204583744</v>
      </c>
      <c r="G46" s="27"/>
      <c r="H46" s="27"/>
      <c r="L46" s="26">
        <f>IF($C46&gt;L$11,L$11,$C46)</f>
        <v>2</v>
      </c>
      <c r="M46" s="26">
        <f>IF($C46&gt;M$11,M$11,$C46)-SUM($L46:L46)</f>
        <v>98</v>
      </c>
      <c r="N46" s="26">
        <f>IF($C46&gt;N$11,N$11,$C46)-SUM($L46:M46)</f>
        <v>1400</v>
      </c>
      <c r="O46" s="26">
        <f>$C46-SUM($L46:N46)</f>
        <v>0</v>
      </c>
      <c r="Q46">
        <f>SUMIF('Water Charges'!$B$13:$B$24,'Typical Bills WATER'!$B46,'Water Charges'!D$13:D$24)</f>
        <v>79.099999999999994</v>
      </c>
      <c r="R46">
        <f>SUMIF('Water Charges'!$B$13:$B$24,'Typical Bills WATER'!$B46,'Water Charges'!E$13:E$24)</f>
        <v>82.46</v>
      </c>
      <c r="U46" s="65">
        <f>ROUND((SUMPRODUCT($L46:$O46,'Water Charges'!$D$48:$G$48)),2)</f>
        <v>63449.9</v>
      </c>
      <c r="V46" s="65">
        <f>ROUND((SUMPRODUCT($L46:$O46,'Water Charges'!$D$49:$G$49)),2)</f>
        <v>74861.88</v>
      </c>
      <c r="W46" s="65"/>
      <c r="Y46" s="73"/>
      <c r="Z46" s="73"/>
    </row>
    <row r="47" spans="2:26">
      <c r="B47" s="9"/>
      <c r="C47" s="3"/>
      <c r="D47" s="27"/>
      <c r="E47" s="27"/>
      <c r="G47" s="27"/>
      <c r="U47" s="65"/>
      <c r="V47" s="65"/>
      <c r="W47" s="65"/>
      <c r="X47" s="65"/>
      <c r="Y47" s="65"/>
      <c r="Z47" s="65"/>
    </row>
    <row r="48" spans="2:26">
      <c r="B48" s="36">
        <v>8</v>
      </c>
      <c r="C48" s="35">
        <v>750</v>
      </c>
      <c r="D48" s="27">
        <f t="shared" ref="D48:E51" si="8">+Q48+U48</f>
        <v>32454.04</v>
      </c>
      <c r="E48" s="27">
        <f t="shared" si="8"/>
        <v>38216.409999999996</v>
      </c>
      <c r="F48" s="27">
        <f>(+E48/D48-1)*100</f>
        <v>17.755478208568153</v>
      </c>
      <c r="G48" s="27"/>
      <c r="H48" s="27"/>
      <c r="L48" s="26">
        <f>IF($C48&gt;L$11,L$11,$C48)</f>
        <v>2</v>
      </c>
      <c r="M48" s="26">
        <f>IF($C48&gt;M$11,M$11,$C48)-SUM($L48:L48)</f>
        <v>98</v>
      </c>
      <c r="N48" s="26">
        <f>IF($C48&gt;N$11,N$11,$C48)-SUM($L48:M48)</f>
        <v>650</v>
      </c>
      <c r="O48" s="26">
        <f>$C48-SUM($L48:N48)</f>
        <v>0</v>
      </c>
      <c r="Q48">
        <f>SUMIF('Water Charges'!$B$13:$B$24,'Typical Bills WATER'!$B48,'Water Charges'!D$13:D$24)</f>
        <v>121.64</v>
      </c>
      <c r="R48">
        <f>SUMIF('Water Charges'!$B$13:$B$24,'Typical Bills WATER'!$B48,'Water Charges'!E$13:E$24)</f>
        <v>127.03</v>
      </c>
      <c r="U48" s="65">
        <f>ROUND((SUMPRODUCT($L48:$O48,'Water Charges'!$D$48:$G$48)),2)</f>
        <v>32332.400000000001</v>
      </c>
      <c r="V48" s="65">
        <f>ROUND((SUMPRODUCT($L48:$O48,'Water Charges'!$D$49:$G$49)),2)</f>
        <v>38089.379999999997</v>
      </c>
      <c r="W48" s="65"/>
      <c r="Y48" s="73"/>
      <c r="Z48" s="73"/>
    </row>
    <row r="49" spans="2:26">
      <c r="B49" s="36">
        <v>8</v>
      </c>
      <c r="C49" s="35">
        <v>1500</v>
      </c>
      <c r="D49" s="27">
        <f t="shared" si="8"/>
        <v>63571.54</v>
      </c>
      <c r="E49" s="27">
        <f t="shared" si="8"/>
        <v>74988.91</v>
      </c>
      <c r="F49" s="27">
        <f>(+E49/D49-1)*100</f>
        <v>17.959876384935768</v>
      </c>
      <c r="G49" s="27"/>
      <c r="H49" s="27"/>
      <c r="L49" s="26">
        <f>IF($C49&gt;L$11,L$11,$C49)</f>
        <v>2</v>
      </c>
      <c r="M49" s="26">
        <f>IF($C49&gt;M$11,M$11,$C49)-SUM($L49:L49)</f>
        <v>98</v>
      </c>
      <c r="N49" s="26">
        <f>IF($C49&gt;N$11,N$11,$C49)-SUM($L49:M49)</f>
        <v>1400</v>
      </c>
      <c r="O49" s="26">
        <f>$C49-SUM($L49:N49)</f>
        <v>0</v>
      </c>
      <c r="Q49">
        <f>SUMIF('Water Charges'!$B$13:$B$24,'Typical Bills WATER'!$B49,'Water Charges'!D$13:D$24)</f>
        <v>121.64</v>
      </c>
      <c r="R49">
        <f>SUMIF('Water Charges'!$B$13:$B$24,'Typical Bills WATER'!$B49,'Water Charges'!E$13:E$24)</f>
        <v>127.03</v>
      </c>
      <c r="U49" s="65">
        <f>ROUND((SUMPRODUCT($L49:$O49,'Water Charges'!$D$48:$G$48)),2)</f>
        <v>63449.9</v>
      </c>
      <c r="V49" s="65">
        <f>ROUND((SUMPRODUCT($L49:$O49,'Water Charges'!$D$49:$G$49)),2)</f>
        <v>74861.88</v>
      </c>
      <c r="W49" s="65"/>
      <c r="Y49" s="73"/>
      <c r="Z49" s="73"/>
    </row>
    <row r="50" spans="2:26">
      <c r="B50" s="36">
        <v>8</v>
      </c>
      <c r="C50" s="35">
        <v>2000</v>
      </c>
      <c r="D50" s="27">
        <f t="shared" si="8"/>
        <v>84316.54</v>
      </c>
      <c r="E50" s="27">
        <f t="shared" si="8"/>
        <v>99503.91</v>
      </c>
      <c r="F50" s="27">
        <f>(+E50/D50-1)*100</f>
        <v>18.012325932729233</v>
      </c>
      <c r="G50" s="27"/>
      <c r="H50" s="27"/>
      <c r="L50" s="26">
        <f>IF($C50&gt;L$11,L$11,$C50)</f>
        <v>2</v>
      </c>
      <c r="M50" s="26">
        <f>IF($C50&gt;M$11,M$11,$C50)-SUM($L50:L50)</f>
        <v>98</v>
      </c>
      <c r="N50" s="26">
        <f>IF($C50&gt;N$11,N$11,$C50)-SUM($L50:M50)</f>
        <v>1900</v>
      </c>
      <c r="O50" s="26">
        <f>$C50-SUM($L50:N50)</f>
        <v>0</v>
      </c>
      <c r="Q50">
        <f>SUMIF('Water Charges'!$B$13:$B$24,'Typical Bills WATER'!$B50,'Water Charges'!D$13:D$24)</f>
        <v>121.64</v>
      </c>
      <c r="R50">
        <f>SUMIF('Water Charges'!$B$13:$B$24,'Typical Bills WATER'!$B50,'Water Charges'!E$13:E$24)</f>
        <v>127.03</v>
      </c>
      <c r="U50" s="65">
        <f>ROUND((SUMPRODUCT($L50:$O50,'Water Charges'!$D$48:$G$48)),2)</f>
        <v>84194.9</v>
      </c>
      <c r="V50" s="65">
        <f>ROUND((SUMPRODUCT($L50:$O50,'Water Charges'!$D$49:$G$49)),2)</f>
        <v>99376.88</v>
      </c>
      <c r="W50" s="65"/>
      <c r="Y50" s="73"/>
      <c r="Z50" s="73"/>
    </row>
    <row r="51" spans="2:26">
      <c r="B51" s="36">
        <v>8</v>
      </c>
      <c r="C51" s="35">
        <v>3000</v>
      </c>
      <c r="D51" s="27">
        <f t="shared" si="8"/>
        <v>124686.54</v>
      </c>
      <c r="E51" s="27">
        <f t="shared" si="8"/>
        <v>147313.91</v>
      </c>
      <c r="F51" s="27">
        <f>(+E51/D51-1)*100</f>
        <v>18.147403881766234</v>
      </c>
      <c r="G51" s="27"/>
      <c r="H51" s="27"/>
      <c r="L51" s="26">
        <f>IF($C51&gt;L$11,L$11,$C51)</f>
        <v>2</v>
      </c>
      <c r="M51" s="26">
        <f>IF($C51&gt;M$11,M$11,$C51)-SUM($L51:L51)</f>
        <v>98</v>
      </c>
      <c r="N51" s="26">
        <f>IF($C51&gt;N$11,N$11,$C51)-SUM($L51:M51)</f>
        <v>1900</v>
      </c>
      <c r="O51" s="26">
        <f>$C51-SUM($L51:N51)</f>
        <v>1000</v>
      </c>
      <c r="Q51">
        <f>SUMIF('Water Charges'!$B$13:$B$24,'Typical Bills WATER'!$B51,'Water Charges'!D$13:D$24)</f>
        <v>121.64</v>
      </c>
      <c r="R51">
        <f>SUMIF('Water Charges'!$B$13:$B$24,'Typical Bills WATER'!$B51,'Water Charges'!E$13:E$24)</f>
        <v>127.03</v>
      </c>
      <c r="U51" s="65">
        <f>ROUND((SUMPRODUCT($L51:$O51,'Water Charges'!$D$48:$G$48)),2)</f>
        <v>124564.9</v>
      </c>
      <c r="V51" s="65">
        <f>ROUND((SUMPRODUCT($L51:$O51,'Water Charges'!$D$49:$G$49)),2)</f>
        <v>147186.88</v>
      </c>
      <c r="W51" s="65"/>
      <c r="Y51" s="73"/>
      <c r="Z51" s="73"/>
    </row>
    <row r="52" spans="2:26">
      <c r="B52" s="9"/>
      <c r="C52" s="3"/>
      <c r="D52" s="27"/>
      <c r="E52" s="27"/>
      <c r="G52" s="27"/>
      <c r="U52" s="65"/>
      <c r="V52" s="65"/>
      <c r="W52" s="65"/>
      <c r="X52" s="65"/>
      <c r="Y52" s="65"/>
      <c r="Z52" s="65"/>
    </row>
    <row r="53" spans="2:26">
      <c r="B53" s="36">
        <v>10</v>
      </c>
      <c r="C53" s="35">
        <v>600</v>
      </c>
      <c r="D53" s="27">
        <f t="shared" ref="D53:E56" si="9">+Q53+U53</f>
        <v>26286.33</v>
      </c>
      <c r="E53" s="27">
        <f t="shared" si="9"/>
        <v>30920.04</v>
      </c>
      <c r="F53" s="27">
        <f>(+E53/D53-1)*100</f>
        <v>17.627831652421612</v>
      </c>
      <c r="G53" s="27"/>
      <c r="H53" s="27"/>
      <c r="L53" s="26">
        <f>IF($C53&gt;L$11,L$11,$C53)</f>
        <v>2</v>
      </c>
      <c r="M53" s="26">
        <f>IF($C53&gt;M$11,M$11,$C53)-SUM($L53:L53)</f>
        <v>98</v>
      </c>
      <c r="N53" s="26">
        <f>IF($C53&gt;N$11,N$11,$C53)-SUM($L53:M53)</f>
        <v>500</v>
      </c>
      <c r="O53" s="26">
        <f>$C53-SUM($L53:N53)</f>
        <v>0</v>
      </c>
      <c r="Q53">
        <f>SUMIF('Water Charges'!$B$13:$B$24,'Typical Bills WATER'!$B53,'Water Charges'!D$13:D$24)</f>
        <v>177.43</v>
      </c>
      <c r="R53">
        <f>SUMIF('Water Charges'!$B$13:$B$24,'Typical Bills WATER'!$B53,'Water Charges'!E$13:E$24)</f>
        <v>185.16</v>
      </c>
      <c r="U53" s="65">
        <f>ROUND((SUMPRODUCT($L53:$O53,'Water Charges'!$D$48:$G$48)),2)</f>
        <v>26108.9</v>
      </c>
      <c r="V53" s="65">
        <f>ROUND((SUMPRODUCT($L53:$O53,'Water Charges'!$D$49:$G$49)),2)</f>
        <v>30734.880000000001</v>
      </c>
      <c r="W53" s="65"/>
      <c r="Y53" s="73"/>
      <c r="Z53" s="73"/>
    </row>
    <row r="54" spans="2:26">
      <c r="B54" s="36">
        <v>10</v>
      </c>
      <c r="C54" s="35">
        <v>1700</v>
      </c>
      <c r="D54" s="27">
        <f t="shared" si="9"/>
        <v>71925.329999999987</v>
      </c>
      <c r="E54" s="27">
        <f t="shared" si="9"/>
        <v>84853.040000000008</v>
      </c>
      <c r="F54" s="27">
        <f>(+E54/D54-1)*100</f>
        <v>17.973793099037593</v>
      </c>
      <c r="G54" s="27"/>
      <c r="H54" s="27"/>
      <c r="L54" s="26">
        <f>IF($C54&gt;L$11,L$11,$C54)</f>
        <v>2</v>
      </c>
      <c r="M54" s="26">
        <f>IF($C54&gt;M$11,M$11,$C54)-SUM($L54:L54)</f>
        <v>98</v>
      </c>
      <c r="N54" s="26">
        <f>IF($C54&gt;N$11,N$11,$C54)-SUM($L54:M54)</f>
        <v>1600</v>
      </c>
      <c r="O54" s="26">
        <f>$C54-SUM($L54:N54)</f>
        <v>0</v>
      </c>
      <c r="Q54">
        <f>SUMIF('Water Charges'!$B$13:$B$24,'Typical Bills WATER'!$B54,'Water Charges'!D$13:D$24)</f>
        <v>177.43</v>
      </c>
      <c r="R54">
        <f>SUMIF('Water Charges'!$B$13:$B$24,'Typical Bills WATER'!$B54,'Water Charges'!E$13:E$24)</f>
        <v>185.16</v>
      </c>
      <c r="U54" s="65">
        <f>ROUND((SUMPRODUCT($L54:$O54,'Water Charges'!$D$48:$G$48)),2)</f>
        <v>71747.899999999994</v>
      </c>
      <c r="V54" s="65">
        <f>ROUND((SUMPRODUCT($L54:$O54,'Water Charges'!$D$49:$G$49)),2)</f>
        <v>84667.88</v>
      </c>
      <c r="W54" s="65"/>
      <c r="Y54" s="73"/>
      <c r="Z54" s="73"/>
    </row>
    <row r="55" spans="2:26">
      <c r="B55" s="36">
        <v>10</v>
      </c>
      <c r="C55" s="35">
        <v>3300</v>
      </c>
      <c r="D55" s="27">
        <f t="shared" si="9"/>
        <v>136853.32999999999</v>
      </c>
      <c r="E55" s="27">
        <f t="shared" si="9"/>
        <v>161715.04</v>
      </c>
      <c r="F55" s="27">
        <f>(+E55/D55-1)*100</f>
        <v>18.166682535236834</v>
      </c>
      <c r="G55" s="27"/>
      <c r="H55" s="27"/>
      <c r="L55" s="26">
        <f>IF($C55&gt;L$11,L$11,$C55)</f>
        <v>2</v>
      </c>
      <c r="M55" s="26">
        <f>IF($C55&gt;M$11,M$11,$C55)-SUM($L55:L55)</f>
        <v>98</v>
      </c>
      <c r="N55" s="26">
        <f>IF($C55&gt;N$11,N$11,$C55)-SUM($L55:M55)</f>
        <v>1900</v>
      </c>
      <c r="O55" s="26">
        <f>$C55-SUM($L55:N55)</f>
        <v>1300</v>
      </c>
      <c r="Q55">
        <f>SUMIF('Water Charges'!$B$13:$B$24,'Typical Bills WATER'!$B55,'Water Charges'!D$13:D$24)</f>
        <v>177.43</v>
      </c>
      <c r="R55">
        <f>SUMIF('Water Charges'!$B$13:$B$24,'Typical Bills WATER'!$B55,'Water Charges'!E$13:E$24)</f>
        <v>185.16</v>
      </c>
      <c r="U55" s="65">
        <f>ROUND((SUMPRODUCT($L55:$O55,'Water Charges'!$D$48:$G$48)),2)</f>
        <v>136675.9</v>
      </c>
      <c r="V55" s="65">
        <f>ROUND((SUMPRODUCT($L55:$O55,'Water Charges'!$D$49:$G$49)),2)</f>
        <v>161529.88</v>
      </c>
      <c r="W55" s="65"/>
      <c r="Y55" s="73"/>
      <c r="Z55" s="73"/>
    </row>
    <row r="56" spans="2:26">
      <c r="B56" s="36">
        <v>10</v>
      </c>
      <c r="C56" s="35">
        <v>6000</v>
      </c>
      <c r="D56" s="27">
        <f t="shared" si="9"/>
        <v>245852.33</v>
      </c>
      <c r="E56" s="27">
        <f t="shared" si="9"/>
        <v>290802.03999999998</v>
      </c>
      <c r="F56" s="27">
        <f>(+E56/D56-1)*100</f>
        <v>18.283214968920557</v>
      </c>
      <c r="G56" s="27"/>
      <c r="H56" s="27"/>
      <c r="L56" s="26">
        <f>IF($C56&gt;L$11,L$11,$C56)</f>
        <v>2</v>
      </c>
      <c r="M56" s="26">
        <f>IF($C56&gt;M$11,M$11,$C56)-SUM($L56:L56)</f>
        <v>98</v>
      </c>
      <c r="N56" s="26">
        <f>IF($C56&gt;N$11,N$11,$C56)-SUM($L56:M56)</f>
        <v>1900</v>
      </c>
      <c r="O56" s="26">
        <f>$C56-SUM($L56:N56)</f>
        <v>4000</v>
      </c>
      <c r="Q56">
        <f>SUMIF('Water Charges'!$B$13:$B$24,'Typical Bills WATER'!$B56,'Water Charges'!D$13:D$24)</f>
        <v>177.43</v>
      </c>
      <c r="R56">
        <f>SUMIF('Water Charges'!$B$13:$B$24,'Typical Bills WATER'!$B56,'Water Charges'!E$13:E$24)</f>
        <v>185.16</v>
      </c>
      <c r="U56" s="65">
        <f>ROUND((SUMPRODUCT($L56:$O56,'Water Charges'!$D$48:$G$48)),2)</f>
        <v>245674.9</v>
      </c>
      <c r="V56" s="65">
        <f>ROUND((SUMPRODUCT($L56:$O56,'Water Charges'!$D$49:$G$49)),2)</f>
        <v>290616.88</v>
      </c>
      <c r="W56" s="65"/>
      <c r="Y56" s="73"/>
      <c r="Z56" s="73"/>
    </row>
    <row r="57" spans="2:26">
      <c r="B57" s="3"/>
      <c r="C57" s="3"/>
      <c r="D57" s="3"/>
      <c r="E57" s="3"/>
      <c r="F57" s="3"/>
      <c r="G57" s="3"/>
      <c r="H57" s="3"/>
    </row>
    <row r="58" spans="2:26">
      <c r="B58" s="3" t="s">
        <v>61</v>
      </c>
      <c r="C58" s="3"/>
      <c r="D58" s="3"/>
      <c r="E58" s="3"/>
      <c r="F58" s="3"/>
      <c r="G58" s="3"/>
      <c r="H58" s="3"/>
    </row>
  </sheetData>
  <mergeCells count="3">
    <mergeCell ref="E9:F9"/>
    <mergeCell ref="B6:F6"/>
    <mergeCell ref="G9:H9"/>
  </mergeCells>
  <hyperlinks>
    <hyperlink ref="A1" location="TOC!A1" display="TOC!A1" xr:uid="{00000000-0004-0000-06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X58"/>
  <sheetViews>
    <sheetView topLeftCell="F1" workbookViewId="0"/>
  </sheetViews>
  <sheetFormatPr defaultRowHeight="15" outlineLevelCol="1"/>
  <cols>
    <col min="2" max="2" width="11.5703125" customWidth="1"/>
    <col min="3" max="3" width="12.140625" customWidth="1"/>
    <col min="4" max="4" width="12.42578125" customWidth="1"/>
    <col min="5" max="5" width="14" customWidth="1"/>
    <col min="6" max="6" width="13.140625" customWidth="1"/>
    <col min="7" max="7" width="14" customWidth="1" outlineLevel="1"/>
    <col min="8" max="8" width="13.140625" customWidth="1" outlineLevel="1"/>
    <col min="9" max="9" width="8.85546875"/>
    <col min="17" max="17" width="9.140625" customWidth="1" outlineLevel="1"/>
    <col min="18" max="18" width="8.85546875"/>
    <col min="19" max="20" width="9.85546875" customWidth="1"/>
    <col min="21" max="21" width="9.85546875" customWidth="1" outlineLevel="1"/>
    <col min="22" max="22" width="8.85546875"/>
  </cols>
  <sheetData>
    <row r="1" spans="1:24" ht="15.75" thickBot="1">
      <c r="A1" s="122" t="s">
        <v>21</v>
      </c>
    </row>
    <row r="2" spans="1:24" ht="18">
      <c r="B2" s="1"/>
      <c r="C2" s="1"/>
      <c r="D2" s="1"/>
      <c r="E2" s="1"/>
      <c r="F2" s="1"/>
      <c r="G2" s="1"/>
      <c r="H2" s="1"/>
    </row>
    <row r="3" spans="1:24" ht="18">
      <c r="B3" s="1"/>
      <c r="C3" s="1"/>
      <c r="D3" s="1"/>
      <c r="E3" s="1"/>
      <c r="F3" s="1"/>
      <c r="G3" s="1"/>
      <c r="H3" s="1"/>
    </row>
    <row r="4" spans="1:24" ht="18">
      <c r="B4" s="64" t="s">
        <v>130</v>
      </c>
      <c r="C4" s="64"/>
      <c r="D4" s="64"/>
      <c r="E4" s="64"/>
      <c r="F4" s="64"/>
      <c r="G4" s="126"/>
      <c r="H4" s="126"/>
    </row>
    <row r="5" spans="1:24" ht="18">
      <c r="B5" s="64" t="s">
        <v>92</v>
      </c>
      <c r="C5" s="64"/>
      <c r="D5" s="64"/>
      <c r="E5" s="64"/>
      <c r="F5" s="64"/>
      <c r="G5" s="126"/>
      <c r="H5" s="126"/>
    </row>
    <row r="6" spans="1:24" ht="18">
      <c r="B6" s="64" t="s">
        <v>30</v>
      </c>
      <c r="C6" s="64"/>
      <c r="D6" s="64"/>
      <c r="E6" s="64"/>
      <c r="F6" s="64"/>
      <c r="G6" s="126"/>
      <c r="H6" s="126"/>
    </row>
    <row r="7" spans="1:24">
      <c r="B7" s="23"/>
      <c r="C7" s="23"/>
      <c r="D7" s="23"/>
      <c r="E7" s="24"/>
      <c r="F7" s="23"/>
      <c r="G7" s="24"/>
      <c r="H7" s="23"/>
      <c r="T7" s="21"/>
    </row>
    <row r="8" spans="1:24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/>
      <c r="H8" s="32"/>
    </row>
    <row r="9" spans="1:24" ht="16.5">
      <c r="B9" s="25"/>
      <c r="C9" s="25"/>
      <c r="D9" s="8" t="str">
        <f>Inputs!$C$4</f>
        <v>FY 2024</v>
      </c>
      <c r="E9" s="183" t="str">
        <f>Inputs!$D$4</f>
        <v>FY 2025</v>
      </c>
      <c r="F9" s="183"/>
      <c r="G9" s="183"/>
      <c r="H9" s="183"/>
      <c r="O9" t="s">
        <v>127</v>
      </c>
      <c r="S9" t="s">
        <v>128</v>
      </c>
    </row>
    <row r="10" spans="1:24">
      <c r="B10" s="4" t="s">
        <v>94</v>
      </c>
      <c r="C10" s="4" t="s">
        <v>33</v>
      </c>
      <c r="D10" s="4" t="s">
        <v>95</v>
      </c>
      <c r="E10" s="4" t="s">
        <v>96</v>
      </c>
      <c r="F10" s="4" t="s">
        <v>97</v>
      </c>
      <c r="G10" s="4"/>
      <c r="H10" s="4"/>
    </row>
    <row r="11" spans="1:24" ht="16.5">
      <c r="B11" s="6" t="s">
        <v>98</v>
      </c>
      <c r="C11" s="6" t="s">
        <v>99</v>
      </c>
      <c r="D11" s="6" t="s">
        <v>100</v>
      </c>
      <c r="E11" s="6" t="s">
        <v>100</v>
      </c>
      <c r="F11" s="6" t="s">
        <v>101</v>
      </c>
      <c r="G11" s="6"/>
      <c r="H11" s="6"/>
      <c r="O11" s="4" t="str">
        <f>Inputs!$C$4</f>
        <v>FY 2024</v>
      </c>
      <c r="P11" s="4" t="str">
        <f>Inputs!$D$4</f>
        <v>FY 2025</v>
      </c>
      <c r="Q11" s="4"/>
      <c r="S11" s="4" t="str">
        <f>Inputs!$C$4</f>
        <v>FY 2024</v>
      </c>
      <c r="T11" s="4" t="str">
        <f>Inputs!$D$4</f>
        <v>FY 2025</v>
      </c>
      <c r="U11" s="4"/>
      <c r="V11" s="4"/>
      <c r="W11" s="4"/>
      <c r="X11" s="4"/>
    </row>
    <row r="12" spans="1:24">
      <c r="B12" s="4" t="s">
        <v>36</v>
      </c>
      <c r="C12" s="4" t="s">
        <v>102</v>
      </c>
      <c r="D12" s="4" t="s">
        <v>37</v>
      </c>
      <c r="E12" s="4" t="s">
        <v>37</v>
      </c>
      <c r="F12" s="4" t="s">
        <v>103</v>
      </c>
      <c r="G12" s="4"/>
      <c r="H12" s="4"/>
    </row>
    <row r="13" spans="1:24">
      <c r="B13" s="3"/>
      <c r="C13" s="3"/>
      <c r="D13" s="3"/>
      <c r="E13" s="3"/>
      <c r="F13" s="3"/>
      <c r="G13" s="3"/>
      <c r="H13" s="3"/>
    </row>
    <row r="14" spans="1:24">
      <c r="B14" s="9" t="str">
        <f>+'Typical Bills WATER'!B14</f>
        <v>5/8</v>
      </c>
      <c r="C14" s="26">
        <f>+'Typical Bills WATER'!C14</f>
        <v>0</v>
      </c>
      <c r="D14" s="27">
        <f t="shared" ref="D14:D26" si="0">+O14+S14</f>
        <v>7.26</v>
      </c>
      <c r="E14" s="27">
        <f t="shared" ref="E14:E26" si="1">+P14+T14</f>
        <v>7.64</v>
      </c>
      <c r="F14" s="26">
        <f t="shared" ref="F14:F25" si="2">(+E14/D14-1)*100</f>
        <v>5.2341597796143224</v>
      </c>
      <c r="G14" s="27"/>
      <c r="H14" s="26"/>
      <c r="O14" s="27">
        <f>SUMIF('Wastewater Charges'!$C$15:$C$26,'Typical Bills SANITARY'!$B14,'Wastewater Charges'!E$15:E$26)</f>
        <v>7.26</v>
      </c>
      <c r="P14" s="27">
        <f>SUMIF('Wastewater Charges'!$C$15:$C$26,'Typical Bills SANITARY'!$B14,'Wastewater Charges'!F$15:F$26)</f>
        <v>7.64</v>
      </c>
      <c r="Q14" s="27"/>
      <c r="S14" s="27">
        <f>ROUND(($C14*('Wastewater Charges'!E$35+'Wastewater Charges'!E$45)),2)</f>
        <v>0</v>
      </c>
      <c r="T14" s="27">
        <f>ROUND(($C14*('Wastewater Charges'!F$35+'Wastewater Charges'!F$45)),2)</f>
        <v>0</v>
      </c>
      <c r="U14" s="27"/>
      <c r="V14" s="27"/>
      <c r="W14" s="27"/>
      <c r="X14" s="27"/>
    </row>
    <row r="15" spans="1:24">
      <c r="B15" s="9" t="str">
        <f>+'Typical Bills WATER'!B15</f>
        <v>5/8</v>
      </c>
      <c r="C15" s="26">
        <f>+'Typical Bills WATER'!C15</f>
        <v>0.2</v>
      </c>
      <c r="D15" s="27">
        <f t="shared" si="0"/>
        <v>14.89</v>
      </c>
      <c r="E15" s="27">
        <f t="shared" si="1"/>
        <v>17.07</v>
      </c>
      <c r="F15" s="26">
        <f>(+E15/D15-1)*100</f>
        <v>14.640698455339152</v>
      </c>
      <c r="G15" s="27"/>
      <c r="H15" s="26"/>
      <c r="O15" s="27">
        <f>SUMIF('Wastewater Charges'!$C$15:$C$26,'Typical Bills SANITARY'!$B15,'Wastewater Charges'!E$15:E$26)</f>
        <v>7.26</v>
      </c>
      <c r="P15" s="27">
        <f>SUMIF('Wastewater Charges'!$C$15:$C$26,'Typical Bills SANITARY'!$B15,'Wastewater Charges'!F$15:F$26)</f>
        <v>7.64</v>
      </c>
      <c r="Q15" s="27"/>
      <c r="S15" s="27">
        <f>ROUND(($C15*('Wastewater Charges'!E$35+'Wastewater Charges'!E$45)),2)</f>
        <v>7.63</v>
      </c>
      <c r="T15" s="27">
        <f>ROUND(($C15*('Wastewater Charges'!F$35+'Wastewater Charges'!F$45)),2)</f>
        <v>9.43</v>
      </c>
      <c r="U15" s="27"/>
      <c r="V15" s="27"/>
      <c r="W15" s="27"/>
      <c r="X15" s="27"/>
    </row>
    <row r="16" spans="1:24">
      <c r="B16" s="9" t="str">
        <f>+'Typical Bills WATER'!B16</f>
        <v>5/8</v>
      </c>
      <c r="C16" s="26">
        <f>+'Typical Bills WATER'!C16</f>
        <v>0.3</v>
      </c>
      <c r="D16" s="27">
        <f t="shared" si="0"/>
        <v>18.71</v>
      </c>
      <c r="E16" s="27">
        <f t="shared" si="1"/>
        <v>21.79</v>
      </c>
      <c r="F16" s="26">
        <f t="shared" si="2"/>
        <v>16.461785141635477</v>
      </c>
      <c r="G16" s="27"/>
      <c r="H16" s="26"/>
      <c r="O16" s="27">
        <f>SUMIF('Wastewater Charges'!$C$15:$C$26,'Typical Bills SANITARY'!$B16,'Wastewater Charges'!E$15:E$26)</f>
        <v>7.26</v>
      </c>
      <c r="P16" s="27">
        <f>SUMIF('Wastewater Charges'!$C$15:$C$26,'Typical Bills SANITARY'!$B16,'Wastewater Charges'!F$15:F$26)</f>
        <v>7.64</v>
      </c>
      <c r="Q16" s="27"/>
      <c r="S16" s="27">
        <f>ROUND(($C16*('Wastewater Charges'!E$35+'Wastewater Charges'!E$45)),2)</f>
        <v>11.45</v>
      </c>
      <c r="T16" s="27">
        <f>ROUND(($C16*('Wastewater Charges'!F$35+'Wastewater Charges'!F$45)),2)</f>
        <v>14.15</v>
      </c>
      <c r="U16" s="27"/>
      <c r="V16" s="27"/>
      <c r="W16" s="27"/>
      <c r="X16" s="27"/>
    </row>
    <row r="17" spans="2:24">
      <c r="B17" s="9" t="str">
        <f>+'Typical Bills WATER'!B17</f>
        <v>5/8</v>
      </c>
      <c r="C17" s="26">
        <f>+'Typical Bills WATER'!C17</f>
        <v>0.4</v>
      </c>
      <c r="D17" s="27">
        <f t="shared" si="0"/>
        <v>22.53</v>
      </c>
      <c r="E17" s="27">
        <f t="shared" si="1"/>
        <v>26.5</v>
      </c>
      <c r="F17" s="26">
        <f>(+E17/D17-1)*100</f>
        <v>17.62094984465157</v>
      </c>
      <c r="G17" s="27"/>
      <c r="H17" s="26"/>
      <c r="O17" s="27">
        <f>SUMIF('Wastewater Charges'!$C$15:$C$26,'Typical Bills SANITARY'!$B17,'Wastewater Charges'!E$15:E$26)</f>
        <v>7.26</v>
      </c>
      <c r="P17" s="27">
        <f>SUMIF('Wastewater Charges'!$C$15:$C$26,'Typical Bills SANITARY'!$B17,'Wastewater Charges'!F$15:F$26)</f>
        <v>7.64</v>
      </c>
      <c r="Q17" s="27"/>
      <c r="S17" s="27">
        <f>ROUND(($C17*('Wastewater Charges'!E$35+'Wastewater Charges'!E$45)),2)</f>
        <v>15.27</v>
      </c>
      <c r="T17" s="27">
        <f>ROUND(($C17*('Wastewater Charges'!F$35+'Wastewater Charges'!F$45)),2)</f>
        <v>18.86</v>
      </c>
      <c r="U17" s="27"/>
      <c r="V17" s="27"/>
      <c r="W17" s="27"/>
      <c r="X17" s="27"/>
    </row>
    <row r="18" spans="2:24" ht="15.75" customHeight="1">
      <c r="B18" s="9" t="str">
        <f>+'Typical Bills WATER'!B18</f>
        <v>5/8</v>
      </c>
      <c r="C18" s="27">
        <f>+'Typical Bills WATER'!C18</f>
        <v>0.45</v>
      </c>
      <c r="D18" s="27">
        <f t="shared" si="0"/>
        <v>24.439999999999998</v>
      </c>
      <c r="E18" s="27">
        <f t="shared" si="1"/>
        <v>28.86</v>
      </c>
      <c r="F18" s="26">
        <f t="shared" si="2"/>
        <v>18.085106382978733</v>
      </c>
      <c r="G18" s="27"/>
      <c r="H18" s="26"/>
      <c r="O18" s="27">
        <f>SUMIF('Wastewater Charges'!$C$15:$C$26,'Typical Bills SANITARY'!$B18,'Wastewater Charges'!E$15:E$26)</f>
        <v>7.26</v>
      </c>
      <c r="P18" s="27">
        <f>SUMIF('Wastewater Charges'!$C$15:$C$26,'Typical Bills SANITARY'!$B18,'Wastewater Charges'!F$15:F$26)</f>
        <v>7.64</v>
      </c>
      <c r="Q18" s="27"/>
      <c r="S18" s="27">
        <f>ROUND(($C18*('Wastewater Charges'!E$35+'Wastewater Charges'!E$45)),2)</f>
        <v>17.18</v>
      </c>
      <c r="T18" s="27">
        <f>ROUND(($C18*('Wastewater Charges'!F$35+'Wastewater Charges'!F$45)),2)</f>
        <v>21.22</v>
      </c>
      <c r="U18" s="27"/>
      <c r="V18" s="27"/>
      <c r="W18" s="27"/>
      <c r="X18" s="27"/>
    </row>
    <row r="19" spans="2:24" ht="15.75" customHeight="1">
      <c r="B19" s="9" t="str">
        <f>+'Typical Bills WATER'!B19</f>
        <v>5/8</v>
      </c>
      <c r="C19" s="26">
        <f>+'Typical Bills WATER'!C19</f>
        <v>0.5</v>
      </c>
      <c r="D19" s="27">
        <f>+O19+S19</f>
        <v>26.35</v>
      </c>
      <c r="E19" s="27">
        <f>+P19+T19</f>
        <v>31.22</v>
      </c>
      <c r="F19" s="26">
        <f>(+E19/D19-1)*100</f>
        <v>18.481973434535103</v>
      </c>
      <c r="G19" s="27"/>
      <c r="H19" s="26"/>
      <c r="O19" s="27">
        <f>SUMIF('Wastewater Charges'!$C$15:$C$26,'Typical Bills SANITARY'!$B19,'Wastewater Charges'!E$15:E$26)</f>
        <v>7.26</v>
      </c>
      <c r="P19" s="27">
        <f>SUMIF('Wastewater Charges'!$C$15:$C$26,'Typical Bills SANITARY'!$B19,'Wastewater Charges'!F$15:F$26)</f>
        <v>7.64</v>
      </c>
      <c r="Q19" s="27"/>
      <c r="S19" s="27">
        <f>ROUND(($C19*('Wastewater Charges'!E$35+'Wastewater Charges'!E$45)),2)</f>
        <v>19.09</v>
      </c>
      <c r="T19" s="27">
        <f>ROUND(($C19*('Wastewater Charges'!F$35+'Wastewater Charges'!F$45)),2)</f>
        <v>23.58</v>
      </c>
      <c r="U19" s="27"/>
      <c r="V19" s="27"/>
      <c r="W19" s="27"/>
      <c r="X19" s="27"/>
    </row>
    <row r="20" spans="2:24">
      <c r="B20" s="9" t="str">
        <f>+'Typical Bills WATER'!B20</f>
        <v>5/8</v>
      </c>
      <c r="C20" s="26">
        <f>+'Typical Bills WATER'!C20</f>
        <v>0.6</v>
      </c>
      <c r="D20" s="27">
        <f t="shared" si="0"/>
        <v>30.159999999999997</v>
      </c>
      <c r="E20" s="27">
        <f t="shared" si="1"/>
        <v>35.93</v>
      </c>
      <c r="F20" s="26">
        <f t="shared" si="2"/>
        <v>19.13129973474803</v>
      </c>
      <c r="G20" s="27"/>
      <c r="H20" s="26"/>
      <c r="O20" s="27">
        <f>SUMIF('Wastewater Charges'!$C$15:$C$26,'Typical Bills SANITARY'!$B20,'Wastewater Charges'!E$15:E$26)</f>
        <v>7.26</v>
      </c>
      <c r="P20" s="27">
        <f>SUMIF('Wastewater Charges'!$C$15:$C$26,'Typical Bills SANITARY'!$B20,'Wastewater Charges'!F$15:F$26)</f>
        <v>7.64</v>
      </c>
      <c r="Q20" s="27"/>
      <c r="S20" s="27">
        <f>ROUND(($C20*('Wastewater Charges'!E$35+'Wastewater Charges'!E$45)),2)</f>
        <v>22.9</v>
      </c>
      <c r="T20" s="27">
        <f>ROUND(($C20*('Wastewater Charges'!F$35+'Wastewater Charges'!F$45)),2)</f>
        <v>28.29</v>
      </c>
      <c r="U20" s="27"/>
      <c r="V20" s="27"/>
      <c r="W20" s="27"/>
      <c r="X20" s="27"/>
    </row>
    <row r="21" spans="2:24">
      <c r="B21" s="9" t="str">
        <f>+'Typical Bills WATER'!B21</f>
        <v>5/8</v>
      </c>
      <c r="C21" s="26">
        <f>+'Typical Bills WATER'!C21</f>
        <v>0.7</v>
      </c>
      <c r="D21" s="27">
        <f t="shared" si="0"/>
        <v>33.979999999999997</v>
      </c>
      <c r="E21" s="27">
        <f t="shared" si="1"/>
        <v>40.65</v>
      </c>
      <c r="F21" s="26">
        <f t="shared" si="2"/>
        <v>19.62919364331961</v>
      </c>
      <c r="G21" s="27"/>
      <c r="H21" s="26"/>
      <c r="O21" s="27">
        <f>SUMIF('Wastewater Charges'!$C$15:$C$26,'Typical Bills SANITARY'!$B21,'Wastewater Charges'!E$15:E$26)</f>
        <v>7.26</v>
      </c>
      <c r="P21" s="27">
        <f>SUMIF('Wastewater Charges'!$C$15:$C$26,'Typical Bills SANITARY'!$B21,'Wastewater Charges'!F$15:F$26)</f>
        <v>7.64</v>
      </c>
      <c r="Q21" s="27"/>
      <c r="S21" s="27">
        <f>ROUND(($C21*('Wastewater Charges'!E$35+'Wastewater Charges'!E$45)),2)</f>
        <v>26.72</v>
      </c>
      <c r="T21" s="27">
        <f>ROUND(($C21*('Wastewater Charges'!F$35+'Wastewater Charges'!F$45)),2)</f>
        <v>33.01</v>
      </c>
      <c r="U21" s="27"/>
      <c r="V21" s="27"/>
      <c r="W21" s="27"/>
      <c r="X21" s="27"/>
    </row>
    <row r="22" spans="2:24">
      <c r="B22" s="9" t="str">
        <f>+'Typical Bills WATER'!B22</f>
        <v>5/8</v>
      </c>
      <c r="C22" s="26">
        <f>+'Typical Bills WATER'!C22</f>
        <v>0.8</v>
      </c>
      <c r="D22" s="27">
        <f t="shared" si="0"/>
        <v>37.799999999999997</v>
      </c>
      <c r="E22" s="27">
        <f t="shared" si="1"/>
        <v>45.36</v>
      </c>
      <c r="F22" s="26">
        <f t="shared" si="2"/>
        <v>20.000000000000018</v>
      </c>
      <c r="G22" s="27"/>
      <c r="H22" s="26"/>
      <c r="O22" s="27">
        <f>SUMIF('Wastewater Charges'!$C$15:$C$26,'Typical Bills SANITARY'!$B22,'Wastewater Charges'!E$15:E$26)</f>
        <v>7.26</v>
      </c>
      <c r="P22" s="27">
        <f>SUMIF('Wastewater Charges'!$C$15:$C$26,'Typical Bills SANITARY'!$B22,'Wastewater Charges'!F$15:F$26)</f>
        <v>7.64</v>
      </c>
      <c r="Q22" s="27"/>
      <c r="S22" s="27">
        <f>ROUND(($C22*('Wastewater Charges'!E$35+'Wastewater Charges'!E$45)),2)</f>
        <v>30.54</v>
      </c>
      <c r="T22" s="27">
        <f>ROUND(($C22*('Wastewater Charges'!F$35+'Wastewater Charges'!F$45)),2)</f>
        <v>37.72</v>
      </c>
      <c r="U22" s="27"/>
      <c r="V22" s="27"/>
      <c r="W22" s="27"/>
      <c r="X22" s="27"/>
    </row>
    <row r="23" spans="2:24">
      <c r="B23" s="9" t="str">
        <f>+'Typical Bills WATER'!B23</f>
        <v>5/8</v>
      </c>
      <c r="C23" s="26">
        <f>+'Typical Bills WATER'!C23</f>
        <v>1.7</v>
      </c>
      <c r="D23" s="27">
        <f t="shared" si="0"/>
        <v>72.150000000000006</v>
      </c>
      <c r="E23" s="27">
        <f t="shared" si="1"/>
        <v>87.8</v>
      </c>
      <c r="F23" s="26">
        <f t="shared" si="2"/>
        <v>21.690921690921684</v>
      </c>
      <c r="G23" s="27"/>
      <c r="H23" s="26"/>
      <c r="O23" s="27">
        <f>SUMIF('Wastewater Charges'!$C$15:$C$26,'Typical Bills SANITARY'!$B23,'Wastewater Charges'!E$15:E$26)</f>
        <v>7.26</v>
      </c>
      <c r="P23" s="27">
        <f>SUMIF('Wastewater Charges'!$C$15:$C$26,'Typical Bills SANITARY'!$B23,'Wastewater Charges'!F$15:F$26)</f>
        <v>7.64</v>
      </c>
      <c r="Q23" s="27"/>
      <c r="S23" s="27">
        <f>ROUND(($C23*('Wastewater Charges'!E$35+'Wastewater Charges'!E$45)),2)</f>
        <v>64.89</v>
      </c>
      <c r="T23" s="27">
        <f>ROUND(($C23*('Wastewater Charges'!F$35+'Wastewater Charges'!F$45)),2)</f>
        <v>80.16</v>
      </c>
      <c r="U23" s="27"/>
      <c r="V23" s="27"/>
      <c r="W23" s="27"/>
      <c r="X23" s="27"/>
    </row>
    <row r="24" spans="2:24">
      <c r="B24" s="9" t="str">
        <f>+'Typical Bills WATER'!B24</f>
        <v>5/8</v>
      </c>
      <c r="C24" s="26">
        <f>+'Typical Bills WATER'!C24</f>
        <v>2.7</v>
      </c>
      <c r="D24" s="27">
        <f t="shared" si="0"/>
        <v>110.32000000000001</v>
      </c>
      <c r="E24" s="27">
        <f t="shared" si="1"/>
        <v>134.94999999999999</v>
      </c>
      <c r="F24" s="26">
        <f t="shared" si="2"/>
        <v>22.32596084118925</v>
      </c>
      <c r="G24" s="27"/>
      <c r="H24" s="26"/>
      <c r="O24" s="27">
        <f>SUMIF('Wastewater Charges'!$C$15:$C$26,'Typical Bills SANITARY'!$B24,'Wastewater Charges'!E$15:E$26)</f>
        <v>7.26</v>
      </c>
      <c r="P24" s="27">
        <f>SUMIF('Wastewater Charges'!$C$15:$C$26,'Typical Bills SANITARY'!$B24,'Wastewater Charges'!F$15:F$26)</f>
        <v>7.64</v>
      </c>
      <c r="Q24" s="27"/>
      <c r="S24" s="27">
        <f>ROUND(($C24*('Wastewater Charges'!E$35+'Wastewater Charges'!E$45)),2)</f>
        <v>103.06</v>
      </c>
      <c r="T24" s="27">
        <f>ROUND(($C24*('Wastewater Charges'!F$35+'Wastewater Charges'!F$45)),2)</f>
        <v>127.31</v>
      </c>
      <c r="U24" s="27"/>
      <c r="V24" s="27"/>
      <c r="W24" s="27"/>
      <c r="X24" s="27"/>
    </row>
    <row r="25" spans="2:24">
      <c r="B25" s="9" t="str">
        <f>+'Typical Bills WATER'!B25</f>
        <v>5/8</v>
      </c>
      <c r="C25" s="26">
        <f>+'Typical Bills WATER'!C25</f>
        <v>3.3</v>
      </c>
      <c r="D25" s="27">
        <f t="shared" si="0"/>
        <v>133.22</v>
      </c>
      <c r="E25" s="27">
        <f t="shared" si="1"/>
        <v>163.23999999999998</v>
      </c>
      <c r="F25" s="26">
        <f t="shared" si="2"/>
        <v>22.534154030926267</v>
      </c>
      <c r="G25" s="27"/>
      <c r="H25" s="26"/>
      <c r="O25" s="27">
        <f>SUMIF('Wastewater Charges'!$C$15:$C$26,'Typical Bills SANITARY'!$B25,'Wastewater Charges'!E$15:E$26)</f>
        <v>7.26</v>
      </c>
      <c r="P25" s="27">
        <f>SUMIF('Wastewater Charges'!$C$15:$C$26,'Typical Bills SANITARY'!$B25,'Wastewater Charges'!F$15:F$26)</f>
        <v>7.64</v>
      </c>
      <c r="Q25" s="27"/>
      <c r="S25" s="27">
        <f>ROUND(($C25*('Wastewater Charges'!E$35+'Wastewater Charges'!E$45)),2)</f>
        <v>125.96</v>
      </c>
      <c r="T25" s="27">
        <f>ROUND(($C25*('Wastewater Charges'!F$35+'Wastewater Charges'!F$45)),2)</f>
        <v>155.6</v>
      </c>
      <c r="U25" s="27"/>
      <c r="V25" s="27"/>
      <c r="W25" s="27"/>
      <c r="X25" s="27"/>
    </row>
    <row r="26" spans="2:24">
      <c r="B26" s="9" t="str">
        <f>+'Typical Bills WATER'!B26</f>
        <v>5/8</v>
      </c>
      <c r="C26" s="26">
        <f>+'Typical Bills WATER'!C26</f>
        <v>11</v>
      </c>
      <c r="D26" s="27">
        <f t="shared" si="0"/>
        <v>427.13</v>
      </c>
      <c r="E26" s="27">
        <f t="shared" si="1"/>
        <v>526.29</v>
      </c>
      <c r="F26" s="26">
        <f>(+E26/D26-1)*100</f>
        <v>23.215414510804667</v>
      </c>
      <c r="G26" s="27"/>
      <c r="H26" s="26"/>
      <c r="O26" s="27">
        <f>SUMIF('Wastewater Charges'!$C$15:$C$26,'Typical Bills SANITARY'!$B26,'Wastewater Charges'!E$15:E$26)</f>
        <v>7.26</v>
      </c>
      <c r="P26" s="27">
        <f>SUMIF('Wastewater Charges'!$C$15:$C$26,'Typical Bills SANITARY'!$B26,'Wastewater Charges'!F$15:F$26)</f>
        <v>7.64</v>
      </c>
      <c r="Q26" s="27"/>
      <c r="S26" s="27">
        <f>ROUND(($C26*('Wastewater Charges'!E$35+'Wastewater Charges'!E$45)),2)</f>
        <v>419.87</v>
      </c>
      <c r="T26" s="27">
        <f>ROUND(($C26*('Wastewater Charges'!F$35+'Wastewater Charges'!F$45)),2)</f>
        <v>518.65</v>
      </c>
      <c r="U26" s="27"/>
      <c r="V26" s="27"/>
      <c r="W26" s="27"/>
      <c r="X26" s="27"/>
    </row>
    <row r="27" spans="2:24">
      <c r="B27" s="9"/>
      <c r="C27" s="3"/>
      <c r="D27" s="27"/>
      <c r="E27" s="27"/>
      <c r="F27" s="31"/>
      <c r="G27" s="27"/>
      <c r="H27" s="31"/>
      <c r="O27" s="27"/>
      <c r="P27" s="27"/>
      <c r="Q27" s="27"/>
      <c r="S27" s="27"/>
      <c r="T27" s="27"/>
      <c r="U27" s="27"/>
    </row>
    <row r="28" spans="2:24">
      <c r="B28" s="9">
        <f>+'Typical Bills WATER'!B28</f>
        <v>1</v>
      </c>
      <c r="C28" s="26">
        <f>+'Typical Bills WATER'!C28</f>
        <v>1.7</v>
      </c>
      <c r="D28" s="27">
        <f t="shared" ref="D28:E31" si="3">+O28+S28</f>
        <v>78.489999999999995</v>
      </c>
      <c r="E28" s="27">
        <f t="shared" si="3"/>
        <v>94.59</v>
      </c>
      <c r="F28" s="26">
        <f>(+E28/D28-1)*100</f>
        <v>20.512167155051621</v>
      </c>
      <c r="G28" s="27"/>
      <c r="H28" s="26"/>
      <c r="O28" s="27">
        <f>SUMIF('Wastewater Charges'!$C$15:$C$26,'Typical Bills SANITARY'!$B28,'Wastewater Charges'!E$15:E$26)</f>
        <v>13.6</v>
      </c>
      <c r="P28" s="27">
        <f>SUMIF('Wastewater Charges'!$C$15:$C$26,'Typical Bills SANITARY'!$B28,'Wastewater Charges'!F$15:F$26)</f>
        <v>14.43</v>
      </c>
      <c r="Q28" s="27"/>
      <c r="S28" s="27">
        <f>ROUND(($C28*('Wastewater Charges'!E$35+'Wastewater Charges'!E$45)),2)</f>
        <v>64.89</v>
      </c>
      <c r="T28" s="27">
        <f>ROUND(($C28*('Wastewater Charges'!F$35+'Wastewater Charges'!F$45)),2)</f>
        <v>80.16</v>
      </c>
      <c r="U28" s="27"/>
      <c r="V28" s="27"/>
      <c r="W28" s="27"/>
      <c r="X28" s="27"/>
    </row>
    <row r="29" spans="2:24">
      <c r="B29" s="9">
        <f>+'Typical Bills WATER'!B29</f>
        <v>1</v>
      </c>
      <c r="C29" s="26">
        <f>+'Typical Bills WATER'!C29</f>
        <v>5</v>
      </c>
      <c r="D29" s="27">
        <f t="shared" si="3"/>
        <v>204.45</v>
      </c>
      <c r="E29" s="27">
        <f t="shared" si="3"/>
        <v>250.18</v>
      </c>
      <c r="F29" s="26">
        <f>(+E29/D29-1)*100</f>
        <v>22.367326974810474</v>
      </c>
      <c r="G29" s="27"/>
      <c r="H29" s="26"/>
      <c r="O29" s="27">
        <f>SUMIF('Wastewater Charges'!$C$15:$C$26,'Typical Bills SANITARY'!$B29,'Wastewater Charges'!E$15:E$26)</f>
        <v>13.6</v>
      </c>
      <c r="P29" s="27">
        <f>SUMIF('Wastewater Charges'!$C$15:$C$26,'Typical Bills SANITARY'!$B29,'Wastewater Charges'!F$15:F$26)</f>
        <v>14.43</v>
      </c>
      <c r="Q29" s="27"/>
      <c r="S29" s="27">
        <f>ROUND(($C29*('Wastewater Charges'!E$35+'Wastewater Charges'!E$45)),2)</f>
        <v>190.85</v>
      </c>
      <c r="T29" s="27">
        <f>ROUND(($C29*('Wastewater Charges'!F$35+'Wastewater Charges'!F$45)),2)</f>
        <v>235.75</v>
      </c>
      <c r="U29" s="27"/>
      <c r="V29" s="27"/>
      <c r="W29" s="27"/>
      <c r="X29" s="27"/>
    </row>
    <row r="30" spans="2:24">
      <c r="B30" s="9">
        <f>+'Typical Bills WATER'!B30</f>
        <v>1</v>
      </c>
      <c r="C30" s="26">
        <f>+'Typical Bills WATER'!C30</f>
        <v>8</v>
      </c>
      <c r="D30" s="27">
        <f t="shared" si="3"/>
        <v>318.96000000000004</v>
      </c>
      <c r="E30" s="27">
        <f t="shared" si="3"/>
        <v>391.63</v>
      </c>
      <c r="F30" s="26">
        <f>(+E30/D30-1)*100</f>
        <v>22.783421118635559</v>
      </c>
      <c r="G30" s="27"/>
      <c r="H30" s="26"/>
      <c r="O30" s="27">
        <f>SUMIF('Wastewater Charges'!$C$15:$C$26,'Typical Bills SANITARY'!$B30,'Wastewater Charges'!E$15:E$26)</f>
        <v>13.6</v>
      </c>
      <c r="P30" s="27">
        <f>SUMIF('Wastewater Charges'!$C$15:$C$26,'Typical Bills SANITARY'!$B30,'Wastewater Charges'!F$15:F$26)</f>
        <v>14.43</v>
      </c>
      <c r="Q30" s="27"/>
      <c r="S30" s="27">
        <f>ROUND(($C30*('Wastewater Charges'!E$35+'Wastewater Charges'!E$45)),2)</f>
        <v>305.36</v>
      </c>
      <c r="T30" s="27">
        <f>ROUND(($C30*('Wastewater Charges'!F$35+'Wastewater Charges'!F$45)),2)</f>
        <v>377.2</v>
      </c>
      <c r="U30" s="27"/>
      <c r="V30" s="27"/>
      <c r="W30" s="27"/>
      <c r="X30" s="27"/>
    </row>
    <row r="31" spans="2:24">
      <c r="B31" s="9">
        <f>+'Typical Bills WATER'!B31</f>
        <v>1</v>
      </c>
      <c r="C31" s="26">
        <f>+'Typical Bills WATER'!C31</f>
        <v>17</v>
      </c>
      <c r="D31" s="27">
        <f t="shared" si="3"/>
        <v>662.49</v>
      </c>
      <c r="E31" s="27">
        <f t="shared" si="3"/>
        <v>815.9799999999999</v>
      </c>
      <c r="F31" s="26">
        <f>(+E31/D31-1)*100</f>
        <v>23.168651602288314</v>
      </c>
      <c r="G31" s="27"/>
      <c r="H31" s="26"/>
      <c r="O31" s="27">
        <f>SUMIF('Wastewater Charges'!$C$15:$C$26,'Typical Bills SANITARY'!$B31,'Wastewater Charges'!E$15:E$26)</f>
        <v>13.6</v>
      </c>
      <c r="P31" s="27">
        <f>SUMIF('Wastewater Charges'!$C$15:$C$26,'Typical Bills SANITARY'!$B31,'Wastewater Charges'!F$15:F$26)</f>
        <v>14.43</v>
      </c>
      <c r="Q31" s="27"/>
      <c r="S31" s="27">
        <f>ROUND(($C31*('Wastewater Charges'!E$35+'Wastewater Charges'!E$45)),2)</f>
        <v>648.89</v>
      </c>
      <c r="T31" s="27">
        <f>ROUND(($C31*('Wastewater Charges'!F$35+'Wastewater Charges'!F$45)),2)</f>
        <v>801.55</v>
      </c>
      <c r="U31" s="27"/>
      <c r="V31" s="27"/>
      <c r="W31" s="27"/>
      <c r="X31" s="27"/>
    </row>
    <row r="32" spans="2:24">
      <c r="B32" s="9"/>
      <c r="C32" s="3"/>
      <c r="D32" s="27"/>
      <c r="E32" s="27"/>
      <c r="F32" s="31"/>
      <c r="G32" s="27"/>
      <c r="H32" s="31"/>
      <c r="O32" s="27"/>
      <c r="P32" s="27"/>
      <c r="Q32" s="27"/>
      <c r="S32" s="27"/>
      <c r="T32" s="27"/>
      <c r="U32" s="27"/>
    </row>
    <row r="33" spans="2:24">
      <c r="B33" s="9">
        <f>+'Typical Bills WATER'!B33</f>
        <v>2</v>
      </c>
      <c r="C33" s="26">
        <f>+'Typical Bills WATER'!C33</f>
        <v>7.6</v>
      </c>
      <c r="D33" s="27">
        <f t="shared" ref="D33:E36" si="4">+O33+S33</f>
        <v>327.07</v>
      </c>
      <c r="E33" s="27">
        <f t="shared" si="4"/>
        <v>397.78</v>
      </c>
      <c r="F33" s="26">
        <f>(+E33/D33-1)*100</f>
        <v>21.619225242302864</v>
      </c>
      <c r="G33" s="27"/>
      <c r="H33" s="26"/>
      <c r="O33" s="27">
        <f>SUMIF('Wastewater Charges'!$C$15:$C$26,'Typical Bills SANITARY'!$B33,'Wastewater Charges'!E$15:E$26)</f>
        <v>36.979999999999997</v>
      </c>
      <c r="P33" s="27">
        <f>SUMIF('Wastewater Charges'!$C$15:$C$26,'Typical Bills SANITARY'!$B33,'Wastewater Charges'!F$15:F$26)</f>
        <v>39.44</v>
      </c>
      <c r="Q33" s="27"/>
      <c r="S33" s="27">
        <f>ROUND(($C33*('Wastewater Charges'!E$35+'Wastewater Charges'!E$45)),2)</f>
        <v>290.08999999999997</v>
      </c>
      <c r="T33" s="27">
        <f>ROUND(($C33*('Wastewater Charges'!F$35+'Wastewater Charges'!F$45)),2)</f>
        <v>358.34</v>
      </c>
      <c r="U33" s="27"/>
      <c r="V33" s="27"/>
      <c r="W33" s="27"/>
      <c r="X33" s="27"/>
    </row>
    <row r="34" spans="2:24">
      <c r="B34" s="9">
        <f>+'Typical Bills WATER'!B34</f>
        <v>2</v>
      </c>
      <c r="C34" s="26">
        <f>+'Typical Bills WATER'!C34</f>
        <v>16</v>
      </c>
      <c r="D34" s="27">
        <f t="shared" si="4"/>
        <v>647.70000000000005</v>
      </c>
      <c r="E34" s="27">
        <f t="shared" si="4"/>
        <v>793.83999999999992</v>
      </c>
      <c r="F34" s="26">
        <f>(+E34/D34-1)*100</f>
        <v>22.5629149297514</v>
      </c>
      <c r="G34" s="27"/>
      <c r="H34" s="26"/>
      <c r="O34" s="27">
        <f>SUMIF('Wastewater Charges'!$C$15:$C$26,'Typical Bills SANITARY'!$B34,'Wastewater Charges'!E$15:E$26)</f>
        <v>36.979999999999997</v>
      </c>
      <c r="P34" s="27">
        <f>SUMIF('Wastewater Charges'!$C$15:$C$26,'Typical Bills SANITARY'!$B34,'Wastewater Charges'!F$15:F$26)</f>
        <v>39.44</v>
      </c>
      <c r="Q34" s="27"/>
      <c r="S34" s="27">
        <f>ROUND(($C34*('Wastewater Charges'!E$35+'Wastewater Charges'!E$45)),2)</f>
        <v>610.72</v>
      </c>
      <c r="T34" s="27">
        <f>ROUND(($C34*('Wastewater Charges'!F$35+'Wastewater Charges'!F$45)),2)</f>
        <v>754.4</v>
      </c>
      <c r="U34" s="27"/>
      <c r="V34" s="27"/>
      <c r="W34" s="27"/>
      <c r="X34" s="27"/>
    </row>
    <row r="35" spans="2:24">
      <c r="B35" s="9">
        <f>+'Typical Bills WATER'!B35</f>
        <v>2</v>
      </c>
      <c r="C35" s="26">
        <f>+'Typical Bills WATER'!C35</f>
        <v>33</v>
      </c>
      <c r="D35" s="27">
        <f t="shared" si="4"/>
        <v>1296.5899999999999</v>
      </c>
      <c r="E35" s="27">
        <f t="shared" si="4"/>
        <v>1595.39</v>
      </c>
      <c r="F35" s="26">
        <f>(+E35/D35-1)*100</f>
        <v>23.045064361131917</v>
      </c>
      <c r="G35" s="27"/>
      <c r="H35" s="26"/>
      <c r="O35" s="27">
        <f>SUMIF('Wastewater Charges'!$C$15:$C$26,'Typical Bills SANITARY'!$B35,'Wastewater Charges'!E$15:E$26)</f>
        <v>36.979999999999997</v>
      </c>
      <c r="P35" s="27">
        <f>SUMIF('Wastewater Charges'!$C$15:$C$26,'Typical Bills SANITARY'!$B35,'Wastewater Charges'!F$15:F$26)</f>
        <v>39.44</v>
      </c>
      <c r="Q35" s="27"/>
      <c r="S35" s="27">
        <f>ROUND(($C35*('Wastewater Charges'!E$35+'Wastewater Charges'!E$45)),2)</f>
        <v>1259.6099999999999</v>
      </c>
      <c r="T35" s="27">
        <f>ROUND(($C35*('Wastewater Charges'!F$35+'Wastewater Charges'!F$45)),2)</f>
        <v>1555.95</v>
      </c>
      <c r="U35" s="27"/>
      <c r="V35" s="27"/>
      <c r="W35" s="27"/>
      <c r="X35" s="27"/>
    </row>
    <row r="36" spans="2:24">
      <c r="B36" s="9">
        <f>+'Typical Bills WATER'!B36</f>
        <v>2</v>
      </c>
      <c r="C36" s="26">
        <f>+'Typical Bills WATER'!C36</f>
        <v>100</v>
      </c>
      <c r="D36" s="27">
        <f t="shared" si="4"/>
        <v>3853.98</v>
      </c>
      <c r="E36" s="27">
        <f t="shared" si="4"/>
        <v>4754.4399999999996</v>
      </c>
      <c r="F36" s="26">
        <f>(+E36/D36-1)*100</f>
        <v>23.364418082086559</v>
      </c>
      <c r="G36" s="27"/>
      <c r="H36" s="26"/>
      <c r="O36" s="27">
        <f>SUMIF('Wastewater Charges'!$C$15:$C$26,'Typical Bills SANITARY'!$B36,'Wastewater Charges'!E$15:E$26)</f>
        <v>36.979999999999997</v>
      </c>
      <c r="P36" s="27">
        <f>SUMIF('Wastewater Charges'!$C$15:$C$26,'Typical Bills SANITARY'!$B36,'Wastewater Charges'!F$15:F$26)</f>
        <v>39.44</v>
      </c>
      <c r="Q36" s="27"/>
      <c r="S36" s="27">
        <f>ROUND(($C36*('Wastewater Charges'!E$35+'Wastewater Charges'!E$45)),2)</f>
        <v>3817</v>
      </c>
      <c r="T36" s="27">
        <f>ROUND(($C36*('Wastewater Charges'!F$35+'Wastewater Charges'!F$45)),2)</f>
        <v>4715</v>
      </c>
      <c r="U36" s="27"/>
      <c r="V36" s="27"/>
      <c r="W36" s="27"/>
      <c r="X36" s="27"/>
    </row>
    <row r="37" spans="2:24">
      <c r="B37" s="9"/>
      <c r="C37" s="3"/>
      <c r="D37" s="27"/>
      <c r="E37" s="27"/>
      <c r="F37" s="31"/>
      <c r="G37" s="27"/>
      <c r="H37" s="31"/>
      <c r="O37" s="27"/>
      <c r="P37" s="27"/>
      <c r="Q37" s="27"/>
      <c r="S37" s="27"/>
      <c r="T37" s="27"/>
      <c r="U37" s="27"/>
    </row>
    <row r="38" spans="2:24">
      <c r="B38" s="9">
        <f>+'Typical Bills WATER'!B38</f>
        <v>4</v>
      </c>
      <c r="C38" s="26">
        <f>+'Typical Bills WATER'!C38</f>
        <v>30</v>
      </c>
      <c r="D38" s="27">
        <f t="shared" ref="D38:E41" si="5">+O38+S38</f>
        <v>1258.4399999999998</v>
      </c>
      <c r="E38" s="27">
        <f t="shared" si="5"/>
        <v>1535.48</v>
      </c>
      <c r="F38" s="26">
        <f>(+E38/D38-1)*100</f>
        <v>22.014557706366624</v>
      </c>
      <c r="G38" s="27"/>
      <c r="H38" s="26"/>
      <c r="O38" s="27">
        <f>SUMIF('Wastewater Charges'!$C$15:$C$26,'Typical Bills SANITARY'!$B38,'Wastewater Charges'!E$15:E$26)</f>
        <v>113.34</v>
      </c>
      <c r="P38" s="27">
        <f>SUMIF('Wastewater Charges'!$C$15:$C$26,'Typical Bills SANITARY'!$B38,'Wastewater Charges'!F$15:F$26)</f>
        <v>120.98</v>
      </c>
      <c r="Q38" s="27"/>
      <c r="S38" s="27">
        <f>ROUND(($C38*('Wastewater Charges'!E$35+'Wastewater Charges'!E$45)),2)</f>
        <v>1145.0999999999999</v>
      </c>
      <c r="T38" s="27">
        <f>ROUND(($C38*('Wastewater Charges'!F$35+'Wastewater Charges'!F$45)),2)</f>
        <v>1414.5</v>
      </c>
      <c r="U38" s="27"/>
      <c r="V38" s="27"/>
      <c r="W38" s="27"/>
      <c r="X38" s="27"/>
    </row>
    <row r="39" spans="2:24">
      <c r="B39" s="9">
        <f>+'Typical Bills WATER'!B39</f>
        <v>4</v>
      </c>
      <c r="C39" s="26">
        <f>+'Typical Bills WATER'!C39</f>
        <v>170</v>
      </c>
      <c r="D39" s="27">
        <f t="shared" si="5"/>
        <v>6602.24</v>
      </c>
      <c r="E39" s="27">
        <f t="shared" si="5"/>
        <v>8136.48</v>
      </c>
      <c r="F39" s="26">
        <f>(+E39/D39-1)*100</f>
        <v>23.238173710740597</v>
      </c>
      <c r="G39" s="27"/>
      <c r="H39" s="26"/>
      <c r="O39" s="27">
        <f>SUMIF('Wastewater Charges'!$C$15:$C$26,'Typical Bills SANITARY'!$B39,'Wastewater Charges'!E$15:E$26)</f>
        <v>113.34</v>
      </c>
      <c r="P39" s="27">
        <f>SUMIF('Wastewater Charges'!$C$15:$C$26,'Typical Bills SANITARY'!$B39,'Wastewater Charges'!F$15:F$26)</f>
        <v>120.98</v>
      </c>
      <c r="Q39" s="27"/>
      <c r="S39" s="27">
        <f>ROUND(($C39*('Wastewater Charges'!E$35+'Wastewater Charges'!E$45)),2)</f>
        <v>6488.9</v>
      </c>
      <c r="T39" s="27">
        <f>ROUND(($C39*('Wastewater Charges'!F$35+'Wastewater Charges'!F$45)),2)</f>
        <v>8015.5</v>
      </c>
      <c r="U39" s="27"/>
      <c r="V39" s="27"/>
      <c r="W39" s="27"/>
      <c r="X39" s="27"/>
    </row>
    <row r="40" spans="2:24">
      <c r="B40" s="9">
        <f>+'Typical Bills WATER'!B40</f>
        <v>4</v>
      </c>
      <c r="C40" s="26">
        <f>+'Typical Bills WATER'!C40</f>
        <v>330</v>
      </c>
      <c r="D40" s="27">
        <f t="shared" si="5"/>
        <v>12709.44</v>
      </c>
      <c r="E40" s="27">
        <f t="shared" si="5"/>
        <v>15680.48</v>
      </c>
      <c r="F40" s="26">
        <f>(+E40/D40-1)*100</f>
        <v>23.376639726061875</v>
      </c>
      <c r="G40" s="27"/>
      <c r="H40" s="26"/>
      <c r="O40" s="27">
        <f>SUMIF('Wastewater Charges'!$C$15:$C$26,'Typical Bills SANITARY'!$B40,'Wastewater Charges'!E$15:E$26)</f>
        <v>113.34</v>
      </c>
      <c r="P40" s="27">
        <f>SUMIF('Wastewater Charges'!$C$15:$C$26,'Typical Bills SANITARY'!$B40,'Wastewater Charges'!F$15:F$26)</f>
        <v>120.98</v>
      </c>
      <c r="Q40" s="27"/>
      <c r="S40" s="27">
        <f>ROUND(($C40*('Wastewater Charges'!E$35+'Wastewater Charges'!E$45)),2)</f>
        <v>12596.1</v>
      </c>
      <c r="T40" s="27">
        <f>ROUND(($C40*('Wastewater Charges'!F$35+'Wastewater Charges'!F$45)),2)</f>
        <v>15559.5</v>
      </c>
      <c r="U40" s="27"/>
      <c r="V40" s="27"/>
      <c r="W40" s="27"/>
      <c r="X40" s="27"/>
    </row>
    <row r="41" spans="2:24">
      <c r="B41" s="9">
        <f>+'Typical Bills WATER'!B41</f>
        <v>4</v>
      </c>
      <c r="C41" s="26">
        <f>+'Typical Bills WATER'!C41</f>
        <v>500</v>
      </c>
      <c r="D41" s="27">
        <f t="shared" si="5"/>
        <v>19198.34</v>
      </c>
      <c r="E41" s="27">
        <f t="shared" si="5"/>
        <v>23695.98</v>
      </c>
      <c r="F41" s="26">
        <f>(+E41/D41-1)*100</f>
        <v>23.427233812923397</v>
      </c>
      <c r="G41" s="27"/>
      <c r="H41" s="26"/>
      <c r="O41" s="27">
        <f>SUMIF('Wastewater Charges'!$C$15:$C$26,'Typical Bills SANITARY'!$B41,'Wastewater Charges'!E$15:E$26)</f>
        <v>113.34</v>
      </c>
      <c r="P41" s="27">
        <f>SUMIF('Wastewater Charges'!$C$15:$C$26,'Typical Bills SANITARY'!$B41,'Wastewater Charges'!F$15:F$26)</f>
        <v>120.98</v>
      </c>
      <c r="Q41" s="27"/>
      <c r="S41" s="27">
        <f>ROUND(($C41*('Wastewater Charges'!E$35+'Wastewater Charges'!E$45)),2)</f>
        <v>19085</v>
      </c>
      <c r="T41" s="27">
        <f>ROUND(($C41*('Wastewater Charges'!F$35+'Wastewater Charges'!F$45)),2)</f>
        <v>23575</v>
      </c>
      <c r="U41" s="27"/>
      <c r="V41" s="27"/>
      <c r="W41" s="27"/>
      <c r="X41" s="27"/>
    </row>
    <row r="42" spans="2:24">
      <c r="B42" s="9"/>
      <c r="C42" s="3"/>
      <c r="D42" s="27"/>
      <c r="E42" s="27"/>
      <c r="G42" s="27"/>
      <c r="O42" s="27"/>
      <c r="P42" s="27"/>
      <c r="Q42" s="27"/>
      <c r="S42" s="27"/>
      <c r="T42" s="27"/>
      <c r="U42" s="27"/>
    </row>
    <row r="43" spans="2:24">
      <c r="B43" s="9">
        <f>+'Typical Bills WATER'!B43</f>
        <v>6</v>
      </c>
      <c r="C43" s="26">
        <f>+'Typical Bills WATER'!C43</f>
        <v>150</v>
      </c>
      <c r="D43" s="27">
        <f t="shared" ref="D43:E46" si="6">+O43+S43</f>
        <v>5948.93</v>
      </c>
      <c r="E43" s="27">
        <f t="shared" si="6"/>
        <v>7311.14</v>
      </c>
      <c r="F43" s="27">
        <f>(+E43/D43-1)*100</f>
        <v>22.898403578458648</v>
      </c>
      <c r="G43" s="27"/>
      <c r="H43" s="27"/>
      <c r="O43" s="27">
        <f>SUMIF('Wastewater Charges'!$C$15:$C$26,'Typical Bills SANITARY'!$B43,'Wastewater Charges'!E$15:E$26)</f>
        <v>223.43</v>
      </c>
      <c r="P43" s="27">
        <f>SUMIF('Wastewater Charges'!$C$15:$C$26,'Typical Bills SANITARY'!$B43,'Wastewater Charges'!F$15:F$26)</f>
        <v>238.64</v>
      </c>
      <c r="Q43" s="27"/>
      <c r="S43" s="27">
        <f>ROUND(($C43*('Wastewater Charges'!E$35+'Wastewater Charges'!E$45)),2)</f>
        <v>5725.5</v>
      </c>
      <c r="T43" s="27">
        <f>ROUND(($C43*('Wastewater Charges'!F$35+'Wastewater Charges'!F$45)),2)</f>
        <v>7072.5</v>
      </c>
      <c r="U43" s="27"/>
      <c r="V43" s="27"/>
      <c r="W43" s="27"/>
      <c r="X43" s="27"/>
    </row>
    <row r="44" spans="2:24">
      <c r="B44" s="9">
        <f>+'Typical Bills WATER'!B44</f>
        <v>6</v>
      </c>
      <c r="C44" s="26">
        <f>+'Typical Bills WATER'!C44</f>
        <v>500</v>
      </c>
      <c r="D44" s="27">
        <f t="shared" si="6"/>
        <v>19308.43</v>
      </c>
      <c r="E44" s="27">
        <f t="shared" si="6"/>
        <v>23813.64</v>
      </c>
      <c r="F44" s="27">
        <f>(+E44/D44-1)*100</f>
        <v>23.33286548932254</v>
      </c>
      <c r="G44" s="27"/>
      <c r="H44" s="27"/>
      <c r="O44" s="27">
        <f>SUMIF('Wastewater Charges'!$C$15:$C$26,'Typical Bills SANITARY'!$B44,'Wastewater Charges'!E$15:E$26)</f>
        <v>223.43</v>
      </c>
      <c r="P44" s="27">
        <f>SUMIF('Wastewater Charges'!$C$15:$C$26,'Typical Bills SANITARY'!$B44,'Wastewater Charges'!F$15:F$26)</f>
        <v>238.64</v>
      </c>
      <c r="Q44" s="27"/>
      <c r="S44" s="27">
        <f>ROUND(($C44*('Wastewater Charges'!E$35+'Wastewater Charges'!E$45)),2)</f>
        <v>19085</v>
      </c>
      <c r="T44" s="27">
        <f>ROUND(($C44*('Wastewater Charges'!F$35+'Wastewater Charges'!F$45)),2)</f>
        <v>23575</v>
      </c>
      <c r="U44" s="27"/>
      <c r="V44" s="27"/>
      <c r="W44" s="27"/>
      <c r="X44" s="27"/>
    </row>
    <row r="45" spans="2:24">
      <c r="B45" s="9">
        <f>+'Typical Bills WATER'!B45</f>
        <v>6</v>
      </c>
      <c r="C45" s="26">
        <f>+'Typical Bills WATER'!C45</f>
        <v>1000</v>
      </c>
      <c r="D45" s="27">
        <f t="shared" si="6"/>
        <v>38393.43</v>
      </c>
      <c r="E45" s="27">
        <f t="shared" si="6"/>
        <v>47388.639999999999</v>
      </c>
      <c r="F45" s="27">
        <f>(+E45/D45-1)*100</f>
        <v>23.429034603055786</v>
      </c>
      <c r="G45" s="27"/>
      <c r="H45" s="27"/>
      <c r="O45" s="27">
        <f>SUMIF('Wastewater Charges'!$C$15:$C$26,'Typical Bills SANITARY'!$B45,'Wastewater Charges'!E$15:E$26)</f>
        <v>223.43</v>
      </c>
      <c r="P45" s="27">
        <f>SUMIF('Wastewater Charges'!$C$15:$C$26,'Typical Bills SANITARY'!$B45,'Wastewater Charges'!F$15:F$26)</f>
        <v>238.64</v>
      </c>
      <c r="Q45" s="27"/>
      <c r="S45" s="27">
        <f>ROUND(($C45*('Wastewater Charges'!E$35+'Wastewater Charges'!E$45)),2)</f>
        <v>38170</v>
      </c>
      <c r="T45" s="27">
        <f>ROUND(($C45*('Wastewater Charges'!F$35+'Wastewater Charges'!F$45)),2)</f>
        <v>47150</v>
      </c>
      <c r="U45" s="27"/>
      <c r="V45" s="27"/>
      <c r="W45" s="27"/>
      <c r="X45" s="27"/>
    </row>
    <row r="46" spans="2:24">
      <c r="B46" s="9">
        <f>+'Typical Bills WATER'!B46</f>
        <v>6</v>
      </c>
      <c r="C46" s="26">
        <f>+'Typical Bills WATER'!C46</f>
        <v>1500</v>
      </c>
      <c r="D46" s="27">
        <f t="shared" si="6"/>
        <v>57478.43</v>
      </c>
      <c r="E46" s="27">
        <f t="shared" si="6"/>
        <v>70963.64</v>
      </c>
      <c r="F46" s="27">
        <f>(+E46/D46-1)*100</f>
        <v>23.461340193182025</v>
      </c>
      <c r="G46" s="27"/>
      <c r="H46" s="27"/>
      <c r="O46" s="27">
        <f>SUMIF('Wastewater Charges'!$C$15:$C$26,'Typical Bills SANITARY'!$B46,'Wastewater Charges'!E$15:E$26)</f>
        <v>223.43</v>
      </c>
      <c r="P46" s="27">
        <f>SUMIF('Wastewater Charges'!$C$15:$C$26,'Typical Bills SANITARY'!$B46,'Wastewater Charges'!F$15:F$26)</f>
        <v>238.64</v>
      </c>
      <c r="Q46" s="27"/>
      <c r="S46" s="27">
        <f>ROUND(($C46*('Wastewater Charges'!E$35+'Wastewater Charges'!E$45)),2)</f>
        <v>57255</v>
      </c>
      <c r="T46" s="27">
        <f>ROUND(($C46*('Wastewater Charges'!F$35+'Wastewater Charges'!F$45)),2)</f>
        <v>70725</v>
      </c>
      <c r="U46" s="27"/>
      <c r="V46" s="27"/>
      <c r="W46" s="27"/>
      <c r="X46" s="27"/>
    </row>
    <row r="47" spans="2:24">
      <c r="B47" s="9"/>
      <c r="C47" s="3"/>
      <c r="D47" s="27"/>
      <c r="E47" s="27"/>
      <c r="G47" s="27"/>
      <c r="O47" s="27"/>
      <c r="P47" s="27"/>
      <c r="Q47" s="27"/>
      <c r="S47" s="27"/>
      <c r="T47" s="27"/>
      <c r="U47" s="27"/>
    </row>
    <row r="48" spans="2:24">
      <c r="B48" s="9">
        <f>+'Typical Bills WATER'!B48</f>
        <v>8</v>
      </c>
      <c r="C48" s="26">
        <f>+'Typical Bills WATER'!C48</f>
        <v>750</v>
      </c>
      <c r="D48" s="27">
        <f t="shared" ref="D48:E51" si="7">+O48+S48</f>
        <v>28981.09</v>
      </c>
      <c r="E48" s="27">
        <f t="shared" si="7"/>
        <v>35740.32</v>
      </c>
      <c r="F48" s="27">
        <f>(+E48/D48-1)*100</f>
        <v>23.322897793009155</v>
      </c>
      <c r="G48" s="27"/>
      <c r="H48" s="27"/>
      <c r="O48" s="27">
        <f>SUMIF('Wastewater Charges'!$C$15:$C$26,'Typical Bills SANITARY'!$B48,'Wastewater Charges'!E$15:E$26)</f>
        <v>353.59</v>
      </c>
      <c r="P48" s="27">
        <f>SUMIF('Wastewater Charges'!$C$15:$C$26,'Typical Bills SANITARY'!$B48,'Wastewater Charges'!F$15:F$26)</f>
        <v>377.82</v>
      </c>
      <c r="Q48" s="27"/>
      <c r="S48" s="27">
        <f>ROUND(($C48*('Wastewater Charges'!E$35+'Wastewater Charges'!E$45)),2)</f>
        <v>28627.5</v>
      </c>
      <c r="T48" s="27">
        <f>ROUND(($C48*('Wastewater Charges'!F$35+'Wastewater Charges'!F$45)),2)</f>
        <v>35362.5</v>
      </c>
      <c r="U48" s="27"/>
      <c r="V48" s="27"/>
      <c r="W48" s="27"/>
      <c r="X48" s="27"/>
    </row>
    <row r="49" spans="2:24">
      <c r="B49" s="9">
        <f>+'Typical Bills WATER'!B49</f>
        <v>8</v>
      </c>
      <c r="C49" s="26">
        <f>+'Typical Bills WATER'!C49</f>
        <v>1500</v>
      </c>
      <c r="D49" s="27">
        <f t="shared" si="7"/>
        <v>57608.59</v>
      </c>
      <c r="E49" s="27">
        <f t="shared" si="7"/>
        <v>71102.820000000007</v>
      </c>
      <c r="F49" s="27">
        <f>(+E49/D49-1)*100</f>
        <v>23.42398937380694</v>
      </c>
      <c r="G49" s="27"/>
      <c r="H49" s="27"/>
      <c r="O49" s="27">
        <f>SUMIF('Wastewater Charges'!$C$15:$C$26,'Typical Bills SANITARY'!$B49,'Wastewater Charges'!E$15:E$26)</f>
        <v>353.59</v>
      </c>
      <c r="P49" s="27">
        <f>SUMIF('Wastewater Charges'!$C$15:$C$26,'Typical Bills SANITARY'!$B49,'Wastewater Charges'!F$15:F$26)</f>
        <v>377.82</v>
      </c>
      <c r="Q49" s="27"/>
      <c r="S49" s="27">
        <f>ROUND(($C49*('Wastewater Charges'!E$35+'Wastewater Charges'!E$45)),2)</f>
        <v>57255</v>
      </c>
      <c r="T49" s="27">
        <f>ROUND(($C49*('Wastewater Charges'!F$35+'Wastewater Charges'!F$45)),2)</f>
        <v>70725</v>
      </c>
      <c r="U49" s="27"/>
      <c r="V49" s="27"/>
      <c r="W49" s="27"/>
      <c r="X49" s="27"/>
    </row>
    <row r="50" spans="2:24">
      <c r="B50" s="9">
        <f>+'Typical Bills WATER'!B50</f>
        <v>8</v>
      </c>
      <c r="C50" s="26">
        <f>+'Typical Bills WATER'!C50</f>
        <v>2000</v>
      </c>
      <c r="D50" s="27">
        <f t="shared" si="7"/>
        <v>76693.59</v>
      </c>
      <c r="E50" s="27">
        <f t="shared" si="7"/>
        <v>94677.82</v>
      </c>
      <c r="F50" s="27">
        <f>(+E50/D50-1)*100</f>
        <v>23.449456466961593</v>
      </c>
      <c r="G50" s="27"/>
      <c r="H50" s="27"/>
      <c r="O50" s="27">
        <f>SUMIF('Wastewater Charges'!$C$15:$C$26,'Typical Bills SANITARY'!$B50,'Wastewater Charges'!E$15:E$26)</f>
        <v>353.59</v>
      </c>
      <c r="P50" s="27">
        <f>SUMIF('Wastewater Charges'!$C$15:$C$26,'Typical Bills SANITARY'!$B50,'Wastewater Charges'!F$15:F$26)</f>
        <v>377.82</v>
      </c>
      <c r="Q50" s="27"/>
      <c r="S50" s="27">
        <f>ROUND(($C50*('Wastewater Charges'!E$35+'Wastewater Charges'!E$45)),2)</f>
        <v>76340</v>
      </c>
      <c r="T50" s="27">
        <f>ROUND(($C50*('Wastewater Charges'!F$35+'Wastewater Charges'!F$45)),2)</f>
        <v>94300</v>
      </c>
      <c r="U50" s="27"/>
      <c r="V50" s="27"/>
      <c r="W50" s="27"/>
      <c r="X50" s="27"/>
    </row>
    <row r="51" spans="2:24">
      <c r="B51" s="9">
        <f>+'Typical Bills WATER'!B51</f>
        <v>8</v>
      </c>
      <c r="C51" s="26">
        <f>+'Typical Bills WATER'!C51</f>
        <v>3000</v>
      </c>
      <c r="D51" s="27">
        <f t="shared" si="7"/>
        <v>114863.59</v>
      </c>
      <c r="E51" s="27">
        <f t="shared" si="7"/>
        <v>141827.82</v>
      </c>
      <c r="F51" s="27">
        <f>(+E51/D51-1)*100</f>
        <v>23.475001956668784</v>
      </c>
      <c r="G51" s="27"/>
      <c r="H51" s="27"/>
      <c r="O51" s="27">
        <f>SUMIF('Wastewater Charges'!$C$15:$C$26,'Typical Bills SANITARY'!$B51,'Wastewater Charges'!E$15:E$26)</f>
        <v>353.59</v>
      </c>
      <c r="P51" s="27">
        <f>SUMIF('Wastewater Charges'!$C$15:$C$26,'Typical Bills SANITARY'!$B51,'Wastewater Charges'!F$15:F$26)</f>
        <v>377.82</v>
      </c>
      <c r="Q51" s="27"/>
      <c r="S51" s="27">
        <f>ROUND(($C51*('Wastewater Charges'!E$35+'Wastewater Charges'!E$45)),2)</f>
        <v>114510</v>
      </c>
      <c r="T51" s="27">
        <f>ROUND(($C51*('Wastewater Charges'!F$35+'Wastewater Charges'!F$45)),2)</f>
        <v>141450</v>
      </c>
      <c r="U51" s="27"/>
      <c r="V51" s="27"/>
      <c r="W51" s="27"/>
      <c r="X51" s="27"/>
    </row>
    <row r="52" spans="2:24">
      <c r="B52" s="9"/>
      <c r="C52" s="3"/>
      <c r="D52" s="27"/>
      <c r="E52" s="27"/>
      <c r="G52" s="27"/>
      <c r="O52" s="27"/>
      <c r="P52" s="27"/>
      <c r="Q52" s="27"/>
      <c r="S52" s="27"/>
      <c r="T52" s="27"/>
      <c r="U52" s="27"/>
    </row>
    <row r="53" spans="2:24">
      <c r="B53" s="9">
        <f>+'Typical Bills WATER'!B53</f>
        <v>10</v>
      </c>
      <c r="C53" s="26">
        <f>+'Typical Bills WATER'!C53</f>
        <v>600</v>
      </c>
      <c r="D53" s="27">
        <f t="shared" ref="D53:E56" si="8">+O53+S53</f>
        <v>23412.31</v>
      </c>
      <c r="E53" s="27">
        <f t="shared" si="8"/>
        <v>28835.200000000001</v>
      </c>
      <c r="F53" s="27">
        <f>(+E53/D53-1)*100</f>
        <v>23.162558500207787</v>
      </c>
      <c r="G53" s="27"/>
      <c r="H53" s="27"/>
      <c r="O53" s="27">
        <f>SUMIF('Wastewater Charges'!$C$15:$C$26,'Typical Bills SANITARY'!$B53,'Wastewater Charges'!E$15:E$26)</f>
        <v>510.31</v>
      </c>
      <c r="P53" s="27">
        <f>SUMIF('Wastewater Charges'!$C$15:$C$26,'Typical Bills SANITARY'!$B53,'Wastewater Charges'!F$15:F$26)</f>
        <v>545.20000000000005</v>
      </c>
      <c r="Q53" s="27"/>
      <c r="S53" s="27">
        <f>ROUND(($C53*('Wastewater Charges'!E$35+'Wastewater Charges'!E$45)),2)</f>
        <v>22902</v>
      </c>
      <c r="T53" s="27">
        <f>ROUND(($C53*('Wastewater Charges'!F$35+'Wastewater Charges'!F$45)),2)</f>
        <v>28290</v>
      </c>
      <c r="U53" s="27"/>
      <c r="V53" s="27"/>
      <c r="W53" s="27"/>
      <c r="X53" s="27"/>
    </row>
    <row r="54" spans="2:24">
      <c r="B54" s="9">
        <f>+'Typical Bills WATER'!B54</f>
        <v>10</v>
      </c>
      <c r="C54" s="26">
        <f>+'Typical Bills WATER'!C54</f>
        <v>1700</v>
      </c>
      <c r="D54" s="27">
        <f t="shared" si="8"/>
        <v>65399.31</v>
      </c>
      <c r="E54" s="27">
        <f t="shared" si="8"/>
        <v>80700.2</v>
      </c>
      <c r="F54" s="27">
        <f>(+E54/D54-1)*100</f>
        <v>23.396103108733101</v>
      </c>
      <c r="G54" s="27"/>
      <c r="H54" s="27"/>
      <c r="O54" s="27">
        <f>SUMIF('Wastewater Charges'!$C$15:$C$26,'Typical Bills SANITARY'!$B54,'Wastewater Charges'!E$15:E$26)</f>
        <v>510.31</v>
      </c>
      <c r="P54" s="27">
        <f>SUMIF('Wastewater Charges'!$C$15:$C$26,'Typical Bills SANITARY'!$B54,'Wastewater Charges'!F$15:F$26)</f>
        <v>545.20000000000005</v>
      </c>
      <c r="Q54" s="27"/>
      <c r="S54" s="27">
        <f>ROUND(($C54*('Wastewater Charges'!E$35+'Wastewater Charges'!E$45)),2)</f>
        <v>64889</v>
      </c>
      <c r="T54" s="27">
        <f>ROUND(($C54*('Wastewater Charges'!F$35+'Wastewater Charges'!F$45)),2)</f>
        <v>80155</v>
      </c>
      <c r="U54" s="27"/>
      <c r="V54" s="27"/>
      <c r="W54" s="27"/>
      <c r="X54" s="27"/>
    </row>
    <row r="55" spans="2:24">
      <c r="B55" s="9">
        <f>+'Typical Bills WATER'!B55</f>
        <v>10</v>
      </c>
      <c r="C55" s="26">
        <f>+'Typical Bills WATER'!C55</f>
        <v>3300</v>
      </c>
      <c r="D55" s="27">
        <f t="shared" si="8"/>
        <v>126471.31</v>
      </c>
      <c r="E55" s="27">
        <f t="shared" si="8"/>
        <v>156140.20000000001</v>
      </c>
      <c r="F55" s="27">
        <f>(+E55/D55-1)*100</f>
        <v>23.458988445679907</v>
      </c>
      <c r="G55" s="27"/>
      <c r="H55" s="27"/>
      <c r="O55" s="27">
        <f>SUMIF('Wastewater Charges'!$C$15:$C$26,'Typical Bills SANITARY'!$B55,'Wastewater Charges'!E$15:E$26)</f>
        <v>510.31</v>
      </c>
      <c r="P55" s="27">
        <f>SUMIF('Wastewater Charges'!$C$15:$C$26,'Typical Bills SANITARY'!$B55,'Wastewater Charges'!F$15:F$26)</f>
        <v>545.20000000000005</v>
      </c>
      <c r="Q55" s="27"/>
      <c r="S55" s="27">
        <f>ROUND(($C55*('Wastewater Charges'!E$35+'Wastewater Charges'!E$45)),2)</f>
        <v>125961</v>
      </c>
      <c r="T55" s="27">
        <f>ROUND(($C55*('Wastewater Charges'!F$35+'Wastewater Charges'!F$45)),2)</f>
        <v>155595</v>
      </c>
      <c r="U55" s="27"/>
      <c r="V55" s="27"/>
      <c r="W55" s="27"/>
      <c r="X55" s="27"/>
    </row>
    <row r="56" spans="2:24">
      <c r="B56" s="9">
        <f>+'Typical Bills WATER'!B56</f>
        <v>10</v>
      </c>
      <c r="C56" s="26">
        <f>+'Typical Bills WATER'!C56</f>
        <v>6000</v>
      </c>
      <c r="D56" s="27">
        <f t="shared" si="8"/>
        <v>229530.31</v>
      </c>
      <c r="E56" s="27">
        <f t="shared" si="8"/>
        <v>283445.2</v>
      </c>
      <c r="F56" s="27">
        <f>(+E56/D56-1)*100</f>
        <v>23.489224582147795</v>
      </c>
      <c r="G56" s="27"/>
      <c r="H56" s="27"/>
      <c r="O56" s="27">
        <f>SUMIF('Wastewater Charges'!$C$15:$C$26,'Typical Bills SANITARY'!$B56,'Wastewater Charges'!E$15:E$26)</f>
        <v>510.31</v>
      </c>
      <c r="P56" s="27">
        <f>SUMIF('Wastewater Charges'!$C$15:$C$26,'Typical Bills SANITARY'!$B56,'Wastewater Charges'!F$15:F$26)</f>
        <v>545.20000000000005</v>
      </c>
      <c r="Q56" s="27"/>
      <c r="S56" s="27">
        <f>ROUND(($C56*('Wastewater Charges'!E$35+'Wastewater Charges'!E$45)),2)</f>
        <v>229020</v>
      </c>
      <c r="T56" s="27">
        <f>ROUND(($C56*('Wastewater Charges'!F$35+'Wastewater Charges'!F$45)),2)</f>
        <v>282900</v>
      </c>
      <c r="U56" s="27"/>
      <c r="V56" s="27"/>
      <c r="W56" s="27"/>
      <c r="X56" s="27"/>
    </row>
    <row r="57" spans="2:24">
      <c r="B57" s="3"/>
      <c r="C57" s="3"/>
      <c r="D57" s="3"/>
      <c r="E57" s="3"/>
      <c r="F57" s="3"/>
      <c r="G57" s="3"/>
      <c r="H57" s="3"/>
    </row>
    <row r="58" spans="2:24">
      <c r="B58" s="3" t="s">
        <v>61</v>
      </c>
      <c r="C58" s="3"/>
      <c r="D58" s="3"/>
      <c r="E58" s="3"/>
      <c r="F58" s="3"/>
      <c r="G58" s="3"/>
      <c r="H58" s="3"/>
    </row>
  </sheetData>
  <mergeCells count="2">
    <mergeCell ref="E9:F9"/>
    <mergeCell ref="G9:H9"/>
  </mergeCells>
  <hyperlinks>
    <hyperlink ref="A1" location="TOC!A1" display="TOC!A1" xr:uid="{00000000-0004-0000-0700-000000000000}"/>
  </hyperlink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27"/>
  <sheetViews>
    <sheetView workbookViewId="0"/>
  </sheetViews>
  <sheetFormatPr defaultRowHeight="15" outlineLevelCol="1"/>
  <cols>
    <col min="2" max="2" width="14.5703125" customWidth="1"/>
    <col min="3" max="3" width="13.140625" customWidth="1"/>
    <col min="4" max="4" width="14.5703125" customWidth="1"/>
    <col min="5" max="5" width="14" customWidth="1"/>
    <col min="6" max="6" width="15.42578125" customWidth="1"/>
    <col min="7" max="8" width="14.140625" customWidth="1" outlineLevel="1"/>
    <col min="9" max="9" width="8.85546875"/>
  </cols>
  <sheetData>
    <row r="1" spans="1:8" ht="15.75" thickBot="1">
      <c r="A1" s="122" t="s">
        <v>21</v>
      </c>
    </row>
    <row r="2" spans="1:8" ht="18">
      <c r="B2" s="1"/>
      <c r="C2" s="1"/>
      <c r="D2" s="1"/>
      <c r="E2" s="1"/>
      <c r="F2" s="1"/>
    </row>
    <row r="3" spans="1:8" ht="18">
      <c r="B3" s="1"/>
      <c r="C3" s="1"/>
      <c r="D3" s="1"/>
      <c r="E3" s="1"/>
      <c r="F3" s="1"/>
    </row>
    <row r="4" spans="1:8" ht="18">
      <c r="B4" s="64" t="s">
        <v>131</v>
      </c>
      <c r="C4" s="64"/>
      <c r="D4" s="64"/>
      <c r="E4" s="64"/>
      <c r="F4" s="64"/>
    </row>
    <row r="5" spans="1:8" ht="18">
      <c r="B5" s="64" t="s">
        <v>132</v>
      </c>
      <c r="C5" s="64"/>
      <c r="D5" s="64"/>
      <c r="E5" s="64"/>
      <c r="F5" s="64"/>
    </row>
    <row r="6" spans="1:8" ht="18">
      <c r="B6" s="180"/>
      <c r="C6" s="180"/>
      <c r="D6" s="180"/>
      <c r="E6" s="180"/>
      <c r="F6" s="180"/>
    </row>
    <row r="7" spans="1:8">
      <c r="B7" s="23"/>
      <c r="C7" s="23"/>
      <c r="D7" s="23"/>
      <c r="E7" s="24"/>
      <c r="F7" s="23"/>
    </row>
    <row r="8" spans="1:8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/>
      <c r="H8" s="32"/>
    </row>
    <row r="9" spans="1:8" ht="16.5">
      <c r="B9" s="25"/>
      <c r="C9" s="25"/>
      <c r="D9" s="8" t="str">
        <f>Inputs!$C$4</f>
        <v>FY 2024</v>
      </c>
      <c r="E9" s="183" t="str">
        <f>Inputs!$D$4</f>
        <v>FY 2025</v>
      </c>
      <c r="F9" s="183"/>
      <c r="G9" s="183"/>
      <c r="H9" s="183"/>
    </row>
    <row r="10" spans="1:8">
      <c r="B10" s="4" t="s">
        <v>94</v>
      </c>
      <c r="C10" s="4" t="s">
        <v>33</v>
      </c>
      <c r="D10" s="4" t="s">
        <v>95</v>
      </c>
      <c r="E10" s="4" t="s">
        <v>133</v>
      </c>
      <c r="F10" s="4" t="s">
        <v>97</v>
      </c>
      <c r="G10" s="4"/>
      <c r="H10" s="4"/>
    </row>
    <row r="11" spans="1:8" ht="16.5">
      <c r="B11" s="6" t="s">
        <v>98</v>
      </c>
      <c r="C11" s="6" t="s">
        <v>99</v>
      </c>
      <c r="D11" s="6" t="s">
        <v>100</v>
      </c>
      <c r="E11" s="6" t="s">
        <v>100</v>
      </c>
      <c r="F11" s="6" t="s">
        <v>101</v>
      </c>
      <c r="G11" s="6"/>
      <c r="H11" s="6"/>
    </row>
    <row r="12" spans="1:8">
      <c r="B12" s="4" t="s">
        <v>36</v>
      </c>
      <c r="C12" s="4" t="s">
        <v>102</v>
      </c>
      <c r="D12" s="4" t="s">
        <v>37</v>
      </c>
      <c r="E12" s="4" t="s">
        <v>37</v>
      </c>
      <c r="F12" s="4" t="s">
        <v>103</v>
      </c>
      <c r="G12" s="4"/>
      <c r="H12" s="4"/>
    </row>
    <row r="13" spans="1:8">
      <c r="B13" s="3"/>
      <c r="C13" s="3"/>
      <c r="D13" s="3"/>
      <c r="E13" s="3"/>
      <c r="F13" s="3"/>
      <c r="G13" s="3"/>
      <c r="H13" s="3"/>
    </row>
    <row r="14" spans="1:8">
      <c r="B14" s="9" t="str">
        <f>+'Typical Bills WATER'!B14</f>
        <v>5/8</v>
      </c>
      <c r="C14" s="26">
        <f>+'Typical Bills WATER'!C14</f>
        <v>0</v>
      </c>
      <c r="D14" s="27">
        <f>+'Wastewater Charges'!N$15+'Wastewater Charges'!N$24</f>
        <v>18.5</v>
      </c>
      <c r="E14" s="27">
        <f>+'Wastewater Charges'!O$15+'Wastewater Charges'!O$24</f>
        <v>20.41</v>
      </c>
      <c r="F14" s="26">
        <f t="shared" ref="F14:F25" si="0">(+E14/D14-1)*100</f>
        <v>10.32432432432433</v>
      </c>
      <c r="G14" s="27"/>
      <c r="H14" s="26"/>
    </row>
    <row r="15" spans="1:8">
      <c r="B15" s="33" t="str">
        <f>+'Typical Bills WATER'!B15</f>
        <v>5/8</v>
      </c>
      <c r="C15" s="28">
        <f>+'Typical Bills WATER'!C15</f>
        <v>0.2</v>
      </c>
      <c r="D15" s="29">
        <f>+'Wastewater Charges'!N$15+'Wastewater Charges'!N$24</f>
        <v>18.5</v>
      </c>
      <c r="E15" s="29">
        <f>+'Wastewater Charges'!O$15+'Wastewater Charges'!O$24</f>
        <v>20.41</v>
      </c>
      <c r="F15" s="28">
        <f>(+E15/D15-1)*100</f>
        <v>10.32432432432433</v>
      </c>
      <c r="G15" s="29"/>
      <c r="H15" s="28"/>
    </row>
    <row r="16" spans="1:8">
      <c r="B16" s="9" t="str">
        <f>+'Typical Bills WATER'!B16</f>
        <v>5/8</v>
      </c>
      <c r="C16" s="26">
        <f>+'Typical Bills WATER'!C16</f>
        <v>0.3</v>
      </c>
      <c r="D16" s="27">
        <f>+'Wastewater Charges'!N$15+'Wastewater Charges'!N$24</f>
        <v>18.5</v>
      </c>
      <c r="E16" s="27">
        <f>+'Wastewater Charges'!O$15+'Wastewater Charges'!O$24</f>
        <v>20.41</v>
      </c>
      <c r="F16" s="26">
        <f t="shared" si="0"/>
        <v>10.32432432432433</v>
      </c>
      <c r="G16" s="27"/>
      <c r="H16" s="26"/>
    </row>
    <row r="17" spans="2:8">
      <c r="B17" s="9" t="str">
        <f>+'Typical Bills WATER'!B17</f>
        <v>5/8</v>
      </c>
      <c r="C17" s="26">
        <f>+'Typical Bills WATER'!C17</f>
        <v>0.4</v>
      </c>
      <c r="D17" s="27">
        <f>+'Wastewater Charges'!N$15+'Wastewater Charges'!N$24</f>
        <v>18.5</v>
      </c>
      <c r="E17" s="27">
        <f>+'Wastewater Charges'!O$15+'Wastewater Charges'!O$24</f>
        <v>20.41</v>
      </c>
      <c r="F17" s="26">
        <f>(+E17/D17-1)*100</f>
        <v>10.32432432432433</v>
      </c>
      <c r="G17" s="27"/>
      <c r="H17" s="26"/>
    </row>
    <row r="18" spans="2:8">
      <c r="B18" s="33" t="str">
        <f>+'Typical Bills WATER'!B18</f>
        <v>5/8</v>
      </c>
      <c r="C18" s="29">
        <f>+'Typical Bills WATER'!C18</f>
        <v>0.45</v>
      </c>
      <c r="D18" s="29">
        <f>+'Wastewater Charges'!N$15+'Wastewater Charges'!N$24</f>
        <v>18.5</v>
      </c>
      <c r="E18" s="29">
        <f>+'Wastewater Charges'!O$15+'Wastewater Charges'!O$24</f>
        <v>20.41</v>
      </c>
      <c r="F18" s="28">
        <f t="shared" si="0"/>
        <v>10.32432432432433</v>
      </c>
      <c r="G18" s="29"/>
      <c r="H18" s="28"/>
    </row>
    <row r="19" spans="2:8">
      <c r="B19" s="9" t="str">
        <f>+'Typical Bills WATER'!B19</f>
        <v>5/8</v>
      </c>
      <c r="C19" s="26">
        <f>+'Typical Bills WATER'!C19</f>
        <v>0.5</v>
      </c>
      <c r="D19" s="27">
        <f>+'Wastewater Charges'!N$15+'Wastewater Charges'!N$24</f>
        <v>18.5</v>
      </c>
      <c r="E19" s="27">
        <f>+'Wastewater Charges'!O$15+'Wastewater Charges'!O$24</f>
        <v>20.41</v>
      </c>
      <c r="F19" s="26">
        <f>(+E19/D19-1)*100</f>
        <v>10.32432432432433</v>
      </c>
      <c r="G19" s="27"/>
      <c r="H19" s="26"/>
    </row>
    <row r="20" spans="2:8">
      <c r="B20" s="9" t="str">
        <f>+'Typical Bills WATER'!B20</f>
        <v>5/8</v>
      </c>
      <c r="C20" s="26">
        <f>+'Typical Bills WATER'!C20</f>
        <v>0.6</v>
      </c>
      <c r="D20" s="27">
        <f>+'Wastewater Charges'!N$15+'Wastewater Charges'!N$24</f>
        <v>18.5</v>
      </c>
      <c r="E20" s="27">
        <f>+'Wastewater Charges'!O$15+'Wastewater Charges'!O$24</f>
        <v>20.41</v>
      </c>
      <c r="F20" s="26">
        <f t="shared" si="0"/>
        <v>10.32432432432433</v>
      </c>
      <c r="G20" s="27"/>
      <c r="H20" s="26"/>
    </row>
    <row r="21" spans="2:8">
      <c r="B21" s="9" t="str">
        <f>+'Typical Bills WATER'!B21</f>
        <v>5/8</v>
      </c>
      <c r="C21" s="26">
        <f>+'Typical Bills WATER'!C21</f>
        <v>0.7</v>
      </c>
      <c r="D21" s="27">
        <f>+'Wastewater Charges'!N$15+'Wastewater Charges'!N$24</f>
        <v>18.5</v>
      </c>
      <c r="E21" s="27">
        <f>+'Wastewater Charges'!O$15+'Wastewater Charges'!O$24</f>
        <v>20.41</v>
      </c>
      <c r="F21" s="26">
        <f t="shared" si="0"/>
        <v>10.32432432432433</v>
      </c>
      <c r="G21" s="27"/>
      <c r="H21" s="26"/>
    </row>
    <row r="22" spans="2:8">
      <c r="B22" s="9" t="str">
        <f>+'Typical Bills WATER'!B22</f>
        <v>5/8</v>
      </c>
      <c r="C22" s="26">
        <f>+'Typical Bills WATER'!C22</f>
        <v>0.8</v>
      </c>
      <c r="D22" s="27">
        <f>+'Wastewater Charges'!N$15+'Wastewater Charges'!N$24</f>
        <v>18.5</v>
      </c>
      <c r="E22" s="27">
        <f>+'Wastewater Charges'!O$15+'Wastewater Charges'!O$24</f>
        <v>20.41</v>
      </c>
      <c r="F22" s="26">
        <f t="shared" si="0"/>
        <v>10.32432432432433</v>
      </c>
      <c r="G22" s="27"/>
      <c r="H22" s="26"/>
    </row>
    <row r="23" spans="2:8">
      <c r="B23" s="9" t="str">
        <f>+'Typical Bills WATER'!B23</f>
        <v>5/8</v>
      </c>
      <c r="C23" s="26">
        <f>+'Typical Bills WATER'!C23</f>
        <v>1.7</v>
      </c>
      <c r="D23" s="27">
        <f>+'Wastewater Charges'!N$15+'Wastewater Charges'!N$24</f>
        <v>18.5</v>
      </c>
      <c r="E23" s="27">
        <f>+'Wastewater Charges'!O$15+'Wastewater Charges'!O$24</f>
        <v>20.41</v>
      </c>
      <c r="F23" s="26">
        <f t="shared" si="0"/>
        <v>10.32432432432433</v>
      </c>
      <c r="G23" s="27"/>
      <c r="H23" s="26"/>
    </row>
    <row r="24" spans="2:8">
      <c r="B24" s="9" t="str">
        <f>+'Typical Bills WATER'!B24</f>
        <v>5/8</v>
      </c>
      <c r="C24" s="26">
        <f>+'Typical Bills WATER'!C24</f>
        <v>2.7</v>
      </c>
      <c r="D24" s="27">
        <f>+'Wastewater Charges'!N$15+'Wastewater Charges'!N$24</f>
        <v>18.5</v>
      </c>
      <c r="E24" s="27">
        <f>+'Wastewater Charges'!O$15+'Wastewater Charges'!O$24</f>
        <v>20.41</v>
      </c>
      <c r="F24" s="26">
        <f t="shared" si="0"/>
        <v>10.32432432432433</v>
      </c>
      <c r="G24" s="27"/>
      <c r="H24" s="26"/>
    </row>
    <row r="25" spans="2:8">
      <c r="B25" s="9" t="str">
        <f>+'Typical Bills WATER'!B25</f>
        <v>5/8</v>
      </c>
      <c r="C25" s="26">
        <f>+'Typical Bills WATER'!C25</f>
        <v>3.3</v>
      </c>
      <c r="D25" s="27">
        <f>+'Wastewater Charges'!N$15+'Wastewater Charges'!N$24</f>
        <v>18.5</v>
      </c>
      <c r="E25" s="27">
        <f>+'Wastewater Charges'!O$15+'Wastewater Charges'!O$24</f>
        <v>20.41</v>
      </c>
      <c r="F25" s="26">
        <f t="shared" si="0"/>
        <v>10.32432432432433</v>
      </c>
      <c r="G25" s="27"/>
      <c r="H25" s="26"/>
    </row>
    <row r="26" spans="2:8">
      <c r="B26" s="9"/>
      <c r="C26" s="3"/>
      <c r="D26" s="27"/>
      <c r="E26" s="27"/>
      <c r="F26" s="3"/>
    </row>
    <row r="27" spans="2:8">
      <c r="B27" s="3" t="s">
        <v>61</v>
      </c>
      <c r="C27" s="3"/>
      <c r="D27" s="3"/>
      <c r="E27" s="3"/>
      <c r="F27" s="3"/>
    </row>
  </sheetData>
  <mergeCells count="3">
    <mergeCell ref="E9:F9"/>
    <mergeCell ref="B6:F6"/>
    <mergeCell ref="G9:H9"/>
  </mergeCells>
  <hyperlinks>
    <hyperlink ref="A1" location="TOC!A1" display="TOC!A1" xr:uid="{00000000-0004-0000-0800-000000000000}"/>
  </hyperlink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J75"/>
  <sheetViews>
    <sheetView zoomScaleNormal="100" workbookViewId="0"/>
  </sheetViews>
  <sheetFormatPr defaultRowHeight="15" outlineLevelCol="1"/>
  <cols>
    <col min="2" max="2" width="10.5703125" customWidth="1"/>
    <col min="3" max="3" width="11.140625" customWidth="1"/>
    <col min="4" max="4" width="10.85546875" customWidth="1"/>
    <col min="5" max="5" width="10.5703125" customWidth="1"/>
    <col min="6" max="7" width="11.140625" customWidth="1"/>
    <col min="8" max="8" width="12" customWidth="1"/>
    <col min="9" max="9" width="11.5703125" customWidth="1" outlineLevel="1"/>
    <col min="10" max="10" width="13" customWidth="1" outlineLevel="1"/>
    <col min="11" max="11" width="8.85546875"/>
  </cols>
  <sheetData>
    <row r="1" spans="1:10" ht="15.75" thickBot="1">
      <c r="A1" s="122" t="s">
        <v>21</v>
      </c>
    </row>
    <row r="2" spans="1:10" ht="18">
      <c r="B2" s="1"/>
      <c r="C2" s="1"/>
      <c r="D2" s="1"/>
      <c r="E2" s="1"/>
      <c r="F2" s="1"/>
      <c r="G2" s="1"/>
      <c r="H2" s="1"/>
    </row>
    <row r="3" spans="1:10" ht="18">
      <c r="B3" s="1"/>
      <c r="C3" s="1"/>
      <c r="D3" s="1"/>
      <c r="E3" s="1"/>
      <c r="F3" s="1"/>
      <c r="G3" s="1"/>
      <c r="H3" s="1"/>
    </row>
    <row r="4" spans="1:10" ht="18">
      <c r="B4" s="1" t="s">
        <v>134</v>
      </c>
      <c r="C4" s="1"/>
      <c r="D4" s="1"/>
      <c r="E4" s="1"/>
      <c r="F4" s="1"/>
      <c r="G4" s="1"/>
      <c r="H4" s="1"/>
    </row>
    <row r="5" spans="1:10" ht="18">
      <c r="B5" s="180" t="s">
        <v>132</v>
      </c>
      <c r="C5" s="180"/>
      <c r="D5" s="180"/>
      <c r="E5" s="180"/>
      <c r="F5" s="180"/>
      <c r="G5" s="180"/>
      <c r="H5" s="180"/>
    </row>
    <row r="6" spans="1:10" ht="18">
      <c r="B6" s="180"/>
      <c r="C6" s="180"/>
      <c r="D6" s="180"/>
      <c r="E6" s="180"/>
      <c r="F6" s="180"/>
      <c r="G6" s="180"/>
      <c r="H6" s="180"/>
    </row>
    <row r="7" spans="1:10">
      <c r="B7" s="23"/>
      <c r="C7" s="23"/>
      <c r="D7" s="23"/>
      <c r="E7" s="23"/>
      <c r="F7" s="23"/>
      <c r="G7" s="24"/>
      <c r="H7" s="23"/>
    </row>
    <row r="8" spans="1:10">
      <c r="B8" s="32">
        <v>-1</v>
      </c>
      <c r="C8" s="32">
        <v>-2</v>
      </c>
      <c r="D8" s="32">
        <v>-3</v>
      </c>
      <c r="E8" s="32">
        <v>-4</v>
      </c>
      <c r="F8" s="32">
        <v>-5</v>
      </c>
      <c r="G8" s="32">
        <v>-6</v>
      </c>
      <c r="H8" s="32">
        <v>-7</v>
      </c>
      <c r="I8" s="32"/>
      <c r="J8" s="32"/>
    </row>
    <row r="9" spans="1:10" ht="16.5">
      <c r="B9" s="25"/>
      <c r="C9" s="25"/>
      <c r="D9" s="25"/>
      <c r="E9" s="25"/>
      <c r="F9" s="7"/>
      <c r="G9" s="183" t="str">
        <f>Inputs!$D$4</f>
        <v>FY 2025</v>
      </c>
      <c r="H9" s="183"/>
      <c r="I9" s="183"/>
      <c r="J9" s="183"/>
    </row>
    <row r="10" spans="1:10">
      <c r="B10" s="4" t="s">
        <v>94</v>
      </c>
      <c r="C10" s="4" t="s">
        <v>33</v>
      </c>
      <c r="D10" s="4" t="s">
        <v>117</v>
      </c>
      <c r="E10" s="4" t="s">
        <v>118</v>
      </c>
      <c r="F10" s="4" t="s">
        <v>95</v>
      </c>
      <c r="G10" s="4" t="s">
        <v>96</v>
      </c>
      <c r="H10" s="4" t="s">
        <v>97</v>
      </c>
      <c r="I10" s="4"/>
      <c r="J10" s="4"/>
    </row>
    <row r="11" spans="1:10" ht="16.5">
      <c r="B11" s="6" t="s">
        <v>98</v>
      </c>
      <c r="C11" s="6" t="s">
        <v>99</v>
      </c>
      <c r="D11" s="6" t="s">
        <v>119</v>
      </c>
      <c r="E11" s="6" t="s">
        <v>119</v>
      </c>
      <c r="F11" s="6" t="s">
        <v>100</v>
      </c>
      <c r="G11" s="6" t="s">
        <v>100</v>
      </c>
      <c r="H11" s="6" t="s">
        <v>101</v>
      </c>
      <c r="I11" s="6"/>
      <c r="J11" s="6"/>
    </row>
    <row r="12" spans="1:10">
      <c r="B12" s="4" t="s">
        <v>36</v>
      </c>
      <c r="C12" s="4" t="s">
        <v>102</v>
      </c>
      <c r="D12" s="4" t="s">
        <v>120</v>
      </c>
      <c r="E12" s="4" t="s">
        <v>120</v>
      </c>
      <c r="F12" s="4" t="s">
        <v>37</v>
      </c>
      <c r="G12" s="4" t="s">
        <v>37</v>
      </c>
      <c r="H12" s="4" t="s">
        <v>103</v>
      </c>
      <c r="I12" s="4"/>
      <c r="J12" s="4"/>
    </row>
    <row r="13" spans="1:10"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B14" s="9" t="str">
        <f>+'Typical Bills WATER'!B14</f>
        <v>5/8</v>
      </c>
      <c r="C14" s="26">
        <f>+'Typical Bills WATER'!C14</f>
        <v>0</v>
      </c>
      <c r="D14" s="34">
        <f>ROUND(+E14*0.85,0)</f>
        <v>1794</v>
      </c>
      <c r="E14" s="34">
        <v>2110</v>
      </c>
      <c r="F14" s="27">
        <f>ROUND(MAX(ROUNDUP($D14/500,0)*'Wastewater Charges'!U$18+ROUNDUP($E14/500,0)*'Wastewater Charges'!U$17,'Wastewater Charges'!U$15)+'Wastewater Charges'!U$27,2)</f>
        <v>29.07</v>
      </c>
      <c r="G14" s="27">
        <f>ROUND(MAX(ROUNDUP($D14/500,0)*'Wastewater Charges'!V$18+ROUNDUP($E14/500,0)*'Wastewater Charges'!V$17,'Wastewater Charges'!V$15)+'Wastewater Charges'!V$27,2)</f>
        <v>32.07</v>
      </c>
      <c r="H14" s="26">
        <f t="shared" ref="H14:H25" si="0">(+G14/F14-1)*100</f>
        <v>10.319917440660475</v>
      </c>
      <c r="I14" s="27"/>
      <c r="J14" s="26"/>
    </row>
    <row r="15" spans="1:10">
      <c r="B15" s="9" t="str">
        <f>+'Typical Bills WATER'!B15</f>
        <v>5/8</v>
      </c>
      <c r="C15" s="26">
        <f>+'Typical Bills WATER'!C15</f>
        <v>0.2</v>
      </c>
      <c r="D15" s="34">
        <f>ROUND(+E15*0.85,0)</f>
        <v>1794</v>
      </c>
      <c r="E15" s="34">
        <v>2110</v>
      </c>
      <c r="F15" s="27">
        <f>ROUND(MAX(ROUNDUP($D15/500,0)*'Wastewater Charges'!U$18+ROUNDUP($E15/500,0)*'Wastewater Charges'!U$17,'Wastewater Charges'!U$15)+'Wastewater Charges'!U$27,2)</f>
        <v>29.07</v>
      </c>
      <c r="G15" s="27">
        <f>ROUND(MAX(ROUNDUP($D15/500,0)*'Wastewater Charges'!V$18+ROUNDUP($E15/500,0)*'Wastewater Charges'!V$17,'Wastewater Charges'!V$15)+'Wastewater Charges'!V$27,2)</f>
        <v>32.07</v>
      </c>
      <c r="H15" s="26">
        <f>(+G15/F15-1)*100</f>
        <v>10.319917440660475</v>
      </c>
      <c r="I15" s="27"/>
      <c r="J15" s="26"/>
    </row>
    <row r="16" spans="1:10">
      <c r="B16" s="9" t="str">
        <f>+'Typical Bills WATER'!B16</f>
        <v>5/8</v>
      </c>
      <c r="C16" s="26">
        <f>+'Typical Bills WATER'!C16</f>
        <v>0.3</v>
      </c>
      <c r="D16" s="34">
        <f>ROUND(+E16*0.85,0)</f>
        <v>1794</v>
      </c>
      <c r="E16" s="34">
        <v>2110</v>
      </c>
      <c r="F16" s="27">
        <f>ROUND(MAX(ROUNDUP($D16/500,0)*'Wastewater Charges'!U$18+ROUNDUP($E16/500,0)*'Wastewater Charges'!U$17,'Wastewater Charges'!U$15)+'Wastewater Charges'!U$27,2)</f>
        <v>29.07</v>
      </c>
      <c r="G16" s="27">
        <f>ROUND(MAX(ROUNDUP($D16/500,0)*'Wastewater Charges'!V$18+ROUNDUP($E16/500,0)*'Wastewater Charges'!V$17,'Wastewater Charges'!V$15)+'Wastewater Charges'!V$27,2)</f>
        <v>32.07</v>
      </c>
      <c r="H16" s="26">
        <f t="shared" si="0"/>
        <v>10.319917440660475</v>
      </c>
      <c r="I16" s="27"/>
      <c r="J16" s="26"/>
    </row>
    <row r="17" spans="2:10">
      <c r="B17" s="9" t="str">
        <f>+'Typical Bills WATER'!B17</f>
        <v>5/8</v>
      </c>
      <c r="C17" s="26">
        <f>+'Typical Bills WATER'!C17</f>
        <v>0.4</v>
      </c>
      <c r="D17" s="34">
        <f>ROUND(+E17*0.85,0)</f>
        <v>1794</v>
      </c>
      <c r="E17" s="34">
        <v>2110</v>
      </c>
      <c r="F17" s="27">
        <f>ROUND(MAX(ROUNDUP($D17/500,0)*'Wastewater Charges'!U$18+ROUNDUP($E17/500,0)*'Wastewater Charges'!U$17,'Wastewater Charges'!U$15)+'Wastewater Charges'!U$27,2)</f>
        <v>29.07</v>
      </c>
      <c r="G17" s="27">
        <f>ROUND(MAX(ROUNDUP($D17/500,0)*'Wastewater Charges'!V$18+ROUNDUP($E17/500,0)*'Wastewater Charges'!V$17,'Wastewater Charges'!V$15)+'Wastewater Charges'!V$27,2)</f>
        <v>32.07</v>
      </c>
      <c r="H17" s="26">
        <f>(+G17/F17-1)*100</f>
        <v>10.319917440660475</v>
      </c>
      <c r="I17" s="27"/>
      <c r="J17" s="26"/>
    </row>
    <row r="18" spans="2:10">
      <c r="B18" s="9" t="str">
        <f>+'Typical Bills WATER'!B18</f>
        <v>5/8</v>
      </c>
      <c r="C18" s="27">
        <f>+'Typical Bills WATER'!C18</f>
        <v>0.45</v>
      </c>
      <c r="D18" s="34">
        <f>ROUND(+E18*0.85,0)</f>
        <v>1794</v>
      </c>
      <c r="E18" s="34">
        <v>2110</v>
      </c>
      <c r="F18" s="27">
        <f>ROUND(MAX(ROUNDUP($D18/500,0)*'Wastewater Charges'!U$18+ROUNDUP($E18/500,0)*'Wastewater Charges'!U$17,'Wastewater Charges'!U$15)+'Wastewater Charges'!U$27,2)</f>
        <v>29.07</v>
      </c>
      <c r="G18" s="27">
        <f>ROUND(MAX(ROUNDUP($D18/500,0)*'Wastewater Charges'!V$18+ROUNDUP($E18/500,0)*'Wastewater Charges'!V$17,'Wastewater Charges'!V$15)+'Wastewater Charges'!V$27,2)</f>
        <v>32.07</v>
      </c>
      <c r="H18" s="26">
        <f t="shared" si="0"/>
        <v>10.319917440660475</v>
      </c>
      <c r="I18" s="27"/>
      <c r="J18" s="26"/>
    </row>
    <row r="19" spans="2:10">
      <c r="B19" s="9" t="str">
        <f>+'Typical Bills WATER'!B19</f>
        <v>5/8</v>
      </c>
      <c r="C19" s="26">
        <f>+'Typical Bills WATER'!C19</f>
        <v>0.5</v>
      </c>
      <c r="D19" s="34">
        <v>4000</v>
      </c>
      <c r="E19" s="34">
        <v>5500</v>
      </c>
      <c r="F19" s="27">
        <f>ROUND(MAX(ROUNDUP($D19/500,0)*'Wastewater Charges'!U$18+ROUNDUP($E19/500,0)*'Wastewater Charges'!U$17,'Wastewater Charges'!U$15)+'Wastewater Charges'!U$27,2)</f>
        <v>56.47</v>
      </c>
      <c r="G19" s="27">
        <f>ROUND(MAX(ROUNDUP($D19/500,0)*'Wastewater Charges'!V$18+ROUNDUP($E19/500,0)*'Wastewater Charges'!V$17,'Wastewater Charges'!V$15)+'Wastewater Charges'!V$27,2)</f>
        <v>62.47</v>
      </c>
      <c r="H19" s="26">
        <f>(+G19/F19-1)*100</f>
        <v>10.625110678236238</v>
      </c>
      <c r="I19" s="27"/>
      <c r="J19" s="26"/>
    </row>
    <row r="20" spans="2:10">
      <c r="B20" s="9" t="str">
        <f>+'Typical Bills WATER'!B20</f>
        <v>5/8</v>
      </c>
      <c r="C20" s="26">
        <f>+'Typical Bills WATER'!C20</f>
        <v>0.6</v>
      </c>
      <c r="D20" s="34">
        <v>4000</v>
      </c>
      <c r="E20" s="34">
        <v>5500</v>
      </c>
      <c r="F20" s="27">
        <f>ROUND(MAX(ROUNDUP($D20/500,0)*'Wastewater Charges'!U$18+ROUNDUP($E20/500,0)*'Wastewater Charges'!U$17,'Wastewater Charges'!U$15)+'Wastewater Charges'!U$27,2)</f>
        <v>56.47</v>
      </c>
      <c r="G20" s="27">
        <f>ROUND(MAX(ROUNDUP($D20/500,0)*'Wastewater Charges'!V$18+ROUNDUP($E20/500,0)*'Wastewater Charges'!V$17,'Wastewater Charges'!V$15)+'Wastewater Charges'!V$27,2)</f>
        <v>62.47</v>
      </c>
      <c r="H20" s="26">
        <f t="shared" si="0"/>
        <v>10.625110678236238</v>
      </c>
      <c r="I20" s="27"/>
      <c r="J20" s="26"/>
    </row>
    <row r="21" spans="2:10">
      <c r="B21" s="9" t="str">
        <f>+'Typical Bills WATER'!B21</f>
        <v>5/8</v>
      </c>
      <c r="C21" s="26">
        <f>+'Typical Bills WATER'!C21</f>
        <v>0.7</v>
      </c>
      <c r="D21" s="34">
        <v>4000</v>
      </c>
      <c r="E21" s="34">
        <v>5500</v>
      </c>
      <c r="F21" s="27">
        <f>ROUND(MAX(ROUNDUP($D21/500,0)*'Wastewater Charges'!U$18+ROUNDUP($E21/500,0)*'Wastewater Charges'!U$17,'Wastewater Charges'!U$15)+'Wastewater Charges'!U$27,2)</f>
        <v>56.47</v>
      </c>
      <c r="G21" s="27">
        <f>ROUND(MAX(ROUNDUP($D21/500,0)*'Wastewater Charges'!V$18+ROUNDUP($E21/500,0)*'Wastewater Charges'!V$17,'Wastewater Charges'!V$15)+'Wastewater Charges'!V$27,2)</f>
        <v>62.47</v>
      </c>
      <c r="H21" s="26">
        <f t="shared" si="0"/>
        <v>10.625110678236238</v>
      </c>
      <c r="I21" s="27"/>
      <c r="J21" s="26"/>
    </row>
    <row r="22" spans="2:10">
      <c r="B22" s="9" t="str">
        <f>+'Typical Bills WATER'!B22</f>
        <v>5/8</v>
      </c>
      <c r="C22" s="26">
        <f>+'Typical Bills WATER'!C22</f>
        <v>0.8</v>
      </c>
      <c r="D22" s="34">
        <v>26000</v>
      </c>
      <c r="E22" s="34">
        <v>38000</v>
      </c>
      <c r="F22" s="27">
        <f>ROUND(MAX(ROUNDUP($D22/500,0)*'Wastewater Charges'!U$18+ROUNDUP($E22/500,0)*'Wastewater Charges'!U$17,'Wastewater Charges'!U$15)+'Wastewater Charges'!U$27,2)</f>
        <v>357.11</v>
      </c>
      <c r="G22" s="27">
        <f>ROUND(MAX(ROUNDUP($D22/500,0)*'Wastewater Charges'!V$18+ROUNDUP($E22/500,0)*'Wastewater Charges'!V$17,'Wastewater Charges'!V$15)+'Wastewater Charges'!V$27,2)</f>
        <v>396.1</v>
      </c>
      <c r="H22" s="26">
        <f t="shared" si="0"/>
        <v>10.918204474811688</v>
      </c>
      <c r="I22" s="27"/>
      <c r="J22" s="26"/>
    </row>
    <row r="23" spans="2:10">
      <c r="B23" s="9" t="str">
        <f>+'Typical Bills WATER'!B23</f>
        <v>5/8</v>
      </c>
      <c r="C23" s="26">
        <f>+'Typical Bills WATER'!C23</f>
        <v>1.7</v>
      </c>
      <c r="D23" s="34">
        <v>26000</v>
      </c>
      <c r="E23" s="34">
        <v>38000</v>
      </c>
      <c r="F23" s="27">
        <f>ROUND(MAX(ROUNDUP($D23/500,0)*'Wastewater Charges'!U$18+ROUNDUP($E23/500,0)*'Wastewater Charges'!U$17,'Wastewater Charges'!U$15)+'Wastewater Charges'!U$27,2)</f>
        <v>357.11</v>
      </c>
      <c r="G23" s="27">
        <f>ROUND(MAX(ROUNDUP($D23/500,0)*'Wastewater Charges'!V$18+ROUNDUP($E23/500,0)*'Wastewater Charges'!V$17,'Wastewater Charges'!V$15)+'Wastewater Charges'!V$27,2)</f>
        <v>396.1</v>
      </c>
      <c r="H23" s="26">
        <f t="shared" si="0"/>
        <v>10.918204474811688</v>
      </c>
      <c r="I23" s="27"/>
      <c r="J23" s="26"/>
    </row>
    <row r="24" spans="2:10">
      <c r="B24" s="9" t="str">
        <f>+'Typical Bills WATER'!B24</f>
        <v>5/8</v>
      </c>
      <c r="C24" s="26">
        <f>+'Typical Bills WATER'!C24</f>
        <v>2.7</v>
      </c>
      <c r="D24" s="34">
        <v>4000</v>
      </c>
      <c r="E24" s="34">
        <v>5500</v>
      </c>
      <c r="F24" s="27">
        <f>ROUND(MAX(ROUNDUP($D24/500,0)*'Wastewater Charges'!U$18+ROUNDUP($E24/500,0)*'Wastewater Charges'!U$17,'Wastewater Charges'!U$15)+'Wastewater Charges'!U$27,2)</f>
        <v>56.47</v>
      </c>
      <c r="G24" s="27">
        <f>ROUND(MAX(ROUNDUP($D24/500,0)*'Wastewater Charges'!V$18+ROUNDUP($E24/500,0)*'Wastewater Charges'!V$17,'Wastewater Charges'!V$15)+'Wastewater Charges'!V$27,2)</f>
        <v>62.47</v>
      </c>
      <c r="H24" s="26">
        <f t="shared" si="0"/>
        <v>10.625110678236238</v>
      </c>
      <c r="I24" s="27"/>
      <c r="J24" s="26"/>
    </row>
    <row r="25" spans="2:10">
      <c r="B25" s="9" t="str">
        <f>+'Typical Bills WATER'!B25</f>
        <v>5/8</v>
      </c>
      <c r="C25" s="26">
        <f>+'Typical Bills WATER'!C25</f>
        <v>3.3</v>
      </c>
      <c r="D25" s="34">
        <v>4000</v>
      </c>
      <c r="E25" s="34">
        <v>5500</v>
      </c>
      <c r="F25" s="27">
        <f>ROUND(MAX(ROUNDUP($D25/500,0)*'Wastewater Charges'!U$18+ROUNDUP($E25/500,0)*'Wastewater Charges'!U$17,'Wastewater Charges'!U$15)+'Wastewater Charges'!U$27,2)</f>
        <v>56.47</v>
      </c>
      <c r="G25" s="27">
        <f>ROUND(MAX(ROUNDUP($D25/500,0)*'Wastewater Charges'!V$18+ROUNDUP($E25/500,0)*'Wastewater Charges'!V$17,'Wastewater Charges'!V$15)+'Wastewater Charges'!V$27,2)</f>
        <v>62.47</v>
      </c>
      <c r="H25" s="26">
        <f t="shared" si="0"/>
        <v>10.625110678236238</v>
      </c>
      <c r="I25" s="27"/>
      <c r="J25" s="26"/>
    </row>
    <row r="26" spans="2:10">
      <c r="B26" s="46" t="str">
        <f>+'Typical Bills WATER'!B26</f>
        <v>5/8</v>
      </c>
      <c r="C26" s="45">
        <f>+'Typical Bills WATER'!C26</f>
        <v>11</v>
      </c>
      <c r="D26" s="56">
        <v>7000</v>
      </c>
      <c r="E26" s="56">
        <v>11000</v>
      </c>
      <c r="F26" s="44">
        <f>ROUND(MAX(ROUNDUP($D26/500,0)*'Wastewater Charges'!U$18+ROUNDUP($E26/500,0)*'Wastewater Charges'!U$17,'Wastewater Charges'!U$15)+'Wastewater Charges'!U$27,2)</f>
        <v>99.12</v>
      </c>
      <c r="G26" s="44">
        <f>ROUND(MAX(ROUNDUP($D26/500,0)*'Wastewater Charges'!V$18+ROUNDUP($E26/500,0)*'Wastewater Charges'!V$17,'Wastewater Charges'!V$15)+'Wastewater Charges'!V$27,2)</f>
        <v>109.81</v>
      </c>
      <c r="H26" s="45">
        <f>(+G26/F26-1)*100</f>
        <v>10.784907183212255</v>
      </c>
      <c r="I26" s="44"/>
      <c r="J26" s="45"/>
    </row>
    <row r="27" spans="2:10">
      <c r="B27" s="9"/>
      <c r="C27" s="3"/>
      <c r="D27" s="3"/>
      <c r="E27" s="3"/>
      <c r="F27" s="27"/>
      <c r="G27" s="27"/>
      <c r="I27" s="27"/>
    </row>
    <row r="28" spans="2:10">
      <c r="B28" s="9">
        <f>+'Typical Bills WATER'!B28</f>
        <v>1</v>
      </c>
      <c r="C28" s="26">
        <f>+'Typical Bills WATER'!C28</f>
        <v>1.7</v>
      </c>
      <c r="D28" s="34">
        <v>7700</v>
      </c>
      <c r="E28" s="34">
        <v>7900</v>
      </c>
      <c r="F28" s="27">
        <f>ROUND(MAX(ROUNDUP($D28/500,0)*'Wastewater Charges'!U$18+ROUNDUP($E28/500,0)*'Wastewater Charges'!U$17,'Wastewater Charges'!U$15)+'Wastewater Charges'!U$27,2)</f>
        <v>105.83</v>
      </c>
      <c r="G28" s="27">
        <f>ROUND(MAX(ROUNDUP($D28/500,0)*'Wastewater Charges'!V$18+ROUNDUP($E28/500,0)*'Wastewater Charges'!V$17,'Wastewater Charges'!V$15)+'Wastewater Charges'!V$27,2)</f>
        <v>117.26</v>
      </c>
      <c r="H28" s="26">
        <f>(+G28/F28-1)*100</f>
        <v>10.800340168194289</v>
      </c>
      <c r="I28" s="27"/>
      <c r="J28" s="26"/>
    </row>
    <row r="29" spans="2:10">
      <c r="B29" s="9">
        <f>+'Typical Bills WATER'!B29</f>
        <v>1</v>
      </c>
      <c r="C29" s="26">
        <f>+'Typical Bills WATER'!C29</f>
        <v>5</v>
      </c>
      <c r="D29" s="34">
        <v>22500</v>
      </c>
      <c r="E29" s="34">
        <v>24000</v>
      </c>
      <c r="F29" s="27">
        <f>ROUND(MAX(ROUNDUP($D29/500,0)*'Wastewater Charges'!U$18+ROUNDUP($E29/500,0)*'Wastewater Charges'!U$17,'Wastewater Charges'!U$15)+'Wastewater Charges'!U$27,2)</f>
        <v>295.56</v>
      </c>
      <c r="G29" s="27">
        <f>ROUND(MAX(ROUNDUP($D29/500,0)*'Wastewater Charges'!V$18+ROUNDUP($E29/500,0)*'Wastewater Charges'!V$17,'Wastewater Charges'!V$15)+'Wastewater Charges'!V$27,2)</f>
        <v>327.8</v>
      </c>
      <c r="H29" s="26">
        <f>(+G29/F29-1)*100</f>
        <v>10.90810664501285</v>
      </c>
      <c r="I29" s="27"/>
      <c r="J29" s="26"/>
    </row>
    <row r="30" spans="2:10">
      <c r="B30" s="9">
        <f>+'Typical Bills WATER'!B30</f>
        <v>1</v>
      </c>
      <c r="C30" s="26">
        <f>+'Typical Bills WATER'!C30</f>
        <v>8</v>
      </c>
      <c r="D30" s="34">
        <v>7700</v>
      </c>
      <c r="E30" s="34">
        <v>7900</v>
      </c>
      <c r="F30" s="27">
        <f>ROUND(MAX(ROUNDUP($D30/500,0)*'Wastewater Charges'!U$18+ROUNDUP($E30/500,0)*'Wastewater Charges'!U$17,'Wastewater Charges'!U$15)+'Wastewater Charges'!U$27,2)</f>
        <v>105.83</v>
      </c>
      <c r="G30" s="27">
        <f>ROUND(MAX(ROUNDUP($D30/500,0)*'Wastewater Charges'!V$18+ROUNDUP($E30/500,0)*'Wastewater Charges'!V$17,'Wastewater Charges'!V$15)+'Wastewater Charges'!V$27,2)</f>
        <v>117.26</v>
      </c>
      <c r="H30" s="26">
        <f>(+G30/F30-1)*100</f>
        <v>10.800340168194289</v>
      </c>
      <c r="I30" s="27"/>
      <c r="J30" s="26"/>
    </row>
    <row r="31" spans="2:10">
      <c r="B31" s="9">
        <f>+'Typical Bills WATER'!B31</f>
        <v>1</v>
      </c>
      <c r="C31" s="26">
        <f>+'Typical Bills WATER'!C31</f>
        <v>17</v>
      </c>
      <c r="D31" s="34">
        <v>22500</v>
      </c>
      <c r="E31" s="34">
        <v>24000</v>
      </c>
      <c r="F31" s="27">
        <f>ROUND(MAX(ROUNDUP($D31/500,0)*'Wastewater Charges'!U$18+ROUNDUP($E31/500,0)*'Wastewater Charges'!U$17,'Wastewater Charges'!U$15)+'Wastewater Charges'!U$27,2)</f>
        <v>295.56</v>
      </c>
      <c r="G31" s="27">
        <f>ROUND(MAX(ROUNDUP($D31/500,0)*'Wastewater Charges'!V$18+ROUNDUP($E31/500,0)*'Wastewater Charges'!V$17,'Wastewater Charges'!V$15)+'Wastewater Charges'!V$27,2)</f>
        <v>327.8</v>
      </c>
      <c r="H31" s="26">
        <f>(+G31/F31-1)*100</f>
        <v>10.90810664501285</v>
      </c>
      <c r="I31" s="27"/>
      <c r="J31" s="26"/>
    </row>
    <row r="32" spans="2:10">
      <c r="B32" s="9"/>
      <c r="C32" s="3"/>
      <c r="D32" s="3"/>
      <c r="E32" s="3"/>
      <c r="F32" s="27"/>
      <c r="G32" s="27"/>
      <c r="I32" s="27"/>
    </row>
    <row r="33" spans="2:10">
      <c r="B33" s="9">
        <f>+'Typical Bills WATER'!B33</f>
        <v>2</v>
      </c>
      <c r="C33" s="26">
        <f>+'Typical Bills WATER'!C33</f>
        <v>7.6</v>
      </c>
      <c r="D33" s="34">
        <f>ROUND(+E33*0.85,0)</f>
        <v>1063</v>
      </c>
      <c r="E33" s="34">
        <v>1250</v>
      </c>
      <c r="F33" s="27">
        <f>ROUND(MAX(ROUNDUP($D33/500,0)*'Wastewater Charges'!U$18+ROUNDUP($E33/500,0)*'Wastewater Charges'!U$17,'Wastewater Charges'!U$15)+'Wastewater Charges'!U$27,2)</f>
        <v>21.83</v>
      </c>
      <c r="G33" s="27">
        <f>ROUND(MAX(ROUNDUP($D33/500,0)*'Wastewater Charges'!V$18+ROUNDUP($E33/500,0)*'Wastewater Charges'!V$17,'Wastewater Charges'!V$15)+'Wastewater Charges'!V$27,2)</f>
        <v>24.03</v>
      </c>
      <c r="H33" s="26">
        <f>(+G33/F33-1)*100</f>
        <v>10.07787448465416</v>
      </c>
      <c r="I33" s="27"/>
      <c r="J33" s="26"/>
    </row>
    <row r="34" spans="2:10">
      <c r="B34" s="9">
        <f>+'Typical Bills WATER'!B34</f>
        <v>2</v>
      </c>
      <c r="C34" s="26">
        <f>+'Typical Bills WATER'!C34</f>
        <v>16</v>
      </c>
      <c r="D34" s="34">
        <v>22500</v>
      </c>
      <c r="E34" s="34">
        <v>24000</v>
      </c>
      <c r="F34" s="27">
        <f>ROUND(MAX(ROUNDUP($D34/500,0)*'Wastewater Charges'!U$18+ROUNDUP($E34/500,0)*'Wastewater Charges'!U$17,'Wastewater Charges'!U$15)+'Wastewater Charges'!U$27,2)</f>
        <v>295.56</v>
      </c>
      <c r="G34" s="27">
        <f>ROUND(MAX(ROUNDUP($D34/500,0)*'Wastewater Charges'!V$18+ROUNDUP($E34/500,0)*'Wastewater Charges'!V$17,'Wastewater Charges'!V$15)+'Wastewater Charges'!V$27,2)</f>
        <v>327.8</v>
      </c>
      <c r="H34" s="26">
        <f>(+G34/F34-1)*100</f>
        <v>10.90810664501285</v>
      </c>
      <c r="I34" s="27"/>
      <c r="J34" s="26"/>
    </row>
    <row r="35" spans="2:10">
      <c r="B35" s="9">
        <f>+'Typical Bills WATER'!B35</f>
        <v>2</v>
      </c>
      <c r="C35" s="26">
        <f>+'Typical Bills WATER'!C35</f>
        <v>33</v>
      </c>
      <c r="D35" s="34">
        <v>66500</v>
      </c>
      <c r="E35" s="34">
        <v>80000</v>
      </c>
      <c r="F35" s="27">
        <f>ROUND(MAX(ROUNDUP($D35/500,0)*'Wastewater Charges'!U$18+ROUNDUP($E35/500,0)*'Wastewater Charges'!U$17,'Wastewater Charges'!U$15)+'Wastewater Charges'!U$27,2)</f>
        <v>882.87</v>
      </c>
      <c r="G35" s="27">
        <f>ROUND(MAX(ROUNDUP($D35/500,0)*'Wastewater Charges'!V$18+ROUNDUP($E35/500,0)*'Wastewater Charges'!V$17,'Wastewater Charges'!V$15)+'Wastewater Charges'!V$27,2)</f>
        <v>979.54</v>
      </c>
      <c r="H35" s="26">
        <f>(+G35/F35-1)*100</f>
        <v>10.949516916420299</v>
      </c>
      <c r="I35" s="27"/>
      <c r="J35" s="26"/>
    </row>
    <row r="36" spans="2:10">
      <c r="B36" s="9">
        <f>+'Typical Bills WATER'!B36</f>
        <v>2</v>
      </c>
      <c r="C36" s="26">
        <f>+'Typical Bills WATER'!C36</f>
        <v>100</v>
      </c>
      <c r="D36" s="34">
        <v>7700</v>
      </c>
      <c r="E36" s="34">
        <v>7900</v>
      </c>
      <c r="F36" s="27">
        <f>ROUND(MAX(ROUNDUP($D36/500,0)*'Wastewater Charges'!U$18+ROUNDUP($E36/500,0)*'Wastewater Charges'!U$17,'Wastewater Charges'!U$15)+'Wastewater Charges'!U$27,2)</f>
        <v>105.83</v>
      </c>
      <c r="G36" s="27">
        <f>ROUND(MAX(ROUNDUP($D36/500,0)*'Wastewater Charges'!V$18+ROUNDUP($E36/500,0)*'Wastewater Charges'!V$17,'Wastewater Charges'!V$15)+'Wastewater Charges'!V$27,2)</f>
        <v>117.26</v>
      </c>
      <c r="H36" s="26">
        <f>(+G36/F36-1)*100</f>
        <v>10.800340168194289</v>
      </c>
      <c r="I36" s="27"/>
      <c r="J36" s="26"/>
    </row>
    <row r="37" spans="2:10">
      <c r="B37" s="9"/>
      <c r="C37" s="3"/>
      <c r="D37" s="3"/>
      <c r="E37" s="3"/>
      <c r="F37" s="27"/>
      <c r="G37" s="27"/>
      <c r="I37" s="27"/>
    </row>
    <row r="38" spans="2:10">
      <c r="B38" s="9">
        <f>+'Typical Bills WATER'!B38</f>
        <v>4</v>
      </c>
      <c r="C38" s="26">
        <f>+'Typical Bills WATER'!C38</f>
        <v>30</v>
      </c>
      <c r="D38" s="34">
        <v>7700</v>
      </c>
      <c r="E38" s="34">
        <v>7900</v>
      </c>
      <c r="F38" s="27">
        <f>ROUND(MAX(ROUNDUP($D38/500,0)*'Wastewater Charges'!U$18+ROUNDUP($E38/500,0)*'Wastewater Charges'!U$17,'Wastewater Charges'!U$15)+'Wastewater Charges'!U$27,2)</f>
        <v>105.83</v>
      </c>
      <c r="G38" s="27">
        <f>ROUND(MAX(ROUNDUP($D38/500,0)*'Wastewater Charges'!V$18+ROUNDUP($E38/500,0)*'Wastewater Charges'!V$17,'Wastewater Charges'!V$15)+'Wastewater Charges'!V$27,2)</f>
        <v>117.26</v>
      </c>
      <c r="H38" s="26">
        <f>(+G38/F38-1)*100</f>
        <v>10.800340168194289</v>
      </c>
      <c r="I38" s="27"/>
      <c r="J38" s="26"/>
    </row>
    <row r="39" spans="2:10">
      <c r="B39" s="9">
        <f>+'Typical Bills WATER'!B39</f>
        <v>4</v>
      </c>
      <c r="C39" s="26">
        <f>+'Typical Bills WATER'!C39</f>
        <v>170</v>
      </c>
      <c r="D39" s="34">
        <v>10500</v>
      </c>
      <c r="E39" s="34">
        <v>12000</v>
      </c>
      <c r="F39" s="27">
        <f>ROUND(MAX(ROUNDUP($D39/500,0)*'Wastewater Charges'!U$18+ROUNDUP($E39/500,0)*'Wastewater Charges'!U$17,'Wastewater Charges'!U$15)+'Wastewater Charges'!U$27,2)</f>
        <v>140.47</v>
      </c>
      <c r="G39" s="27">
        <f>ROUND(MAX(ROUNDUP($D39/500,0)*'Wastewater Charges'!V$18+ROUNDUP($E39/500,0)*'Wastewater Charges'!V$17,'Wastewater Charges'!V$15)+'Wastewater Charges'!V$27,2)</f>
        <v>155.69999999999999</v>
      </c>
      <c r="H39" s="26">
        <f>(+G39/F39-1)*100</f>
        <v>10.842172705915853</v>
      </c>
      <c r="I39" s="27"/>
      <c r="J39" s="26"/>
    </row>
    <row r="40" spans="2:10">
      <c r="B40" s="9">
        <f>+'Typical Bills WATER'!B40</f>
        <v>4</v>
      </c>
      <c r="C40" s="26">
        <f>+'Typical Bills WATER'!C40</f>
        <v>330</v>
      </c>
      <c r="D40" s="34">
        <v>26000</v>
      </c>
      <c r="E40" s="34">
        <v>38000</v>
      </c>
      <c r="F40" s="27">
        <f>ROUND(MAX(ROUNDUP($D40/500,0)*'Wastewater Charges'!U$18+ROUNDUP($E40/500,0)*'Wastewater Charges'!U$17,'Wastewater Charges'!U$15)+'Wastewater Charges'!U$27,2)</f>
        <v>357.11</v>
      </c>
      <c r="G40" s="27">
        <f>ROUND(MAX(ROUNDUP($D40/500,0)*'Wastewater Charges'!V$18+ROUNDUP($E40/500,0)*'Wastewater Charges'!V$17,'Wastewater Charges'!V$15)+'Wastewater Charges'!V$27,2)</f>
        <v>396.1</v>
      </c>
      <c r="H40" s="26">
        <f>(+G40/F40-1)*100</f>
        <v>10.918204474811688</v>
      </c>
      <c r="I40" s="27"/>
      <c r="J40" s="26"/>
    </row>
    <row r="41" spans="2:10">
      <c r="B41" s="9">
        <f>+'Typical Bills WATER'!B41</f>
        <v>4</v>
      </c>
      <c r="C41" s="26">
        <f>+'Typical Bills WATER'!C41</f>
        <v>500</v>
      </c>
      <c r="D41" s="34">
        <v>140000</v>
      </c>
      <c r="E41" s="34">
        <v>160000</v>
      </c>
      <c r="F41" s="27">
        <f>ROUND(MAX(ROUNDUP($D41/500,0)*'Wastewater Charges'!U$18+ROUNDUP($E41/500,0)*'Wastewater Charges'!U$17,'Wastewater Charges'!U$15)+'Wastewater Charges'!U$27,2)</f>
        <v>1842.88</v>
      </c>
      <c r="G41" s="27">
        <f>ROUND(MAX(ROUNDUP($D41/500,0)*'Wastewater Charges'!V$18+ROUNDUP($E41/500,0)*'Wastewater Charges'!V$17,'Wastewater Charges'!V$15)+'Wastewater Charges'!V$27,2)</f>
        <v>2044.88</v>
      </c>
      <c r="H41" s="26">
        <f>(+G41/F41-1)*100</f>
        <v>10.961104358395545</v>
      </c>
      <c r="I41" s="27"/>
      <c r="J41" s="26"/>
    </row>
    <row r="42" spans="2:10">
      <c r="B42" s="9"/>
      <c r="C42" s="3"/>
      <c r="D42" s="3"/>
      <c r="E42" s="3"/>
      <c r="F42" s="27"/>
      <c r="G42" s="27"/>
      <c r="I42" s="27"/>
    </row>
    <row r="43" spans="2:10">
      <c r="B43" s="9">
        <f>+'Typical Bills WATER'!B43</f>
        <v>6</v>
      </c>
      <c r="C43" s="26">
        <f>+'Typical Bills WATER'!C43</f>
        <v>150</v>
      </c>
      <c r="D43" s="34">
        <v>10500</v>
      </c>
      <c r="E43" s="34">
        <v>12000</v>
      </c>
      <c r="F43" s="27">
        <f>ROUND(MAX(ROUNDUP($D43/500,0)*'Wastewater Charges'!U$18+ROUNDUP($E43/500,0)*'Wastewater Charges'!U$17,'Wastewater Charges'!U$15)+'Wastewater Charges'!U$27,2)</f>
        <v>140.47</v>
      </c>
      <c r="G43" s="27">
        <f>ROUND(MAX(ROUNDUP($D43/500,0)*'Wastewater Charges'!V$18+ROUNDUP($E43/500,0)*'Wastewater Charges'!V$17,'Wastewater Charges'!V$15)+'Wastewater Charges'!V$27,2)</f>
        <v>155.69999999999999</v>
      </c>
      <c r="H43" s="26">
        <f>(+G43/F43-1)*100</f>
        <v>10.842172705915853</v>
      </c>
      <c r="I43" s="27"/>
      <c r="J43" s="26"/>
    </row>
    <row r="44" spans="2:10">
      <c r="B44" s="9">
        <f>+'Typical Bills WATER'!B44</f>
        <v>6</v>
      </c>
      <c r="C44" s="26">
        <f>+'Typical Bills WATER'!C44</f>
        <v>500</v>
      </c>
      <c r="D44" s="34">
        <v>41750</v>
      </c>
      <c r="E44" s="34">
        <v>45500</v>
      </c>
      <c r="F44" s="27">
        <f>ROUND(MAX(ROUNDUP($D44/500,0)*'Wastewater Charges'!U$18+ROUNDUP($E44/500,0)*'Wastewater Charges'!U$17,'Wastewater Charges'!U$15)+'Wastewater Charges'!U$27,2)</f>
        <v>550.69000000000005</v>
      </c>
      <c r="G44" s="27">
        <f>ROUND(MAX(ROUNDUP($D44/500,0)*'Wastewater Charges'!V$18+ROUNDUP($E44/500,0)*'Wastewater Charges'!V$17,'Wastewater Charges'!V$15)+'Wastewater Charges'!V$27,2)</f>
        <v>610.91999999999996</v>
      </c>
      <c r="H44" s="26">
        <f>(+G44/F44-1)*100</f>
        <v>10.937187891554224</v>
      </c>
      <c r="I44" s="27"/>
      <c r="J44" s="26"/>
    </row>
    <row r="45" spans="2:10">
      <c r="B45" s="9">
        <f>+'Typical Bills WATER'!B45</f>
        <v>6</v>
      </c>
      <c r="C45" s="26">
        <f>+'Typical Bills WATER'!C45</f>
        <v>1000</v>
      </c>
      <c r="D45" s="34">
        <v>26000</v>
      </c>
      <c r="E45" s="34">
        <v>38000</v>
      </c>
      <c r="F45" s="27">
        <f>ROUND(MAX(ROUNDUP($D45/500,0)*'Wastewater Charges'!U$18+ROUNDUP($E45/500,0)*'Wastewater Charges'!U$17,'Wastewater Charges'!U$15)+'Wastewater Charges'!U$27,2)</f>
        <v>357.11</v>
      </c>
      <c r="G45" s="27">
        <f>ROUND(MAX(ROUNDUP($D45/500,0)*'Wastewater Charges'!V$18+ROUNDUP($E45/500,0)*'Wastewater Charges'!V$17,'Wastewater Charges'!V$15)+'Wastewater Charges'!V$27,2)</f>
        <v>396.1</v>
      </c>
      <c r="H45" s="26">
        <f>(+G45/F45-1)*100</f>
        <v>10.918204474811688</v>
      </c>
      <c r="I45" s="27"/>
      <c r="J45" s="26"/>
    </row>
    <row r="46" spans="2:10">
      <c r="B46" s="9">
        <f>+'Typical Bills WATER'!B46</f>
        <v>6</v>
      </c>
      <c r="C46" s="26">
        <f>+'Typical Bills WATER'!C46</f>
        <v>1500</v>
      </c>
      <c r="D46" s="34">
        <v>140000</v>
      </c>
      <c r="E46" s="34">
        <v>160000</v>
      </c>
      <c r="F46" s="27">
        <f>ROUND(MAX(ROUNDUP($D46/500,0)*'Wastewater Charges'!U$18+ROUNDUP($E46/500,0)*'Wastewater Charges'!U$17,'Wastewater Charges'!U$15)+'Wastewater Charges'!U$27,2)</f>
        <v>1842.88</v>
      </c>
      <c r="G46" s="27">
        <f>ROUND(MAX(ROUNDUP($D46/500,0)*'Wastewater Charges'!V$18+ROUNDUP($E46/500,0)*'Wastewater Charges'!V$17,'Wastewater Charges'!V$15)+'Wastewater Charges'!V$27,2)</f>
        <v>2044.88</v>
      </c>
      <c r="H46" s="26">
        <f>(+G46/F46-1)*100</f>
        <v>10.961104358395545</v>
      </c>
      <c r="I46" s="27"/>
      <c r="J46" s="26"/>
    </row>
    <row r="47" spans="2:10">
      <c r="B47" s="9"/>
      <c r="C47" s="3"/>
      <c r="D47" s="3"/>
      <c r="E47" s="3"/>
      <c r="F47" s="27"/>
      <c r="G47" s="27"/>
      <c r="I47" s="27"/>
    </row>
    <row r="48" spans="2:10">
      <c r="B48" s="9">
        <f>+'Typical Bills WATER'!B48</f>
        <v>8</v>
      </c>
      <c r="C48" s="26">
        <f>+'Typical Bills WATER'!C48</f>
        <v>750</v>
      </c>
      <c r="D48" s="34">
        <v>10500</v>
      </c>
      <c r="E48" s="34">
        <v>12000</v>
      </c>
      <c r="F48" s="27">
        <f>ROUND(MAX(ROUNDUP($D48/500,0)*'Wastewater Charges'!U$18+ROUNDUP($E48/500,0)*'Wastewater Charges'!U$17,'Wastewater Charges'!U$15)+'Wastewater Charges'!U$27,2)</f>
        <v>140.47</v>
      </c>
      <c r="G48" s="27">
        <f>ROUND(MAX(ROUNDUP($D48/500,0)*'Wastewater Charges'!V$18+ROUNDUP($E48/500,0)*'Wastewater Charges'!V$17,'Wastewater Charges'!V$15)+'Wastewater Charges'!V$27,2)</f>
        <v>155.69999999999999</v>
      </c>
      <c r="H48" s="26">
        <f>(+G48/F48-1)*100</f>
        <v>10.842172705915853</v>
      </c>
      <c r="I48" s="27"/>
      <c r="J48" s="26"/>
    </row>
    <row r="49" spans="2:10">
      <c r="B49" s="9">
        <f>+'Typical Bills WATER'!B49</f>
        <v>8</v>
      </c>
      <c r="C49" s="26">
        <f>+'Typical Bills WATER'!C49</f>
        <v>1500</v>
      </c>
      <c r="D49" s="34">
        <v>66500</v>
      </c>
      <c r="E49" s="34">
        <v>80000</v>
      </c>
      <c r="F49" s="27">
        <f>ROUND(MAX(ROUNDUP($D49/500,0)*'Wastewater Charges'!U$18+ROUNDUP($E49/500,0)*'Wastewater Charges'!U$17,'Wastewater Charges'!U$15)+'Wastewater Charges'!U$27,2)</f>
        <v>882.87</v>
      </c>
      <c r="G49" s="27">
        <f>ROUND(MAX(ROUNDUP($D49/500,0)*'Wastewater Charges'!V$18+ROUNDUP($E49/500,0)*'Wastewater Charges'!V$17,'Wastewater Charges'!V$15)+'Wastewater Charges'!V$27,2)</f>
        <v>979.54</v>
      </c>
      <c r="H49" s="26">
        <f>(+G49/F49-1)*100</f>
        <v>10.949516916420299</v>
      </c>
      <c r="I49" s="27"/>
      <c r="J49" s="26"/>
    </row>
    <row r="50" spans="2:10">
      <c r="B50" s="9">
        <f>+'Typical Bills WATER'!B50</f>
        <v>8</v>
      </c>
      <c r="C50" s="26">
        <f>+'Typical Bills WATER'!C50</f>
        <v>2000</v>
      </c>
      <c r="D50" s="34">
        <v>26000</v>
      </c>
      <c r="E50" s="34">
        <v>38000</v>
      </c>
      <c r="F50" s="27">
        <f>ROUND(MAX(ROUNDUP($D50/500,0)*'Wastewater Charges'!U$18+ROUNDUP($E50/500,0)*'Wastewater Charges'!U$17,'Wastewater Charges'!U$15)+'Wastewater Charges'!U$27,2)</f>
        <v>357.11</v>
      </c>
      <c r="G50" s="27">
        <f>ROUND(MAX(ROUNDUP($D50/500,0)*'Wastewater Charges'!V$18+ROUNDUP($E50/500,0)*'Wastewater Charges'!V$17,'Wastewater Charges'!V$15)+'Wastewater Charges'!V$27,2)</f>
        <v>396.1</v>
      </c>
      <c r="H50" s="26">
        <f>(+G50/F50-1)*100</f>
        <v>10.918204474811688</v>
      </c>
      <c r="I50" s="27"/>
      <c r="J50" s="26"/>
    </row>
    <row r="51" spans="2:10">
      <c r="B51" s="9">
        <f>+'Typical Bills WATER'!B51</f>
        <v>8</v>
      </c>
      <c r="C51" s="26">
        <f>+'Typical Bills WATER'!C51</f>
        <v>3000</v>
      </c>
      <c r="D51" s="34">
        <v>140000</v>
      </c>
      <c r="E51" s="34">
        <v>160000</v>
      </c>
      <c r="F51" s="27">
        <f>ROUND(MAX(ROUNDUP($D51/500,0)*'Wastewater Charges'!U$18+ROUNDUP($E51/500,0)*'Wastewater Charges'!U$17,'Wastewater Charges'!U$15)+'Wastewater Charges'!U$27,2)</f>
        <v>1842.88</v>
      </c>
      <c r="G51" s="27">
        <f>ROUND(MAX(ROUNDUP($D51/500,0)*'Wastewater Charges'!V$18+ROUNDUP($E51/500,0)*'Wastewater Charges'!V$17,'Wastewater Charges'!V$15)+'Wastewater Charges'!V$27,2)</f>
        <v>2044.88</v>
      </c>
      <c r="H51" s="26">
        <f>(+G51/F51-1)*100</f>
        <v>10.961104358395545</v>
      </c>
      <c r="I51" s="27"/>
      <c r="J51" s="26"/>
    </row>
    <row r="52" spans="2:10">
      <c r="B52" s="9"/>
      <c r="C52" s="3"/>
      <c r="D52" s="3"/>
      <c r="E52" s="3"/>
      <c r="F52" s="27"/>
      <c r="G52" s="27"/>
      <c r="I52" s="27"/>
    </row>
    <row r="53" spans="2:10">
      <c r="B53" s="9">
        <f>+'Typical Bills WATER'!B53</f>
        <v>10</v>
      </c>
      <c r="C53" s="26">
        <f>+'Typical Bills WATER'!C53</f>
        <v>600</v>
      </c>
      <c r="D53" s="34">
        <v>22500</v>
      </c>
      <c r="E53" s="34">
        <v>24000</v>
      </c>
      <c r="F53" s="27">
        <f>ROUND(MAX(ROUNDUP($D53/500,0)*'Wastewater Charges'!U$18+ROUNDUP($E53/500,0)*'Wastewater Charges'!U$17,'Wastewater Charges'!U$15)+'Wastewater Charges'!U$27,2)</f>
        <v>295.56</v>
      </c>
      <c r="G53" s="27">
        <f>ROUND(MAX(ROUNDUP($D53/500,0)*'Wastewater Charges'!V$18+ROUNDUP($E53/500,0)*'Wastewater Charges'!V$17,'Wastewater Charges'!V$15)+'Wastewater Charges'!V$27,2)</f>
        <v>327.8</v>
      </c>
      <c r="H53" s="26">
        <f>(+G53/F53-1)*100</f>
        <v>10.90810664501285</v>
      </c>
      <c r="I53" s="27"/>
      <c r="J53" s="26"/>
    </row>
    <row r="54" spans="2:10">
      <c r="B54" s="9">
        <f>+'Typical Bills WATER'!B54</f>
        <v>10</v>
      </c>
      <c r="C54" s="26">
        <f>+'Typical Bills WATER'!C54</f>
        <v>1700</v>
      </c>
      <c r="D54" s="34">
        <v>41750</v>
      </c>
      <c r="E54" s="34">
        <v>45500</v>
      </c>
      <c r="F54" s="27">
        <f>ROUND(MAX(ROUNDUP($D54/500,0)*'Wastewater Charges'!U$18+ROUNDUP($E54/500,0)*'Wastewater Charges'!U$17,'Wastewater Charges'!U$15)+'Wastewater Charges'!U$27,2)</f>
        <v>550.69000000000005</v>
      </c>
      <c r="G54" s="27">
        <f>ROUND(MAX(ROUNDUP($D54/500,0)*'Wastewater Charges'!V$18+ROUNDUP($E54/500,0)*'Wastewater Charges'!V$17,'Wastewater Charges'!V$15)+'Wastewater Charges'!V$27,2)</f>
        <v>610.91999999999996</v>
      </c>
      <c r="H54" s="26">
        <f>(+G54/F54-1)*100</f>
        <v>10.937187891554224</v>
      </c>
      <c r="I54" s="27"/>
      <c r="J54" s="26"/>
    </row>
    <row r="55" spans="2:10">
      <c r="B55" s="9">
        <f>+'Typical Bills WATER'!B55</f>
        <v>10</v>
      </c>
      <c r="C55" s="26">
        <f>+'Typical Bills WATER'!C55</f>
        <v>3300</v>
      </c>
      <c r="D55" s="34">
        <v>26000</v>
      </c>
      <c r="E55" s="34">
        <v>38000</v>
      </c>
      <c r="F55" s="27">
        <f>ROUND(MAX(ROUNDUP($D55/500,0)*'Wastewater Charges'!U$18+ROUNDUP($E55/500,0)*'Wastewater Charges'!U$17,'Wastewater Charges'!U$15)+'Wastewater Charges'!U$27,2)</f>
        <v>357.11</v>
      </c>
      <c r="G55" s="27">
        <f>ROUND(MAX(ROUNDUP($D55/500,0)*'Wastewater Charges'!V$18+ROUNDUP($E55/500,0)*'Wastewater Charges'!V$17,'Wastewater Charges'!V$15)+'Wastewater Charges'!V$27,2)</f>
        <v>396.1</v>
      </c>
      <c r="H55" s="26">
        <f>(+G55/F55-1)*100</f>
        <v>10.918204474811688</v>
      </c>
      <c r="I55" s="27"/>
      <c r="J55" s="26"/>
    </row>
    <row r="56" spans="2:10">
      <c r="B56" s="9">
        <f>+'Typical Bills WATER'!B56</f>
        <v>10</v>
      </c>
      <c r="C56" s="26">
        <f>+'Typical Bills WATER'!C56</f>
        <v>6000</v>
      </c>
      <c r="D56" s="34">
        <v>140000</v>
      </c>
      <c r="E56" s="34">
        <v>160000</v>
      </c>
      <c r="F56" s="27">
        <f>ROUND(MAX(ROUNDUP($D56/500,0)*'Wastewater Charges'!U$18+ROUNDUP($E56/500,0)*'Wastewater Charges'!U$17,'Wastewater Charges'!U$15)+'Wastewater Charges'!U$27,2)</f>
        <v>1842.88</v>
      </c>
      <c r="G56" s="27">
        <f>ROUND(MAX(ROUNDUP($D56/500,0)*'Wastewater Charges'!V$18+ROUNDUP($E56/500,0)*'Wastewater Charges'!V$17,'Wastewater Charges'!V$15)+'Wastewater Charges'!V$27,2)</f>
        <v>2044.88</v>
      </c>
      <c r="H56" s="26">
        <f>(+G56/F56-1)*100</f>
        <v>10.961104358395545</v>
      </c>
      <c r="I56" s="27"/>
      <c r="J56" s="26"/>
    </row>
    <row r="57" spans="2:10">
      <c r="B57" s="9"/>
      <c r="C57" s="26"/>
      <c r="D57" s="34"/>
      <c r="E57" s="34"/>
      <c r="F57" s="27"/>
      <c r="G57" s="27"/>
      <c r="H57" s="26"/>
    </row>
    <row r="58" spans="2:10">
      <c r="B58" s="9"/>
      <c r="C58" s="26"/>
      <c r="D58" s="34"/>
      <c r="E58" s="34"/>
      <c r="F58" s="27"/>
      <c r="G58" s="27"/>
      <c r="H58" s="26"/>
    </row>
    <row r="59" spans="2:10">
      <c r="B59" s="3" t="s">
        <v>61</v>
      </c>
      <c r="C59" s="3"/>
      <c r="D59" s="3"/>
      <c r="E59" s="3"/>
      <c r="F59" s="3"/>
      <c r="G59" s="3"/>
      <c r="H59" s="3"/>
    </row>
    <row r="60" spans="2:10">
      <c r="B60" s="3" t="s">
        <v>124</v>
      </c>
      <c r="C60" s="3"/>
      <c r="D60" s="3"/>
      <c r="E60" s="3"/>
      <c r="F60" s="3"/>
      <c r="G60" s="3"/>
      <c r="H60" s="3"/>
    </row>
    <row r="63" spans="2:10">
      <c r="B63" s="47" t="s">
        <v>135</v>
      </c>
      <c r="C63" s="48"/>
      <c r="D63" s="49"/>
    </row>
    <row r="64" spans="2:10">
      <c r="B64" s="50"/>
      <c r="D64" s="51"/>
    </row>
    <row r="65" spans="2:4">
      <c r="B65" s="50" t="s">
        <v>136</v>
      </c>
      <c r="D65" s="57">
        <v>69238</v>
      </c>
    </row>
    <row r="66" spans="2:4">
      <c r="B66" s="50"/>
      <c r="D66" s="52"/>
    </row>
    <row r="67" spans="2:4">
      <c r="B67" s="50" t="s">
        <v>137</v>
      </c>
      <c r="D67" s="57">
        <v>772229</v>
      </c>
    </row>
    <row r="68" spans="2:4">
      <c r="B68" s="50"/>
      <c r="D68" s="52"/>
    </row>
    <row r="69" spans="2:4">
      <c r="B69" s="50" t="s">
        <v>138</v>
      </c>
      <c r="D69" s="52">
        <f>ROUND(D67/D$65*1000,-3)</f>
        <v>11000</v>
      </c>
    </row>
    <row r="70" spans="2:4">
      <c r="B70" s="50"/>
      <c r="D70" s="51"/>
    </row>
    <row r="71" spans="2:4">
      <c r="B71" s="50" t="s">
        <v>139</v>
      </c>
      <c r="D71" s="57">
        <v>457166</v>
      </c>
    </row>
    <row r="72" spans="2:4">
      <c r="B72" s="50"/>
      <c r="D72" s="51"/>
    </row>
    <row r="73" spans="2:4">
      <c r="B73" s="53" t="s">
        <v>140</v>
      </c>
      <c r="C73" s="54"/>
      <c r="D73" s="55">
        <f>ROUND(D71/D$65*1000,-3)</f>
        <v>7000</v>
      </c>
    </row>
    <row r="75" spans="2:4">
      <c r="B75" t="s">
        <v>141</v>
      </c>
    </row>
  </sheetData>
  <mergeCells count="4">
    <mergeCell ref="G9:H9"/>
    <mergeCell ref="B5:H5"/>
    <mergeCell ref="B6:H6"/>
    <mergeCell ref="I9:J9"/>
  </mergeCells>
  <hyperlinks>
    <hyperlink ref="A1" location="TOC!A1" display="TOC!A1" xr:uid="{00000000-0004-0000-0900-000000000000}"/>
  </hyperlink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4" ma:contentTypeDescription="Create a new document." ma:contentTypeScope="" ma:versionID="3dc2716112899566d07fe3e564190f68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5066528d2c0d648418165c9d016f3718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94C57-C0DE-442B-B622-8499BA2B74C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ecad1bf-37b2-4fe5-8d43-af4e731dea56"/>
    <ds:schemaRef ds:uri="c1eecfb3-5e1e-4c14-a199-821554a453d0"/>
    <ds:schemaRef ds:uri="http://purl.org/dc/terms/"/>
    <ds:schemaRef ds:uri="74a816c8-2012-4a06-9eee-7fac2e12fc0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4971E5-061B-4D02-BEDF-E774AE76D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82874-10DE-45EE-9811-FEE1B693E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TOC</vt:lpstr>
      <vt:lpstr>Wastewater Charges</vt:lpstr>
      <vt:lpstr>Water Charges</vt:lpstr>
      <vt:lpstr>Typical Res Bills TOTAL</vt:lpstr>
      <vt:lpstr>Typ Non Res Bill TOTAL PARCEL</vt:lpstr>
      <vt:lpstr>Typical Bills WATER</vt:lpstr>
      <vt:lpstr>Typical Bills SANITARY</vt:lpstr>
      <vt:lpstr>Typical Res Bills SW</vt:lpstr>
      <vt:lpstr>Typical Non-Res Bills SW</vt:lpstr>
      <vt:lpstr>Inputs</vt:lpstr>
      <vt:lpstr>'Typ Non Res Bill TOTAL PARCEL'!Print_Area</vt:lpstr>
      <vt:lpstr>'Typical Non-Res Bills SW'!Print_Area</vt:lpstr>
      <vt:lpstr>'Typical Res Bills TOTAL'!Print_Area</vt:lpstr>
      <vt:lpstr>'Wastewater Charges'!Print_Area</vt:lpstr>
      <vt:lpstr>'Water Charges'!Print_Area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jag70316</dc:creator>
  <cp:keywords/>
  <dc:description/>
  <cp:lastModifiedBy>Justin Martin</cp:lastModifiedBy>
  <cp:revision/>
  <cp:lastPrinted>2024-02-24T21:02:51Z</cp:lastPrinted>
  <dcterms:created xsi:type="dcterms:W3CDTF">2012-01-31T17:48:44Z</dcterms:created>
  <dcterms:modified xsi:type="dcterms:W3CDTF">2024-03-27T14:49:35Z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