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ackandveatch.sharepoint.com/sites/411071/Shared Documents/FY 2024 to FY 2025 Rate Proceeding/General Rate Proceeding Discovery/PLUG-Set-I/"/>
    </mc:Choice>
  </mc:AlternateContent>
  <xr:revisionPtr revIDLastSave="3" documentId="8_{CBB2B7A4-399B-443F-8FD9-9F335F8024DC}" xr6:coauthVersionLast="47" xr6:coauthVersionMax="47" xr10:uidLastSave="{C5153566-3C65-4276-A0A2-1061B0918686}"/>
  <bookViews>
    <workbookView xWindow="-120" yWindow="-120" windowWidth="21840" windowHeight="13140" xr2:uid="{B21F30DA-023E-4961-BD46-1627672EAEB0}"/>
  </bookViews>
  <sheets>
    <sheet name="PLUG-I-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1" l="1"/>
  <c r="F69" i="1" s="1"/>
  <c r="C71" i="1"/>
  <c r="D60" i="1" s="1"/>
  <c r="D64" i="1" l="1"/>
  <c r="D67" i="1"/>
  <c r="D65" i="1"/>
  <c r="F60" i="1"/>
  <c r="F59" i="1"/>
  <c r="F61" i="1"/>
  <c r="F64" i="1"/>
  <c r="F65" i="1"/>
  <c r="F63" i="1"/>
  <c r="F68" i="1"/>
  <c r="F67" i="1"/>
  <c r="D61" i="1"/>
  <c r="D63" i="1"/>
  <c r="D68" i="1"/>
  <c r="D59" i="1"/>
  <c r="D69" i="1"/>
  <c r="F8" i="1"/>
  <c r="F7" i="1"/>
  <c r="C10" i="1"/>
  <c r="E8" i="1"/>
  <c r="G8" i="1" s="1"/>
  <c r="E7" i="1"/>
  <c r="G7" i="1" s="1"/>
  <c r="D71" i="1" l="1"/>
  <c r="F71" i="1"/>
  <c r="F10" i="1"/>
  <c r="J43" i="1" s="1"/>
  <c r="G10" i="1"/>
  <c r="K73" i="1" l="1"/>
  <c r="J73" i="1"/>
  <c r="J63" i="1" s="1"/>
  <c r="K63" i="1"/>
  <c r="L73" i="1"/>
  <c r="J60" i="1"/>
  <c r="J67" i="1"/>
  <c r="K68" i="1"/>
  <c r="K59" i="1"/>
  <c r="K64" i="1"/>
  <c r="J65" i="1"/>
  <c r="J59" i="1"/>
  <c r="K67" i="1"/>
  <c r="K61" i="1"/>
  <c r="J61" i="1" l="1"/>
  <c r="J64" i="1"/>
  <c r="L64" i="1" s="1"/>
  <c r="M64" i="1" s="1"/>
  <c r="N64" i="1" s="1"/>
  <c r="J69" i="1"/>
  <c r="L61" i="1"/>
  <c r="M61" i="1" s="1"/>
  <c r="N61" i="1" s="1"/>
  <c r="J68" i="1"/>
  <c r="L68" i="1" s="1"/>
  <c r="K69" i="1"/>
  <c r="K60" i="1"/>
  <c r="L60" i="1" s="1"/>
  <c r="M60" i="1" s="1"/>
  <c r="K65" i="1"/>
  <c r="L65" i="1" s="1"/>
  <c r="M65" i="1" s="1"/>
  <c r="N65" i="1" s="1"/>
  <c r="L63" i="1"/>
  <c r="N63" i="1" s="1"/>
  <c r="L67" i="1"/>
  <c r="N67" i="1" s="1"/>
  <c r="L59" i="1"/>
  <c r="J71" i="1" l="1"/>
  <c r="L69" i="1"/>
  <c r="M69" i="1" s="1"/>
  <c r="N69" i="1" s="1"/>
  <c r="K71" i="1"/>
  <c r="N60" i="1"/>
  <c r="N59" i="1"/>
  <c r="M68" i="1"/>
  <c r="M71" i="1" l="1"/>
  <c r="L71" i="1"/>
  <c r="N68" i="1"/>
  <c r="N71" i="1" s="1"/>
  <c r="O59" i="1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E38" i="1"/>
  <c r="D39" i="1"/>
  <c r="J39" i="1" s="1"/>
  <c r="D36" i="1"/>
  <c r="J36" i="1" s="1"/>
  <c r="D35" i="1"/>
  <c r="J35" i="1" s="1"/>
  <c r="D34" i="1"/>
  <c r="J34" i="1" s="1"/>
  <c r="D33" i="1"/>
  <c r="J33" i="1" s="1"/>
  <c r="D32" i="1"/>
  <c r="J32" i="1" s="1"/>
  <c r="D31" i="1"/>
  <c r="J31" i="1" s="1"/>
  <c r="D30" i="1"/>
  <c r="J30" i="1" s="1"/>
  <c r="D29" i="1"/>
  <c r="J29" i="1" s="1"/>
  <c r="D28" i="1"/>
  <c r="J28" i="1" s="1"/>
  <c r="D27" i="1"/>
  <c r="J27" i="1" s="1"/>
  <c r="D26" i="1"/>
  <c r="J26" i="1" s="1"/>
  <c r="D25" i="1"/>
  <c r="J25" i="1" s="1"/>
  <c r="D24" i="1"/>
  <c r="J24" i="1" s="1"/>
  <c r="D23" i="1"/>
  <c r="O67" i="1" l="1"/>
  <c r="P67" i="1" s="1"/>
  <c r="O68" i="1"/>
  <c r="P68" i="1" s="1"/>
  <c r="O60" i="1"/>
  <c r="P60" i="1" s="1"/>
  <c r="P59" i="1"/>
  <c r="O65" i="1"/>
  <c r="P65" i="1" s="1"/>
  <c r="O69" i="1"/>
  <c r="P69" i="1" s="1"/>
  <c r="O61" i="1"/>
  <c r="P61" i="1" s="1"/>
  <c r="O64" i="1"/>
  <c r="P64" i="1" s="1"/>
  <c r="O63" i="1"/>
  <c r="P63" i="1" s="1"/>
  <c r="K39" i="1"/>
  <c r="L39" i="1" s="1"/>
  <c r="L32" i="1" s="1"/>
  <c r="H38" i="1"/>
  <c r="J23" i="1"/>
  <c r="J38" i="1" s="1"/>
  <c r="J41" i="1" s="1"/>
  <c r="D38" i="1"/>
  <c r="D41" i="1" s="1"/>
  <c r="F24" i="1"/>
  <c r="F31" i="1"/>
  <c r="F25" i="1"/>
  <c r="F32" i="1"/>
  <c r="K32" i="1" s="1"/>
  <c r="F26" i="1"/>
  <c r="K26" i="1" s="1"/>
  <c r="F33" i="1"/>
  <c r="F27" i="1"/>
  <c r="F28" i="1"/>
  <c r="F34" i="1"/>
  <c r="F29" i="1"/>
  <c r="F35" i="1"/>
  <c r="F36" i="1"/>
  <c r="K36" i="1" s="1"/>
  <c r="F23" i="1"/>
  <c r="F30" i="1"/>
  <c r="K31" i="1" l="1"/>
  <c r="K34" i="1"/>
  <c r="K24" i="1"/>
  <c r="K28" i="1"/>
  <c r="K27" i="1"/>
  <c r="K30" i="1"/>
  <c r="K38" i="1" s="1"/>
  <c r="K41" i="1" s="1"/>
  <c r="K33" i="1"/>
  <c r="K35" i="1"/>
  <c r="K25" i="1"/>
  <c r="O71" i="1"/>
  <c r="P71" i="1" s="1"/>
  <c r="M39" i="1"/>
  <c r="K23" i="1"/>
  <c r="F38" i="1"/>
  <c r="L26" i="1"/>
  <c r="M26" i="1" s="1"/>
  <c r="O26" i="1" s="1"/>
  <c r="L29" i="1"/>
  <c r="M29" i="1" s="1"/>
  <c r="O29" i="1" s="1"/>
  <c r="L25" i="1"/>
  <c r="M25" i="1" s="1"/>
  <c r="O25" i="1" s="1"/>
  <c r="L36" i="1"/>
  <c r="M36" i="1" s="1"/>
  <c r="O36" i="1" s="1"/>
  <c r="L34" i="1"/>
  <c r="M34" i="1" s="1"/>
  <c r="O34" i="1" s="1"/>
  <c r="Q34" i="1" s="1"/>
  <c r="L31" i="1"/>
  <c r="M31" i="1" s="1"/>
  <c r="L24" i="1"/>
  <c r="M24" i="1"/>
  <c r="O24" i="1" s="1"/>
  <c r="L28" i="1"/>
  <c r="M28" i="1" s="1"/>
  <c r="O28" i="1" s="1"/>
  <c r="L30" i="1"/>
  <c r="L33" i="1"/>
  <c r="M33" i="1" s="1"/>
  <c r="O33" i="1" s="1"/>
  <c r="L23" i="1"/>
  <c r="M23" i="1" s="1"/>
  <c r="O23" i="1" s="1"/>
  <c r="L27" i="1"/>
  <c r="L35" i="1"/>
  <c r="M35" i="1" s="1"/>
  <c r="O35" i="1" s="1"/>
  <c r="M32" i="1"/>
  <c r="M30" i="1" l="1"/>
  <c r="M27" i="1"/>
  <c r="L38" i="1"/>
  <c r="L41" i="1" s="1"/>
  <c r="N30" i="1"/>
  <c r="O30" i="1" s="1"/>
  <c r="N32" i="1"/>
  <c r="O32" i="1" s="1"/>
  <c r="N31" i="1"/>
  <c r="O31" i="1" s="1"/>
  <c r="N27" i="1"/>
  <c r="O27" i="1" s="1"/>
  <c r="M38" i="1"/>
  <c r="M41" i="1" s="1"/>
  <c r="O38" i="1" l="1"/>
  <c r="O41" i="1" s="1"/>
  <c r="N38" i="1"/>
  <c r="P31" i="1" l="1"/>
  <c r="Q31" i="1" s="1"/>
  <c r="P29" i="1"/>
  <c r="Q29" i="1" s="1"/>
  <c r="P30" i="1"/>
  <c r="Q30" i="1" s="1"/>
  <c r="P28" i="1"/>
  <c r="Q28" i="1" s="1"/>
  <c r="N41" i="1"/>
  <c r="P36" i="1"/>
  <c r="Q36" i="1" s="1"/>
  <c r="P27" i="1"/>
  <c r="Q27" i="1" s="1"/>
  <c r="P26" i="1"/>
  <c r="Q26" i="1" s="1"/>
  <c r="P23" i="1"/>
  <c r="P35" i="1"/>
  <c r="Q35" i="1" s="1"/>
  <c r="P33" i="1"/>
  <c r="Q33" i="1" s="1"/>
  <c r="P25" i="1"/>
  <c r="Q25" i="1" s="1"/>
  <c r="P32" i="1"/>
  <c r="Q32" i="1" s="1"/>
  <c r="P24" i="1"/>
  <c r="Q24" i="1" s="1"/>
  <c r="Q23" i="1" l="1"/>
  <c r="P38" i="1"/>
  <c r="P41" i="1" s="1"/>
  <c r="Q38" i="1" l="1"/>
  <c r="Q41" i="1" s="1"/>
</calcChain>
</file>

<file path=xl/sharedStrings.xml><?xml version="1.0" encoding="utf-8"?>
<sst xmlns="http://schemas.openxmlformats.org/spreadsheetml/2006/main" count="143" uniqueCount="75">
  <si>
    <t>Allocation Basis</t>
  </si>
  <si>
    <t>Cost Allocation</t>
  </si>
  <si>
    <t>Cost</t>
  </si>
  <si>
    <t>Sanitary</t>
  </si>
  <si>
    <t>Impact</t>
  </si>
  <si>
    <t>Sewer</t>
  </si>
  <si>
    <t>Stormwater</t>
  </si>
  <si>
    <t>Wastewater Collection System - Long-Term Control Plan</t>
  </si>
  <si>
    <t>Capital (Depr. &amp; Return)</t>
  </si>
  <si>
    <t>Schedule BV-2 pages 7-29</t>
  </si>
  <si>
    <t>O&amp;M (LTCP O&amp;M + SMIP/GARP Amort)</t>
  </si>
  <si>
    <t>Schedule BV-2 pages 7-11 and 7-12</t>
  </si>
  <si>
    <t>Total</t>
  </si>
  <si>
    <t>Sanitary Sewer Cost of Service Impact</t>
  </si>
  <si>
    <t>Units of Service and Distribution</t>
  </si>
  <si>
    <t>Re-Allocate I/I</t>
  </si>
  <si>
    <t>Allocated</t>
  </si>
  <si>
    <t>Collection</t>
  </si>
  <si>
    <t>Estimated</t>
  </si>
  <si>
    <t>COS</t>
  </si>
  <si>
    <t>System</t>
  </si>
  <si>
    <t>Percent</t>
  </si>
  <si>
    <t>Equivalent</t>
  </si>
  <si>
    <t>Excluding</t>
  </si>
  <si>
    <t>Recovery</t>
  </si>
  <si>
    <t>Adjusted</t>
  </si>
  <si>
    <t>Capacity</t>
  </si>
  <si>
    <t>Distribution</t>
  </si>
  <si>
    <t>Volume</t>
  </si>
  <si>
    <t>Meters</t>
  </si>
  <si>
    <t>Capacity Cost</t>
  </si>
  <si>
    <t>Discount</t>
  </si>
  <si>
    <t>of Discount</t>
  </si>
  <si>
    <t>Mcf/day</t>
  </si>
  <si>
    <t>Mcf</t>
  </si>
  <si>
    <t>I/I Allocation Basis</t>
  </si>
  <si>
    <t>Residential</t>
  </si>
  <si>
    <t>Commercial</t>
  </si>
  <si>
    <t>Industrial</t>
  </si>
  <si>
    <t>Public Utilities</t>
  </si>
  <si>
    <t>Senior Citizens</t>
  </si>
  <si>
    <t>Wastewater Only</t>
  </si>
  <si>
    <t>Groundwater</t>
  </si>
  <si>
    <t xml:space="preserve">NA </t>
  </si>
  <si>
    <t>Housing Authority</t>
  </si>
  <si>
    <t>Charities &amp; Schools</t>
  </si>
  <si>
    <t>Hospital/University</t>
  </si>
  <si>
    <t>Hand Billed</t>
  </si>
  <si>
    <t>Water Treatment Plant Sludge</t>
  </si>
  <si>
    <t>Fire Meters</t>
  </si>
  <si>
    <t>Scheduled (Flat Rate)</t>
  </si>
  <si>
    <t>___________</t>
  </si>
  <si>
    <t>__________</t>
  </si>
  <si>
    <t>Subtotal Retail Sanitary</t>
  </si>
  <si>
    <t>I/I</t>
  </si>
  <si>
    <t>Total Retail Service</t>
  </si>
  <si>
    <t>Wholesale LTCP Allocation Impact</t>
  </si>
  <si>
    <t>SCOS Workpaper Reference</t>
  </si>
  <si>
    <t>Units-6</t>
  </si>
  <si>
    <t>Retcos-8 &amp;</t>
  </si>
  <si>
    <t>Retcos-14</t>
  </si>
  <si>
    <t>Retcos-19</t>
  </si>
  <si>
    <t>Stormwater Cost of Service Impact</t>
  </si>
  <si>
    <t>Billable Units of Service and Distribution</t>
  </si>
  <si>
    <t>Impervious</t>
  </si>
  <si>
    <t>Gross</t>
  </si>
  <si>
    <t>Area</t>
  </si>
  <si>
    <t>IA Costs</t>
  </si>
  <si>
    <t>GA Costs</t>
  </si>
  <si>
    <t>Stormwater IA/GA Cost Allocation Basis</t>
  </si>
  <si>
    <t>Non-Discount</t>
  </si>
  <si>
    <t>Discount - Non-PHA</t>
  </si>
  <si>
    <t>Discount - PHA</t>
  </si>
  <si>
    <t>Non-Residential</t>
  </si>
  <si>
    <t>Condominiums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</si>
</sst>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u val="singleAccounting"/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3" fillId="0" borderId="0"/>
    <xf numFmtId="37" fontId="5" fillId="0" borderId="0" applyFill="0" applyBorder="0" applyAlignment="0"/>
  </cellStyleXfs>
  <cellXfs count="1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/>
    <xf numFmtId="165" fontId="0" fillId="0" borderId="0" xfId="2" applyNumberFormat="1" applyFont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/>
    </xf>
    <xf numFmtId="0" fontId="2" fillId="0" borderId="0" xfId="0" applyFont="1"/>
    <xf numFmtId="0" fontId="0" fillId="0" borderId="0" xfId="0" applyAlignment="1">
      <alignment horizontal="left" indent="1"/>
    </xf>
    <xf numFmtId="9" fontId="0" fillId="0" borderId="0" xfId="0" applyNumberFormat="1" applyAlignment="1">
      <alignment horizontal="center"/>
    </xf>
  </cellXfs>
  <cellStyles count="5">
    <cellStyle name="Comma" xfId="1" builtinId="3"/>
    <cellStyle name="Normal" xfId="0" builtinId="0"/>
    <cellStyle name="Normal 2" xfId="3" xr:uid="{FED1B697-23FC-4E20-82AA-F831BF26C66A}"/>
    <cellStyle name="Normal 6" xfId="4" xr:uid="{2F96E6BC-300D-4086-900A-2849BEA0B70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C7DF-21CD-4584-B8CC-C29AB849566D}">
  <dimension ref="B2:V73"/>
  <sheetViews>
    <sheetView tabSelected="1" workbookViewId="0"/>
  </sheetViews>
  <sheetFormatPr defaultRowHeight="15" x14ac:dyDescent="0.25"/>
  <cols>
    <col min="2" max="2" width="33.5703125" customWidth="1"/>
    <col min="3" max="3" width="11.140625" bestFit="1" customWidth="1"/>
    <col min="4" max="4" width="11.42578125" customWidth="1"/>
    <col min="5" max="5" width="12.5703125" bestFit="1" customWidth="1"/>
    <col min="6" max="6" width="12" customWidth="1"/>
    <col min="7" max="7" width="11.140625" bestFit="1" customWidth="1"/>
    <col min="8" max="8" width="13" customWidth="1"/>
    <col min="10" max="10" width="12.5703125" bestFit="1" customWidth="1"/>
    <col min="11" max="12" width="11.5703125" customWidth="1"/>
    <col min="13" max="13" width="13.5703125" bestFit="1" customWidth="1"/>
    <col min="14" max="14" width="10.5703125" customWidth="1"/>
    <col min="15" max="16" width="13.5703125" bestFit="1" customWidth="1"/>
    <col min="17" max="17" width="10.5703125" customWidth="1"/>
    <col min="19" max="19" width="10.140625" bestFit="1" customWidth="1"/>
    <col min="20" max="20" width="9.85546875" bestFit="1" customWidth="1"/>
  </cols>
  <sheetData>
    <row r="2" spans="2:17" ht="17.25" x14ac:dyDescent="0.4">
      <c r="D2" s="12" t="s">
        <v>0</v>
      </c>
      <c r="E2" s="12"/>
      <c r="F2" s="12" t="s">
        <v>1</v>
      </c>
      <c r="G2" s="12"/>
    </row>
    <row r="3" spans="2:17" x14ac:dyDescent="0.25">
      <c r="C3" s="9" t="s">
        <v>2</v>
      </c>
      <c r="D3" s="9" t="s">
        <v>3</v>
      </c>
      <c r="E3" s="9"/>
      <c r="F3" s="9" t="s">
        <v>3</v>
      </c>
      <c r="G3" s="9"/>
    </row>
    <row r="4" spans="2:17" x14ac:dyDescent="0.25">
      <c r="C4" s="9" t="s">
        <v>4</v>
      </c>
      <c r="D4" s="9" t="s">
        <v>5</v>
      </c>
      <c r="E4" s="9" t="s">
        <v>6</v>
      </c>
      <c r="F4" s="9" t="s">
        <v>5</v>
      </c>
      <c r="G4" s="9" t="s">
        <v>6</v>
      </c>
    </row>
    <row r="6" spans="2:17" x14ac:dyDescent="0.25">
      <c r="B6" t="s">
        <v>7</v>
      </c>
    </row>
    <row r="7" spans="2:17" x14ac:dyDescent="0.25">
      <c r="B7" t="s">
        <v>8</v>
      </c>
      <c r="C7" s="1">
        <v>1604043</v>
      </c>
      <c r="D7" s="4">
        <v>0.36</v>
      </c>
      <c r="E7" s="4">
        <f>1-D7</f>
        <v>0.64</v>
      </c>
      <c r="F7" s="1">
        <f>+D7*$C7</f>
        <v>577455.48</v>
      </c>
      <c r="G7" s="1">
        <f>+E7*$C7</f>
        <v>1026587.52</v>
      </c>
      <c r="H7" t="s">
        <v>9</v>
      </c>
    </row>
    <row r="8" spans="2:17" x14ac:dyDescent="0.25">
      <c r="B8" t="s">
        <v>10</v>
      </c>
      <c r="C8" s="1">
        <v>1309835</v>
      </c>
      <c r="D8" s="4">
        <v>0.4</v>
      </c>
      <c r="E8" s="4">
        <f>1-D8</f>
        <v>0.6</v>
      </c>
      <c r="F8" s="1">
        <f>+D8*$C8</f>
        <v>523934</v>
      </c>
      <c r="G8" s="1">
        <f>+E8*$C8</f>
        <v>785901</v>
      </c>
      <c r="H8" t="s">
        <v>11</v>
      </c>
    </row>
    <row r="10" spans="2:17" x14ac:dyDescent="0.25">
      <c r="B10" t="s">
        <v>12</v>
      </c>
      <c r="C10" s="1">
        <f>SUM(C7:C9)</f>
        <v>2913878</v>
      </c>
      <c r="F10" s="1">
        <f>SUM(F7:F9)</f>
        <v>1101389.48</v>
      </c>
      <c r="G10" s="1">
        <f>SUM(G7:G9)</f>
        <v>1812488.52</v>
      </c>
    </row>
    <row r="12" spans="2:17" x14ac:dyDescent="0.25">
      <c r="C12" s="2"/>
      <c r="F12" s="2"/>
    </row>
    <row r="14" spans="2:17" x14ac:dyDescent="0.25">
      <c r="B14" s="13" t="s">
        <v>13</v>
      </c>
    </row>
    <row r="15" spans="2:17" ht="17.25" x14ac:dyDescent="0.4">
      <c r="C15" s="12" t="s">
        <v>14</v>
      </c>
      <c r="D15" s="12"/>
      <c r="E15" s="12"/>
      <c r="F15" s="12"/>
      <c r="G15" s="12"/>
      <c r="H15" s="12"/>
      <c r="K15" s="12" t="s">
        <v>15</v>
      </c>
      <c r="L15" s="12"/>
      <c r="N15" s="9"/>
      <c r="O15" s="9" t="s">
        <v>16</v>
      </c>
      <c r="P15" s="9"/>
      <c r="Q15" s="9"/>
    </row>
    <row r="16" spans="2:17" x14ac:dyDescent="0.25">
      <c r="C16" s="9" t="s">
        <v>17</v>
      </c>
      <c r="D16" s="9"/>
      <c r="E16" s="9"/>
      <c r="F16" s="9"/>
      <c r="G16" s="9"/>
      <c r="H16" s="9"/>
      <c r="I16" s="9"/>
      <c r="J16" s="9" t="s">
        <v>17</v>
      </c>
      <c r="M16" s="11" t="s">
        <v>18</v>
      </c>
      <c r="N16" s="9"/>
      <c r="O16" s="9" t="s">
        <v>19</v>
      </c>
      <c r="P16" s="9"/>
      <c r="Q16" s="11" t="s">
        <v>18</v>
      </c>
    </row>
    <row r="17" spans="2:22" x14ac:dyDescent="0.25">
      <c r="C17" s="9" t="s">
        <v>20</v>
      </c>
      <c r="D17" s="9" t="s">
        <v>21</v>
      </c>
      <c r="E17" s="10"/>
      <c r="F17" s="9" t="s">
        <v>21</v>
      </c>
      <c r="G17" s="9" t="s">
        <v>22</v>
      </c>
      <c r="H17" s="9" t="s">
        <v>21</v>
      </c>
      <c r="I17" s="9"/>
      <c r="J17" s="9" t="s">
        <v>20</v>
      </c>
      <c r="K17" s="9"/>
      <c r="L17" s="9" t="s">
        <v>22</v>
      </c>
      <c r="M17" s="9" t="s">
        <v>16</v>
      </c>
      <c r="N17" s="9"/>
      <c r="O17" s="9" t="s">
        <v>23</v>
      </c>
      <c r="P17" s="9" t="s">
        <v>24</v>
      </c>
      <c r="Q17" s="9" t="s">
        <v>25</v>
      </c>
      <c r="S17" s="9"/>
    </row>
    <row r="18" spans="2:22" x14ac:dyDescent="0.25">
      <c r="C18" s="9" t="s">
        <v>26</v>
      </c>
      <c r="D18" s="9" t="s">
        <v>27</v>
      </c>
      <c r="E18" s="10" t="s">
        <v>28</v>
      </c>
      <c r="F18" s="9" t="s">
        <v>27</v>
      </c>
      <c r="G18" s="9" t="s">
        <v>29</v>
      </c>
      <c r="H18" s="9" t="s">
        <v>27</v>
      </c>
      <c r="I18" s="9"/>
      <c r="J18" s="9" t="s">
        <v>30</v>
      </c>
      <c r="K18" s="10" t="s">
        <v>28</v>
      </c>
      <c r="L18" s="9" t="s">
        <v>29</v>
      </c>
      <c r="M18" s="9" t="s">
        <v>19</v>
      </c>
      <c r="N18" s="11" t="s">
        <v>31</v>
      </c>
      <c r="O18" s="11" t="s">
        <v>31</v>
      </c>
      <c r="P18" s="9" t="s">
        <v>32</v>
      </c>
      <c r="Q18" s="9" t="s">
        <v>19</v>
      </c>
      <c r="S18" s="9"/>
      <c r="T18" s="9"/>
    </row>
    <row r="19" spans="2:22" x14ac:dyDescent="0.25">
      <c r="C19" s="9" t="s">
        <v>33</v>
      </c>
      <c r="D19" s="9"/>
      <c r="E19" s="10" t="s">
        <v>34</v>
      </c>
      <c r="F19" s="9"/>
      <c r="G19" s="9"/>
      <c r="H19" s="9"/>
      <c r="I19" s="9"/>
      <c r="J19" s="9"/>
    </row>
    <row r="20" spans="2:22" x14ac:dyDescent="0.25">
      <c r="C20" s="9"/>
      <c r="D20" s="9"/>
      <c r="E20" s="10"/>
      <c r="F20" s="9"/>
      <c r="G20" s="9"/>
      <c r="H20" s="9"/>
      <c r="I20" s="9"/>
      <c r="J20" s="9"/>
    </row>
    <row r="21" spans="2:22" x14ac:dyDescent="0.25">
      <c r="B21" t="s">
        <v>35</v>
      </c>
      <c r="E21" s="1"/>
      <c r="J21" s="9"/>
      <c r="K21" s="6">
        <v>0.7</v>
      </c>
      <c r="L21" s="6">
        <v>0.3</v>
      </c>
    </row>
    <row r="22" spans="2:22" x14ac:dyDescent="0.25">
      <c r="E22" s="1"/>
      <c r="J22" s="9"/>
      <c r="K22" s="6"/>
      <c r="L22" s="6"/>
    </row>
    <row r="23" spans="2:22" x14ac:dyDescent="0.25">
      <c r="B23" t="s">
        <v>36</v>
      </c>
      <c r="C23" s="1">
        <v>31992</v>
      </c>
      <c r="D23" s="5">
        <f t="shared" ref="D23:D36" si="0">+C23/C$41</f>
        <v>9.6558634802397666E-2</v>
      </c>
      <c r="E23" s="1">
        <v>2919305.3</v>
      </c>
      <c r="F23" s="5">
        <f t="shared" ref="F23:F36" si="1">+E23/E$38</f>
        <v>0.50624341466832135</v>
      </c>
      <c r="G23" s="1">
        <v>477314</v>
      </c>
      <c r="H23" s="5">
        <f t="shared" ref="H23:H36" si="2">+G23/G$38</f>
        <v>0.74089699769339901</v>
      </c>
      <c r="J23" s="2">
        <f t="shared" ref="J23:J36" si="3">ROUND(+D23*J$43,2)</f>
        <v>106348.66</v>
      </c>
      <c r="K23" s="1">
        <f t="shared" ref="K23:K28" si="4">-K$39*F23</f>
        <v>310389.67603539984</v>
      </c>
      <c r="L23" s="1">
        <f t="shared" ref="L23:L36" si="5">-L$39*H23</f>
        <v>194683.40364090604</v>
      </c>
      <c r="M23" s="2">
        <f t="shared" ref="M23:M36" si="6">SUM(J23:L23)</f>
        <v>611421.73967630579</v>
      </c>
      <c r="O23" s="2">
        <f t="shared" ref="O23:O36" si="7">+M23+N23</f>
        <v>611421.73967630579</v>
      </c>
      <c r="P23" s="1">
        <f t="shared" ref="P23:P33" si="8">-N$38*O23/(O$41-O$34)</f>
        <v>8726.2350417972648</v>
      </c>
      <c r="Q23" s="2">
        <f>+O23+P23</f>
        <v>620147.97471810307</v>
      </c>
      <c r="S23" s="2"/>
      <c r="T23" s="2"/>
      <c r="U23" s="4"/>
      <c r="V23" s="3"/>
    </row>
    <row r="24" spans="2:22" x14ac:dyDescent="0.25">
      <c r="B24" t="s">
        <v>37</v>
      </c>
      <c r="C24" s="1">
        <v>16577</v>
      </c>
      <c r="D24" s="5">
        <f t="shared" si="0"/>
        <v>5.0032898509606967E-2</v>
      </c>
      <c r="E24" s="1">
        <v>1512677.4</v>
      </c>
      <c r="F24" s="5">
        <f t="shared" si="1"/>
        <v>0.26231685061086213</v>
      </c>
      <c r="G24" s="1">
        <v>111993</v>
      </c>
      <c r="H24" s="5">
        <f t="shared" si="2"/>
        <v>0.17383792946085141</v>
      </c>
      <c r="J24" s="2">
        <f t="shared" si="3"/>
        <v>55105.71</v>
      </c>
      <c r="K24" s="1">
        <f t="shared" si="4"/>
        <v>160832.5953890711</v>
      </c>
      <c r="L24" s="1">
        <f t="shared" si="5"/>
        <v>45678.899893897913</v>
      </c>
      <c r="M24" s="2">
        <f t="shared" si="6"/>
        <v>261617.20528296899</v>
      </c>
      <c r="O24" s="2">
        <f t="shared" si="7"/>
        <v>261617.20528296899</v>
      </c>
      <c r="P24" s="1">
        <f t="shared" si="8"/>
        <v>3733.8110115056188</v>
      </c>
      <c r="Q24" s="2">
        <f t="shared" ref="Q24:Q36" si="9">+O24+P24</f>
        <v>265351.0162944746</v>
      </c>
      <c r="S24" s="2"/>
      <c r="T24" s="2"/>
      <c r="U24" s="4"/>
    </row>
    <row r="25" spans="2:22" x14ac:dyDescent="0.25">
      <c r="B25" t="s">
        <v>38</v>
      </c>
      <c r="C25" s="1">
        <v>590</v>
      </c>
      <c r="D25" s="5">
        <f t="shared" si="0"/>
        <v>1.7807450154230628E-3</v>
      </c>
      <c r="E25" s="1">
        <v>53796.6</v>
      </c>
      <c r="F25" s="5">
        <f t="shared" si="1"/>
        <v>9.3289915520469256E-3</v>
      </c>
      <c r="G25" s="1">
        <v>4114</v>
      </c>
      <c r="H25" s="5">
        <f t="shared" si="2"/>
        <v>6.3858387738692842E-3</v>
      </c>
      <c r="J25" s="2">
        <f t="shared" si="3"/>
        <v>1961.29</v>
      </c>
      <c r="K25" s="1">
        <f t="shared" si="4"/>
        <v>5719.8228790274152</v>
      </c>
      <c r="L25" s="1">
        <f t="shared" si="5"/>
        <v>1677.9887507567082</v>
      </c>
      <c r="M25" s="2">
        <f t="shared" si="6"/>
        <v>9359.1016297841234</v>
      </c>
      <c r="O25" s="2">
        <f t="shared" si="7"/>
        <v>9359.1016297841234</v>
      </c>
      <c r="P25" s="1">
        <f t="shared" si="8"/>
        <v>133.5734654197953</v>
      </c>
      <c r="Q25" s="2">
        <f t="shared" si="9"/>
        <v>9492.6750952039183</v>
      </c>
      <c r="S25" s="2"/>
      <c r="T25" s="2"/>
      <c r="U25" s="4"/>
    </row>
    <row r="26" spans="2:22" x14ac:dyDescent="0.25">
      <c r="B26" t="s">
        <v>39</v>
      </c>
      <c r="C26" s="1">
        <v>110</v>
      </c>
      <c r="D26" s="5">
        <f t="shared" si="0"/>
        <v>3.3200330796023206E-4</v>
      </c>
      <c r="E26" s="1">
        <v>10077.6</v>
      </c>
      <c r="F26" s="5">
        <f t="shared" si="1"/>
        <v>1.7475796846809668E-3</v>
      </c>
      <c r="G26" s="1">
        <v>1547</v>
      </c>
      <c r="H26" s="5">
        <f t="shared" si="2"/>
        <v>2.4012864810830782E-3</v>
      </c>
      <c r="J26" s="2">
        <f t="shared" si="3"/>
        <v>365.66</v>
      </c>
      <c r="K26" s="1">
        <f t="shared" si="4"/>
        <v>1071.481971828827</v>
      </c>
      <c r="L26" s="1">
        <f t="shared" si="5"/>
        <v>630.97924098702663</v>
      </c>
      <c r="M26" s="2">
        <f t="shared" si="6"/>
        <v>2068.1212128158536</v>
      </c>
      <c r="O26" s="2">
        <f t="shared" si="7"/>
        <v>2068.1212128158536</v>
      </c>
      <c r="P26" s="1">
        <f t="shared" si="8"/>
        <v>29.516307037941139</v>
      </c>
      <c r="Q26" s="2">
        <f t="shared" si="9"/>
        <v>2097.6375198537949</v>
      </c>
      <c r="S26" s="2"/>
      <c r="T26" s="2"/>
      <c r="U26" s="4"/>
    </row>
    <row r="27" spans="2:22" x14ac:dyDescent="0.25">
      <c r="B27" t="s">
        <v>40</v>
      </c>
      <c r="C27" s="1">
        <v>1251</v>
      </c>
      <c r="D27" s="5">
        <f t="shared" si="0"/>
        <v>3.7757830750750026E-3</v>
      </c>
      <c r="E27" s="1">
        <v>114154.85</v>
      </c>
      <c r="F27" s="5">
        <f t="shared" si="1"/>
        <v>1.9795853850897344E-2</v>
      </c>
      <c r="G27" s="1">
        <v>21174</v>
      </c>
      <c r="H27" s="5">
        <f t="shared" si="2"/>
        <v>3.2866735585296118E-2</v>
      </c>
      <c r="J27" s="2">
        <f t="shared" si="3"/>
        <v>4158.6099999999997</v>
      </c>
      <c r="K27" s="1">
        <f t="shared" si="4"/>
        <v>12137.300922027465</v>
      </c>
      <c r="L27" s="1">
        <f t="shared" si="5"/>
        <v>8636.2989325528779</v>
      </c>
      <c r="M27" s="2">
        <f t="shared" si="6"/>
        <v>24932.209854580346</v>
      </c>
      <c r="N27" s="2">
        <f>-M27*0.25</f>
        <v>-6233.0524636450864</v>
      </c>
      <c r="O27" s="2">
        <f t="shared" si="7"/>
        <v>18699.157390935259</v>
      </c>
      <c r="P27" s="1">
        <f t="shared" si="8"/>
        <v>266.87510745569415</v>
      </c>
      <c r="Q27" s="2">
        <f t="shared" si="9"/>
        <v>18966.032498390952</v>
      </c>
      <c r="S27" s="2"/>
      <c r="T27" s="2"/>
      <c r="U27" s="4"/>
    </row>
    <row r="28" spans="2:22" x14ac:dyDescent="0.25">
      <c r="B28" t="s">
        <v>41</v>
      </c>
      <c r="C28" s="1">
        <v>1567</v>
      </c>
      <c r="D28" s="5">
        <f t="shared" si="0"/>
        <v>4.7295380324880324E-3</v>
      </c>
      <c r="E28" s="1">
        <v>142990.19999999998</v>
      </c>
      <c r="F28" s="5">
        <f t="shared" si="1"/>
        <v>2.4796257901530953E-2</v>
      </c>
      <c r="G28" s="1">
        <v>463</v>
      </c>
      <c r="H28" s="5">
        <f t="shared" si="2"/>
        <v>7.1867850080249848E-4</v>
      </c>
      <c r="J28" s="2">
        <f t="shared" si="3"/>
        <v>5209.0600000000004</v>
      </c>
      <c r="K28" s="1">
        <f t="shared" si="4"/>
        <v>15203.165579919654</v>
      </c>
      <c r="L28" s="1">
        <f t="shared" si="5"/>
        <v>188.84511220232278</v>
      </c>
      <c r="M28" s="2">
        <f t="shared" si="6"/>
        <v>20601.070692121975</v>
      </c>
      <c r="O28" s="2">
        <f t="shared" si="7"/>
        <v>20601.070692121975</v>
      </c>
      <c r="P28" s="1">
        <f t="shared" si="8"/>
        <v>294.01928866204486</v>
      </c>
      <c r="Q28" s="2">
        <f t="shared" si="9"/>
        <v>20895.089980784021</v>
      </c>
      <c r="S28" s="2"/>
      <c r="T28" s="2"/>
      <c r="U28" s="4"/>
    </row>
    <row r="29" spans="2:22" x14ac:dyDescent="0.25">
      <c r="B29" t="s">
        <v>42</v>
      </c>
      <c r="C29" s="1">
        <v>4640</v>
      </c>
      <c r="D29" s="5">
        <f t="shared" si="0"/>
        <v>1.4004503172140697E-2</v>
      </c>
      <c r="E29" s="1">
        <v>0</v>
      </c>
      <c r="F29" s="5">
        <f t="shared" si="1"/>
        <v>0</v>
      </c>
      <c r="G29" s="1">
        <v>0</v>
      </c>
      <c r="H29" s="5">
        <f t="shared" si="2"/>
        <v>0</v>
      </c>
      <c r="J29" s="2">
        <f t="shared" si="3"/>
        <v>15424.41</v>
      </c>
      <c r="K29" s="7" t="s">
        <v>43</v>
      </c>
      <c r="L29" s="1">
        <f t="shared" si="5"/>
        <v>0</v>
      </c>
      <c r="M29" s="2">
        <f t="shared" si="6"/>
        <v>15424.41</v>
      </c>
      <c r="O29" s="2">
        <f t="shared" si="7"/>
        <v>15424.41</v>
      </c>
      <c r="P29" s="1">
        <f t="shared" si="8"/>
        <v>220.13778429322034</v>
      </c>
      <c r="Q29" s="2">
        <f t="shared" si="9"/>
        <v>15644.54778429322</v>
      </c>
      <c r="S29" s="2"/>
      <c r="T29" s="2"/>
      <c r="U29" s="4"/>
    </row>
    <row r="30" spans="2:22" x14ac:dyDescent="0.25">
      <c r="B30" t="s">
        <v>44</v>
      </c>
      <c r="C30" s="1">
        <v>1591</v>
      </c>
      <c r="D30" s="5">
        <f t="shared" si="0"/>
        <v>4.8019751178611739E-3</v>
      </c>
      <c r="E30" s="1">
        <v>145223.65</v>
      </c>
      <c r="F30" s="5">
        <f t="shared" si="1"/>
        <v>2.5183565578631724E-2</v>
      </c>
      <c r="G30" s="1">
        <v>9138</v>
      </c>
      <c r="H30" s="5">
        <f t="shared" si="2"/>
        <v>1.4184199007199203E-2</v>
      </c>
      <c r="J30" s="2">
        <f t="shared" si="3"/>
        <v>5288.84</v>
      </c>
      <c r="K30" s="1">
        <f t="shared" ref="K30:K36" si="10">-K$39*F30</f>
        <v>15440.632973940166</v>
      </c>
      <c r="L30" s="1">
        <f t="shared" si="5"/>
        <v>3727.1417609175496</v>
      </c>
      <c r="M30" s="2">
        <f t="shared" si="6"/>
        <v>24456.614734857714</v>
      </c>
      <c r="N30" s="2">
        <f>-M30*0.05</f>
        <v>-1222.8307367428858</v>
      </c>
      <c r="O30" s="2">
        <f t="shared" si="7"/>
        <v>23233.783998114828</v>
      </c>
      <c r="P30" s="1">
        <f t="shared" si="8"/>
        <v>331.59347619080904</v>
      </c>
      <c r="Q30" s="2">
        <f t="shared" si="9"/>
        <v>23565.377474305638</v>
      </c>
      <c r="S30" s="2"/>
      <c r="T30" s="2"/>
      <c r="U30" s="4"/>
    </row>
    <row r="31" spans="2:22" x14ac:dyDescent="0.25">
      <c r="B31" t="s">
        <v>45</v>
      </c>
      <c r="C31" s="1">
        <v>1300</v>
      </c>
      <c r="D31" s="5">
        <f t="shared" si="0"/>
        <v>3.9236754577118334E-3</v>
      </c>
      <c r="E31" s="1">
        <v>118607.5</v>
      </c>
      <c r="F31" s="5">
        <f t="shared" si="1"/>
        <v>2.0567998079979138E-2</v>
      </c>
      <c r="G31" s="1">
        <v>12706</v>
      </c>
      <c r="H31" s="5">
        <f t="shared" si="2"/>
        <v>1.9722524905392107E-2</v>
      </c>
      <c r="J31" s="2">
        <f t="shared" si="3"/>
        <v>4321.49</v>
      </c>
      <c r="K31" s="1">
        <f t="shared" si="10"/>
        <v>12610.720605470311</v>
      </c>
      <c r="L31" s="1">
        <f t="shared" si="5"/>
        <v>5182.4319560317781</v>
      </c>
      <c r="M31" s="2">
        <f t="shared" si="6"/>
        <v>22114.642561502089</v>
      </c>
      <c r="N31" s="2">
        <f>-M31*0.25</f>
        <v>-5528.6606403755222</v>
      </c>
      <c r="O31" s="2">
        <f t="shared" si="7"/>
        <v>16585.981921126568</v>
      </c>
      <c r="P31" s="1">
        <f t="shared" si="8"/>
        <v>236.71578429542609</v>
      </c>
      <c r="Q31" s="2">
        <f t="shared" si="9"/>
        <v>16822.697705421993</v>
      </c>
      <c r="S31" s="2"/>
      <c r="T31" s="2"/>
      <c r="U31" s="4"/>
    </row>
    <row r="32" spans="2:22" x14ac:dyDescent="0.25">
      <c r="B32" t="s">
        <v>46</v>
      </c>
      <c r="C32" s="1">
        <v>551</v>
      </c>
      <c r="D32" s="5">
        <f t="shared" si="0"/>
        <v>1.6630347516917077E-3</v>
      </c>
      <c r="E32" s="1">
        <v>50293.95</v>
      </c>
      <c r="F32" s="5">
        <f t="shared" si="1"/>
        <v>8.7215889976145419E-3</v>
      </c>
      <c r="G32" s="1">
        <v>1279</v>
      </c>
      <c r="H32" s="5">
        <f t="shared" si="2"/>
        <v>1.9852911501650012E-3</v>
      </c>
      <c r="J32" s="2">
        <f t="shared" si="3"/>
        <v>1831.65</v>
      </c>
      <c r="K32" s="1">
        <f t="shared" si="10"/>
        <v>5347.4101687961847</v>
      </c>
      <c r="L32" s="1">
        <f t="shared" si="5"/>
        <v>521.66932722844672</v>
      </c>
      <c r="M32" s="2">
        <f t="shared" si="6"/>
        <v>7700.7294960246309</v>
      </c>
      <c r="N32" s="2">
        <f>-M32*0.25</f>
        <v>-1925.1823740061577</v>
      </c>
      <c r="O32" s="2">
        <f t="shared" si="7"/>
        <v>5775.5471220184736</v>
      </c>
      <c r="P32" s="1">
        <f t="shared" si="8"/>
        <v>82.428834977949393</v>
      </c>
      <c r="Q32" s="2">
        <f t="shared" si="9"/>
        <v>5857.9759569964226</v>
      </c>
      <c r="S32" s="2"/>
      <c r="T32" s="2"/>
      <c r="U32" s="4"/>
    </row>
    <row r="33" spans="2:21" x14ac:dyDescent="0.25">
      <c r="B33" t="s">
        <v>47</v>
      </c>
      <c r="C33" s="1">
        <v>4455</v>
      </c>
      <c r="D33" s="5">
        <f t="shared" si="0"/>
        <v>1.3446133972389397E-2</v>
      </c>
      <c r="E33" s="1">
        <v>406523.05</v>
      </c>
      <c r="F33" s="5">
        <f t="shared" si="1"/>
        <v>7.0496092674301902E-2</v>
      </c>
      <c r="G33" s="1">
        <v>4500</v>
      </c>
      <c r="H33" s="5">
        <f t="shared" si="2"/>
        <v>6.9849962281020367E-3</v>
      </c>
      <c r="J33" s="2">
        <f t="shared" si="3"/>
        <v>14809.43</v>
      </c>
      <c r="K33" s="1">
        <f t="shared" si="10"/>
        <v>43222.802969741686</v>
      </c>
      <c r="L33" s="1">
        <f t="shared" si="5"/>
        <v>1835.4276563940657</v>
      </c>
      <c r="M33" s="2">
        <f t="shared" si="6"/>
        <v>59867.660626135752</v>
      </c>
      <c r="O33" s="2">
        <f t="shared" si="7"/>
        <v>59867.660626135752</v>
      </c>
      <c r="P33" s="1">
        <f t="shared" si="8"/>
        <v>854.43359979772276</v>
      </c>
      <c r="Q33" s="2">
        <f t="shared" si="9"/>
        <v>60722.094225933477</v>
      </c>
      <c r="S33" s="2"/>
      <c r="T33" s="2"/>
      <c r="U33" s="4"/>
    </row>
    <row r="34" spans="2:21" x14ac:dyDescent="0.25">
      <c r="B34" t="s">
        <v>48</v>
      </c>
      <c r="C34" s="1">
        <v>3209</v>
      </c>
      <c r="D34" s="5">
        <f t="shared" si="0"/>
        <v>9.685441956767132E-3</v>
      </c>
      <c r="E34" s="1">
        <v>292800</v>
      </c>
      <c r="F34" s="5">
        <f t="shared" si="1"/>
        <v>5.0775118249839948E-2</v>
      </c>
      <c r="G34" s="1">
        <v>0</v>
      </c>
      <c r="H34" s="5">
        <f t="shared" si="2"/>
        <v>0</v>
      </c>
      <c r="J34" s="2">
        <f t="shared" si="3"/>
        <v>10667.44</v>
      </c>
      <c r="K34" s="1">
        <f t="shared" si="10"/>
        <v>31131.412375117146</v>
      </c>
      <c r="L34" s="1">
        <f t="shared" si="5"/>
        <v>0</v>
      </c>
      <c r="M34" s="2">
        <f t="shared" si="6"/>
        <v>41798.852375117145</v>
      </c>
      <c r="O34" s="2">
        <f t="shared" si="7"/>
        <v>41798.852375117145</v>
      </c>
      <c r="P34" s="1"/>
      <c r="Q34" s="2">
        <f t="shared" si="9"/>
        <v>41798.852375117145</v>
      </c>
      <c r="S34" s="2"/>
      <c r="T34" s="2"/>
      <c r="U34" s="4"/>
    </row>
    <row r="35" spans="2:21" x14ac:dyDescent="0.25">
      <c r="B35" t="s">
        <v>49</v>
      </c>
      <c r="C35" s="1">
        <v>1</v>
      </c>
      <c r="D35" s="5">
        <f t="shared" si="0"/>
        <v>3.0182118905475639E-6</v>
      </c>
      <c r="E35" s="1">
        <v>95</v>
      </c>
      <c r="F35" s="5">
        <f t="shared" si="1"/>
        <v>1.6474167464941239E-5</v>
      </c>
      <c r="G35" s="1">
        <v>0</v>
      </c>
      <c r="H35" s="5">
        <f t="shared" si="2"/>
        <v>0</v>
      </c>
      <c r="J35" s="2">
        <f t="shared" si="3"/>
        <v>3.32</v>
      </c>
      <c r="K35" s="1">
        <f t="shared" si="10"/>
        <v>10.100697321161642</v>
      </c>
      <c r="L35" s="1">
        <f t="shared" si="5"/>
        <v>0</v>
      </c>
      <c r="M35" s="2">
        <f t="shared" si="6"/>
        <v>13.420697321161642</v>
      </c>
      <c r="O35" s="2">
        <f t="shared" si="7"/>
        <v>13.420697321161642</v>
      </c>
      <c r="P35" s="1">
        <f>-N$38*O35/(O$41-O$34)</f>
        <v>0.19154071837758993</v>
      </c>
      <c r="Q35" s="2">
        <f t="shared" si="9"/>
        <v>13.612238039539232</v>
      </c>
      <c r="S35" s="2"/>
      <c r="T35" s="2"/>
      <c r="U35" s="4"/>
    </row>
    <row r="36" spans="2:21" x14ac:dyDescent="0.25">
      <c r="B36" t="s">
        <v>50</v>
      </c>
      <c r="C36" s="1">
        <v>1</v>
      </c>
      <c r="D36" s="5">
        <f t="shared" si="0"/>
        <v>3.0182118905475639E-6</v>
      </c>
      <c r="E36" s="1">
        <v>58.9</v>
      </c>
      <c r="F36" s="5">
        <f t="shared" si="1"/>
        <v>1.0213983828263569E-5</v>
      </c>
      <c r="G36" s="1">
        <v>10</v>
      </c>
      <c r="H36" s="5">
        <f t="shared" si="2"/>
        <v>1.5522213840226747E-5</v>
      </c>
      <c r="J36" s="2">
        <f t="shared" si="3"/>
        <v>3.32</v>
      </c>
      <c r="K36" s="1">
        <f t="shared" si="10"/>
        <v>6.2624323391202177</v>
      </c>
      <c r="L36" s="1">
        <f t="shared" si="5"/>
        <v>4.0787281253201462</v>
      </c>
      <c r="M36" s="2">
        <f t="shared" si="6"/>
        <v>13.661160464440364</v>
      </c>
      <c r="O36" s="2">
        <f t="shared" si="7"/>
        <v>13.661160464440364</v>
      </c>
      <c r="P36" s="1">
        <f>-N$38*O36/(O$41-O$34)</f>
        <v>0.19497261778674471</v>
      </c>
      <c r="Q36" s="2">
        <f t="shared" si="9"/>
        <v>13.856133082227108</v>
      </c>
      <c r="S36" s="2"/>
      <c r="T36" s="2"/>
      <c r="U36" s="4"/>
    </row>
    <row r="37" spans="2:21" ht="6" customHeight="1" x14ac:dyDescent="0.25">
      <c r="C37" s="1" t="s">
        <v>51</v>
      </c>
      <c r="D37" s="1" t="s">
        <v>51</v>
      </c>
      <c r="E37" s="1" t="s">
        <v>51</v>
      </c>
      <c r="F37" s="1" t="s">
        <v>51</v>
      </c>
      <c r="G37" s="1" t="s">
        <v>51</v>
      </c>
      <c r="H37" s="1" t="s">
        <v>51</v>
      </c>
      <c r="J37" s="1" t="s">
        <v>51</v>
      </c>
      <c r="K37" s="1" t="s">
        <v>51</v>
      </c>
      <c r="L37" s="1" t="s">
        <v>51</v>
      </c>
      <c r="M37" s="1" t="s">
        <v>51</v>
      </c>
      <c r="N37" s="1" t="s">
        <v>51</v>
      </c>
      <c r="O37" s="1" t="s">
        <v>51</v>
      </c>
      <c r="P37" s="1" t="s">
        <v>51</v>
      </c>
      <c r="Q37" s="1" t="s">
        <v>52</v>
      </c>
    </row>
    <row r="38" spans="2:21" x14ac:dyDescent="0.25">
      <c r="B38" t="s">
        <v>53</v>
      </c>
      <c r="C38" s="1">
        <v>67835</v>
      </c>
      <c r="D38" s="5">
        <f>SUM(D23:D37)</f>
        <v>0.20474040359529402</v>
      </c>
      <c r="E38" s="1">
        <f>SUM(E23:E37)</f>
        <v>5766603.9999999991</v>
      </c>
      <c r="F38" s="5">
        <f>SUM(F23:F37)</f>
        <v>1</v>
      </c>
      <c r="G38" s="1">
        <v>644238</v>
      </c>
      <c r="H38" s="5">
        <f>SUM(H23:H37)</f>
        <v>1</v>
      </c>
      <c r="J38" s="1">
        <f t="shared" ref="J38:Q38" si="11">SUM(J23:J36)</f>
        <v>225498.88999999998</v>
      </c>
      <c r="K38" s="1">
        <f t="shared" si="11"/>
        <v>613123.38500000001</v>
      </c>
      <c r="L38" s="1">
        <f t="shared" si="11"/>
        <v>262767.16500000004</v>
      </c>
      <c r="M38" s="1">
        <f t="shared" si="11"/>
        <v>1101389.44</v>
      </c>
      <c r="N38" s="1">
        <f t="shared" si="11"/>
        <v>-14909.726214769651</v>
      </c>
      <c r="O38" s="1">
        <f t="shared" si="11"/>
        <v>1086479.7137852304</v>
      </c>
      <c r="P38" s="1">
        <f t="shared" si="11"/>
        <v>14909.726214769647</v>
      </c>
      <c r="Q38" s="1">
        <f t="shared" si="11"/>
        <v>1101389.44</v>
      </c>
      <c r="S38" s="1"/>
      <c r="T38" s="2"/>
    </row>
    <row r="39" spans="2:21" x14ac:dyDescent="0.25">
      <c r="B39" t="s">
        <v>54</v>
      </c>
      <c r="C39" s="1">
        <v>263487</v>
      </c>
      <c r="D39" s="5">
        <f>+C39/C$41</f>
        <v>0.795259596404706</v>
      </c>
      <c r="F39" s="5"/>
      <c r="G39" s="1"/>
      <c r="H39" s="5"/>
      <c r="J39" s="2">
        <f t="shared" ref="J39" si="12">ROUND(+D39*J$43,2)</f>
        <v>875890.55</v>
      </c>
      <c r="K39" s="2">
        <f>-J39*K21</f>
        <v>-613123.38500000001</v>
      </c>
      <c r="L39" s="2">
        <f>-J39-K39</f>
        <v>-262767.16500000004</v>
      </c>
      <c r="M39" s="2">
        <f>SUM(J39:L39)</f>
        <v>0</v>
      </c>
    </row>
    <row r="40" spans="2:21" ht="6.95" customHeight="1" x14ac:dyDescent="0.25">
      <c r="C40" s="1" t="s">
        <v>51</v>
      </c>
      <c r="D40" s="1" t="s">
        <v>51</v>
      </c>
      <c r="J40" s="1" t="s">
        <v>51</v>
      </c>
      <c r="K40" s="1" t="s">
        <v>51</v>
      </c>
      <c r="L40" s="1" t="s">
        <v>51</v>
      </c>
      <c r="M40" s="1" t="s">
        <v>51</v>
      </c>
      <c r="N40" s="1" t="s">
        <v>51</v>
      </c>
      <c r="O40" s="1" t="s">
        <v>51</v>
      </c>
      <c r="P40" s="1" t="s">
        <v>51</v>
      </c>
      <c r="Q40" s="1" t="s">
        <v>52</v>
      </c>
    </row>
    <row r="41" spans="2:21" x14ac:dyDescent="0.25">
      <c r="B41" t="s">
        <v>55</v>
      </c>
      <c r="C41" s="1">
        <v>331322</v>
      </c>
      <c r="D41" s="5">
        <f>+D38+D39</f>
        <v>1</v>
      </c>
      <c r="J41" s="2">
        <f t="shared" ref="J41:Q41" si="13">+J38+J39</f>
        <v>1101389.44</v>
      </c>
      <c r="K41" s="2">
        <f t="shared" si="13"/>
        <v>0</v>
      </c>
      <c r="L41" s="2">
        <f t="shared" si="13"/>
        <v>0</v>
      </c>
      <c r="M41" s="2">
        <f t="shared" si="13"/>
        <v>1101389.44</v>
      </c>
      <c r="N41" s="2">
        <f t="shared" si="13"/>
        <v>-14909.726214769651</v>
      </c>
      <c r="O41" s="2">
        <f t="shared" si="13"/>
        <v>1086479.7137852304</v>
      </c>
      <c r="P41" s="2">
        <f t="shared" si="13"/>
        <v>14909.726214769647</v>
      </c>
      <c r="Q41" s="2">
        <f t="shared" si="13"/>
        <v>1101389.44</v>
      </c>
    </row>
    <row r="42" spans="2:21" x14ac:dyDescent="0.25">
      <c r="J42" s="1"/>
    </row>
    <row r="43" spans="2:21" x14ac:dyDescent="0.25">
      <c r="B43" t="s">
        <v>56</v>
      </c>
      <c r="J43" s="1">
        <f>+F10</f>
        <v>1101389.48</v>
      </c>
    </row>
    <row r="45" spans="2:21" x14ac:dyDescent="0.25">
      <c r="B45" t="s">
        <v>57</v>
      </c>
      <c r="C45" s="9" t="s">
        <v>58</v>
      </c>
      <c r="D45" s="9"/>
      <c r="E45" s="10" t="s">
        <v>58</v>
      </c>
      <c r="F45" s="9"/>
      <c r="G45" s="9" t="s">
        <v>58</v>
      </c>
      <c r="J45" s="9" t="s">
        <v>59</v>
      </c>
      <c r="K45" s="8" t="s">
        <v>60</v>
      </c>
      <c r="L45" s="8"/>
    </row>
    <row r="46" spans="2:21" x14ac:dyDescent="0.25">
      <c r="E46" s="1"/>
      <c r="J46" s="9" t="s">
        <v>61</v>
      </c>
    </row>
    <row r="50" spans="2:19" x14ac:dyDescent="0.25">
      <c r="B50" s="13" t="s">
        <v>62</v>
      </c>
      <c r="S50" s="2"/>
    </row>
    <row r="51" spans="2:19" x14ac:dyDescent="0.25">
      <c r="M51" s="9"/>
      <c r="N51" s="9" t="s">
        <v>16</v>
      </c>
      <c r="O51" s="9"/>
      <c r="P51" s="9"/>
    </row>
    <row r="52" spans="2:19" ht="17.25" x14ac:dyDescent="0.4">
      <c r="C52" s="12" t="s">
        <v>63</v>
      </c>
      <c r="D52" s="12"/>
      <c r="E52" s="12"/>
      <c r="F52" s="12"/>
      <c r="L52" s="11" t="s">
        <v>18</v>
      </c>
      <c r="M52" s="9"/>
      <c r="N52" s="9" t="s">
        <v>19</v>
      </c>
      <c r="O52" s="9"/>
      <c r="P52" s="11" t="s">
        <v>18</v>
      </c>
    </row>
    <row r="53" spans="2:19" x14ac:dyDescent="0.25">
      <c r="C53" s="9" t="s">
        <v>64</v>
      </c>
      <c r="D53" s="9"/>
      <c r="E53" s="9" t="s">
        <v>65</v>
      </c>
      <c r="F53" s="9"/>
      <c r="J53" s="9" t="s">
        <v>16</v>
      </c>
      <c r="K53" s="9" t="s">
        <v>16</v>
      </c>
      <c r="L53" s="9" t="s">
        <v>16</v>
      </c>
      <c r="M53" s="9"/>
      <c r="N53" s="9" t="s">
        <v>23</v>
      </c>
      <c r="O53" s="9" t="s">
        <v>24</v>
      </c>
      <c r="P53" s="9" t="s">
        <v>25</v>
      </c>
    </row>
    <row r="54" spans="2:19" x14ac:dyDescent="0.25">
      <c r="C54" s="9" t="s">
        <v>66</v>
      </c>
      <c r="D54" s="9" t="s">
        <v>27</v>
      </c>
      <c r="E54" s="9" t="s">
        <v>66</v>
      </c>
      <c r="F54" s="9" t="s">
        <v>27</v>
      </c>
      <c r="J54" s="9" t="s">
        <v>67</v>
      </c>
      <c r="K54" s="9" t="s">
        <v>68</v>
      </c>
      <c r="L54" s="9" t="s">
        <v>19</v>
      </c>
      <c r="M54" s="11" t="s">
        <v>31</v>
      </c>
      <c r="N54" s="11" t="s">
        <v>31</v>
      </c>
      <c r="O54" s="9" t="s">
        <v>32</v>
      </c>
      <c r="P54" s="9" t="s">
        <v>19</v>
      </c>
    </row>
    <row r="55" spans="2:19" x14ac:dyDescent="0.25">
      <c r="C55" s="9"/>
      <c r="D55" s="9"/>
      <c r="E55" s="9"/>
      <c r="F55" s="9"/>
    </row>
    <row r="56" spans="2:19" x14ac:dyDescent="0.25">
      <c r="B56" t="s">
        <v>69</v>
      </c>
      <c r="C56" s="9"/>
      <c r="D56" s="9"/>
      <c r="E56" s="9"/>
      <c r="F56" s="9"/>
      <c r="J56" s="15">
        <v>0.8</v>
      </c>
      <c r="K56" s="15">
        <v>0.2</v>
      </c>
    </row>
    <row r="57" spans="2:19" x14ac:dyDescent="0.25">
      <c r="C57" s="9"/>
      <c r="D57" s="9"/>
      <c r="E57" s="9"/>
      <c r="F57" s="9"/>
      <c r="J57" s="15"/>
      <c r="K57" s="15"/>
    </row>
    <row r="58" spans="2:19" x14ac:dyDescent="0.25">
      <c r="B58" t="s">
        <v>36</v>
      </c>
    </row>
    <row r="59" spans="2:19" x14ac:dyDescent="0.25">
      <c r="B59" s="14" t="s">
        <v>70</v>
      </c>
      <c r="C59" s="1">
        <v>521125.7952456057</v>
      </c>
      <c r="D59" s="5">
        <f>+C59/C$71</f>
        <v>0.44490343173823804</v>
      </c>
      <c r="E59" s="1">
        <v>919633.3683414408</v>
      </c>
      <c r="F59" s="5">
        <f>+E59/E$71</f>
        <v>0.42933659513422612</v>
      </c>
      <c r="J59" s="1">
        <f>+D59*J$73</f>
        <v>645105.89002732816</v>
      </c>
      <c r="K59" s="1">
        <f>+F59*K$73</f>
        <v>155633.52997933456</v>
      </c>
      <c r="L59" s="2">
        <f>+J59+K59</f>
        <v>800739.42000666272</v>
      </c>
      <c r="N59" s="2">
        <f>+L59+M59</f>
        <v>800739.42000666272</v>
      </c>
      <c r="O59" s="2">
        <f>-M$71*N59/N$71</f>
        <v>16258.806196778116</v>
      </c>
      <c r="P59" s="2">
        <f>+N59+O59</f>
        <v>816998.2262034408</v>
      </c>
    </row>
    <row r="60" spans="2:19" x14ac:dyDescent="0.25">
      <c r="B60" s="14" t="s">
        <v>71</v>
      </c>
      <c r="C60" s="1">
        <v>25642</v>
      </c>
      <c r="D60" s="5">
        <f>+C60/C$71</f>
        <v>2.1891477836469848E-2</v>
      </c>
      <c r="E60" s="1">
        <v>45250.8</v>
      </c>
      <c r="F60" s="5">
        <f>+E60/E$71</f>
        <v>2.1125619260790776E-2</v>
      </c>
      <c r="J60" s="1">
        <f>+D60*J$73</f>
        <v>31742.44181154883</v>
      </c>
      <c r="K60" s="1">
        <f>+F60*K$73</f>
        <v>7657.9884776148338</v>
      </c>
      <c r="L60" s="2">
        <f>+J60+K60</f>
        <v>39400.430289163662</v>
      </c>
      <c r="M60" s="2">
        <f>-L60*0.25</f>
        <v>-9850.1075722909154</v>
      </c>
      <c r="N60" s="2">
        <f>+L60+M60</f>
        <v>29550.322716872746</v>
      </c>
      <c r="O60" s="2">
        <f>-M$71*N60/N$71</f>
        <v>600.01163687168798</v>
      </c>
      <c r="P60" s="2">
        <f>+N60+O60</f>
        <v>30150.334353744434</v>
      </c>
      <c r="S60" s="2"/>
    </row>
    <row r="61" spans="2:19" x14ac:dyDescent="0.25">
      <c r="B61" s="14" t="s">
        <v>72</v>
      </c>
      <c r="C61" s="1">
        <v>4687</v>
      </c>
      <c r="D61" s="5">
        <f>+C61/C$71</f>
        <v>4.0014568528014263E-3</v>
      </c>
      <c r="E61" s="1">
        <v>8271.9</v>
      </c>
      <c r="F61" s="5">
        <f>+E61/E$71</f>
        <v>3.861788299065104E-3</v>
      </c>
      <c r="J61" s="1">
        <f>+D61*J$73</f>
        <v>5802.0756871823323</v>
      </c>
      <c r="K61" s="1">
        <f>+F61*K$73</f>
        <v>1399.8893917451655</v>
      </c>
      <c r="L61" s="2">
        <f>+J61+K61</f>
        <v>7201.9650789274983</v>
      </c>
      <c r="M61" s="2">
        <f>-L61*0.05</f>
        <v>-360.09825394637494</v>
      </c>
      <c r="N61" s="2">
        <f>+L61+M61</f>
        <v>6841.8668249811235</v>
      </c>
      <c r="O61" s="2">
        <f>-M$71*N61/N$71</f>
        <v>138.92233097579748</v>
      </c>
      <c r="P61" s="2">
        <f>+N61+O61</f>
        <v>6980.7891559569207</v>
      </c>
    </row>
    <row r="62" spans="2:19" x14ac:dyDescent="0.25">
      <c r="B62" t="s">
        <v>73</v>
      </c>
      <c r="L62" s="2"/>
    </row>
    <row r="63" spans="2:19" x14ac:dyDescent="0.25">
      <c r="B63" s="14" t="s">
        <v>70</v>
      </c>
      <c r="C63" s="1">
        <v>525268.15689644939</v>
      </c>
      <c r="D63" s="5">
        <f>+C63/C$71</f>
        <v>0.44843991166453429</v>
      </c>
      <c r="E63" s="1">
        <v>1010044.1118290683</v>
      </c>
      <c r="F63" s="5">
        <f>+E63/E$71</f>
        <v>0.47154541672422312</v>
      </c>
      <c r="J63" s="1">
        <f>+D63*J$73</f>
        <v>650233.75344142609</v>
      </c>
      <c r="K63" s="1">
        <f>+F63*K$73</f>
        <v>170934.13089425411</v>
      </c>
      <c r="L63" s="2">
        <f>+J63+K63</f>
        <v>821167.88433568017</v>
      </c>
      <c r="N63" s="2">
        <f>+L63+M63</f>
        <v>821167.88433568017</v>
      </c>
      <c r="O63" s="2">
        <f>-M$71*N63/N$71</f>
        <v>16673.600865461376</v>
      </c>
      <c r="P63" s="2">
        <f>+N63+O63</f>
        <v>837841.48520114156</v>
      </c>
    </row>
    <row r="64" spans="2:19" x14ac:dyDescent="0.25">
      <c r="B64" s="14" t="s">
        <v>71</v>
      </c>
      <c r="C64" s="1">
        <v>65289.452509953531</v>
      </c>
      <c r="D64" s="5">
        <f>+C64/C$71</f>
        <v>5.5739903384170432E-2</v>
      </c>
      <c r="E64" s="1">
        <v>111685.60741950356</v>
      </c>
      <c r="F64" s="5">
        <f>+E64/E$71</f>
        <v>5.2141125002311155E-2</v>
      </c>
      <c r="J64" s="1">
        <f>+D64*J$73</f>
        <v>80822.347991774455</v>
      </c>
      <c r="K64" s="1">
        <f>+F64*K$73</f>
        <v>18901.038097314791</v>
      </c>
      <c r="L64" s="2">
        <f>+J64+K64</f>
        <v>99723.386089089239</v>
      </c>
      <c r="M64" s="2">
        <f>-L64*0.25</f>
        <v>-24930.84652227231</v>
      </c>
      <c r="N64" s="2">
        <f>+L64+M64</f>
        <v>74792.539566816937</v>
      </c>
      <c r="O64" s="2">
        <f>-M$71*N64/N$71</f>
        <v>1518.6431133509293</v>
      </c>
      <c r="P64" s="2">
        <f>+N64+O64</f>
        <v>76311.182680167869</v>
      </c>
    </row>
    <row r="65" spans="2:16" x14ac:dyDescent="0.25">
      <c r="B65" s="14" t="s">
        <v>72</v>
      </c>
      <c r="C65" s="1">
        <v>8201.7097292130093</v>
      </c>
      <c r="D65" s="5">
        <f>+C65/C$71</f>
        <v>7.0020882442175221E-3</v>
      </c>
      <c r="E65" s="1">
        <v>16246.805389385367</v>
      </c>
      <c r="F65" s="5">
        <f>+E65/E$71</f>
        <v>7.5849228049077334E-3</v>
      </c>
      <c r="J65" s="1">
        <f>+D65*J$73</f>
        <v>10152.963646936973</v>
      </c>
      <c r="K65" s="1">
        <f>+F65*K$73</f>
        <v>2749.5171017962934</v>
      </c>
      <c r="L65" s="2">
        <f>+J65+K65</f>
        <v>12902.480748733266</v>
      </c>
      <c r="M65" s="2">
        <f>-L65*0.05</f>
        <v>-645.12403743666334</v>
      </c>
      <c r="N65" s="2">
        <f>+L65+M65</f>
        <v>12257.356711296603</v>
      </c>
      <c r="O65" s="2">
        <f>-M$71*N65/N$71</f>
        <v>248.88244824026623</v>
      </c>
      <c r="P65" s="2">
        <f>+N65+O65</f>
        <v>12506.23915953687</v>
      </c>
    </row>
    <row r="66" spans="2:16" x14ac:dyDescent="0.25">
      <c r="B66" t="s">
        <v>74</v>
      </c>
    </row>
    <row r="67" spans="2:16" x14ac:dyDescent="0.25">
      <c r="B67" s="14" t="s">
        <v>70</v>
      </c>
      <c r="C67" s="1">
        <v>20373.11894044622</v>
      </c>
      <c r="D67" s="5">
        <f>+C67/C$71</f>
        <v>1.739324864458866E-2</v>
      </c>
      <c r="E67" s="1">
        <v>29493.730224578827</v>
      </c>
      <c r="F67" s="5">
        <f>+E67/E$71</f>
        <v>1.3769332593123866E-2</v>
      </c>
      <c r="J67" s="1">
        <f>+D67*J$73</f>
        <v>25220.050795058007</v>
      </c>
      <c r="K67" s="1">
        <f>+F67*K$73</f>
        <v>4991.351450619768</v>
      </c>
      <c r="L67" s="2">
        <f>+J67+K67</f>
        <v>30211.402245677775</v>
      </c>
      <c r="N67" s="2">
        <f>+L67+M67</f>
        <v>30211.402245677775</v>
      </c>
      <c r="O67" s="2">
        <f>-M$71*N67/N$71</f>
        <v>613.43468520794818</v>
      </c>
      <c r="P67" s="2">
        <f>+N67+O67</f>
        <v>30824.836930885722</v>
      </c>
    </row>
    <row r="68" spans="2:16" x14ac:dyDescent="0.25">
      <c r="B68" s="14" t="s">
        <v>71</v>
      </c>
      <c r="C68" s="1">
        <v>729.99723833199937</v>
      </c>
      <c r="D68" s="5">
        <f>+C68/C$71</f>
        <v>6.2322433365685824E-4</v>
      </c>
      <c r="E68" s="1">
        <v>1351.2324760233523</v>
      </c>
      <c r="F68" s="5">
        <f>+E68/E$71</f>
        <v>6.3083134046878597E-4</v>
      </c>
      <c r="J68" s="1">
        <f>+D68*J$73</f>
        <v>903.66956011016418</v>
      </c>
      <c r="K68" s="1">
        <f>+F68*K$73</f>
        <v>228.67491253117723</v>
      </c>
      <c r="L68" s="2">
        <f>+J68+K68</f>
        <v>1132.3444726413413</v>
      </c>
      <c r="M68" s="2">
        <f>-L68*0.25</f>
        <v>-283.08611816033533</v>
      </c>
      <c r="N68" s="2">
        <f>+L68+M68</f>
        <v>849.25835448100599</v>
      </c>
      <c r="O68" s="2">
        <f>-M$71*N68/N$71</f>
        <v>17.24397057458027</v>
      </c>
      <c r="P68" s="2">
        <f>+N68+O68</f>
        <v>866.50232505558631</v>
      </c>
    </row>
    <row r="69" spans="2:16" x14ac:dyDescent="0.25">
      <c r="B69" s="14" t="s">
        <v>72</v>
      </c>
      <c r="C69" s="1">
        <v>6.1580000000000004</v>
      </c>
      <c r="D69" s="5">
        <f>+C69/C$71</f>
        <v>5.2573013227120082E-6</v>
      </c>
      <c r="E69" s="1">
        <v>9.3580000000000005</v>
      </c>
      <c r="F69" s="5">
        <f>+E69/E$71</f>
        <v>4.3688408833099105E-6</v>
      </c>
      <c r="J69" s="1">
        <f>+D69*J$73</f>
        <v>7.6230386348770649</v>
      </c>
      <c r="K69" s="1">
        <f>+F69*K$73</f>
        <v>1.5836947893411746</v>
      </c>
      <c r="L69" s="2">
        <f>+J69+K69</f>
        <v>9.206733424218239</v>
      </c>
      <c r="M69" s="2">
        <f>-L69*0.05</f>
        <v>-0.46033667121091199</v>
      </c>
      <c r="N69" s="2">
        <f>+L69+M69</f>
        <v>8.7463967530073266</v>
      </c>
      <c r="O69" s="2">
        <f>-M$71*N69/N$71</f>
        <v>0.17759331709445786</v>
      </c>
      <c r="P69" s="2">
        <f>+N69+O69</f>
        <v>8.9239900701017838</v>
      </c>
    </row>
    <row r="71" spans="2:16" x14ac:dyDescent="0.25">
      <c r="B71" t="s">
        <v>12</v>
      </c>
      <c r="C71" s="2">
        <f>SUM(C59:C70)</f>
        <v>1171323.3885600001</v>
      </c>
      <c r="D71" s="4">
        <f>SUM(D59:D70)</f>
        <v>0.99999999999999989</v>
      </c>
      <c r="E71" s="2">
        <f>SUM(E59:E70)</f>
        <v>2141986.9136800002</v>
      </c>
      <c r="F71" s="4">
        <f>SUM(F59:F70)</f>
        <v>0.99999999999999989</v>
      </c>
      <c r="J71" s="2">
        <f t="shared" ref="J71:O71" si="14">SUM(J59:J70)</f>
        <v>1449990.8160000001</v>
      </c>
      <c r="K71" s="2">
        <f t="shared" si="14"/>
        <v>362497.70399999997</v>
      </c>
      <c r="L71" s="2">
        <f t="shared" si="14"/>
        <v>1812488.5199999998</v>
      </c>
      <c r="M71" s="2">
        <f t="shared" si="14"/>
        <v>-36069.722840777802</v>
      </c>
      <c r="N71" s="2">
        <f t="shared" si="14"/>
        <v>1776418.7971592224</v>
      </c>
      <c r="O71" s="2">
        <f t="shared" si="14"/>
        <v>36069.722840777787</v>
      </c>
      <c r="P71" s="2">
        <f>+N71+O71</f>
        <v>1812488.5200000003</v>
      </c>
    </row>
    <row r="73" spans="2:16" x14ac:dyDescent="0.25">
      <c r="B73" t="s">
        <v>56</v>
      </c>
      <c r="J73" s="1">
        <f>+$G10*J56</f>
        <v>1449990.8160000001</v>
      </c>
      <c r="K73" s="1">
        <f>+$G10*K56</f>
        <v>362497.70400000003</v>
      </c>
      <c r="L73" s="2">
        <f>+J73+K73</f>
        <v>1812488.52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13CB0F-B98C-417B-B852-CAAA18123019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1eecfb3-5e1e-4c14-a199-821554a453d0"/>
    <ds:schemaRef ds:uri="http://purl.org/dc/elements/1.1/"/>
    <ds:schemaRef ds:uri="http://schemas.openxmlformats.org/package/2006/metadata/core-properties"/>
    <ds:schemaRef ds:uri="74a816c8-2012-4a06-9eee-7fac2e12fc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D30DF7-47F9-40E7-93FB-AA0171360FB8}"/>
</file>

<file path=customXml/itemProps3.xml><?xml version="1.0" encoding="utf-8"?>
<ds:datastoreItem xmlns:ds="http://schemas.openxmlformats.org/officeDocument/2006/customXml" ds:itemID="{825C62DD-FA8C-46EE-84C3-25B8DF5515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PLUG-I-2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</dc:creator>
  <cp:keywords/>
  <dc:description/>
  <cp:lastModifiedBy>Merritt, Brian L.</cp:lastModifiedBy>
  <cp:revision/>
  <dcterms:created xsi:type="dcterms:W3CDTF">2023-03-28T16:55:02Z</dcterms:created>
  <dcterms:modified xsi:type="dcterms:W3CDTF">2023-03-29T12:19:21Z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