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ome Build\Desktop\TAP-R 4.12\"/>
    </mc:Choice>
  </mc:AlternateContent>
  <xr:revisionPtr revIDLastSave="0" documentId="13_ncr:1_{63AFF467-6CD7-46CB-8E56-CBC35CC7DF02}" xr6:coauthVersionLast="47" xr6:coauthVersionMax="47" xr10:uidLastSave="{00000000-0000-0000-0000-000000000000}"/>
  <bookViews>
    <workbookView xWindow="-120" yWindow="-120" windowWidth="37710" windowHeight="21840" activeTab="3" xr2:uid="{A730DA0E-9619-4B6F-9E28-17383FB43102}"/>
  </bookViews>
  <sheets>
    <sheet name="Inputs" sheetId="1" r:id="rId1"/>
    <sheet name="PV &amp; WIFIA New" sheetId="6" r:id="rId2"/>
    <sheet name="PV &amp; WIFIA Calculation Old" sheetId="2" state="hidden" r:id="rId3"/>
    <sheet name="Aggregate" sheetId="3" r:id="rId4"/>
  </sheets>
  <definedNames>
    <definedName name="Borrower">Inputs!$B$1</definedName>
    <definedName name="Closing_1">Inputs!$B$5</definedName>
    <definedName name="Closing_2">Inputs!$C$5</definedName>
    <definedName name="Closing_3">Inputs!$D$5</definedName>
    <definedName name="Closing_4">Inputs!$E$5</definedName>
    <definedName name="Closing_5">Inputs!$F$5</definedName>
    <definedName name="Closing_6">Inputs!#REF!</definedName>
    <definedName name="Closing_7">Inputs!#REF!</definedName>
    <definedName name="COI_1">Inputs!$B$11</definedName>
    <definedName name="COI_2">Inputs!$C$11</definedName>
    <definedName name="COI_3">Inputs!$D$11</definedName>
    <definedName name="COI_4">Inputs!$E$11</definedName>
    <definedName name="COI_5">Inputs!$F$11</definedName>
    <definedName name="COI_6">Inputs!#REF!</definedName>
    <definedName name="COI_7">Inputs!#REF!</definedName>
    <definedName name="drawAmounts">Inputs!$B$13:$F$19</definedName>
    <definedName name="drawDates">Inputs!$A$13:$A$19</definedName>
    <definedName name="First_Principal_1">Inputs!$B$6</definedName>
    <definedName name="First_Principal_2">Inputs!$C$6</definedName>
    <definedName name="First_Principal_3">Inputs!$D$6</definedName>
    <definedName name="First_Principal_4">Inputs!$E$6</definedName>
    <definedName name="First_Principal_5">Inputs!$F$6</definedName>
    <definedName name="First_Principal_6">Inputs!#REF!</definedName>
    <definedName name="First_Principal_7">Inputs!#REF!</definedName>
    <definedName name="Loan_Rate_1">Inputs!$B$9</definedName>
    <definedName name="Loan_Rate_2">Inputs!$C$9</definedName>
    <definedName name="Loan_Rate_3">Inputs!$D$9</definedName>
    <definedName name="Loan_Rate_4">Inputs!$E$9</definedName>
    <definedName name="Loan_Rate_5">Inputs!$F$9</definedName>
    <definedName name="Loan_Rate_6">Inputs!#REF!</definedName>
    <definedName name="Loan_Rate_7">Inputs!#REF!</definedName>
    <definedName name="Loan_Term_1">Inputs!$B$7</definedName>
    <definedName name="Loan_Term_2">Inputs!$C$7</definedName>
    <definedName name="Loan_Term_3">Inputs!$D$7</definedName>
    <definedName name="Loan_Term_4">Inputs!$E$7</definedName>
    <definedName name="Loan_Term_5">Inputs!$F$7</definedName>
    <definedName name="Loan_Term_6">Inputs!#REF!</definedName>
    <definedName name="Loan_Term_7">Inputs!#REF!</definedName>
    <definedName name="Project_1">Inputs!$B$4</definedName>
    <definedName name="Project_2">Inputs!$C$4</definedName>
    <definedName name="Project_3">Inputs!$D$4</definedName>
    <definedName name="Project_4">Inputs!$E$4</definedName>
    <definedName name="Project_5">Inputs!$F$4</definedName>
    <definedName name="Project_6">Inputs!#REF!</definedName>
    <definedName name="Project_7">Inputs!#REF!</definedName>
    <definedName name="projectData">Inputs!$B$4:$F$23</definedName>
    <definedName name="projectIndex">Inputs!$B$3:$F$3</definedName>
    <definedName name="projectInfo">Inputs!$A$4:$A$23</definedName>
    <definedName name="PWTemplate">'PV &amp; WIFIA New'!$M$1:$AK$55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6" l="1" a="1"/>
  <c r="N15" i="6" s="1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DN29" i="6" a="1"/>
  <c r="DN29" i="6" s="1"/>
  <c r="DM29" i="6"/>
  <c r="DM28" i="6"/>
  <c r="DN28" i="6" s="1" a="1"/>
  <c r="DN28" i="6" s="1"/>
  <c r="F25" i="1"/>
  <c r="E25" i="1"/>
  <c r="D25" i="1"/>
  <c r="C25" i="1"/>
  <c r="B25" i="1"/>
  <c r="B32" i="1" s="1"/>
  <c r="A22" i="1"/>
  <c r="A23" i="1" s="1"/>
  <c r="AA11" i="6" l="1"/>
  <c r="AA12" i="6"/>
  <c r="AA13" i="6"/>
  <c r="AA14" i="6"/>
  <c r="AA15" i="6"/>
  <c r="AA16" i="6"/>
  <c r="AA17" i="6"/>
  <c r="AA18" i="6"/>
  <c r="AA19" i="6"/>
  <c r="AA20" i="6"/>
  <c r="AA21" i="6"/>
  <c r="DN19" i="6" l="1" a="1"/>
  <c r="DN19" i="6" s="1"/>
  <c r="DM19" i="6"/>
  <c r="DQ18" i="6"/>
  <c r="DM18" i="6"/>
  <c r="DN18" i="6" s="1" a="1"/>
  <c r="DN18" i="6" s="1"/>
  <c r="DM17" i="6"/>
  <c r="DM16" i="6"/>
  <c r="DN16" i="6" s="1" a="1"/>
  <c r="DN16" i="6" s="1"/>
  <c r="DM15" i="6"/>
  <c r="DN15" i="6" s="1" a="1"/>
  <c r="DN15" i="6" s="1"/>
  <c r="DM14" i="6"/>
  <c r="DN14" i="6" s="1" a="1"/>
  <c r="DN14" i="6" s="1"/>
  <c r="DM13" i="6"/>
  <c r="DN13" i="6" s="1" a="1"/>
  <c r="DN13" i="6" s="1"/>
  <c r="DM12" i="6"/>
  <c r="DN12" i="6" s="1" a="1"/>
  <c r="DN12" i="6" s="1"/>
  <c r="DQ11" i="6" s="1"/>
  <c r="DM11" i="6"/>
  <c r="DN11" i="6" s="1" a="1"/>
  <c r="DN11" i="6" s="1"/>
  <c r="DU10" i="6"/>
  <c r="DV10" i="6" s="1" a="1"/>
  <c r="DU10" i="6" a="1"/>
  <c r="DM10" i="6"/>
  <c r="DN10" i="6" s="1" a="1"/>
  <c r="DN10" i="6" s="1"/>
  <c r="DX6" i="6" s="1"/>
  <c r="CM19" i="6"/>
  <c r="CN19" i="6" s="1" a="1"/>
  <c r="CN19" i="6" s="1"/>
  <c r="CQ18" i="6"/>
  <c r="CM18" i="6"/>
  <c r="CN18" i="6" s="1" a="1"/>
  <c r="CN18" i="6" s="1"/>
  <c r="CM17" i="6"/>
  <c r="CM16" i="6"/>
  <c r="CN16" i="6" s="1" a="1"/>
  <c r="CN16" i="6" s="1"/>
  <c r="CM15" i="6"/>
  <c r="CN15" i="6" s="1" a="1"/>
  <c r="CN15" i="6" s="1"/>
  <c r="CM14" i="6"/>
  <c r="CN14" i="6" s="1" a="1"/>
  <c r="CN14" i="6" s="1"/>
  <c r="CM13" i="6"/>
  <c r="CN13" i="6" s="1" a="1"/>
  <c r="CN13" i="6" s="1"/>
  <c r="CM12" i="6"/>
  <c r="CN12" i="6" s="1" a="1"/>
  <c r="CN12" i="6" s="1"/>
  <c r="CQ11" i="6" s="1"/>
  <c r="CM11" i="6"/>
  <c r="CN11" i="6" s="1" a="1"/>
  <c r="CN11" i="6" s="1"/>
  <c r="CU10" i="6" a="1"/>
  <c r="CU10" i="6" s="1"/>
  <c r="CV10" i="6" s="1" a="1"/>
  <c r="CM10" i="6"/>
  <c r="CN10" i="6" s="1" a="1"/>
  <c r="CN10" i="6" s="1"/>
  <c r="CX6" i="6" s="1"/>
  <c r="BM19" i="6"/>
  <c r="BN19" i="6" s="1" a="1"/>
  <c r="BN19" i="6" s="1"/>
  <c r="BQ18" i="6"/>
  <c r="BM18" i="6"/>
  <c r="BN18" i="6" s="1" a="1"/>
  <c r="BN18" i="6" s="1"/>
  <c r="BM17" i="6"/>
  <c r="BM16" i="6"/>
  <c r="BN16" i="6" s="1" a="1"/>
  <c r="BN16" i="6" s="1"/>
  <c r="BM15" i="6"/>
  <c r="BN15" i="6" s="1" a="1"/>
  <c r="BN15" i="6" s="1"/>
  <c r="BM14" i="6"/>
  <c r="BN14" i="6" s="1" a="1"/>
  <c r="BN14" i="6" s="1"/>
  <c r="BM13" i="6"/>
  <c r="BN13" i="6" s="1" a="1"/>
  <c r="BN13" i="6" s="1"/>
  <c r="BM12" i="6"/>
  <c r="BN12" i="6" s="1" a="1"/>
  <c r="BN12" i="6" s="1"/>
  <c r="BQ11" i="6" s="1"/>
  <c r="BM11" i="6"/>
  <c r="BN11" i="6" s="1" a="1"/>
  <c r="BN11" i="6" s="1"/>
  <c r="BU10" i="6" a="1"/>
  <c r="BU10" i="6" s="1"/>
  <c r="BV10" i="6" s="1" a="1"/>
  <c r="BM10" i="6"/>
  <c r="BN10" i="6" s="1" a="1"/>
  <c r="BN10" i="6" s="1"/>
  <c r="BX6" i="6" s="1"/>
  <c r="AM19" i="6"/>
  <c r="AN19" i="6" s="1" a="1"/>
  <c r="AN19" i="6" s="1"/>
  <c r="AQ18" i="6"/>
  <c r="AM18" i="6"/>
  <c r="AN18" i="6" s="1" a="1"/>
  <c r="AN18" i="6" s="1"/>
  <c r="AM17" i="6"/>
  <c r="AM16" i="6"/>
  <c r="AN16" i="6" s="1" a="1"/>
  <c r="AN16" i="6" s="1"/>
  <c r="AM15" i="6"/>
  <c r="AN15" i="6" s="1" a="1"/>
  <c r="AN15" i="6" s="1"/>
  <c r="AM14" i="6"/>
  <c r="AN14" i="6" s="1" a="1"/>
  <c r="AN14" i="6" s="1"/>
  <c r="AM13" i="6"/>
  <c r="AN13" i="6" s="1" a="1"/>
  <c r="AN13" i="6" s="1"/>
  <c r="AM12" i="6"/>
  <c r="AN12" i="6" s="1" a="1"/>
  <c r="AN12" i="6" s="1"/>
  <c r="AQ11" i="6" s="1"/>
  <c r="AM11" i="6"/>
  <c r="AN11" i="6" s="1" a="1"/>
  <c r="AN11" i="6" s="1"/>
  <c r="AU10" i="6" a="1"/>
  <c r="AU10" i="6" s="1"/>
  <c r="AV10" i="6" s="1" a="1"/>
  <c r="AM10" i="6"/>
  <c r="AN10" i="6" s="1" a="1"/>
  <c r="AN10" i="6" s="1"/>
  <c r="AX6" i="6" s="1"/>
  <c r="Q18" i="6"/>
  <c r="M19" i="6"/>
  <c r="N19" i="6" s="1" a="1"/>
  <c r="N19" i="6" s="1"/>
  <c r="M18" i="6"/>
  <c r="N18" i="6" s="1" a="1"/>
  <c r="N18" i="6" s="1"/>
  <c r="M17" i="6"/>
  <c r="M16" i="6"/>
  <c r="N16" i="6" s="1" a="1"/>
  <c r="N16" i="6" s="1"/>
  <c r="M15" i="6"/>
  <c r="M14" i="6"/>
  <c r="N14" i="6" s="1" a="1"/>
  <c r="N14" i="6" s="1"/>
  <c r="M13" i="6"/>
  <c r="N13" i="6" s="1" a="1"/>
  <c r="N13" i="6" s="1"/>
  <c r="M12" i="6"/>
  <c r="N12" i="6" s="1" a="1"/>
  <c r="N12" i="6" s="1"/>
  <c r="M11" i="6"/>
  <c r="N11" i="6" s="1" a="1"/>
  <c r="N11" i="6" s="1"/>
  <c r="M10" i="6"/>
  <c r="N10" i="6" s="1" a="1"/>
  <c r="N10" i="6" s="1"/>
  <c r="AD11" i="6" l="1"/>
  <c r="X11" i="6"/>
  <c r="Q14" i="6"/>
  <c r="B27" i="1"/>
  <c r="B7" i="6"/>
  <c r="DQ12" i="6"/>
  <c r="DQ13" i="6" s="1"/>
  <c r="DQ14" i="6"/>
  <c r="EG3" i="6" s="1"/>
  <c r="DV10" i="6"/>
  <c r="CQ12" i="6"/>
  <c r="CQ13" i="6" s="1"/>
  <c r="CV10" i="6"/>
  <c r="CQ14" i="6"/>
  <c r="DG3" i="6" s="1"/>
  <c r="BV10" i="6"/>
  <c r="BQ12" i="6"/>
  <c r="BQ13" i="6" s="1"/>
  <c r="BQ14" i="6"/>
  <c r="CG3" i="6" s="1"/>
  <c r="CF3" i="6" s="1" a="1"/>
  <c r="CF3" i="6" s="1"/>
  <c r="AQ14" i="6"/>
  <c r="BG3" i="6" s="1"/>
  <c r="AV10" i="6"/>
  <c r="AQ12" i="6"/>
  <c r="AQ13" i="6" s="1"/>
  <c r="DY53" i="6" l="1"/>
  <c r="DY46" i="6"/>
  <c r="DY39" i="6"/>
  <c r="DY45" i="6"/>
  <c r="DY40" i="6"/>
  <c r="DY11" i="6"/>
  <c r="DY44" i="6"/>
  <c r="EE10" i="6"/>
  <c r="DY38" i="6"/>
  <c r="DY43" i="6"/>
  <c r="DY52" i="6"/>
  <c r="DY50" i="6"/>
  <c r="DY54" i="6"/>
  <c r="DY51" i="6"/>
  <c r="DY37" i="6"/>
  <c r="DY42" i="6"/>
  <c r="DY47" i="6"/>
  <c r="DY48" i="6"/>
  <c r="DY49" i="6"/>
  <c r="DY41" i="6"/>
  <c r="AY54" i="6"/>
  <c r="CY43" i="6"/>
  <c r="CY48" i="6"/>
  <c r="CY45" i="6"/>
  <c r="AY35" i="6"/>
  <c r="AY37" i="6"/>
  <c r="CY54" i="6"/>
  <c r="CY47" i="6"/>
  <c r="CY52" i="6"/>
  <c r="CY53" i="6"/>
  <c r="CY39" i="6"/>
  <c r="CY40" i="6"/>
  <c r="CY41" i="6"/>
  <c r="AY34" i="6"/>
  <c r="CY46" i="6"/>
  <c r="CY36" i="6"/>
  <c r="CY37" i="6"/>
  <c r="DS10" i="6" a="1"/>
  <c r="DS10" i="6" s="1"/>
  <c r="DY10" i="6"/>
  <c r="DT10" i="6" a="1"/>
  <c r="DT10" i="6" s="1"/>
  <c r="EF3" i="6" a="1"/>
  <c r="EF3" i="6" s="1"/>
  <c r="CY50" i="6"/>
  <c r="CY38" i="6"/>
  <c r="CY42" i="6"/>
  <c r="CY51" i="6"/>
  <c r="CY44" i="6"/>
  <c r="CY49" i="6"/>
  <c r="CY11" i="6"/>
  <c r="DF3" i="6" a="1"/>
  <c r="DF3" i="6" s="1"/>
  <c r="CY10" i="6"/>
  <c r="CT10" i="6" a="1"/>
  <c r="CT10" i="6" s="1"/>
  <c r="DE10" i="6"/>
  <c r="CS10" i="6" a="1"/>
  <c r="CS10" i="6" s="1"/>
  <c r="BY36" i="6"/>
  <c r="BY42" i="6"/>
  <c r="BY52" i="6"/>
  <c r="BY11" i="6"/>
  <c r="BY43" i="6"/>
  <c r="BY46" i="6"/>
  <c r="BY45" i="6"/>
  <c r="BY34" i="6"/>
  <c r="BY38" i="6"/>
  <c r="BY47" i="6"/>
  <c r="BY40" i="6"/>
  <c r="BY49" i="6"/>
  <c r="BY50" i="6"/>
  <c r="BY54" i="6"/>
  <c r="BY35" i="6"/>
  <c r="BY51" i="6"/>
  <c r="BY44" i="6"/>
  <c r="BY37" i="6"/>
  <c r="BY53" i="6"/>
  <c r="BS10" i="6" a="1"/>
  <c r="BS10" i="6" s="1"/>
  <c r="BY10" i="6"/>
  <c r="BT10" i="6" a="1"/>
  <c r="BT10" i="6" s="1"/>
  <c r="CE10" i="6"/>
  <c r="BY39" i="6"/>
  <c r="BY48" i="6"/>
  <c r="BY41" i="6"/>
  <c r="AY36" i="6"/>
  <c r="AY41" i="6"/>
  <c r="BE10" i="6"/>
  <c r="AY48" i="6"/>
  <c r="AY53" i="6"/>
  <c r="AY52" i="6"/>
  <c r="AY11" i="6"/>
  <c r="AY42" i="6"/>
  <c r="AY39" i="6"/>
  <c r="AY38" i="6"/>
  <c r="AY43" i="6"/>
  <c r="AY40" i="6"/>
  <c r="AY45" i="6"/>
  <c r="AY10" i="6"/>
  <c r="AS10" i="6" a="1"/>
  <c r="AS10" i="6" s="1"/>
  <c r="AT10" i="6" a="1"/>
  <c r="AT10" i="6" s="1"/>
  <c r="AY50" i="6"/>
  <c r="AY47" i="6"/>
  <c r="AY46" i="6"/>
  <c r="AY51" i="6"/>
  <c r="AY44" i="6"/>
  <c r="AY33" i="6"/>
  <c r="AY49" i="6"/>
  <c r="BF3" i="6" a="1"/>
  <c r="BF3" i="6" s="1"/>
  <c r="BI10" i="6" l="1"/>
  <c r="DY15" i="6"/>
  <c r="DY13" i="6"/>
  <c r="DY12" i="6"/>
  <c r="DY16" i="6"/>
  <c r="DY14" i="6"/>
  <c r="EF10" i="6"/>
  <c r="DZ10" i="6"/>
  <c r="EA10" i="6" s="1"/>
  <c r="EI10" i="6"/>
  <c r="DI10" i="6"/>
  <c r="CY12" i="6"/>
  <c r="CY13" i="6"/>
  <c r="CY15" i="6"/>
  <c r="CY14" i="6"/>
  <c r="CZ10" i="6"/>
  <c r="DF10" i="6"/>
  <c r="CF10" i="6"/>
  <c r="CG10" i="6" s="1"/>
  <c r="BZ10" i="6"/>
  <c r="CA10" i="6" s="1"/>
  <c r="BY12" i="6"/>
  <c r="CI10" i="6"/>
  <c r="AY12" i="6"/>
  <c r="BF10" i="6"/>
  <c r="AZ10" i="6"/>
  <c r="BA10" i="6" s="1"/>
  <c r="EJ10" i="6" l="1"/>
  <c r="EG10" i="6"/>
  <c r="DJ10" i="6"/>
  <c r="DA10" i="6"/>
  <c r="DG10" i="6"/>
  <c r="CK10" i="6"/>
  <c r="CJ10" i="6"/>
  <c r="BJ10" i="6"/>
  <c r="BG10" i="6"/>
  <c r="K67" i="3"/>
  <c r="J67" i="3"/>
  <c r="I67" i="3"/>
  <c r="H67" i="3"/>
  <c r="K66" i="3"/>
  <c r="J66" i="3"/>
  <c r="I66" i="3"/>
  <c r="H66" i="3"/>
  <c r="K65" i="3"/>
  <c r="J65" i="3"/>
  <c r="I65" i="3"/>
  <c r="H65" i="3"/>
  <c r="K64" i="3"/>
  <c r="J64" i="3"/>
  <c r="I64" i="3"/>
  <c r="H64" i="3"/>
  <c r="K63" i="3"/>
  <c r="J63" i="3"/>
  <c r="I63" i="3"/>
  <c r="H63" i="3"/>
  <c r="K62" i="3"/>
  <c r="J62" i="3"/>
  <c r="I62" i="3"/>
  <c r="H62" i="3"/>
  <c r="K61" i="3"/>
  <c r="J61" i="3"/>
  <c r="I61" i="3"/>
  <c r="H61" i="3"/>
  <c r="K60" i="3"/>
  <c r="J60" i="3"/>
  <c r="I60" i="3"/>
  <c r="H60" i="3"/>
  <c r="K59" i="3"/>
  <c r="J59" i="3"/>
  <c r="I59" i="3"/>
  <c r="H59" i="3"/>
  <c r="K58" i="3"/>
  <c r="J58" i="3"/>
  <c r="I58" i="3"/>
  <c r="H58" i="3"/>
  <c r="K57" i="3"/>
  <c r="J57" i="3"/>
  <c r="I57" i="3"/>
  <c r="H57" i="3"/>
  <c r="K56" i="3"/>
  <c r="J56" i="3"/>
  <c r="I56" i="3"/>
  <c r="H56" i="3"/>
  <c r="K55" i="3"/>
  <c r="J55" i="3"/>
  <c r="I55" i="3"/>
  <c r="H55" i="3"/>
  <c r="K54" i="3"/>
  <c r="J54" i="3"/>
  <c r="I54" i="3"/>
  <c r="H54" i="3"/>
  <c r="K53" i="3"/>
  <c r="J53" i="3"/>
  <c r="I53" i="3"/>
  <c r="H53" i="3"/>
  <c r="G67" i="3"/>
  <c r="F67" i="3"/>
  <c r="E67" i="3"/>
  <c r="D67" i="3"/>
  <c r="G66" i="3"/>
  <c r="F66" i="3"/>
  <c r="E66" i="3"/>
  <c r="D66" i="3"/>
  <c r="G65" i="3"/>
  <c r="F65" i="3"/>
  <c r="E65" i="3"/>
  <c r="D65" i="3"/>
  <c r="G64" i="3"/>
  <c r="F64" i="3"/>
  <c r="E64" i="3"/>
  <c r="D64" i="3"/>
  <c r="G63" i="3"/>
  <c r="F63" i="3"/>
  <c r="E63" i="3"/>
  <c r="D63" i="3"/>
  <c r="G62" i="3"/>
  <c r="F62" i="3"/>
  <c r="E62" i="3"/>
  <c r="D62" i="3"/>
  <c r="G61" i="3"/>
  <c r="F61" i="3"/>
  <c r="E61" i="3"/>
  <c r="D61" i="3"/>
  <c r="G60" i="3"/>
  <c r="F60" i="3"/>
  <c r="E60" i="3"/>
  <c r="D60" i="3"/>
  <c r="G59" i="3"/>
  <c r="F59" i="3"/>
  <c r="E59" i="3"/>
  <c r="D59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F54" i="3"/>
  <c r="E54" i="3"/>
  <c r="D54" i="3"/>
  <c r="G53" i="3"/>
  <c r="F53" i="3"/>
  <c r="E53" i="3"/>
  <c r="D53" i="3"/>
  <c r="U10" i="6" a="1"/>
  <c r="U10" i="6" s="1"/>
  <c r="EK10" i="6" l="1"/>
  <c r="DK10" i="6"/>
  <c r="BK10" i="6"/>
  <c r="V10" i="6" a="1"/>
  <c r="X48" i="6" l="1"/>
  <c r="X40" i="6"/>
  <c r="X32" i="6"/>
  <c r="X24" i="6"/>
  <c r="X16" i="6"/>
  <c r="X22" i="6"/>
  <c r="X53" i="6"/>
  <c r="X37" i="6"/>
  <c r="X21" i="6"/>
  <c r="X13" i="6"/>
  <c r="X44" i="6"/>
  <c r="X20" i="6"/>
  <c r="X43" i="6"/>
  <c r="X27" i="6"/>
  <c r="X50" i="6"/>
  <c r="X34" i="6"/>
  <c r="X33" i="6"/>
  <c r="X17" i="6"/>
  <c r="X47" i="6"/>
  <c r="X39" i="6"/>
  <c r="X31" i="6"/>
  <c r="X23" i="6"/>
  <c r="X15" i="6"/>
  <c r="X54" i="6"/>
  <c r="X46" i="6"/>
  <c r="X38" i="6"/>
  <c r="X30" i="6"/>
  <c r="X14" i="6"/>
  <c r="X45" i="6"/>
  <c r="X29" i="6"/>
  <c r="X52" i="6"/>
  <c r="X36" i="6"/>
  <c r="X28" i="6"/>
  <c r="X12" i="6"/>
  <c r="X51" i="6"/>
  <c r="X35" i="6"/>
  <c r="X19" i="6"/>
  <c r="X42" i="6"/>
  <c r="X26" i="6"/>
  <c r="X18" i="6"/>
  <c r="X49" i="6"/>
  <c r="X41" i="6"/>
  <c r="X25" i="6"/>
  <c r="V10" i="6"/>
  <c r="C10" i="6" l="1" a="1"/>
  <c r="C10" i="6" l="1"/>
  <c r="AD53" i="6"/>
  <c r="AD45" i="6"/>
  <c r="AD37" i="6"/>
  <c r="AD29" i="6"/>
  <c r="AD21" i="6"/>
  <c r="AD13" i="6"/>
  <c r="AD50" i="6"/>
  <c r="AD33" i="6"/>
  <c r="AD48" i="6"/>
  <c r="AD32" i="6"/>
  <c r="AD16" i="6"/>
  <c r="AD39" i="6"/>
  <c r="AD23" i="6"/>
  <c r="AD46" i="6"/>
  <c r="AD30" i="6"/>
  <c r="AD14" i="6"/>
  <c r="AD52" i="6"/>
  <c r="AD44" i="6"/>
  <c r="AD36" i="6"/>
  <c r="AD28" i="6"/>
  <c r="AD20" i="6"/>
  <c r="AD12" i="6"/>
  <c r="AD51" i="6"/>
  <c r="AD43" i="6"/>
  <c r="AD35" i="6"/>
  <c r="AD27" i="6"/>
  <c r="AD19" i="6"/>
  <c r="AD42" i="6"/>
  <c r="AD34" i="6"/>
  <c r="AD26" i="6"/>
  <c r="AD18" i="6"/>
  <c r="AD49" i="6"/>
  <c r="AD41" i="6"/>
  <c r="AD25" i="6"/>
  <c r="AD17" i="6"/>
  <c r="AD40" i="6"/>
  <c r="AD24" i="6"/>
  <c r="AD47" i="6"/>
  <c r="AD31" i="6"/>
  <c r="AD15" i="6"/>
  <c r="AD54" i="6"/>
  <c r="AD38" i="6"/>
  <c r="AD22" i="6"/>
  <c r="I6" i="2" l="1"/>
  <c r="O6" i="2"/>
  <c r="U6" i="2"/>
  <c r="AA6" i="2"/>
  <c r="AG6" i="2"/>
  <c r="AM6" i="2"/>
  <c r="C7" i="3"/>
  <c r="C3" i="3"/>
  <c r="AM4" i="2" l="1"/>
  <c r="AG4" i="2"/>
  <c r="AA4" i="2"/>
  <c r="U4" i="2"/>
  <c r="O4" i="2"/>
  <c r="I4" i="2"/>
  <c r="C4" i="2"/>
  <c r="AM7" i="2"/>
  <c r="AM8" i="2" s="1"/>
  <c r="AM3" i="2"/>
  <c r="AG7" i="2"/>
  <c r="AH7" i="2" s="1"/>
  <c r="AG3" i="2"/>
  <c r="AA7" i="2"/>
  <c r="AA8" i="2" s="1"/>
  <c r="AA3" i="2"/>
  <c r="U7" i="2"/>
  <c r="U3" i="2"/>
  <c r="O7" i="2"/>
  <c r="O3" i="2"/>
  <c r="I7" i="2"/>
  <c r="I3" i="2"/>
  <c r="C6" i="2"/>
  <c r="C7" i="2" s="1"/>
  <c r="C3" i="2"/>
  <c r="A14" i="1"/>
  <c r="DM20" i="6" l="1"/>
  <c r="M20" i="6"/>
  <c r="AM20" i="6"/>
  <c r="CM20" i="6"/>
  <c r="BM20" i="6"/>
  <c r="C8" i="2"/>
  <c r="C9" i="2" s="1"/>
  <c r="D7" i="2"/>
  <c r="U8" i="2"/>
  <c r="U9" i="2" s="1"/>
  <c r="U10" i="2" s="1"/>
  <c r="AA9" i="2"/>
  <c r="AA10" i="2" s="1"/>
  <c r="O8" i="2"/>
  <c r="AM9" i="2"/>
  <c r="AM10" i="2" s="1"/>
  <c r="AG8" i="2"/>
  <c r="A15" i="1"/>
  <c r="AN7" i="2"/>
  <c r="I8" i="2"/>
  <c r="CN20" i="6" l="1" a="1"/>
  <c r="CN20" i="6" s="1"/>
  <c r="AN20" i="6" a="1"/>
  <c r="AN20" i="6" s="1"/>
  <c r="N20" i="6" a="1"/>
  <c r="N20" i="6" s="1"/>
  <c r="CM21" i="6"/>
  <c r="CN21" i="6" s="1" a="1"/>
  <c r="CN21" i="6" s="1"/>
  <c r="BM21" i="6"/>
  <c r="BN21" i="6" s="1" a="1"/>
  <c r="BN21" i="6" s="1"/>
  <c r="DM21" i="6"/>
  <c r="DN21" i="6" s="1" a="1"/>
  <c r="DN21" i="6" s="1"/>
  <c r="AM21" i="6"/>
  <c r="AN21" i="6" s="1" a="1"/>
  <c r="AN21" i="6" s="1"/>
  <c r="M21" i="6"/>
  <c r="N21" i="6" s="1" a="1"/>
  <c r="N21" i="6" s="1"/>
  <c r="BN20" i="6" a="1"/>
  <c r="BN20" i="6" s="1"/>
  <c r="DN20" i="6" a="1"/>
  <c r="DN20" i="6" s="1"/>
  <c r="J7" i="2"/>
  <c r="A16" i="1"/>
  <c r="D9" i="2" s="1"/>
  <c r="AG9" i="2"/>
  <c r="AH8" i="2"/>
  <c r="AN8" i="2"/>
  <c r="O9" i="2"/>
  <c r="I9" i="2"/>
  <c r="D8" i="2"/>
  <c r="AN10" i="2"/>
  <c r="AN9" i="2"/>
  <c r="C10" i="2"/>
  <c r="AM11" i="2"/>
  <c r="AA11" i="2"/>
  <c r="U11" i="2"/>
  <c r="DM22" i="6" l="1"/>
  <c r="DN22" i="6" s="1" a="1"/>
  <c r="DN22" i="6" s="1"/>
  <c r="AM22" i="6"/>
  <c r="AN22" i="6" s="1" a="1"/>
  <c r="AN22" i="6" s="1"/>
  <c r="CM22" i="6"/>
  <c r="CN22" i="6" s="1" a="1"/>
  <c r="CN22" i="6" s="1"/>
  <c r="BM22" i="6"/>
  <c r="BN22" i="6" s="1" a="1"/>
  <c r="BN22" i="6" s="1"/>
  <c r="M22" i="6"/>
  <c r="P7" i="2"/>
  <c r="J8" i="2"/>
  <c r="A17" i="1"/>
  <c r="I10" i="2"/>
  <c r="C11" i="2"/>
  <c r="O10" i="2"/>
  <c r="AH9" i="2"/>
  <c r="AG10" i="2"/>
  <c r="AM12" i="2"/>
  <c r="AA12" i="2"/>
  <c r="U12" i="2"/>
  <c r="N22" i="6" l="1" a="1"/>
  <c r="N22" i="6" s="1"/>
  <c r="DM23" i="6"/>
  <c r="DN23" i="6" s="1" a="1"/>
  <c r="DN23" i="6" s="1"/>
  <c r="CM23" i="6"/>
  <c r="CN23" i="6" s="1" a="1"/>
  <c r="CN23" i="6" s="1"/>
  <c r="BM23" i="6"/>
  <c r="BN23" i="6" s="1" a="1"/>
  <c r="BN23" i="6" s="1"/>
  <c r="M23" i="6"/>
  <c r="N23" i="6" s="1" a="1"/>
  <c r="N23" i="6" s="1"/>
  <c r="AM23" i="6"/>
  <c r="P8" i="2"/>
  <c r="J9" i="2"/>
  <c r="T10" i="6" a="1"/>
  <c r="T10" i="6" s="1"/>
  <c r="S10" i="6" a="1"/>
  <c r="S10" i="6" s="1"/>
  <c r="X6" i="6"/>
  <c r="Q11" i="6"/>
  <c r="D10" i="2"/>
  <c r="AN11" i="2"/>
  <c r="A18" i="1"/>
  <c r="I11" i="2"/>
  <c r="O11" i="2"/>
  <c r="AH10" i="2"/>
  <c r="AG11" i="2"/>
  <c r="C12" i="2"/>
  <c r="AM13" i="2"/>
  <c r="AA13" i="2"/>
  <c r="U13" i="2"/>
  <c r="AN23" i="6" l="1" a="1"/>
  <c r="AN23" i="6" s="1"/>
  <c r="M24" i="6"/>
  <c r="N24" i="6" s="1" a="1"/>
  <c r="N24" i="6" s="1"/>
  <c r="AM24" i="6"/>
  <c r="AN24" i="6" s="1" a="1"/>
  <c r="AN24" i="6" s="1"/>
  <c r="DM24" i="6"/>
  <c r="DN24" i="6" s="1" a="1"/>
  <c r="DN24" i="6" s="1"/>
  <c r="CM24" i="6"/>
  <c r="BM24" i="6"/>
  <c r="BN24" i="6" s="1" a="1"/>
  <c r="BN24" i="6" s="1"/>
  <c r="AF10" i="6"/>
  <c r="J10" i="6" s="1"/>
  <c r="Z10" i="6"/>
  <c r="F10" i="6" s="1"/>
  <c r="AG3" i="6"/>
  <c r="AF3" i="6" s="1" a="1"/>
  <c r="AF3" i="6" s="1"/>
  <c r="P9" i="2"/>
  <c r="Q12" i="6"/>
  <c r="Q13" i="6" s="1"/>
  <c r="AE10" i="6" s="1"/>
  <c r="J10" i="2"/>
  <c r="D11" i="2"/>
  <c r="AN12" i="2"/>
  <c r="A19" i="1"/>
  <c r="I12" i="2"/>
  <c r="O12" i="2"/>
  <c r="AH11" i="2"/>
  <c r="AG12" i="2"/>
  <c r="C13" i="2"/>
  <c r="AM14" i="2"/>
  <c r="AA14" i="2"/>
  <c r="U14" i="2"/>
  <c r="V14" i="2" s="1"/>
  <c r="AB14" i="2" l="1"/>
  <c r="J12" i="2"/>
  <c r="CM25" i="6"/>
  <c r="CN25" i="6" s="1" a="1"/>
  <c r="CN25" i="6" s="1"/>
  <c r="BM25" i="6"/>
  <c r="BN25" i="6" s="1" a="1"/>
  <c r="BN25" i="6" s="1"/>
  <c r="DM25" i="6"/>
  <c r="DN25" i="6" s="1" a="1"/>
  <c r="DN25" i="6" s="1"/>
  <c r="AM25" i="6"/>
  <c r="M25" i="6"/>
  <c r="N25" i="6" s="1" a="1"/>
  <c r="N25" i="6" s="1"/>
  <c r="CN24" i="6" a="1"/>
  <c r="CN24" i="6" s="1"/>
  <c r="E41" i="6"/>
  <c r="E43" i="6"/>
  <c r="E53" i="6"/>
  <c r="Y10" i="6"/>
  <c r="E10" i="6" s="1"/>
  <c r="E49" i="6"/>
  <c r="E52" i="6"/>
  <c r="E51" i="6"/>
  <c r="E42" i="6"/>
  <c r="E48" i="6"/>
  <c r="E47" i="6"/>
  <c r="V7" i="2"/>
  <c r="P11" i="2"/>
  <c r="V12" i="2"/>
  <c r="E40" i="6"/>
  <c r="E37" i="6"/>
  <c r="E11" i="6"/>
  <c r="E44" i="6"/>
  <c r="E50" i="6"/>
  <c r="E46" i="6"/>
  <c r="E45" i="6"/>
  <c r="E38" i="6"/>
  <c r="E54" i="6"/>
  <c r="E39" i="6"/>
  <c r="V11" i="2"/>
  <c r="AB12" i="2"/>
  <c r="V9" i="2"/>
  <c r="V10" i="2"/>
  <c r="AB11" i="2"/>
  <c r="AB8" i="2"/>
  <c r="P10" i="2"/>
  <c r="AB9" i="2"/>
  <c r="AB10" i="2"/>
  <c r="V8" i="2"/>
  <c r="AB7" i="2"/>
  <c r="J11" i="2"/>
  <c r="A20" i="1"/>
  <c r="I13" i="2"/>
  <c r="J13" i="2" s="1"/>
  <c r="D12" i="2"/>
  <c r="AN13" i="2"/>
  <c r="V13" i="2"/>
  <c r="AN14" i="2"/>
  <c r="AB13" i="2"/>
  <c r="C14" i="2"/>
  <c r="D13" i="2"/>
  <c r="P12" i="2"/>
  <c r="O13" i="2"/>
  <c r="AH12" i="2"/>
  <c r="AG13" i="2"/>
  <c r="AM15" i="2"/>
  <c r="AN15" i="2" s="1"/>
  <c r="AA15" i="2"/>
  <c r="AB15" i="2" s="1"/>
  <c r="U15" i="2"/>
  <c r="V15" i="2" s="1"/>
  <c r="DM26" i="6" l="1"/>
  <c r="DN26" i="6" s="1" a="1"/>
  <c r="DN26" i="6" s="1"/>
  <c r="AM26" i="6"/>
  <c r="AN26" i="6" s="1" a="1"/>
  <c r="AN26" i="6" s="1"/>
  <c r="CM26" i="6"/>
  <c r="CN26" i="6" s="1" a="1"/>
  <c r="CN26" i="6" s="1"/>
  <c r="BM26" i="6"/>
  <c r="BN26" i="6" s="1" a="1"/>
  <c r="BN26" i="6" s="1"/>
  <c r="M26" i="6"/>
  <c r="AN25" i="6" a="1"/>
  <c r="AN25" i="6" s="1"/>
  <c r="AA10" i="6"/>
  <c r="A21" i="1"/>
  <c r="I14" i="2"/>
  <c r="J14" i="2" s="1"/>
  <c r="P13" i="2"/>
  <c r="O14" i="2"/>
  <c r="AH13" i="2"/>
  <c r="AG14" i="2"/>
  <c r="C15" i="2"/>
  <c r="D14" i="2"/>
  <c r="AM16" i="2"/>
  <c r="AN16" i="2" s="1"/>
  <c r="AA16" i="2"/>
  <c r="AB16" i="2" s="1"/>
  <c r="U16" i="2"/>
  <c r="V16" i="2" s="1"/>
  <c r="DM27" i="6" l="1"/>
  <c r="CM27" i="6"/>
  <c r="BM27" i="6"/>
  <c r="M27" i="6"/>
  <c r="N27" i="6" s="1" a="1"/>
  <c r="N27" i="6" s="1"/>
  <c r="AM27" i="6"/>
  <c r="N26" i="6" a="1"/>
  <c r="N26" i="6" s="1"/>
  <c r="I15" i="2"/>
  <c r="J15" i="2" s="1"/>
  <c r="G10" i="6"/>
  <c r="I10" i="6"/>
  <c r="E35" i="3"/>
  <c r="P14" i="2"/>
  <c r="O15" i="2"/>
  <c r="AH14" i="2"/>
  <c r="AG15" i="2"/>
  <c r="C16" i="2"/>
  <c r="D15" i="2"/>
  <c r="AM17" i="2"/>
  <c r="AN17" i="2" s="1"/>
  <c r="AA17" i="2"/>
  <c r="AB17" i="2" s="1"/>
  <c r="U17" i="2"/>
  <c r="V17" i="2" s="1"/>
  <c r="I16" i="2" l="1"/>
  <c r="J16" i="2" s="1"/>
  <c r="BN27" i="6" a="1"/>
  <c r="BN27" i="6" s="1"/>
  <c r="BQ16" i="6" s="1"/>
  <c r="CN27" i="6" a="1"/>
  <c r="CN27" i="6" s="1"/>
  <c r="CQ16" i="6" s="1"/>
  <c r="AN27" i="6" a="1"/>
  <c r="AN27" i="6" s="1"/>
  <c r="AQ16" i="6" s="1"/>
  <c r="DN27" i="6" a="1"/>
  <c r="DN27" i="6" s="1"/>
  <c r="Q16" i="6"/>
  <c r="E8" i="3"/>
  <c r="E9" i="3"/>
  <c r="E36" i="3"/>
  <c r="C17" i="2"/>
  <c r="D16" i="2"/>
  <c r="AH15" i="2"/>
  <c r="AG16" i="2"/>
  <c r="P15" i="2"/>
  <c r="O16" i="2"/>
  <c r="AM18" i="2"/>
  <c r="AN18" i="2" s="1"/>
  <c r="AA18" i="2"/>
  <c r="AB18" i="2" s="1"/>
  <c r="U18" i="2"/>
  <c r="V18" i="2" s="1"/>
  <c r="I17" i="2"/>
  <c r="J17" i="2" s="1"/>
  <c r="CX10" i="6" l="1" a="1"/>
  <c r="CX10" i="6" s="1"/>
  <c r="CY29" i="6" s="1"/>
  <c r="DQ16" i="6"/>
  <c r="DX10" i="6" a="1"/>
  <c r="DX10" i="6" s="1"/>
  <c r="DY20" i="6" s="1"/>
  <c r="AX10" i="6" a="1"/>
  <c r="AX10" i="6" s="1"/>
  <c r="AY15" i="6" s="1"/>
  <c r="BX10" i="6" a="1"/>
  <c r="BX10" i="6" s="1"/>
  <c r="AB10" i="6"/>
  <c r="W11" i="6" s="1"/>
  <c r="AB11" i="6" s="1"/>
  <c r="W12" i="6" s="1"/>
  <c r="AB12" i="6" s="1"/>
  <c r="W13" i="6" s="1"/>
  <c r="AB13" i="6" s="1"/>
  <c r="W14" i="6" s="1"/>
  <c r="AB14" i="6" s="1"/>
  <c r="W15" i="6" s="1"/>
  <c r="AB15" i="6" s="1"/>
  <c r="W16" i="6" s="1"/>
  <c r="AB16" i="6" s="1"/>
  <c r="W17" i="6" s="1"/>
  <c r="AB17" i="6" s="1"/>
  <c r="W18" i="6" s="1"/>
  <c r="AB18" i="6" s="1"/>
  <c r="W19" i="6" s="1"/>
  <c r="AB19" i="6" s="1"/>
  <c r="W20" i="6" s="1"/>
  <c r="AB20" i="6" s="1"/>
  <c r="W21" i="6" s="1"/>
  <c r="AB21" i="6" s="1"/>
  <c r="W22" i="6" s="1"/>
  <c r="F8" i="3"/>
  <c r="C18" i="2"/>
  <c r="D17" i="2"/>
  <c r="P16" i="2"/>
  <c r="O17" i="2"/>
  <c r="AH16" i="2"/>
  <c r="AG17" i="2"/>
  <c r="AM19" i="2"/>
  <c r="AN19" i="2" s="1"/>
  <c r="AA19" i="2"/>
  <c r="AB19" i="2" s="1"/>
  <c r="U19" i="2"/>
  <c r="V19" i="2" s="1"/>
  <c r="I18" i="2"/>
  <c r="J18" i="2" s="1"/>
  <c r="DB10" i="6" l="1"/>
  <c r="CW11" i="6" s="1"/>
  <c r="CY27" i="6"/>
  <c r="CY23" i="6"/>
  <c r="CY33" i="6"/>
  <c r="CY21" i="6"/>
  <c r="CX9" i="6"/>
  <c r="CY35" i="6"/>
  <c r="CY19" i="6"/>
  <c r="CY26" i="6"/>
  <c r="CY18" i="6"/>
  <c r="CY24" i="6"/>
  <c r="CY17" i="6"/>
  <c r="CY32" i="6"/>
  <c r="CY20" i="6"/>
  <c r="CY28" i="6"/>
  <c r="CY34" i="6"/>
  <c r="CY22" i="6"/>
  <c r="CY31" i="6"/>
  <c r="CY30" i="6"/>
  <c r="CY25" i="6"/>
  <c r="CY16" i="6"/>
  <c r="DY34" i="6"/>
  <c r="DY31" i="6"/>
  <c r="DY25" i="6"/>
  <c r="DY17" i="6"/>
  <c r="DY21" i="6"/>
  <c r="DY19" i="6"/>
  <c r="DY28" i="6"/>
  <c r="DY30" i="6"/>
  <c r="DY27" i="6"/>
  <c r="DY26" i="6"/>
  <c r="DY23" i="6"/>
  <c r="AY31" i="6"/>
  <c r="DY24" i="6"/>
  <c r="DY22" i="6"/>
  <c r="EB10" i="6"/>
  <c r="DW11" i="6" s="1"/>
  <c r="EB11" i="6" s="1"/>
  <c r="DW12" i="6" s="1"/>
  <c r="DY32" i="6"/>
  <c r="DY35" i="6"/>
  <c r="D34" i="6"/>
  <c r="D32" i="3" s="1"/>
  <c r="DY33" i="6"/>
  <c r="DX9" i="6"/>
  <c r="DY36" i="6"/>
  <c r="E36" i="6" s="1"/>
  <c r="E34" i="3" s="1"/>
  <c r="DY18" i="6"/>
  <c r="DY29" i="6"/>
  <c r="D22" i="6"/>
  <c r="D20" i="3" s="1"/>
  <c r="X9" i="6"/>
  <c r="D46" i="6"/>
  <c r="D44" i="3" s="1"/>
  <c r="D10" i="6"/>
  <c r="AX9" i="6"/>
  <c r="D33" i="6"/>
  <c r="D31" i="3" s="1"/>
  <c r="D44" i="6"/>
  <c r="D42" i="3" s="1"/>
  <c r="D27" i="6"/>
  <c r="D25" i="3" s="1"/>
  <c r="D30" i="6"/>
  <c r="D28" i="3" s="1"/>
  <c r="D13" i="6"/>
  <c r="D11" i="3" s="1"/>
  <c r="D36" i="6"/>
  <c r="D34" i="3" s="1"/>
  <c r="D53" i="6"/>
  <c r="D51" i="3" s="1"/>
  <c r="D50" i="6"/>
  <c r="D48" i="3" s="1"/>
  <c r="D47" i="6"/>
  <c r="D45" i="3" s="1"/>
  <c r="AY28" i="6"/>
  <c r="D51" i="6"/>
  <c r="D49" i="3" s="1"/>
  <c r="D40" i="6"/>
  <c r="D38" i="3" s="1"/>
  <c r="D16" i="6"/>
  <c r="D14" i="3" s="1"/>
  <c r="D18" i="6"/>
  <c r="D16" i="3" s="1"/>
  <c r="D31" i="6"/>
  <c r="D29" i="3" s="1"/>
  <c r="D41" i="6"/>
  <c r="D39" i="3" s="1"/>
  <c r="D24" i="6"/>
  <c r="D22" i="3" s="1"/>
  <c r="D23" i="6"/>
  <c r="D21" i="3" s="1"/>
  <c r="AY24" i="6"/>
  <c r="D26" i="6"/>
  <c r="D24" i="3" s="1"/>
  <c r="D54" i="6"/>
  <c r="D52" i="3" s="1"/>
  <c r="D17" i="6"/>
  <c r="D15" i="3" s="1"/>
  <c r="D45" i="6"/>
  <c r="D43" i="3" s="1"/>
  <c r="D21" i="6"/>
  <c r="D19" i="3" s="1"/>
  <c r="D15" i="6"/>
  <c r="D13" i="3" s="1"/>
  <c r="D19" i="6"/>
  <c r="D17" i="3" s="1"/>
  <c r="D32" i="6"/>
  <c r="D30" i="3" s="1"/>
  <c r="D29" i="6"/>
  <c r="D27" i="3" s="1"/>
  <c r="AY19" i="6"/>
  <c r="AY13" i="6"/>
  <c r="AY23" i="6"/>
  <c r="AY27" i="6"/>
  <c r="AY18" i="6"/>
  <c r="BB10" i="6"/>
  <c r="AW11" i="6" s="1"/>
  <c r="BB11" i="6" s="1"/>
  <c r="AW12" i="6" s="1"/>
  <c r="AY30" i="6"/>
  <c r="AY26" i="6"/>
  <c r="D39" i="6"/>
  <c r="D37" i="3" s="1"/>
  <c r="AY16" i="6"/>
  <c r="AY29" i="6"/>
  <c r="AY14" i="6"/>
  <c r="AY17" i="6"/>
  <c r="AY32" i="6"/>
  <c r="AY21" i="6"/>
  <c r="AY25" i="6"/>
  <c r="AY22" i="6"/>
  <c r="AY20" i="6"/>
  <c r="D43" i="6"/>
  <c r="D41" i="3" s="1"/>
  <c r="D11" i="6"/>
  <c r="D9" i="3" s="1"/>
  <c r="D28" i="6"/>
  <c r="D26" i="3" s="1"/>
  <c r="D42" i="6"/>
  <c r="D40" i="3" s="1"/>
  <c r="D12" i="6"/>
  <c r="D10" i="3" s="1"/>
  <c r="D25" i="6"/>
  <c r="D23" i="3" s="1"/>
  <c r="D35" i="6"/>
  <c r="D33" i="3" s="1"/>
  <c r="D48" i="6"/>
  <c r="D46" i="3" s="1"/>
  <c r="D38" i="6"/>
  <c r="D36" i="3" s="1"/>
  <c r="D14" i="6"/>
  <c r="D12" i="3" s="1"/>
  <c r="AA22" i="6"/>
  <c r="AB22" i="6"/>
  <c r="W23" i="6" s="1"/>
  <c r="D52" i="6"/>
  <c r="D50" i="3" s="1"/>
  <c r="D20" i="6"/>
  <c r="D18" i="3" s="1"/>
  <c r="D49" i="6"/>
  <c r="D47" i="3" s="1"/>
  <c r="D37" i="6"/>
  <c r="D35" i="3" s="1"/>
  <c r="DB11" i="6"/>
  <c r="CW12" i="6" s="1"/>
  <c r="CZ11" i="6"/>
  <c r="BY13" i="6"/>
  <c r="BY25" i="6"/>
  <c r="CB10" i="6"/>
  <c r="BW11" i="6" s="1"/>
  <c r="BY32" i="6"/>
  <c r="BY21" i="6"/>
  <c r="BY30" i="6"/>
  <c r="BY23" i="6"/>
  <c r="BY16" i="6"/>
  <c r="BY14" i="6"/>
  <c r="BX9" i="6"/>
  <c r="BY17" i="6"/>
  <c r="BY27" i="6"/>
  <c r="BY31" i="6"/>
  <c r="BY18" i="6"/>
  <c r="BY24" i="6"/>
  <c r="BY22" i="6"/>
  <c r="BY29" i="6"/>
  <c r="BY26" i="6"/>
  <c r="BY20" i="6"/>
  <c r="BY33" i="6"/>
  <c r="BY15" i="6"/>
  <c r="E15" i="6" s="1"/>
  <c r="E13" i="3" s="1"/>
  <c r="BY28" i="6"/>
  <c r="BY19" i="6"/>
  <c r="E12" i="6"/>
  <c r="E10" i="3" s="1"/>
  <c r="Y9" i="6"/>
  <c r="G8" i="3"/>
  <c r="E37" i="3"/>
  <c r="AH17" i="2"/>
  <c r="AG18" i="2"/>
  <c r="P17" i="2"/>
  <c r="O18" i="2"/>
  <c r="C19" i="2"/>
  <c r="D18" i="2"/>
  <c r="AM20" i="2"/>
  <c r="AN20" i="2" s="1"/>
  <c r="AA20" i="2"/>
  <c r="AB20" i="2" s="1"/>
  <c r="U20" i="2"/>
  <c r="V20" i="2" s="1"/>
  <c r="I19" i="2"/>
  <c r="J19" i="2" s="1"/>
  <c r="E31" i="6" l="1"/>
  <c r="E29" i="3" s="1"/>
  <c r="E35" i="6"/>
  <c r="E33" i="3" s="1"/>
  <c r="E22" i="6"/>
  <c r="E20" i="3" s="1"/>
  <c r="E34" i="6"/>
  <c r="E32" i="3" s="1"/>
  <c r="CY9" i="6"/>
  <c r="E21" i="6"/>
  <c r="E19" i="3" s="1"/>
  <c r="E33" i="6"/>
  <c r="E31" i="3" s="1"/>
  <c r="AZ11" i="6"/>
  <c r="BA11" i="6" s="1"/>
  <c r="DY9" i="6"/>
  <c r="E17" i="6"/>
  <c r="E15" i="3" s="1"/>
  <c r="DZ11" i="6"/>
  <c r="EA11" i="6" s="1"/>
  <c r="E28" i="6"/>
  <c r="E26" i="3" s="1"/>
  <c r="E18" i="6"/>
  <c r="E16" i="3" s="1"/>
  <c r="E25" i="6"/>
  <c r="E23" i="3" s="1"/>
  <c r="E26" i="6"/>
  <c r="E24" i="3" s="1"/>
  <c r="E32" i="6"/>
  <c r="E30" i="3" s="1"/>
  <c r="E20" i="6"/>
  <c r="E18" i="3" s="1"/>
  <c r="E23" i="6"/>
  <c r="E21" i="3" s="1"/>
  <c r="E24" i="6"/>
  <c r="E22" i="3" s="1"/>
  <c r="E29" i="6"/>
  <c r="E27" i="3" s="1"/>
  <c r="E27" i="6"/>
  <c r="E25" i="3" s="1"/>
  <c r="E30" i="6"/>
  <c r="E28" i="3" s="1"/>
  <c r="E19" i="6"/>
  <c r="E17" i="3" s="1"/>
  <c r="AY9" i="6"/>
  <c r="CB11" i="6"/>
  <c r="BW12" i="6" s="1"/>
  <c r="BZ11" i="6"/>
  <c r="BB12" i="6"/>
  <c r="AW13" i="6" s="1"/>
  <c r="AZ12" i="6"/>
  <c r="BA12" i="6" s="1"/>
  <c r="DA11" i="6"/>
  <c r="AB23" i="6"/>
  <c r="W24" i="6" s="1"/>
  <c r="AA23" i="6"/>
  <c r="E14" i="6"/>
  <c r="E12" i="3" s="1"/>
  <c r="BY9" i="6"/>
  <c r="E13" i="6"/>
  <c r="E11" i="3" s="1"/>
  <c r="DB12" i="6"/>
  <c r="CW13" i="6" s="1"/>
  <c r="CZ12" i="6"/>
  <c r="DA12" i="6" s="1"/>
  <c r="DZ12" i="6"/>
  <c r="EA12" i="6" s="1"/>
  <c r="EB12" i="6"/>
  <c r="DW13" i="6" s="1"/>
  <c r="E16" i="6"/>
  <c r="E14" i="3" s="1"/>
  <c r="AH18" i="2"/>
  <c r="AG19" i="2"/>
  <c r="P18" i="2"/>
  <c r="O19" i="2"/>
  <c r="C20" i="2"/>
  <c r="D19" i="2"/>
  <c r="AM21" i="2"/>
  <c r="AN21" i="2" s="1"/>
  <c r="AA21" i="2"/>
  <c r="AB21" i="2" s="1"/>
  <c r="U21" i="2"/>
  <c r="V21" i="2" s="1"/>
  <c r="I20" i="2"/>
  <c r="J20" i="2" s="1"/>
  <c r="F11" i="6" l="1"/>
  <c r="F9" i="3" s="1"/>
  <c r="DB13" i="6"/>
  <c r="CW14" i="6" s="1"/>
  <c r="CZ13" i="6"/>
  <c r="DA13" i="6" s="1"/>
  <c r="AB24" i="6"/>
  <c r="W25" i="6" s="1"/>
  <c r="AA24" i="6"/>
  <c r="EB13" i="6"/>
  <c r="DW14" i="6" s="1"/>
  <c r="DZ13" i="6"/>
  <c r="CA11" i="6"/>
  <c r="G11" i="6" s="1"/>
  <c r="G9" i="3" s="1"/>
  <c r="BB13" i="6"/>
  <c r="AW14" i="6" s="1"/>
  <c r="AZ13" i="6"/>
  <c r="CB12" i="6"/>
  <c r="BW13" i="6" s="1"/>
  <c r="BZ12" i="6"/>
  <c r="CA12" i="6" s="1"/>
  <c r="G12" i="6" s="1"/>
  <c r="G10" i="3" s="1"/>
  <c r="Q17" i="6"/>
  <c r="Q19" i="6" s="1"/>
  <c r="E38" i="3"/>
  <c r="C21" i="2"/>
  <c r="D20" i="2"/>
  <c r="P19" i="2"/>
  <c r="O20" i="2"/>
  <c r="AH19" i="2"/>
  <c r="AG20" i="2"/>
  <c r="AM22" i="2"/>
  <c r="AN22" i="2" s="1"/>
  <c r="AA22" i="2"/>
  <c r="AB22" i="2" s="1"/>
  <c r="U22" i="2"/>
  <c r="V22" i="2" s="1"/>
  <c r="I21" i="2"/>
  <c r="J21" i="2" s="1"/>
  <c r="F12" i="6" l="1"/>
  <c r="F10" i="3" s="1"/>
  <c r="DB14" i="6"/>
  <c r="CW15" i="6" s="1"/>
  <c r="CZ14" i="6"/>
  <c r="CB13" i="6"/>
  <c r="BW14" i="6" s="1"/>
  <c r="BZ13" i="6"/>
  <c r="CA13" i="6" s="1"/>
  <c r="EA13" i="6"/>
  <c r="BA13" i="6"/>
  <c r="EB14" i="6"/>
  <c r="DW15" i="6" s="1"/>
  <c r="DZ14" i="6"/>
  <c r="AB25" i="6"/>
  <c r="W26" i="6" s="1"/>
  <c r="AA25" i="6"/>
  <c r="BB14" i="6"/>
  <c r="AW15" i="6" s="1"/>
  <c r="AZ14" i="6"/>
  <c r="BA14" i="6" s="1"/>
  <c r="AH20" i="2"/>
  <c r="AG21" i="2"/>
  <c r="P20" i="2"/>
  <c r="O21" i="2"/>
  <c r="C22" i="2"/>
  <c r="D21" i="2"/>
  <c r="AM23" i="2"/>
  <c r="AN23" i="2" s="1"/>
  <c r="AA23" i="2"/>
  <c r="AB23" i="2" s="1"/>
  <c r="U23" i="2"/>
  <c r="V23" i="2" s="1"/>
  <c r="I22" i="2"/>
  <c r="J22" i="2" s="1"/>
  <c r="F13" i="6" l="1"/>
  <c r="F11" i="3" s="1"/>
  <c r="DZ15" i="6"/>
  <c r="EA15" i="6" s="1"/>
  <c r="EB15" i="6"/>
  <c r="DW16" i="6" s="1"/>
  <c r="EA14" i="6"/>
  <c r="BB15" i="6"/>
  <c r="AW16" i="6" s="1"/>
  <c r="AZ15" i="6"/>
  <c r="DB15" i="6"/>
  <c r="CW16" i="6" s="1"/>
  <c r="CZ15" i="6"/>
  <c r="DA15" i="6" s="1"/>
  <c r="AB26" i="6"/>
  <c r="W27" i="6" s="1"/>
  <c r="AA26" i="6"/>
  <c r="CB14" i="6"/>
  <c r="BW15" i="6" s="1"/>
  <c r="BZ14" i="6"/>
  <c r="F14" i="6" s="1"/>
  <c r="F12" i="3" s="1"/>
  <c r="DA14" i="6"/>
  <c r="G13" i="6"/>
  <c r="G11" i="3" s="1"/>
  <c r="E39" i="3"/>
  <c r="P21" i="2"/>
  <c r="O22" i="2"/>
  <c r="C23" i="2"/>
  <c r="D22" i="2"/>
  <c r="AH21" i="2"/>
  <c r="AG22" i="2"/>
  <c r="AM24" i="2"/>
  <c r="AN24" i="2" s="1"/>
  <c r="AA24" i="2"/>
  <c r="AB24" i="2" s="1"/>
  <c r="U24" i="2"/>
  <c r="V24" i="2" s="1"/>
  <c r="I23" i="2"/>
  <c r="J23" i="2" s="1"/>
  <c r="CA14" i="6" l="1"/>
  <c r="G14" i="6" s="1"/>
  <c r="G12" i="3" s="1"/>
  <c r="BA15" i="6"/>
  <c r="AQ17" i="6"/>
  <c r="AQ19" i="6" s="1"/>
  <c r="AQ20" i="6" s="1"/>
  <c r="BD10" i="6" s="1" a="1"/>
  <c r="BD10" i="6" s="1"/>
  <c r="BZ15" i="6"/>
  <c r="F15" i="6" s="1"/>
  <c r="F13" i="3" s="1"/>
  <c r="CB15" i="6"/>
  <c r="BW16" i="6" s="1"/>
  <c r="AA27" i="6"/>
  <c r="AB27" i="6"/>
  <c r="W28" i="6" s="1"/>
  <c r="AZ16" i="6"/>
  <c r="BA16" i="6" s="1"/>
  <c r="BB16" i="6"/>
  <c r="AW17" i="6" s="1"/>
  <c r="EB16" i="6"/>
  <c r="DW17" i="6" s="1"/>
  <c r="DZ16" i="6"/>
  <c r="DB16" i="6"/>
  <c r="CW17" i="6" s="1"/>
  <c r="CZ16" i="6"/>
  <c r="DA16" i="6" s="1"/>
  <c r="E40" i="3"/>
  <c r="AH22" i="2"/>
  <c r="AG23" i="2"/>
  <c r="C24" i="2"/>
  <c r="D23" i="2"/>
  <c r="P22" i="2"/>
  <c r="O23" i="2"/>
  <c r="AM25" i="2"/>
  <c r="AN25" i="2" s="1"/>
  <c r="AA25" i="2"/>
  <c r="AB25" i="2" s="1"/>
  <c r="U25" i="2"/>
  <c r="V25" i="2" s="1"/>
  <c r="I24" i="2"/>
  <c r="J24" i="2" s="1"/>
  <c r="BB17" i="6" l="1"/>
  <c r="AW18" i="6" s="1"/>
  <c r="AZ17" i="6"/>
  <c r="BZ16" i="6"/>
  <c r="CA16" i="6" s="1"/>
  <c r="CB16" i="6"/>
  <c r="BW17" i="6" s="1"/>
  <c r="EB17" i="6"/>
  <c r="DW18" i="6" s="1"/>
  <c r="DZ17" i="6"/>
  <c r="EA17" i="6" s="1"/>
  <c r="CZ17" i="6"/>
  <c r="DA17" i="6" s="1"/>
  <c r="DB17" i="6"/>
  <c r="CW18" i="6" s="1"/>
  <c r="CA15" i="6"/>
  <c r="G15" i="6" s="1"/>
  <c r="G13" i="3" s="1"/>
  <c r="EA16" i="6"/>
  <c r="AB28" i="6"/>
  <c r="W29" i="6" s="1"/>
  <c r="AA28" i="6"/>
  <c r="BH10" i="6"/>
  <c r="BC11" i="6" s="1"/>
  <c r="BD9" i="6"/>
  <c r="F16" i="6"/>
  <c r="F14" i="3" s="1"/>
  <c r="E41" i="3"/>
  <c r="C25" i="2"/>
  <c r="D24" i="2"/>
  <c r="P23" i="2"/>
  <c r="O24" i="2"/>
  <c r="AH23" i="2"/>
  <c r="AG24" i="2"/>
  <c r="AM26" i="2"/>
  <c r="AN26" i="2" s="1"/>
  <c r="AA26" i="2"/>
  <c r="AB26" i="2" s="1"/>
  <c r="U26" i="2"/>
  <c r="V26" i="2" s="1"/>
  <c r="I25" i="2"/>
  <c r="J25" i="2" s="1"/>
  <c r="G16" i="6" l="1"/>
  <c r="G14" i="3" s="1"/>
  <c r="BF11" i="6"/>
  <c r="BJ11" i="6" s="1"/>
  <c r="BE11" i="6"/>
  <c r="DB18" i="6"/>
  <c r="CW19" i="6" s="1"/>
  <c r="CZ18" i="6"/>
  <c r="DA18" i="6" s="1"/>
  <c r="BZ17" i="6"/>
  <c r="CB17" i="6"/>
  <c r="BW18" i="6" s="1"/>
  <c r="AB29" i="6"/>
  <c r="W30" i="6" s="1"/>
  <c r="AA29" i="6"/>
  <c r="BA17" i="6"/>
  <c r="DZ18" i="6"/>
  <c r="EB18" i="6"/>
  <c r="DW19" i="6" s="1"/>
  <c r="BB18" i="6"/>
  <c r="AW19" i="6" s="1"/>
  <c r="AZ18" i="6"/>
  <c r="BA18" i="6" s="1"/>
  <c r="F17" i="6"/>
  <c r="F15" i="3" s="1"/>
  <c r="AH24" i="2"/>
  <c r="AG25" i="2"/>
  <c r="P24" i="2"/>
  <c r="O25" i="2"/>
  <c r="C26" i="2"/>
  <c r="D25" i="2"/>
  <c r="AM27" i="2"/>
  <c r="AN27" i="2" s="1"/>
  <c r="AA27" i="2"/>
  <c r="AB27" i="2" s="1"/>
  <c r="U27" i="2"/>
  <c r="V27" i="2" s="1"/>
  <c r="I26" i="2"/>
  <c r="J26" i="2" s="1"/>
  <c r="EB19" i="6" l="1"/>
  <c r="DW20" i="6" s="1"/>
  <c r="DZ19" i="6"/>
  <c r="EA19" i="6" s="1"/>
  <c r="EA18" i="6"/>
  <c r="AB30" i="6"/>
  <c r="W31" i="6" s="1"/>
  <c r="AA30" i="6"/>
  <c r="CZ19" i="6"/>
  <c r="DA19" i="6" s="1"/>
  <c r="DB19" i="6"/>
  <c r="CW20" i="6" s="1"/>
  <c r="BZ18" i="6"/>
  <c r="CA18" i="6" s="1"/>
  <c r="G18" i="6" s="1"/>
  <c r="G16" i="3" s="1"/>
  <c r="CB18" i="6"/>
  <c r="BW19" i="6" s="1"/>
  <c r="BH11" i="6"/>
  <c r="BC12" i="6" s="1"/>
  <c r="BG11" i="6"/>
  <c r="BK11" i="6" s="1"/>
  <c r="BI11" i="6"/>
  <c r="BB19" i="6"/>
  <c r="AW20" i="6" s="1"/>
  <c r="AZ19" i="6"/>
  <c r="BA19" i="6" s="1"/>
  <c r="CA17" i="6"/>
  <c r="G17" i="6" s="1"/>
  <c r="G15" i="3" s="1"/>
  <c r="E42" i="3"/>
  <c r="AH25" i="2"/>
  <c r="AG26" i="2"/>
  <c r="C27" i="2"/>
  <c r="D26" i="2"/>
  <c r="P25" i="2"/>
  <c r="O26" i="2"/>
  <c r="AM28" i="2"/>
  <c r="AN28" i="2" s="1"/>
  <c r="AA28" i="2"/>
  <c r="AB28" i="2" s="1"/>
  <c r="U28" i="2"/>
  <c r="V28" i="2" s="1"/>
  <c r="I27" i="2"/>
  <c r="J27" i="2" s="1"/>
  <c r="F18" i="6" l="1"/>
  <c r="F16" i="3" s="1"/>
  <c r="CZ20" i="6"/>
  <c r="DA20" i="6" s="1"/>
  <c r="DB20" i="6"/>
  <c r="CW21" i="6" s="1"/>
  <c r="BF12" i="6"/>
  <c r="BJ12" i="6" s="1"/>
  <c r="BE12" i="6"/>
  <c r="BB20" i="6"/>
  <c r="AW21" i="6" s="1"/>
  <c r="AZ20" i="6"/>
  <c r="BA20" i="6" s="1"/>
  <c r="BZ19" i="6"/>
  <c r="CA19" i="6" s="1"/>
  <c r="CB19" i="6"/>
  <c r="BW20" i="6" s="1"/>
  <c r="AA31" i="6"/>
  <c r="AB31" i="6"/>
  <c r="W32" i="6" s="1"/>
  <c r="DZ20" i="6"/>
  <c r="EB20" i="6"/>
  <c r="DW21" i="6" s="1"/>
  <c r="E43" i="3"/>
  <c r="P26" i="2"/>
  <c r="O27" i="2"/>
  <c r="AH26" i="2"/>
  <c r="AG27" i="2"/>
  <c r="C28" i="2"/>
  <c r="D27" i="2"/>
  <c r="AM29" i="2"/>
  <c r="AN29" i="2" s="1"/>
  <c r="AA29" i="2"/>
  <c r="AB29" i="2" s="1"/>
  <c r="U29" i="2"/>
  <c r="V29" i="2" s="1"/>
  <c r="I28" i="2"/>
  <c r="J28" i="2" s="1"/>
  <c r="EA20" i="6" l="1"/>
  <c r="B5" i="6"/>
  <c r="B8" i="6" s="1"/>
  <c r="F19" i="6"/>
  <c r="F17" i="3" s="1"/>
  <c r="AB32" i="6"/>
  <c r="W33" i="6" s="1"/>
  <c r="AA32" i="6"/>
  <c r="BI12" i="6"/>
  <c r="BG12" i="6"/>
  <c r="BK12" i="6" s="1"/>
  <c r="BB21" i="6"/>
  <c r="AW22" i="6" s="1"/>
  <c r="AZ21" i="6"/>
  <c r="BA21" i="6" s="1"/>
  <c r="DB21" i="6"/>
  <c r="CW22" i="6" s="1"/>
  <c r="CZ21" i="6"/>
  <c r="DA21" i="6" s="1"/>
  <c r="DZ21" i="6"/>
  <c r="EA21" i="6" s="1"/>
  <c r="EB21" i="6"/>
  <c r="DW22" i="6" s="1"/>
  <c r="BZ20" i="6"/>
  <c r="CA20" i="6" s="1"/>
  <c r="G20" i="6" s="1"/>
  <c r="G18" i="3" s="1"/>
  <c r="CB20" i="6"/>
  <c r="BW21" i="6" s="1"/>
  <c r="BH12" i="6"/>
  <c r="BC13" i="6" s="1"/>
  <c r="G19" i="6"/>
  <c r="G17" i="3" s="1"/>
  <c r="F20" i="6"/>
  <c r="F18" i="3" s="1"/>
  <c r="E44" i="3"/>
  <c r="AH27" i="2"/>
  <c r="AG28" i="2"/>
  <c r="C29" i="2"/>
  <c r="D28" i="2"/>
  <c r="P27" i="2"/>
  <c r="O28" i="2"/>
  <c r="AM30" i="2"/>
  <c r="AN30" i="2" s="1"/>
  <c r="AA30" i="2"/>
  <c r="AB30" i="2" s="1"/>
  <c r="U30" i="2"/>
  <c r="V30" i="2" s="1"/>
  <c r="I29" i="2"/>
  <c r="J29" i="2" s="1"/>
  <c r="CZ22" i="6" l="1"/>
  <c r="DA22" i="6" s="1"/>
  <c r="DB22" i="6"/>
  <c r="CW23" i="6" s="1"/>
  <c r="DZ22" i="6"/>
  <c r="EA22" i="6" s="1"/>
  <c r="EB22" i="6"/>
  <c r="DW23" i="6" s="1"/>
  <c r="CB21" i="6"/>
  <c r="BW22" i="6" s="1"/>
  <c r="BZ21" i="6"/>
  <c r="CA21" i="6" s="1"/>
  <c r="BF13" i="6"/>
  <c r="BJ13" i="6" s="1"/>
  <c r="BE13" i="6"/>
  <c r="AZ22" i="6"/>
  <c r="BA22" i="6" s="1"/>
  <c r="BB22" i="6"/>
  <c r="AW23" i="6" s="1"/>
  <c r="AB33" i="6"/>
  <c r="W34" i="6" s="1"/>
  <c r="AA33" i="6"/>
  <c r="G21" i="6"/>
  <c r="G19" i="3" s="1"/>
  <c r="P28" i="2"/>
  <c r="O29" i="2"/>
  <c r="AH28" i="2"/>
  <c r="AG29" i="2"/>
  <c r="C30" i="2"/>
  <c r="D29" i="2"/>
  <c r="AM31" i="2"/>
  <c r="AN31" i="2" s="1"/>
  <c r="AA31" i="2"/>
  <c r="AB31" i="2" s="1"/>
  <c r="U31" i="2"/>
  <c r="V31" i="2" s="1"/>
  <c r="I30" i="2"/>
  <c r="J30" i="2" s="1"/>
  <c r="F21" i="6" l="1"/>
  <c r="F19" i="3" s="1"/>
  <c r="BH13" i="6"/>
  <c r="BC14" i="6" s="1"/>
  <c r="BG13" i="6"/>
  <c r="BK13" i="6" s="1"/>
  <c r="BI13" i="6"/>
  <c r="EB23" i="6"/>
  <c r="DW24" i="6" s="1"/>
  <c r="DZ23" i="6"/>
  <c r="EA23" i="6" s="1"/>
  <c r="AB34" i="6"/>
  <c r="W35" i="6" s="1"/>
  <c r="AA34" i="6"/>
  <c r="BB23" i="6"/>
  <c r="AW24" i="6" s="1"/>
  <c r="AZ23" i="6"/>
  <c r="BA23" i="6" s="1"/>
  <c r="DB23" i="6"/>
  <c r="CW24" i="6" s="1"/>
  <c r="CZ23" i="6"/>
  <c r="DA23" i="6" s="1"/>
  <c r="CB22" i="6"/>
  <c r="BW23" i="6" s="1"/>
  <c r="BZ22" i="6"/>
  <c r="CA22" i="6" s="1"/>
  <c r="G22" i="6" s="1"/>
  <c r="G20" i="3" s="1"/>
  <c r="E45" i="3"/>
  <c r="C31" i="2"/>
  <c r="D30" i="2"/>
  <c r="P29" i="2"/>
  <c r="O30" i="2"/>
  <c r="AH29" i="2"/>
  <c r="AG30" i="2"/>
  <c r="AM32" i="2"/>
  <c r="AN32" i="2" s="1"/>
  <c r="AA32" i="2"/>
  <c r="AB32" i="2" s="1"/>
  <c r="U32" i="2"/>
  <c r="V32" i="2" s="1"/>
  <c r="I31" i="2"/>
  <c r="J31" i="2" s="1"/>
  <c r="F22" i="6" l="1"/>
  <c r="F20" i="3" s="1"/>
  <c r="BZ23" i="6"/>
  <c r="CA23" i="6" s="1"/>
  <c r="G23" i="6" s="1"/>
  <c r="G21" i="3" s="1"/>
  <c r="CB23" i="6"/>
  <c r="BW24" i="6" s="1"/>
  <c r="BB24" i="6"/>
  <c r="AW25" i="6" s="1"/>
  <c r="AZ24" i="6"/>
  <c r="BA24" i="6" s="1"/>
  <c r="EB24" i="6"/>
  <c r="DW25" i="6" s="1"/>
  <c r="DZ24" i="6"/>
  <c r="EA24" i="6" s="1"/>
  <c r="DB24" i="6"/>
  <c r="CW25" i="6" s="1"/>
  <c r="CZ24" i="6"/>
  <c r="DA24" i="6" s="1"/>
  <c r="AA35" i="6"/>
  <c r="AB35" i="6"/>
  <c r="W36" i="6" s="1"/>
  <c r="BF14" i="6"/>
  <c r="BJ14" i="6" s="1"/>
  <c r="BE14" i="6"/>
  <c r="F23" i="6"/>
  <c r="F21" i="3" s="1"/>
  <c r="E46" i="3"/>
  <c r="C32" i="2"/>
  <c r="D31" i="2"/>
  <c r="AH30" i="2"/>
  <c r="AG31" i="2"/>
  <c r="P30" i="2"/>
  <c r="O31" i="2"/>
  <c r="AM33" i="2"/>
  <c r="AN33" i="2" s="1"/>
  <c r="AA33" i="2"/>
  <c r="AB33" i="2" s="1"/>
  <c r="U33" i="2"/>
  <c r="V33" i="2" s="1"/>
  <c r="I32" i="2"/>
  <c r="J32" i="2" s="1"/>
  <c r="BI14" i="6" l="1"/>
  <c r="BG14" i="6"/>
  <c r="BK14" i="6" s="1"/>
  <c r="DB25" i="6"/>
  <c r="CW26" i="6" s="1"/>
  <c r="CZ25" i="6"/>
  <c r="DA25" i="6" s="1"/>
  <c r="AZ25" i="6"/>
  <c r="BA25" i="6" s="1"/>
  <c r="BB25" i="6"/>
  <c r="AW26" i="6" s="1"/>
  <c r="AB36" i="6"/>
  <c r="W37" i="6" s="1"/>
  <c r="AA36" i="6"/>
  <c r="BZ24" i="6"/>
  <c r="CA24" i="6" s="1"/>
  <c r="G24" i="6" s="1"/>
  <c r="G22" i="3" s="1"/>
  <c r="CB24" i="6"/>
  <c r="BW25" i="6" s="1"/>
  <c r="BH14" i="6"/>
  <c r="BC15" i="6" s="1"/>
  <c r="DZ25" i="6"/>
  <c r="EA25" i="6" s="1"/>
  <c r="EB25" i="6"/>
  <c r="DW26" i="6" s="1"/>
  <c r="F24" i="6"/>
  <c r="F22" i="3" s="1"/>
  <c r="C33" i="2"/>
  <c r="D32" i="2"/>
  <c r="AH31" i="2"/>
  <c r="AG32" i="2"/>
  <c r="P31" i="2"/>
  <c r="O32" i="2"/>
  <c r="AM34" i="2"/>
  <c r="AN34" i="2" s="1"/>
  <c r="AA34" i="2"/>
  <c r="AB34" i="2" s="1"/>
  <c r="U34" i="2"/>
  <c r="V34" i="2" s="1"/>
  <c r="I33" i="2"/>
  <c r="J33" i="2" s="1"/>
  <c r="BE15" i="6" l="1"/>
  <c r="BH15" i="6" s="1"/>
  <c r="BC16" i="6" s="1"/>
  <c r="BF15" i="6"/>
  <c r="BJ15" i="6" s="1"/>
  <c r="AB37" i="6"/>
  <c r="W38" i="6" s="1"/>
  <c r="AA37" i="6"/>
  <c r="CZ26" i="6"/>
  <c r="DA26" i="6" s="1"/>
  <c r="DB26" i="6"/>
  <c r="CW27" i="6" s="1"/>
  <c r="CB25" i="6"/>
  <c r="BW26" i="6" s="1"/>
  <c r="BZ25" i="6"/>
  <c r="CA25" i="6" s="1"/>
  <c r="G25" i="6" s="1"/>
  <c r="G23" i="3" s="1"/>
  <c r="BB26" i="6"/>
  <c r="AW27" i="6" s="1"/>
  <c r="AZ26" i="6"/>
  <c r="BA26" i="6" s="1"/>
  <c r="EB26" i="6"/>
  <c r="DW27" i="6" s="1"/>
  <c r="DZ26" i="6"/>
  <c r="EA26" i="6" s="1"/>
  <c r="E47" i="3"/>
  <c r="AH32" i="2"/>
  <c r="AG33" i="2"/>
  <c r="C34" i="2"/>
  <c r="D33" i="2"/>
  <c r="P32" i="2"/>
  <c r="O33" i="2"/>
  <c r="AM35" i="2"/>
  <c r="AN35" i="2" s="1"/>
  <c r="AA35" i="2"/>
  <c r="AB35" i="2" s="1"/>
  <c r="U35" i="2"/>
  <c r="V35" i="2" s="1"/>
  <c r="I34" i="2"/>
  <c r="J34" i="2" s="1"/>
  <c r="F25" i="6" l="1"/>
  <c r="F23" i="3" s="1"/>
  <c r="BF16" i="6"/>
  <c r="BJ16" i="6" s="1"/>
  <c r="BE16" i="6"/>
  <c r="BH16" i="6" s="1"/>
  <c r="BC17" i="6" s="1"/>
  <c r="EB27" i="6"/>
  <c r="DW28" i="6" s="1"/>
  <c r="DZ27" i="6"/>
  <c r="EA27" i="6" s="1"/>
  <c r="BZ26" i="6"/>
  <c r="CA26" i="6" s="1"/>
  <c r="CB26" i="6"/>
  <c r="BW27" i="6" s="1"/>
  <c r="AA38" i="6"/>
  <c r="AB38" i="6"/>
  <c r="W39" i="6" s="1"/>
  <c r="DB27" i="6"/>
  <c r="CW28" i="6" s="1"/>
  <c r="CZ27" i="6"/>
  <c r="DA27" i="6" s="1"/>
  <c r="AZ27" i="6"/>
  <c r="BA27" i="6" s="1"/>
  <c r="BB27" i="6"/>
  <c r="AW28" i="6" s="1"/>
  <c r="BI15" i="6"/>
  <c r="BG15" i="6"/>
  <c r="BK15" i="6" s="1"/>
  <c r="F26" i="6"/>
  <c r="F24" i="3" s="1"/>
  <c r="G26" i="6"/>
  <c r="G24" i="3" s="1"/>
  <c r="P33" i="2"/>
  <c r="O34" i="2"/>
  <c r="AH33" i="2"/>
  <c r="AG34" i="2"/>
  <c r="C35" i="2"/>
  <c r="D34" i="2"/>
  <c r="AM36" i="2"/>
  <c r="AN36" i="2" s="1"/>
  <c r="AA36" i="2"/>
  <c r="AB36" i="2" s="1"/>
  <c r="U36" i="2"/>
  <c r="V36" i="2" s="1"/>
  <c r="I35" i="2"/>
  <c r="J35" i="2" s="1"/>
  <c r="BZ27" i="6" l="1"/>
  <c r="CA27" i="6" s="1"/>
  <c r="G27" i="6" s="1"/>
  <c r="G25" i="3" s="1"/>
  <c r="CB27" i="6"/>
  <c r="BW28" i="6" s="1"/>
  <c r="BF17" i="6"/>
  <c r="BJ17" i="6" s="1"/>
  <c r="BE17" i="6"/>
  <c r="DB28" i="6"/>
  <c r="CW29" i="6" s="1"/>
  <c r="CZ28" i="6"/>
  <c r="DA28" i="6" s="1"/>
  <c r="BI16" i="6"/>
  <c r="BG16" i="6"/>
  <c r="BK16" i="6" s="1"/>
  <c r="EB28" i="6"/>
  <c r="DW29" i="6" s="1"/>
  <c r="DZ28" i="6"/>
  <c r="EA28" i="6" s="1"/>
  <c r="AZ28" i="6"/>
  <c r="BA28" i="6" s="1"/>
  <c r="BB28" i="6"/>
  <c r="AW29" i="6" s="1"/>
  <c r="AA39" i="6"/>
  <c r="AB39" i="6"/>
  <c r="W40" i="6" s="1"/>
  <c r="E48" i="3"/>
  <c r="P34" i="2"/>
  <c r="O35" i="2"/>
  <c r="C36" i="2"/>
  <c r="D35" i="2"/>
  <c r="AH34" i="2"/>
  <c r="AG35" i="2"/>
  <c r="AM37" i="2"/>
  <c r="AN37" i="2" s="1"/>
  <c r="AA37" i="2"/>
  <c r="AB37" i="2" s="1"/>
  <c r="U37" i="2"/>
  <c r="V37" i="2" s="1"/>
  <c r="I36" i="2"/>
  <c r="J36" i="2" s="1"/>
  <c r="F27" i="6" l="1"/>
  <c r="F25" i="3" s="1"/>
  <c r="BH17" i="6"/>
  <c r="BC18" i="6" s="1"/>
  <c r="BI17" i="6"/>
  <c r="BG17" i="6"/>
  <c r="BK17" i="6" s="1"/>
  <c r="AZ29" i="6"/>
  <c r="BA29" i="6" s="1"/>
  <c r="BB29" i="6"/>
  <c r="AW30" i="6" s="1"/>
  <c r="AB40" i="6"/>
  <c r="W41" i="6" s="1"/>
  <c r="AA40" i="6"/>
  <c r="BZ28" i="6"/>
  <c r="CA28" i="6" s="1"/>
  <c r="G28" i="6" s="1"/>
  <c r="G26" i="3" s="1"/>
  <c r="CB28" i="6"/>
  <c r="BW29" i="6" s="1"/>
  <c r="DZ29" i="6"/>
  <c r="EA29" i="6" s="1"/>
  <c r="EB29" i="6"/>
  <c r="DW30" i="6" s="1"/>
  <c r="DB29" i="6"/>
  <c r="CW30" i="6" s="1"/>
  <c r="CZ29" i="6"/>
  <c r="DA29" i="6" s="1"/>
  <c r="E49" i="3"/>
  <c r="AH35" i="2"/>
  <c r="AG36" i="2"/>
  <c r="P35" i="2"/>
  <c r="O36" i="2"/>
  <c r="C37" i="2"/>
  <c r="D36" i="2"/>
  <c r="AM38" i="2"/>
  <c r="AN38" i="2" s="1"/>
  <c r="AA38" i="2"/>
  <c r="AB38" i="2" s="1"/>
  <c r="U38" i="2"/>
  <c r="V38" i="2" s="1"/>
  <c r="I37" i="2"/>
  <c r="J37" i="2" s="1"/>
  <c r="F28" i="6" l="1"/>
  <c r="F26" i="3" s="1"/>
  <c r="CB29" i="6"/>
  <c r="BW30" i="6" s="1"/>
  <c r="BZ29" i="6"/>
  <c r="CA29" i="6" s="1"/>
  <c r="G29" i="6" s="1"/>
  <c r="G27" i="3" s="1"/>
  <c r="BF18" i="6"/>
  <c r="BE18" i="6"/>
  <c r="BH18" i="6" s="1"/>
  <c r="BC19" i="6" s="1"/>
  <c r="DB30" i="6"/>
  <c r="CW31" i="6" s="1"/>
  <c r="CZ30" i="6"/>
  <c r="DA30" i="6" s="1"/>
  <c r="AA41" i="6"/>
  <c r="AB41" i="6"/>
  <c r="W42" i="6" s="1"/>
  <c r="BB30" i="6"/>
  <c r="AW31" i="6" s="1"/>
  <c r="AZ30" i="6"/>
  <c r="BA30" i="6" s="1"/>
  <c r="EB30" i="6"/>
  <c r="DW31" i="6" s="1"/>
  <c r="DZ30" i="6"/>
  <c r="EA30" i="6" s="1"/>
  <c r="E50" i="3"/>
  <c r="AH36" i="2"/>
  <c r="AG37" i="2"/>
  <c r="C38" i="2"/>
  <c r="D37" i="2"/>
  <c r="P36" i="2"/>
  <c r="O37" i="2"/>
  <c r="AM39" i="2"/>
  <c r="AN39" i="2" s="1"/>
  <c r="AA39" i="2"/>
  <c r="AB39" i="2" s="1"/>
  <c r="U39" i="2"/>
  <c r="V39" i="2" s="1"/>
  <c r="I38" i="2"/>
  <c r="J38" i="2" s="1"/>
  <c r="AA42" i="6" l="1"/>
  <c r="AB42" i="6"/>
  <c r="W43" i="6" s="1"/>
  <c r="BF19" i="6"/>
  <c r="BJ19" i="6" s="1"/>
  <c r="BE19" i="6"/>
  <c r="CB30" i="6"/>
  <c r="BW31" i="6" s="1"/>
  <c r="BZ30" i="6"/>
  <c r="CA30" i="6" s="1"/>
  <c r="G30" i="6" s="1"/>
  <c r="G28" i="3" s="1"/>
  <c r="EB31" i="6"/>
  <c r="DW32" i="6" s="1"/>
  <c r="DZ31" i="6"/>
  <c r="EA31" i="6" s="1"/>
  <c r="BI18" i="6"/>
  <c r="BG18" i="6"/>
  <c r="AZ31" i="6"/>
  <c r="BA31" i="6" s="1"/>
  <c r="BB31" i="6"/>
  <c r="AW32" i="6" s="1"/>
  <c r="CZ31" i="6"/>
  <c r="DA31" i="6" s="1"/>
  <c r="DB31" i="6"/>
  <c r="CW32" i="6" s="1"/>
  <c r="F29" i="6"/>
  <c r="F27" i="3" s="1"/>
  <c r="BJ18" i="6"/>
  <c r="P37" i="2"/>
  <c r="O38" i="2"/>
  <c r="C39" i="2"/>
  <c r="D38" i="2"/>
  <c r="AH37" i="2"/>
  <c r="AG38" i="2"/>
  <c r="AM40" i="2"/>
  <c r="AN40" i="2" s="1"/>
  <c r="AA40" i="2"/>
  <c r="AB40" i="2" s="1"/>
  <c r="U40" i="2"/>
  <c r="V40" i="2" s="1"/>
  <c r="I39" i="2"/>
  <c r="J39" i="2" s="1"/>
  <c r="F30" i="6" l="1"/>
  <c r="F28" i="3" s="1"/>
  <c r="BH19" i="6"/>
  <c r="BC20" i="6" s="1"/>
  <c r="BG19" i="6"/>
  <c r="BK19" i="6" s="1"/>
  <c r="BI19" i="6"/>
  <c r="CZ32" i="6"/>
  <c r="DA32" i="6" s="1"/>
  <c r="DB32" i="6"/>
  <c r="CW33" i="6" s="1"/>
  <c r="EB32" i="6"/>
  <c r="DW33" i="6" s="1"/>
  <c r="DZ32" i="6"/>
  <c r="EA32" i="6" s="1"/>
  <c r="BK18" i="6"/>
  <c r="AB43" i="6"/>
  <c r="W44" i="6" s="1"/>
  <c r="AA43" i="6"/>
  <c r="AZ32" i="6"/>
  <c r="BA32" i="6" s="1"/>
  <c r="BB32" i="6"/>
  <c r="AW33" i="6" s="1"/>
  <c r="BZ31" i="6"/>
  <c r="CA31" i="6" s="1"/>
  <c r="CB31" i="6"/>
  <c r="BW32" i="6" s="1"/>
  <c r="G31" i="6"/>
  <c r="G29" i="3" s="1"/>
  <c r="E51" i="3"/>
  <c r="AH38" i="2"/>
  <c r="AG39" i="2"/>
  <c r="C40" i="2"/>
  <c r="D39" i="2"/>
  <c r="P38" i="2"/>
  <c r="O39" i="2"/>
  <c r="AM41" i="2"/>
  <c r="AN41" i="2" s="1"/>
  <c r="AA41" i="2"/>
  <c r="AB41" i="2" s="1"/>
  <c r="U41" i="2"/>
  <c r="V41" i="2" s="1"/>
  <c r="I40" i="2"/>
  <c r="J40" i="2" s="1"/>
  <c r="F31" i="6" l="1"/>
  <c r="F29" i="3" s="1"/>
  <c r="BZ32" i="6"/>
  <c r="CA32" i="6" s="1"/>
  <c r="G32" i="6" s="1"/>
  <c r="G30" i="3" s="1"/>
  <c r="CB32" i="6"/>
  <c r="BW33" i="6" s="1"/>
  <c r="AA44" i="6"/>
  <c r="AB44" i="6"/>
  <c r="W45" i="6" s="1"/>
  <c r="DZ33" i="6"/>
  <c r="EA33" i="6" s="1"/>
  <c r="EB33" i="6"/>
  <c r="DW34" i="6" s="1"/>
  <c r="AZ33" i="6"/>
  <c r="BA33" i="6" s="1"/>
  <c r="BB33" i="6"/>
  <c r="AW34" i="6" s="1"/>
  <c r="CZ33" i="6"/>
  <c r="DA33" i="6" s="1"/>
  <c r="DB33" i="6"/>
  <c r="CW34" i="6" s="1"/>
  <c r="BF20" i="6"/>
  <c r="BE20" i="6"/>
  <c r="BH20" i="6" s="1"/>
  <c r="BC21" i="6" s="1"/>
  <c r="F32" i="6"/>
  <c r="F30" i="3" s="1"/>
  <c r="AH39" i="2"/>
  <c r="AG40" i="2"/>
  <c r="P39" i="2"/>
  <c r="O40" i="2"/>
  <c r="C41" i="2"/>
  <c r="D40" i="2"/>
  <c r="AM42" i="2"/>
  <c r="AN42" i="2" s="1"/>
  <c r="AA42" i="2"/>
  <c r="AB42" i="2" s="1"/>
  <c r="U42" i="2"/>
  <c r="V42" i="2" s="1"/>
  <c r="I41" i="2"/>
  <c r="J41" i="2" s="1"/>
  <c r="BE21" i="6" l="1"/>
  <c r="BF21" i="6"/>
  <c r="BJ21" i="6" s="1"/>
  <c r="BI20" i="6"/>
  <c r="BG20" i="6"/>
  <c r="BB34" i="6"/>
  <c r="AW35" i="6" s="1"/>
  <c r="AZ34" i="6"/>
  <c r="BA34" i="6" s="1"/>
  <c r="AA45" i="6"/>
  <c r="AB45" i="6"/>
  <c r="W46" i="6" s="1"/>
  <c r="BJ20" i="6"/>
  <c r="DB34" i="6"/>
  <c r="CW35" i="6" s="1"/>
  <c r="CZ34" i="6"/>
  <c r="DA34" i="6" s="1"/>
  <c r="DZ34" i="6"/>
  <c r="EA34" i="6" s="1"/>
  <c r="EB34" i="6"/>
  <c r="DW35" i="6" s="1"/>
  <c r="BZ33" i="6"/>
  <c r="CA33" i="6" s="1"/>
  <c r="CB33" i="6"/>
  <c r="BW34" i="6" s="1"/>
  <c r="G33" i="6"/>
  <c r="G31" i="3" s="1"/>
  <c r="F33" i="6"/>
  <c r="F31" i="3" s="1"/>
  <c r="D9" i="6"/>
  <c r="D8" i="3"/>
  <c r="P40" i="2"/>
  <c r="O41" i="2"/>
  <c r="AH40" i="2"/>
  <c r="AG41" i="2"/>
  <c r="C42" i="2"/>
  <c r="D41" i="2"/>
  <c r="AM43" i="2"/>
  <c r="AN43" i="2" s="1"/>
  <c r="AA43" i="2"/>
  <c r="AB43" i="2" s="1"/>
  <c r="U43" i="2"/>
  <c r="V43" i="2" s="1"/>
  <c r="I42" i="2"/>
  <c r="J42" i="2" s="1"/>
  <c r="CZ35" i="6" l="1"/>
  <c r="DA35" i="6" s="1"/>
  <c r="DB35" i="6"/>
  <c r="CW36" i="6" s="1"/>
  <c r="BK20" i="6"/>
  <c r="DZ35" i="6"/>
  <c r="EA35" i="6" s="1"/>
  <c r="EB35" i="6"/>
  <c r="DW36" i="6" s="1"/>
  <c r="AZ35" i="6"/>
  <c r="BA35" i="6" s="1"/>
  <c r="BB35" i="6"/>
  <c r="AW36" i="6" s="1"/>
  <c r="BZ34" i="6"/>
  <c r="CA34" i="6" s="1"/>
  <c r="G34" i="6" s="1"/>
  <c r="G32" i="3" s="1"/>
  <c r="CB34" i="6"/>
  <c r="BW35" i="6" s="1"/>
  <c r="AA46" i="6"/>
  <c r="AB46" i="6"/>
  <c r="W47" i="6" s="1"/>
  <c r="BH21" i="6"/>
  <c r="BC22" i="6" s="1"/>
  <c r="BI21" i="6"/>
  <c r="BG21" i="6"/>
  <c r="BK21" i="6" s="1"/>
  <c r="AH41" i="2"/>
  <c r="AG42" i="2"/>
  <c r="P41" i="2"/>
  <c r="O42" i="2"/>
  <c r="C43" i="2"/>
  <c r="D42" i="2"/>
  <c r="AM44" i="2"/>
  <c r="AN44" i="2" s="1"/>
  <c r="AA44" i="2"/>
  <c r="AB44" i="2" s="1"/>
  <c r="U44" i="2"/>
  <c r="V44" i="2" s="1"/>
  <c r="I43" i="2"/>
  <c r="J43" i="2" s="1"/>
  <c r="F34" i="6" l="1"/>
  <c r="F32" i="3" s="1"/>
  <c r="AA47" i="6"/>
  <c r="AB47" i="6"/>
  <c r="W48" i="6" s="1"/>
  <c r="AZ36" i="6"/>
  <c r="BA36" i="6" s="1"/>
  <c r="BB36" i="6"/>
  <c r="AW37" i="6" s="1"/>
  <c r="BF22" i="6"/>
  <c r="BE22" i="6"/>
  <c r="BZ35" i="6"/>
  <c r="CA35" i="6" s="1"/>
  <c r="G35" i="6" s="1"/>
  <c r="G33" i="3" s="1"/>
  <c r="CB35" i="6"/>
  <c r="BW36" i="6" s="1"/>
  <c r="EB36" i="6"/>
  <c r="DW37" i="6" s="1"/>
  <c r="DZ36" i="6"/>
  <c r="EA36" i="6" s="1"/>
  <c r="CZ36" i="6"/>
  <c r="DA36" i="6" s="1"/>
  <c r="DB36" i="6"/>
  <c r="CW37" i="6" s="1"/>
  <c r="E52" i="3"/>
  <c r="E9" i="6"/>
  <c r="C44" i="2"/>
  <c r="D43" i="2"/>
  <c r="P42" i="2"/>
  <c r="O43" i="2"/>
  <c r="AH42" i="2"/>
  <c r="AG43" i="2"/>
  <c r="AM45" i="2"/>
  <c r="AN45" i="2" s="1"/>
  <c r="AA45" i="2"/>
  <c r="AB45" i="2" s="1"/>
  <c r="U45" i="2"/>
  <c r="V45" i="2" s="1"/>
  <c r="I44" i="2"/>
  <c r="J44" i="2" s="1"/>
  <c r="F35" i="6" l="1"/>
  <c r="F33" i="3" s="1"/>
  <c r="BG22" i="6"/>
  <c r="BI22" i="6"/>
  <c r="DB37" i="6"/>
  <c r="CW38" i="6" s="1"/>
  <c r="CZ37" i="6"/>
  <c r="DA37" i="6" s="1"/>
  <c r="CB36" i="6"/>
  <c r="BW37" i="6" s="1"/>
  <c r="BZ36" i="6"/>
  <c r="CA36" i="6" s="1"/>
  <c r="BJ22" i="6"/>
  <c r="AB48" i="6"/>
  <c r="W49" i="6" s="1"/>
  <c r="AA48" i="6"/>
  <c r="EB37" i="6"/>
  <c r="DW38" i="6" s="1"/>
  <c r="DZ37" i="6"/>
  <c r="EA37" i="6" s="1"/>
  <c r="BH22" i="6"/>
  <c r="BC23" i="6" s="1"/>
  <c r="BB37" i="6"/>
  <c r="AW38" i="6" s="1"/>
  <c r="AZ37" i="6"/>
  <c r="BA37" i="6" s="1"/>
  <c r="F36" i="6"/>
  <c r="F34" i="3" s="1"/>
  <c r="G36" i="6"/>
  <c r="G34" i="3" s="1"/>
  <c r="P43" i="2"/>
  <c r="O44" i="2"/>
  <c r="AH43" i="2"/>
  <c r="AG44" i="2"/>
  <c r="C45" i="2"/>
  <c r="D44" i="2"/>
  <c r="AM46" i="2"/>
  <c r="AN46" i="2" s="1"/>
  <c r="AA46" i="2"/>
  <c r="AB46" i="2" s="1"/>
  <c r="U46" i="2"/>
  <c r="V46" i="2" s="1"/>
  <c r="I45" i="2"/>
  <c r="J45" i="2" s="1"/>
  <c r="EB38" i="6" l="1"/>
  <c r="DW39" i="6" s="1"/>
  <c r="DZ38" i="6"/>
  <c r="EA38" i="6" s="1"/>
  <c r="DB38" i="6"/>
  <c r="CW39" i="6" s="1"/>
  <c r="CZ38" i="6"/>
  <c r="DA38" i="6" s="1"/>
  <c r="AZ38" i="6"/>
  <c r="BA38" i="6" s="1"/>
  <c r="BB38" i="6"/>
  <c r="AW39" i="6" s="1"/>
  <c r="BE23" i="6"/>
  <c r="BF23" i="6"/>
  <c r="AA49" i="6"/>
  <c r="AB49" i="6"/>
  <c r="W50" i="6" s="1"/>
  <c r="CB37" i="6"/>
  <c r="BW38" i="6" s="1"/>
  <c r="BZ37" i="6"/>
  <c r="CA37" i="6" s="1"/>
  <c r="G37" i="6" s="1"/>
  <c r="G35" i="3" s="1"/>
  <c r="BK22" i="6"/>
  <c r="C46" i="2"/>
  <c r="D45" i="2"/>
  <c r="AH44" i="2"/>
  <c r="AG45" i="2"/>
  <c r="P44" i="2"/>
  <c r="O45" i="2"/>
  <c r="AM47" i="2"/>
  <c r="AA47" i="2"/>
  <c r="U47" i="2"/>
  <c r="I46" i="2"/>
  <c r="J46" i="2" s="1"/>
  <c r="F37" i="6" l="1"/>
  <c r="F35" i="3" s="1"/>
  <c r="BJ23" i="6"/>
  <c r="BZ38" i="6"/>
  <c r="CA38" i="6" s="1"/>
  <c r="CB38" i="6"/>
  <c r="BW39" i="6" s="1"/>
  <c r="BH23" i="6"/>
  <c r="BC24" i="6" s="1"/>
  <c r="BG23" i="6"/>
  <c r="BI23" i="6"/>
  <c r="CZ39" i="6"/>
  <c r="DA39" i="6" s="1"/>
  <c r="DB39" i="6"/>
  <c r="CW40" i="6" s="1"/>
  <c r="AB50" i="6"/>
  <c r="W51" i="6" s="1"/>
  <c r="AA50" i="6"/>
  <c r="AZ39" i="6"/>
  <c r="BA39" i="6" s="1"/>
  <c r="BB39" i="6"/>
  <c r="AW40" i="6" s="1"/>
  <c r="DZ39" i="6"/>
  <c r="EA39" i="6" s="1"/>
  <c r="EB39" i="6"/>
  <c r="DW40" i="6" s="1"/>
  <c r="G38" i="6"/>
  <c r="G36" i="3" s="1"/>
  <c r="V47" i="2"/>
  <c r="W43" i="2" s="1"/>
  <c r="X43" i="2" s="1"/>
  <c r="U48" i="2"/>
  <c r="AB47" i="2"/>
  <c r="AC47" i="2" s="1"/>
  <c r="AD47" i="2" s="1"/>
  <c r="AA48" i="2"/>
  <c r="AN47" i="2"/>
  <c r="AO7" i="2" s="1"/>
  <c r="AP7" i="2" s="1"/>
  <c r="AM48" i="2"/>
  <c r="AH45" i="2"/>
  <c r="AG46" i="2"/>
  <c r="P45" i="2"/>
  <c r="O46" i="2"/>
  <c r="C47" i="2"/>
  <c r="D46" i="2"/>
  <c r="I47" i="2"/>
  <c r="W36" i="2" l="1"/>
  <c r="X36" i="2" s="1"/>
  <c r="W20" i="2"/>
  <c r="X20" i="2" s="1"/>
  <c r="V52" i="2"/>
  <c r="F38" i="6"/>
  <c r="F36" i="3" s="1"/>
  <c r="AC45" i="2"/>
  <c r="AD45" i="2" s="1"/>
  <c r="DZ40" i="6"/>
  <c r="EA40" i="6" s="1"/>
  <c r="EB40" i="6"/>
  <c r="DW41" i="6" s="1"/>
  <c r="CB39" i="6"/>
  <c r="BW40" i="6" s="1"/>
  <c r="BZ39" i="6"/>
  <c r="CA39" i="6" s="1"/>
  <c r="G39" i="6" s="1"/>
  <c r="G37" i="3" s="1"/>
  <c r="AA51" i="6"/>
  <c r="AB51" i="6"/>
  <c r="W52" i="6" s="1"/>
  <c r="AZ40" i="6"/>
  <c r="BA40" i="6" s="1"/>
  <c r="BB40" i="6"/>
  <c r="AW41" i="6" s="1"/>
  <c r="CZ40" i="6"/>
  <c r="DA40" i="6" s="1"/>
  <c r="DB40" i="6"/>
  <c r="CW41" i="6" s="1"/>
  <c r="BK23" i="6"/>
  <c r="BF24" i="6"/>
  <c r="BE24" i="6"/>
  <c r="BH24" i="6" s="1"/>
  <c r="BC25" i="6" s="1"/>
  <c r="W34" i="2"/>
  <c r="X34" i="2" s="1"/>
  <c r="W15" i="2"/>
  <c r="X15" i="2" s="1"/>
  <c r="AC16" i="2"/>
  <c r="AD16" i="2" s="1"/>
  <c r="AO41" i="2"/>
  <c r="AP41" i="2" s="1"/>
  <c r="W22" i="2"/>
  <c r="X22" i="2" s="1"/>
  <c r="Y22" i="2" s="1"/>
  <c r="AO37" i="2"/>
  <c r="AP37" i="2" s="1"/>
  <c r="AB52" i="2"/>
  <c r="AC42" i="2"/>
  <c r="AD42" i="2" s="1"/>
  <c r="W29" i="2"/>
  <c r="X29" i="2" s="1"/>
  <c r="W9" i="2"/>
  <c r="X9" i="2" s="1"/>
  <c r="AC25" i="2"/>
  <c r="AD25" i="2" s="1"/>
  <c r="W7" i="2"/>
  <c r="X7" i="2" s="1"/>
  <c r="AO14" i="2"/>
  <c r="AP14" i="2" s="1"/>
  <c r="AO25" i="2"/>
  <c r="AP25" i="2" s="1"/>
  <c r="AC20" i="2"/>
  <c r="AD20" i="2" s="1"/>
  <c r="AO24" i="2"/>
  <c r="AP24" i="2" s="1"/>
  <c r="AO10" i="2"/>
  <c r="AP10" i="2" s="1"/>
  <c r="AO23" i="2"/>
  <c r="AP23" i="2" s="1"/>
  <c r="AO46" i="2"/>
  <c r="AP46" i="2" s="1"/>
  <c r="AO34" i="2"/>
  <c r="AP34" i="2" s="1"/>
  <c r="W40" i="2"/>
  <c r="X40" i="2" s="1"/>
  <c r="W28" i="2"/>
  <c r="X28" i="2" s="1"/>
  <c r="W12" i="2"/>
  <c r="X12" i="2" s="1"/>
  <c r="AC46" i="2"/>
  <c r="AD46" i="2" s="1"/>
  <c r="AO32" i="2"/>
  <c r="AP32" i="2" s="1"/>
  <c r="AO17" i="2"/>
  <c r="AP17" i="2" s="1"/>
  <c r="AC36" i="2"/>
  <c r="AD36" i="2" s="1"/>
  <c r="W18" i="2"/>
  <c r="X18" i="2" s="1"/>
  <c r="W42" i="2"/>
  <c r="X42" i="2" s="1"/>
  <c r="W35" i="2"/>
  <c r="X35" i="2" s="1"/>
  <c r="Y35" i="2" s="1"/>
  <c r="W25" i="2"/>
  <c r="X25" i="2" s="1"/>
  <c r="W13" i="2"/>
  <c r="X13" i="2" s="1"/>
  <c r="W39" i="2"/>
  <c r="X39" i="2" s="1"/>
  <c r="W30" i="2"/>
  <c r="X30" i="2" s="1"/>
  <c r="W24" i="2"/>
  <c r="X24" i="2" s="1"/>
  <c r="Y24" i="2" s="1"/>
  <c r="W19" i="2"/>
  <c r="X19" i="2" s="1"/>
  <c r="W10" i="2"/>
  <c r="X10" i="2" s="1"/>
  <c r="AO13" i="2"/>
  <c r="AP13" i="2" s="1"/>
  <c r="AN52" i="2"/>
  <c r="W46" i="2"/>
  <c r="X46" i="2" s="1"/>
  <c r="W37" i="2"/>
  <c r="X37" i="2" s="1"/>
  <c r="W32" i="2"/>
  <c r="X32" i="2" s="1"/>
  <c r="W27" i="2"/>
  <c r="X27" i="2" s="1"/>
  <c r="W21" i="2"/>
  <c r="X21" i="2" s="1"/>
  <c r="W16" i="2"/>
  <c r="X16" i="2" s="1"/>
  <c r="W8" i="2"/>
  <c r="X8" i="2" s="1"/>
  <c r="AO44" i="2"/>
  <c r="AP44" i="2" s="1"/>
  <c r="AO39" i="2"/>
  <c r="AP39" i="2" s="1"/>
  <c r="AO29" i="2"/>
  <c r="AP29" i="2" s="1"/>
  <c r="AO19" i="2"/>
  <c r="AP19" i="2" s="1"/>
  <c r="AO9" i="2"/>
  <c r="AP9" i="2" s="1"/>
  <c r="AC32" i="2"/>
  <c r="AD32" i="2" s="1"/>
  <c r="W41" i="2"/>
  <c r="X41" i="2" s="1"/>
  <c r="W38" i="2"/>
  <c r="X38" i="2" s="1"/>
  <c r="W33" i="2"/>
  <c r="X33" i="2" s="1"/>
  <c r="W31" i="2"/>
  <c r="X31" i="2" s="1"/>
  <c r="W26" i="2"/>
  <c r="X26" i="2" s="1"/>
  <c r="W23" i="2"/>
  <c r="X23" i="2" s="1"/>
  <c r="W17" i="2"/>
  <c r="X17" i="2" s="1"/>
  <c r="W14" i="2"/>
  <c r="X14" i="2" s="1"/>
  <c r="W11" i="2"/>
  <c r="X11" i="2" s="1"/>
  <c r="W47" i="2"/>
  <c r="X47" i="2" s="1"/>
  <c r="W45" i="2"/>
  <c r="X45" i="2" s="1"/>
  <c r="AO33" i="2"/>
  <c r="AP33" i="2" s="1"/>
  <c r="AO28" i="2"/>
  <c r="AP28" i="2" s="1"/>
  <c r="AO20" i="2"/>
  <c r="AP20" i="2" s="1"/>
  <c r="AO12" i="2"/>
  <c r="AP12" i="2" s="1"/>
  <c r="AO47" i="2"/>
  <c r="AP47" i="2" s="1"/>
  <c r="AC29" i="2"/>
  <c r="AD29" i="2" s="1"/>
  <c r="W44" i="2"/>
  <c r="X44" i="2" s="1"/>
  <c r="AO45" i="2"/>
  <c r="AP45" i="2" s="1"/>
  <c r="AC44" i="2"/>
  <c r="AD44" i="2" s="1"/>
  <c r="AO38" i="2"/>
  <c r="AP38" i="2" s="1"/>
  <c r="AO36" i="2"/>
  <c r="AP36" i="2" s="1"/>
  <c r="AO31" i="2"/>
  <c r="AP31" i="2" s="1"/>
  <c r="AO26" i="2"/>
  <c r="AP26" i="2" s="1"/>
  <c r="AO18" i="2"/>
  <c r="AP18" i="2" s="1"/>
  <c r="AO15" i="2"/>
  <c r="AP15" i="2" s="1"/>
  <c r="AO11" i="2"/>
  <c r="AP11" i="2" s="1"/>
  <c r="AC41" i="2"/>
  <c r="AD41" i="2" s="1"/>
  <c r="AC33" i="2"/>
  <c r="AD33" i="2" s="1"/>
  <c r="AC21" i="2"/>
  <c r="AD21" i="2" s="1"/>
  <c r="AE21" i="2" s="1"/>
  <c r="AC17" i="2"/>
  <c r="AD17" i="2" s="1"/>
  <c r="AC37" i="2"/>
  <c r="AD37" i="2" s="1"/>
  <c r="AC28" i="2"/>
  <c r="AD28" i="2" s="1"/>
  <c r="AC22" i="2"/>
  <c r="AD22" i="2" s="1"/>
  <c r="AC12" i="2"/>
  <c r="AD12" i="2" s="1"/>
  <c r="AC14" i="2"/>
  <c r="AD14" i="2" s="1"/>
  <c r="AO42" i="2"/>
  <c r="AP42" i="2" s="1"/>
  <c r="AO43" i="2"/>
  <c r="AP43" i="2" s="1"/>
  <c r="AO40" i="2"/>
  <c r="AP40" i="2" s="1"/>
  <c r="AO35" i="2"/>
  <c r="AP35" i="2" s="1"/>
  <c r="AO30" i="2"/>
  <c r="AP30" i="2" s="1"/>
  <c r="AO27" i="2"/>
  <c r="AP27" i="2" s="1"/>
  <c r="AO22" i="2"/>
  <c r="AP22" i="2" s="1"/>
  <c r="AO21" i="2"/>
  <c r="AP21" i="2" s="1"/>
  <c r="AO16" i="2"/>
  <c r="AP16" i="2" s="1"/>
  <c r="AO8" i="2"/>
  <c r="AP8" i="2" s="1"/>
  <c r="AC39" i="2"/>
  <c r="AD39" i="2" s="1"/>
  <c r="AC34" i="2"/>
  <c r="AD34" i="2" s="1"/>
  <c r="AE34" i="2" s="1"/>
  <c r="AC31" i="2"/>
  <c r="AD31" i="2" s="1"/>
  <c r="AC27" i="2"/>
  <c r="AD27" i="2" s="1"/>
  <c r="AC24" i="2"/>
  <c r="AD24" i="2" s="1"/>
  <c r="AC19" i="2"/>
  <c r="AD19" i="2" s="1"/>
  <c r="AC15" i="2"/>
  <c r="AD15" i="2" s="1"/>
  <c r="AC8" i="2"/>
  <c r="AD8" i="2" s="1"/>
  <c r="AC40" i="2"/>
  <c r="AD40" i="2" s="1"/>
  <c r="AC43" i="2"/>
  <c r="AD43" i="2" s="1"/>
  <c r="AC38" i="2"/>
  <c r="AD38" i="2" s="1"/>
  <c r="AC35" i="2"/>
  <c r="AD35" i="2" s="1"/>
  <c r="AC30" i="2"/>
  <c r="AD30" i="2" s="1"/>
  <c r="AC26" i="2"/>
  <c r="AD26" i="2" s="1"/>
  <c r="AC23" i="2"/>
  <c r="AD23" i="2" s="1"/>
  <c r="AC18" i="2"/>
  <c r="AD18" i="2" s="1"/>
  <c r="AC10" i="2"/>
  <c r="AD10" i="2" s="1"/>
  <c r="AC7" i="2"/>
  <c r="AD7" i="2" s="1"/>
  <c r="AC11" i="2"/>
  <c r="AD11" i="2" s="1"/>
  <c r="D47" i="2"/>
  <c r="E47" i="2" s="1"/>
  <c r="F47" i="2" s="1"/>
  <c r="C48" i="2"/>
  <c r="AC13" i="2"/>
  <c r="AD13" i="2" s="1"/>
  <c r="AC9" i="2"/>
  <c r="AD9" i="2" s="1"/>
  <c r="J47" i="2"/>
  <c r="K44" i="2" s="1"/>
  <c r="L44" i="2" s="1"/>
  <c r="I48" i="2"/>
  <c r="V48" i="2"/>
  <c r="U49" i="2"/>
  <c r="AA49" i="2"/>
  <c r="AB48" i="2"/>
  <c r="AM49" i="2"/>
  <c r="AN48" i="2"/>
  <c r="AQ7" i="2"/>
  <c r="Y34" i="2"/>
  <c r="Y9" i="2"/>
  <c r="P46" i="2"/>
  <c r="O47" i="2"/>
  <c r="AE16" i="2"/>
  <c r="AQ10" i="2"/>
  <c r="Y43" i="2"/>
  <c r="Y36" i="2"/>
  <c r="AE45" i="2"/>
  <c r="AH46" i="2"/>
  <c r="AG47" i="2"/>
  <c r="Y20" i="2"/>
  <c r="AQ42" i="2"/>
  <c r="AQ32" i="2"/>
  <c r="AE47" i="2"/>
  <c r="AQ41" i="2" l="1"/>
  <c r="AQ30" i="2"/>
  <c r="AQ45" i="2"/>
  <c r="AQ19" i="2"/>
  <c r="AQ25" i="2"/>
  <c r="AQ23" i="2"/>
  <c r="AQ15" i="2"/>
  <c r="AQ13" i="2"/>
  <c r="Y8" i="2"/>
  <c r="BE25" i="6"/>
  <c r="BF25" i="6"/>
  <c r="BJ25" i="6" s="1"/>
  <c r="AZ41" i="6"/>
  <c r="BA41" i="6" s="1"/>
  <c r="BB41" i="6"/>
  <c r="AW42" i="6" s="1"/>
  <c r="BZ40" i="6"/>
  <c r="CA40" i="6" s="1"/>
  <c r="G40" i="6" s="1"/>
  <c r="G38" i="3" s="1"/>
  <c r="CB40" i="6"/>
  <c r="BW41" i="6" s="1"/>
  <c r="BG24" i="6"/>
  <c r="BK24" i="6" s="1"/>
  <c r="BI24" i="6"/>
  <c r="DB41" i="6"/>
  <c r="CW42" i="6" s="1"/>
  <c r="CZ41" i="6"/>
  <c r="DA41" i="6" s="1"/>
  <c r="AB52" i="6"/>
  <c r="W53" i="6" s="1"/>
  <c r="AA52" i="6"/>
  <c r="EB41" i="6"/>
  <c r="DW42" i="6" s="1"/>
  <c r="DZ41" i="6"/>
  <c r="EA41" i="6" s="1"/>
  <c r="AQ16" i="2"/>
  <c r="F39" i="6"/>
  <c r="F37" i="3" s="1"/>
  <c r="BJ24" i="6"/>
  <c r="AQ37" i="2"/>
  <c r="Y15" i="2"/>
  <c r="AQ46" i="2"/>
  <c r="AQ31" i="2"/>
  <c r="AE36" i="2"/>
  <c r="Y18" i="2"/>
  <c r="Y21" i="2"/>
  <c r="Y19" i="2"/>
  <c r="AQ34" i="2"/>
  <c r="AE42" i="2"/>
  <c r="AE46" i="2"/>
  <c r="AQ21" i="2"/>
  <c r="AQ38" i="2"/>
  <c r="AQ24" i="2"/>
  <c r="Y31" i="2"/>
  <c r="AQ29" i="2"/>
  <c r="AQ14" i="2"/>
  <c r="AQ47" i="2"/>
  <c r="AQ28" i="2"/>
  <c r="AQ18" i="2"/>
  <c r="AQ33" i="2"/>
  <c r="Y37" i="2"/>
  <c r="Y26" i="2"/>
  <c r="Y40" i="2"/>
  <c r="Y16" i="2"/>
  <c r="Y41" i="2"/>
  <c r="AE29" i="2"/>
  <c r="Y39" i="2"/>
  <c r="Y42" i="2"/>
  <c r="AE25" i="2"/>
  <c r="Y12" i="2"/>
  <c r="AE20" i="2"/>
  <c r="AE17" i="2"/>
  <c r="Y23" i="2"/>
  <c r="AE38" i="2"/>
  <c r="Y38" i="2"/>
  <c r="Y32" i="2"/>
  <c r="K31" i="2"/>
  <c r="L31" i="2" s="1"/>
  <c r="AE37" i="2"/>
  <c r="Y17" i="2"/>
  <c r="AE14" i="2"/>
  <c r="AQ17" i="2"/>
  <c r="K21" i="2"/>
  <c r="L21" i="2" s="1"/>
  <c r="AQ9" i="2"/>
  <c r="AQ36" i="2"/>
  <c r="AQ44" i="2"/>
  <c r="AQ12" i="2"/>
  <c r="E13" i="2"/>
  <c r="F13" i="2" s="1"/>
  <c r="Y28" i="2"/>
  <c r="Y25" i="2"/>
  <c r="Y33" i="2"/>
  <c r="AE15" i="2"/>
  <c r="Y27" i="2"/>
  <c r="AE31" i="2"/>
  <c r="AE22" i="2"/>
  <c r="AE23" i="2"/>
  <c r="E39" i="2"/>
  <c r="F39" i="2" s="1"/>
  <c r="AE44" i="2"/>
  <c r="AQ35" i="2"/>
  <c r="AE41" i="2"/>
  <c r="AE43" i="2"/>
  <c r="W52" i="2"/>
  <c r="AE9" i="2"/>
  <c r="AQ20" i="2"/>
  <c r="AE11" i="2"/>
  <c r="AQ39" i="2"/>
  <c r="Y47" i="2"/>
  <c r="AE28" i="2"/>
  <c r="Y44" i="2"/>
  <c r="AE13" i="2"/>
  <c r="AQ26" i="2"/>
  <c r="AE32" i="2"/>
  <c r="AE26" i="2"/>
  <c r="AQ11" i="2"/>
  <c r="AE19" i="2"/>
  <c r="AE40" i="2"/>
  <c r="AE8" i="2"/>
  <c r="D52" i="2"/>
  <c r="K38" i="2"/>
  <c r="L38" i="2" s="1"/>
  <c r="K47" i="2"/>
  <c r="L47" i="2" s="1"/>
  <c r="E19" i="2"/>
  <c r="F19" i="2" s="1"/>
  <c r="AE33" i="2"/>
  <c r="AQ8" i="2"/>
  <c r="AE24" i="2"/>
  <c r="K14" i="2"/>
  <c r="L14" i="2" s="1"/>
  <c r="E31" i="2"/>
  <c r="F31" i="2" s="1"/>
  <c r="AE27" i="2"/>
  <c r="K36" i="2"/>
  <c r="L36" i="2" s="1"/>
  <c r="K27" i="2"/>
  <c r="L27" i="2" s="1"/>
  <c r="K19" i="2"/>
  <c r="L19" i="2" s="1"/>
  <c r="K11" i="2"/>
  <c r="L11" i="2" s="1"/>
  <c r="E45" i="2"/>
  <c r="F45" i="2" s="1"/>
  <c r="E35" i="2"/>
  <c r="F35" i="2" s="1"/>
  <c r="E25" i="2"/>
  <c r="F25" i="2" s="1"/>
  <c r="E18" i="2"/>
  <c r="F18" i="2" s="1"/>
  <c r="E11" i="2"/>
  <c r="E43" i="2"/>
  <c r="F43" i="2" s="1"/>
  <c r="K41" i="2"/>
  <c r="L41" i="2" s="1"/>
  <c r="K35" i="2"/>
  <c r="L35" i="2" s="1"/>
  <c r="K28" i="2"/>
  <c r="L28" i="2" s="1"/>
  <c r="K18" i="2"/>
  <c r="L18" i="2" s="1"/>
  <c r="K9" i="2"/>
  <c r="L9" i="2" s="1"/>
  <c r="E32" i="2"/>
  <c r="F32" i="2" s="1"/>
  <c r="E26" i="2"/>
  <c r="F26" i="2" s="1"/>
  <c r="E17" i="2"/>
  <c r="F17" i="2" s="1"/>
  <c r="E9" i="2"/>
  <c r="F9" i="2" s="1"/>
  <c r="J52" i="2"/>
  <c r="K45" i="2"/>
  <c r="L45" i="2" s="1"/>
  <c r="K39" i="2"/>
  <c r="L39" i="2" s="1"/>
  <c r="K30" i="2"/>
  <c r="L30" i="2" s="1"/>
  <c r="K25" i="2"/>
  <c r="L25" i="2" s="1"/>
  <c r="K15" i="2"/>
  <c r="L15" i="2" s="1"/>
  <c r="K7" i="2"/>
  <c r="L7" i="2" s="1"/>
  <c r="E37" i="2"/>
  <c r="F37" i="2" s="1"/>
  <c r="E29" i="2"/>
  <c r="F29" i="2" s="1"/>
  <c r="E21" i="2"/>
  <c r="F21" i="2" s="1"/>
  <c r="E15" i="2"/>
  <c r="F15" i="2" s="1"/>
  <c r="G15" i="2" s="1"/>
  <c r="E46" i="2"/>
  <c r="F46" i="2" s="1"/>
  <c r="AC52" i="2"/>
  <c r="AQ40" i="2"/>
  <c r="AE10" i="2"/>
  <c r="AE39" i="2"/>
  <c r="AQ22" i="2"/>
  <c r="K43" i="2"/>
  <c r="L43" i="2" s="1"/>
  <c r="K42" i="2"/>
  <c r="L42" i="2" s="1"/>
  <c r="K37" i="2"/>
  <c r="L37" i="2" s="1"/>
  <c r="K33" i="2"/>
  <c r="L33" i="2" s="1"/>
  <c r="K29" i="2"/>
  <c r="L29" i="2" s="1"/>
  <c r="K24" i="2"/>
  <c r="L24" i="2" s="1"/>
  <c r="K22" i="2"/>
  <c r="L22" i="2" s="1"/>
  <c r="K16" i="2"/>
  <c r="L16" i="2" s="1"/>
  <c r="K13" i="2"/>
  <c r="L13" i="2" s="1"/>
  <c r="K10" i="2"/>
  <c r="L10" i="2" s="1"/>
  <c r="E41" i="2"/>
  <c r="F41" i="2" s="1"/>
  <c r="E38" i="2"/>
  <c r="F38" i="2" s="1"/>
  <c r="E36" i="2"/>
  <c r="F36" i="2" s="1"/>
  <c r="G36" i="2" s="1"/>
  <c r="E33" i="2"/>
  <c r="F33" i="2" s="1"/>
  <c r="E28" i="2"/>
  <c r="F28" i="2" s="1"/>
  <c r="E23" i="2"/>
  <c r="F23" i="2" s="1"/>
  <c r="E24" i="2"/>
  <c r="F24" i="2" s="1"/>
  <c r="G24" i="2" s="1"/>
  <c r="E16" i="2"/>
  <c r="F16" i="2" s="1"/>
  <c r="E12" i="2"/>
  <c r="F12" i="2" s="1"/>
  <c r="E10" i="2"/>
  <c r="AE30" i="2"/>
  <c r="AO52" i="2"/>
  <c r="AE18" i="2"/>
  <c r="AQ27" i="2"/>
  <c r="AQ43" i="2"/>
  <c r="AE35" i="2"/>
  <c r="K46" i="2"/>
  <c r="L46" i="2" s="1"/>
  <c r="K40" i="2"/>
  <c r="L40" i="2" s="1"/>
  <c r="K34" i="2"/>
  <c r="L34" i="2" s="1"/>
  <c r="K32" i="2"/>
  <c r="L32" i="2" s="1"/>
  <c r="K26" i="2"/>
  <c r="L26" i="2" s="1"/>
  <c r="K23" i="2"/>
  <c r="L23" i="2" s="1"/>
  <c r="M23" i="2" s="1"/>
  <c r="K20" i="2"/>
  <c r="L20" i="2" s="1"/>
  <c r="K17" i="2"/>
  <c r="L17" i="2" s="1"/>
  <c r="K12" i="2"/>
  <c r="L12" i="2" s="1"/>
  <c r="K8" i="2"/>
  <c r="L8" i="2" s="1"/>
  <c r="E42" i="2"/>
  <c r="F42" i="2" s="1"/>
  <c r="G42" i="2" s="1"/>
  <c r="E40" i="2"/>
  <c r="F40" i="2" s="1"/>
  <c r="E34" i="2"/>
  <c r="F34" i="2" s="1"/>
  <c r="E30" i="2"/>
  <c r="F30" i="2" s="1"/>
  <c r="E27" i="2"/>
  <c r="F27" i="2" s="1"/>
  <c r="E22" i="2"/>
  <c r="F22" i="2" s="1"/>
  <c r="E20" i="2"/>
  <c r="F20" i="2" s="1"/>
  <c r="G20" i="2" s="1"/>
  <c r="E14" i="2"/>
  <c r="F14" i="2" s="1"/>
  <c r="E8" i="2"/>
  <c r="E44" i="2"/>
  <c r="F44" i="2" s="1"/>
  <c r="E7" i="2"/>
  <c r="C49" i="2"/>
  <c r="D48" i="2"/>
  <c r="E48" i="2" s="1"/>
  <c r="F48" i="2" s="1"/>
  <c r="G48" i="2" s="1"/>
  <c r="I49" i="2"/>
  <c r="J48" i="2"/>
  <c r="K48" i="2" s="1"/>
  <c r="L48" i="2" s="1"/>
  <c r="M48" i="2" s="1"/>
  <c r="P47" i="2"/>
  <c r="Q8" i="2" s="1"/>
  <c r="R8" i="2" s="1"/>
  <c r="O48" i="2"/>
  <c r="V49" i="2"/>
  <c r="W49" i="2" s="1"/>
  <c r="X49" i="2" s="1"/>
  <c r="Y49" i="2" s="1"/>
  <c r="U50" i="2"/>
  <c r="W48" i="2"/>
  <c r="X48" i="2" s="1"/>
  <c r="Y48" i="2" s="1"/>
  <c r="AC48" i="2"/>
  <c r="AB49" i="2"/>
  <c r="AC49" i="2" s="1"/>
  <c r="AA50" i="2"/>
  <c r="AH47" i="2"/>
  <c r="AI46" i="2" s="1"/>
  <c r="AJ46" i="2" s="1"/>
  <c r="AG48" i="2"/>
  <c r="AO48" i="2"/>
  <c r="AM50" i="2"/>
  <c r="AN49" i="2"/>
  <c r="AO49" i="2" s="1"/>
  <c r="Y46" i="2"/>
  <c r="Y30" i="2"/>
  <c r="Y10" i="2"/>
  <c r="Y45" i="2"/>
  <c r="Y14" i="2"/>
  <c r="Y13" i="2"/>
  <c r="Y29" i="2"/>
  <c r="X52" i="2"/>
  <c r="Y7" i="2"/>
  <c r="AE7" i="2" s="1"/>
  <c r="AP52" i="2"/>
  <c r="M44" i="2"/>
  <c r="AD52" i="2"/>
  <c r="G47" i="2"/>
  <c r="G19" i="2" l="1"/>
  <c r="F40" i="6"/>
  <c r="F38" i="3" s="1"/>
  <c r="AZ42" i="6"/>
  <c r="BA42" i="6" s="1"/>
  <c r="BB42" i="6"/>
  <c r="AW43" i="6" s="1"/>
  <c r="AB53" i="6"/>
  <c r="W54" i="6" s="1"/>
  <c r="AA53" i="6"/>
  <c r="CB41" i="6"/>
  <c r="BW42" i="6" s="1"/>
  <c r="BZ41" i="6"/>
  <c r="CA41" i="6" s="1"/>
  <c r="G41" i="6" s="1"/>
  <c r="G39" i="3" s="1"/>
  <c r="EB42" i="6"/>
  <c r="DW43" i="6" s="1"/>
  <c r="DZ42" i="6"/>
  <c r="EA42" i="6" s="1"/>
  <c r="DB42" i="6"/>
  <c r="CW43" i="6" s="1"/>
  <c r="CZ42" i="6"/>
  <c r="DA42" i="6" s="1"/>
  <c r="BH25" i="6"/>
  <c r="BC26" i="6" s="1"/>
  <c r="BG25" i="6"/>
  <c r="BK25" i="6" s="1"/>
  <c r="BI25" i="6"/>
  <c r="G17" i="2"/>
  <c r="M35" i="2"/>
  <c r="G39" i="2"/>
  <c r="M21" i="2"/>
  <c r="AI20" i="2"/>
  <c r="AJ20" i="2" s="1"/>
  <c r="M27" i="2"/>
  <c r="M42" i="2"/>
  <c r="M31" i="2"/>
  <c r="M41" i="2"/>
  <c r="M30" i="2"/>
  <c r="M9" i="2"/>
  <c r="M46" i="2"/>
  <c r="M37" i="2"/>
  <c r="M12" i="2"/>
  <c r="AE12" i="2" s="1"/>
  <c r="AE52" i="2" s="1"/>
  <c r="M14" i="2"/>
  <c r="G35" i="2"/>
  <c r="M39" i="2"/>
  <c r="M18" i="2"/>
  <c r="G43" i="2"/>
  <c r="M10" i="2"/>
  <c r="G13" i="2"/>
  <c r="M38" i="2"/>
  <c r="G31" i="2"/>
  <c r="M13" i="2"/>
  <c r="G26" i="2"/>
  <c r="M43" i="2"/>
  <c r="M29" i="2"/>
  <c r="M34" i="2"/>
  <c r="G44" i="2"/>
  <c r="G18" i="2"/>
  <c r="G32" i="2"/>
  <c r="M22" i="2"/>
  <c r="G29" i="2"/>
  <c r="G34" i="2"/>
  <c r="M25" i="2"/>
  <c r="M26" i="2"/>
  <c r="G46" i="2"/>
  <c r="M11" i="2"/>
  <c r="Y11" i="2" s="1"/>
  <c r="Y52" i="2" s="1"/>
  <c r="G40" i="2"/>
  <c r="Q35" i="2"/>
  <c r="R35" i="2" s="1"/>
  <c r="M47" i="2"/>
  <c r="F11" i="2"/>
  <c r="G11" i="2" s="1"/>
  <c r="M15" i="2"/>
  <c r="AI11" i="2"/>
  <c r="AJ11" i="2" s="1"/>
  <c r="Q26" i="2"/>
  <c r="R26" i="2" s="1"/>
  <c r="G38" i="2"/>
  <c r="M28" i="2"/>
  <c r="G45" i="2"/>
  <c r="Q17" i="2"/>
  <c r="R17" i="2" s="1"/>
  <c r="G21" i="2"/>
  <c r="M36" i="2"/>
  <c r="AI34" i="2"/>
  <c r="AJ34" i="2" s="1"/>
  <c r="M45" i="2"/>
  <c r="AI27" i="2"/>
  <c r="AJ27" i="2" s="1"/>
  <c r="Q11" i="2"/>
  <c r="R11" i="2" s="1"/>
  <c r="Q43" i="2"/>
  <c r="R43" i="2" s="1"/>
  <c r="S43" i="2" s="1"/>
  <c r="Q39" i="2"/>
  <c r="R39" i="2" s="1"/>
  <c r="AI39" i="2"/>
  <c r="AJ39" i="2" s="1"/>
  <c r="AI30" i="2"/>
  <c r="AJ30" i="2" s="1"/>
  <c r="AI25" i="2"/>
  <c r="AJ25" i="2" s="1"/>
  <c r="AK25" i="2" s="1"/>
  <c r="AI14" i="2"/>
  <c r="AJ14" i="2" s="1"/>
  <c r="AI7" i="2"/>
  <c r="AJ7" i="2" s="1"/>
  <c r="AI41" i="2"/>
  <c r="AJ41" i="2" s="1"/>
  <c r="Q33" i="2"/>
  <c r="R33" i="2" s="1"/>
  <c r="Q24" i="2"/>
  <c r="R24" i="2" s="1"/>
  <c r="Q16" i="2"/>
  <c r="R16" i="2" s="1"/>
  <c r="S16" i="2" s="1"/>
  <c r="Q9" i="2"/>
  <c r="R9" i="2" s="1"/>
  <c r="AI45" i="2"/>
  <c r="AJ45" i="2" s="1"/>
  <c r="AK45" i="2" s="1"/>
  <c r="Q44" i="2"/>
  <c r="R44" i="2" s="1"/>
  <c r="AI38" i="2"/>
  <c r="AJ38" i="2" s="1"/>
  <c r="AI29" i="2"/>
  <c r="AJ29" i="2" s="1"/>
  <c r="AI21" i="2"/>
  <c r="AJ21" i="2" s="1"/>
  <c r="AI15" i="2"/>
  <c r="AJ15" i="2" s="1"/>
  <c r="AI47" i="2"/>
  <c r="AJ47" i="2" s="1"/>
  <c r="Q41" i="2"/>
  <c r="R41" i="2" s="1"/>
  <c r="Q30" i="2"/>
  <c r="R30" i="2" s="1"/>
  <c r="Q23" i="2"/>
  <c r="R23" i="2" s="1"/>
  <c r="Q14" i="2"/>
  <c r="R14" i="2" s="1"/>
  <c r="Q7" i="2"/>
  <c r="R7" i="2" s="1"/>
  <c r="Q46" i="2"/>
  <c r="R46" i="2" s="1"/>
  <c r="AI32" i="2"/>
  <c r="AJ32" i="2" s="1"/>
  <c r="AI26" i="2"/>
  <c r="AJ26" i="2" s="1"/>
  <c r="AI18" i="2"/>
  <c r="AJ18" i="2" s="1"/>
  <c r="AI10" i="2"/>
  <c r="AJ10" i="2" s="1"/>
  <c r="Q38" i="2"/>
  <c r="R38" i="2" s="1"/>
  <c r="Q27" i="2"/>
  <c r="R27" i="2" s="1"/>
  <c r="Q20" i="2"/>
  <c r="R20" i="2" s="1"/>
  <c r="Q12" i="2"/>
  <c r="R12" i="2" s="1"/>
  <c r="G14" i="2"/>
  <c r="G25" i="2"/>
  <c r="G9" i="2"/>
  <c r="M16" i="2"/>
  <c r="AQ52" i="2"/>
  <c r="M33" i="2"/>
  <c r="G30" i="2"/>
  <c r="G37" i="2"/>
  <c r="M19" i="2"/>
  <c r="Q45" i="2"/>
  <c r="R45" i="2" s="1"/>
  <c r="G23" i="2"/>
  <c r="M8" i="2"/>
  <c r="M40" i="2"/>
  <c r="E52" i="2"/>
  <c r="M17" i="2"/>
  <c r="M32" i="2"/>
  <c r="F8" i="2"/>
  <c r="K52" i="2"/>
  <c r="P52" i="2"/>
  <c r="G22" i="2"/>
  <c r="G12" i="2"/>
  <c r="G28" i="2"/>
  <c r="AI42" i="2"/>
  <c r="AJ42" i="2" s="1"/>
  <c r="Q40" i="2"/>
  <c r="AI37" i="2"/>
  <c r="AJ37" i="2" s="1"/>
  <c r="AI35" i="2"/>
  <c r="AI31" i="2"/>
  <c r="AJ31" i="2" s="1"/>
  <c r="AI24" i="2"/>
  <c r="AJ24" i="2" s="1"/>
  <c r="AI19" i="2"/>
  <c r="AJ19" i="2" s="1"/>
  <c r="AI17" i="2"/>
  <c r="AJ17" i="2" s="1"/>
  <c r="AI13" i="2"/>
  <c r="AJ13" i="2" s="1"/>
  <c r="AI8" i="2"/>
  <c r="AJ8" i="2" s="1"/>
  <c r="AI44" i="2"/>
  <c r="AJ44" i="2" s="1"/>
  <c r="G41" i="2"/>
  <c r="AI43" i="2"/>
  <c r="AJ43" i="2" s="1"/>
  <c r="Q37" i="2"/>
  <c r="R37" i="2" s="1"/>
  <c r="Q34" i="2"/>
  <c r="Q29" i="2"/>
  <c r="R29" i="2" s="1"/>
  <c r="Q28" i="2"/>
  <c r="Q21" i="2"/>
  <c r="Q18" i="2"/>
  <c r="Q15" i="2"/>
  <c r="R15" i="2" s="1"/>
  <c r="Q10" i="2"/>
  <c r="R10" i="2" s="1"/>
  <c r="Q47" i="2"/>
  <c r="G33" i="2"/>
  <c r="M20" i="2"/>
  <c r="AH52" i="2"/>
  <c r="M24" i="2"/>
  <c r="G27" i="2"/>
  <c r="G16" i="2"/>
  <c r="Q42" i="2"/>
  <c r="R42" i="2" s="1"/>
  <c r="S42" i="2" s="1"/>
  <c r="AI40" i="2"/>
  <c r="AJ40" i="2" s="1"/>
  <c r="AI36" i="2"/>
  <c r="AJ36" i="2" s="1"/>
  <c r="AI33" i="2"/>
  <c r="AJ33" i="2" s="1"/>
  <c r="AI28" i="2"/>
  <c r="AJ28" i="2" s="1"/>
  <c r="AI23" i="2"/>
  <c r="AJ23" i="2" s="1"/>
  <c r="AI22" i="2"/>
  <c r="AJ22" i="2" s="1"/>
  <c r="AI16" i="2"/>
  <c r="AJ16" i="2" s="1"/>
  <c r="AI12" i="2"/>
  <c r="AJ12" i="2" s="1"/>
  <c r="AI9" i="2"/>
  <c r="AJ9" i="2" s="1"/>
  <c r="Q36" i="2"/>
  <c r="R36" i="2" s="1"/>
  <c r="S36" i="2" s="1"/>
  <c r="Q32" i="2"/>
  <c r="R32" i="2" s="1"/>
  <c r="Q31" i="2"/>
  <c r="Q25" i="2"/>
  <c r="Q22" i="2"/>
  <c r="R22" i="2" s="1"/>
  <c r="Q19" i="2"/>
  <c r="Q13" i="2"/>
  <c r="F7" i="2"/>
  <c r="F10" i="2"/>
  <c r="C50" i="2"/>
  <c r="D49" i="2"/>
  <c r="E49" i="2" s="1"/>
  <c r="F49" i="2" s="1"/>
  <c r="G49" i="2" s="1"/>
  <c r="J49" i="2"/>
  <c r="K49" i="2" s="1"/>
  <c r="L49" i="2" s="1"/>
  <c r="M49" i="2" s="1"/>
  <c r="I50" i="2"/>
  <c r="O49" i="2"/>
  <c r="P48" i="2"/>
  <c r="U51" i="2"/>
  <c r="V51" i="2" s="1"/>
  <c r="V50" i="2"/>
  <c r="AD48" i="2"/>
  <c r="AE48" i="2" s="1"/>
  <c r="AB50" i="2"/>
  <c r="AC50" i="2" s="1"/>
  <c r="AA51" i="2"/>
  <c r="AB51" i="2" s="1"/>
  <c r="AD49" i="2"/>
  <c r="AE49" i="2" s="1"/>
  <c r="AG49" i="2"/>
  <c r="AH48" i="2"/>
  <c r="AP49" i="2"/>
  <c r="AQ49" i="2" s="1"/>
  <c r="AP48" i="2"/>
  <c r="AQ48" i="2" s="1"/>
  <c r="AM51" i="2"/>
  <c r="AN51" i="2" s="1"/>
  <c r="AN50" i="2"/>
  <c r="AO50" i="2" s="1"/>
  <c r="L52" i="2"/>
  <c r="S8" i="2"/>
  <c r="M7" i="2"/>
  <c r="AK46" i="2"/>
  <c r="F41" i="6" l="1"/>
  <c r="F39" i="3" s="1"/>
  <c r="S33" i="2"/>
  <c r="CZ43" i="6"/>
  <c r="DA43" i="6" s="1"/>
  <c r="DB43" i="6"/>
  <c r="CW44" i="6" s="1"/>
  <c r="CB42" i="6"/>
  <c r="BW43" i="6" s="1"/>
  <c r="BZ42" i="6"/>
  <c r="CA42" i="6" s="1"/>
  <c r="G42" i="6" s="1"/>
  <c r="G40" i="3" s="1"/>
  <c r="BF26" i="6"/>
  <c r="BJ26" i="6" s="1"/>
  <c r="BE26" i="6"/>
  <c r="BH26" i="6" s="1"/>
  <c r="BC27" i="6" s="1"/>
  <c r="EB43" i="6"/>
  <c r="DW44" i="6" s="1"/>
  <c r="DZ43" i="6"/>
  <c r="EA43" i="6" s="1"/>
  <c r="AB54" i="6"/>
  <c r="AA54" i="6"/>
  <c r="BB43" i="6"/>
  <c r="AW44" i="6" s="1"/>
  <c r="AZ43" i="6"/>
  <c r="BA43" i="6" s="1"/>
  <c r="AK22" i="2"/>
  <c r="AK29" i="2"/>
  <c r="AK33" i="2"/>
  <c r="AK37" i="2"/>
  <c r="AK44" i="2"/>
  <c r="AK7" i="2"/>
  <c r="S45" i="2"/>
  <c r="AK27" i="2"/>
  <c r="S15" i="2"/>
  <c r="AK36" i="2"/>
  <c r="AK15" i="2"/>
  <c r="AK19" i="2"/>
  <c r="S17" i="2"/>
  <c r="AK17" i="2"/>
  <c r="AK20" i="2"/>
  <c r="S29" i="2"/>
  <c r="AK10" i="2"/>
  <c r="AK34" i="2"/>
  <c r="AK21" i="2"/>
  <c r="S35" i="2"/>
  <c r="S11" i="2"/>
  <c r="S20" i="2"/>
  <c r="S39" i="2"/>
  <c r="F42" i="6"/>
  <c r="F40" i="3" s="1"/>
  <c r="S12" i="2"/>
  <c r="S30" i="2"/>
  <c r="S27" i="2"/>
  <c r="AK39" i="2"/>
  <c r="AK38" i="2"/>
  <c r="AK47" i="2"/>
  <c r="AK26" i="2"/>
  <c r="S14" i="2"/>
  <c r="AK11" i="2"/>
  <c r="AK30" i="2"/>
  <c r="S9" i="2"/>
  <c r="AK40" i="2"/>
  <c r="AK41" i="2"/>
  <c r="AK18" i="2"/>
  <c r="S7" i="2"/>
  <c r="S41" i="2"/>
  <c r="S22" i="2"/>
  <c r="AK23" i="2"/>
  <c r="S24" i="2"/>
  <c r="S44" i="2"/>
  <c r="S23" i="2"/>
  <c r="AK24" i="2"/>
  <c r="AK32" i="2"/>
  <c r="S38" i="2"/>
  <c r="AK14" i="2"/>
  <c r="AK9" i="2"/>
  <c r="AJ10" i="6"/>
  <c r="AK31" i="2"/>
  <c r="M52" i="2"/>
  <c r="AK16" i="2"/>
  <c r="AK13" i="2"/>
  <c r="R28" i="2"/>
  <c r="AK43" i="2"/>
  <c r="S10" i="2"/>
  <c r="Q52" i="2"/>
  <c r="AK42" i="2"/>
  <c r="S32" i="2"/>
  <c r="R21" i="2"/>
  <c r="AK8" i="2"/>
  <c r="AK12" i="2"/>
  <c r="AK28" i="2"/>
  <c r="R40" i="2"/>
  <c r="R13" i="2"/>
  <c r="G10" i="2"/>
  <c r="R19" i="2"/>
  <c r="R31" i="2"/>
  <c r="S31" i="2" s="1"/>
  <c r="R47" i="2"/>
  <c r="AJ35" i="2"/>
  <c r="G8" i="2"/>
  <c r="S37" i="2"/>
  <c r="F52" i="2"/>
  <c r="AI52" i="2"/>
  <c r="S46" i="2"/>
  <c r="G7" i="2"/>
  <c r="R25" i="2"/>
  <c r="R18" i="2"/>
  <c r="R34" i="2"/>
  <c r="C51" i="2"/>
  <c r="D51" i="2" s="1"/>
  <c r="D50" i="2"/>
  <c r="E50" i="2" s="1"/>
  <c r="F50" i="2" s="1"/>
  <c r="G50" i="2" s="1"/>
  <c r="J50" i="2"/>
  <c r="K50" i="2" s="1"/>
  <c r="L50" i="2" s="1"/>
  <c r="M50" i="2" s="1"/>
  <c r="I51" i="2"/>
  <c r="J51" i="2" s="1"/>
  <c r="Q48" i="2"/>
  <c r="R48" i="2" s="1"/>
  <c r="S48" i="2" s="1"/>
  <c r="O50" i="2"/>
  <c r="P49" i="2"/>
  <c r="Q49" i="2" s="1"/>
  <c r="W50" i="2"/>
  <c r="X50" i="2" s="1"/>
  <c r="Y50" i="2" s="1"/>
  <c r="W51" i="2"/>
  <c r="AD50" i="2"/>
  <c r="AE50" i="2" s="1"/>
  <c r="AC51" i="2"/>
  <c r="AH49" i="2"/>
  <c r="AI49" i="2" s="1"/>
  <c r="AG50" i="2"/>
  <c r="AI48" i="2"/>
  <c r="AP50" i="2"/>
  <c r="AQ50" i="2" s="1"/>
  <c r="AO51" i="2"/>
  <c r="S26" i="2"/>
  <c r="BF27" i="6" l="1"/>
  <c r="BJ27" i="6" s="1"/>
  <c r="BE27" i="6"/>
  <c r="AZ44" i="6"/>
  <c r="BA44" i="6" s="1"/>
  <c r="BB44" i="6"/>
  <c r="AW45" i="6" s="1"/>
  <c r="DZ44" i="6"/>
  <c r="EA44" i="6" s="1"/>
  <c r="EB44" i="6"/>
  <c r="DW45" i="6" s="1"/>
  <c r="CB43" i="6"/>
  <c r="BW44" i="6" s="1"/>
  <c r="BZ43" i="6"/>
  <c r="CA43" i="6" s="1"/>
  <c r="G43" i="6" s="1"/>
  <c r="G41" i="3" s="1"/>
  <c r="BG26" i="6"/>
  <c r="BK26" i="6" s="1"/>
  <c r="BI26" i="6"/>
  <c r="DB44" i="6"/>
  <c r="CW45" i="6" s="1"/>
  <c r="CZ44" i="6"/>
  <c r="DA44" i="6" s="1"/>
  <c r="R52" i="2"/>
  <c r="S18" i="2"/>
  <c r="S13" i="2"/>
  <c r="S28" i="2"/>
  <c r="S34" i="2"/>
  <c r="S21" i="2"/>
  <c r="AK35" i="2"/>
  <c r="AK52" i="2" s="1"/>
  <c r="S47" i="2"/>
  <c r="S19" i="2"/>
  <c r="AJ52" i="2"/>
  <c r="E2" i="3"/>
  <c r="S25" i="2"/>
  <c r="S40" i="2"/>
  <c r="G52" i="2"/>
  <c r="E51" i="2"/>
  <c r="F51" i="2" s="1"/>
  <c r="G51" i="2" s="1"/>
  <c r="K51" i="2"/>
  <c r="L51" i="2" s="1"/>
  <c r="M51" i="2" s="1"/>
  <c r="R49" i="2"/>
  <c r="S49" i="2" s="1"/>
  <c r="O51" i="2"/>
  <c r="P51" i="2" s="1"/>
  <c r="P50" i="2"/>
  <c r="Q50" i="2" s="1"/>
  <c r="R50" i="2" s="1"/>
  <c r="S50" i="2" s="1"/>
  <c r="X51" i="2"/>
  <c r="Y51" i="2" s="1"/>
  <c r="AD51" i="2"/>
  <c r="AE51" i="2" s="1"/>
  <c r="AH50" i="2"/>
  <c r="AG51" i="2"/>
  <c r="AH51" i="2" s="1"/>
  <c r="AJ48" i="2"/>
  <c r="AK48" i="2" s="1"/>
  <c r="AJ49" i="2"/>
  <c r="AK49" i="2" s="1"/>
  <c r="AP51" i="2"/>
  <c r="AQ51" i="2" s="1"/>
  <c r="D2" i="3"/>
  <c r="F43" i="6" l="1"/>
  <c r="F41" i="3" s="1"/>
  <c r="AZ45" i="6"/>
  <c r="BA45" i="6" s="1"/>
  <c r="BB45" i="6"/>
  <c r="AW46" i="6" s="1"/>
  <c r="DB45" i="6"/>
  <c r="CW46" i="6" s="1"/>
  <c r="CZ45" i="6"/>
  <c r="DA45" i="6" s="1"/>
  <c r="BZ44" i="6"/>
  <c r="CA44" i="6" s="1"/>
  <c r="CB44" i="6"/>
  <c r="BW45" i="6" s="1"/>
  <c r="EB45" i="6"/>
  <c r="DW46" i="6" s="1"/>
  <c r="DZ45" i="6"/>
  <c r="EA45" i="6" s="1"/>
  <c r="BH27" i="6"/>
  <c r="BC28" i="6" s="1"/>
  <c r="BG27" i="6"/>
  <c r="BK27" i="6" s="1"/>
  <c r="BI27" i="6"/>
  <c r="G44" i="6"/>
  <c r="G42" i="3" s="1"/>
  <c r="S52" i="2"/>
  <c r="Q51" i="2"/>
  <c r="R51" i="2" s="1"/>
  <c r="S51" i="2" s="1"/>
  <c r="AI50" i="2"/>
  <c r="AI51" i="2"/>
  <c r="F44" i="6" l="1"/>
  <c r="F42" i="3" s="1"/>
  <c r="DZ46" i="6"/>
  <c r="EA46" i="6" s="1"/>
  <c r="EB46" i="6"/>
  <c r="DW47" i="6" s="1"/>
  <c r="CZ46" i="6"/>
  <c r="DA46" i="6" s="1"/>
  <c r="DB46" i="6"/>
  <c r="CW47" i="6" s="1"/>
  <c r="CB45" i="6"/>
  <c r="BW46" i="6" s="1"/>
  <c r="BZ45" i="6"/>
  <c r="CA45" i="6" s="1"/>
  <c r="G45" i="6" s="1"/>
  <c r="G43" i="3" s="1"/>
  <c r="BB46" i="6"/>
  <c r="AW47" i="6" s="1"/>
  <c r="AZ46" i="6"/>
  <c r="BA46" i="6" s="1"/>
  <c r="BE28" i="6"/>
  <c r="BH28" i="6" s="1"/>
  <c r="BC29" i="6" s="1"/>
  <c r="BF28" i="6"/>
  <c r="BJ28" i="6" s="1"/>
  <c r="AJ51" i="2"/>
  <c r="AK51" i="2" s="1"/>
  <c r="AJ50" i="2"/>
  <c r="AK50" i="2" s="1"/>
  <c r="F45" i="6" l="1"/>
  <c r="F43" i="3" s="1"/>
  <c r="CZ47" i="6"/>
  <c r="DA47" i="6" s="1"/>
  <c r="DB47" i="6"/>
  <c r="CW48" i="6" s="1"/>
  <c r="BF29" i="6"/>
  <c r="BJ29" i="6" s="1"/>
  <c r="BE29" i="6"/>
  <c r="AZ47" i="6"/>
  <c r="BA47" i="6" s="1"/>
  <c r="BB47" i="6"/>
  <c r="AW48" i="6" s="1"/>
  <c r="DZ47" i="6"/>
  <c r="EA47" i="6" s="1"/>
  <c r="EB47" i="6"/>
  <c r="DW48" i="6" s="1"/>
  <c r="BI28" i="6"/>
  <c r="BG28" i="6"/>
  <c r="BK28" i="6" s="1"/>
  <c r="CB46" i="6"/>
  <c r="BW47" i="6" s="1"/>
  <c r="BZ46" i="6"/>
  <c r="CA46" i="6" s="1"/>
  <c r="G46" i="6" s="1"/>
  <c r="G44" i="3" s="1"/>
  <c r="AG10" i="6"/>
  <c r="K10" i="6" s="1"/>
  <c r="AI10" i="6"/>
  <c r="F46" i="6" l="1"/>
  <c r="F44" i="3" s="1"/>
  <c r="EB48" i="6"/>
  <c r="DW49" i="6" s="1"/>
  <c r="DZ48" i="6"/>
  <c r="EA48" i="6" s="1"/>
  <c r="BH29" i="6"/>
  <c r="BC30" i="6" s="1"/>
  <c r="BI29" i="6"/>
  <c r="BG29" i="6"/>
  <c r="BK29" i="6" s="1"/>
  <c r="BZ47" i="6"/>
  <c r="CA47" i="6" s="1"/>
  <c r="G47" i="6" s="1"/>
  <c r="G45" i="3" s="1"/>
  <c r="CB47" i="6"/>
  <c r="BW48" i="6" s="1"/>
  <c r="AZ48" i="6"/>
  <c r="BA48" i="6" s="1"/>
  <c r="BB48" i="6"/>
  <c r="AW49" i="6" s="1"/>
  <c r="CZ48" i="6"/>
  <c r="DA48" i="6" s="1"/>
  <c r="DB48" i="6"/>
  <c r="CW49" i="6" s="1"/>
  <c r="AK10" i="6"/>
  <c r="F47" i="6" l="1"/>
  <c r="F45" i="3" s="1"/>
  <c r="BB49" i="6"/>
  <c r="AW50" i="6" s="1"/>
  <c r="AZ49" i="6"/>
  <c r="BA49" i="6" s="1"/>
  <c r="EB49" i="6"/>
  <c r="DW50" i="6" s="1"/>
  <c r="DZ49" i="6"/>
  <c r="EA49" i="6" s="1"/>
  <c r="DB49" i="6"/>
  <c r="CW50" i="6" s="1"/>
  <c r="CZ49" i="6"/>
  <c r="DA49" i="6" s="1"/>
  <c r="CB48" i="6"/>
  <c r="BW49" i="6" s="1"/>
  <c r="BZ48" i="6"/>
  <c r="CA48" i="6" s="1"/>
  <c r="BE30" i="6"/>
  <c r="BH30" i="6" s="1"/>
  <c r="BC31" i="6" s="1"/>
  <c r="BF30" i="6"/>
  <c r="BJ30" i="6" s="1"/>
  <c r="G48" i="6"/>
  <c r="G46" i="3" s="1"/>
  <c r="J8" i="3"/>
  <c r="I8" i="3"/>
  <c r="F48" i="6" l="1"/>
  <c r="F46" i="3" s="1"/>
  <c r="BF31" i="6"/>
  <c r="BJ31" i="6" s="1"/>
  <c r="BE31" i="6"/>
  <c r="CB49" i="6"/>
  <c r="BW50" i="6" s="1"/>
  <c r="BZ49" i="6"/>
  <c r="CA49" i="6" s="1"/>
  <c r="G49" i="6" s="1"/>
  <c r="G47" i="3" s="1"/>
  <c r="EB50" i="6"/>
  <c r="DW51" i="6" s="1"/>
  <c r="DZ50" i="6"/>
  <c r="EA50" i="6" s="1"/>
  <c r="BG30" i="6"/>
  <c r="BK30" i="6" s="1"/>
  <c r="BI30" i="6"/>
  <c r="DB50" i="6"/>
  <c r="CW51" i="6" s="1"/>
  <c r="CZ50" i="6"/>
  <c r="DA50" i="6" s="1"/>
  <c r="BB50" i="6"/>
  <c r="AW51" i="6" s="1"/>
  <c r="AZ50" i="6"/>
  <c r="BA50" i="6" s="1"/>
  <c r="F49" i="6"/>
  <c r="F47" i="3" s="1"/>
  <c r="K8" i="3"/>
  <c r="L8" i="3" s="1"/>
  <c r="BB51" i="6" l="1"/>
  <c r="AW52" i="6" s="1"/>
  <c r="AZ51" i="6"/>
  <c r="BA51" i="6" s="1"/>
  <c r="CB50" i="6"/>
  <c r="BW51" i="6" s="1"/>
  <c r="BZ50" i="6"/>
  <c r="CA50" i="6" s="1"/>
  <c r="BH31" i="6"/>
  <c r="BC32" i="6" s="1"/>
  <c r="BI31" i="6"/>
  <c r="BG31" i="6"/>
  <c r="BK31" i="6" s="1"/>
  <c r="CZ51" i="6"/>
  <c r="DA51" i="6" s="1"/>
  <c r="DB51" i="6"/>
  <c r="CW52" i="6" s="1"/>
  <c r="EB51" i="6"/>
  <c r="DW52" i="6" s="1"/>
  <c r="DZ51" i="6"/>
  <c r="EA51" i="6" s="1"/>
  <c r="F50" i="6"/>
  <c r="F48" i="3" s="1"/>
  <c r="F2" i="3" s="1"/>
  <c r="G50" i="6"/>
  <c r="G48" i="3" s="1"/>
  <c r="G2" i="3" l="1"/>
  <c r="BZ51" i="6"/>
  <c r="CA51" i="6" s="1"/>
  <c r="G51" i="6" s="1"/>
  <c r="G49" i="3" s="1"/>
  <c r="CB51" i="6"/>
  <c r="BW52" i="6" s="1"/>
  <c r="CZ52" i="6"/>
  <c r="DA52" i="6" s="1"/>
  <c r="DB52" i="6"/>
  <c r="CW53" i="6" s="1"/>
  <c r="DZ52" i="6"/>
  <c r="EA52" i="6" s="1"/>
  <c r="EB52" i="6"/>
  <c r="DW53" i="6" s="1"/>
  <c r="BF32" i="6"/>
  <c r="BJ32" i="6" s="1"/>
  <c r="BE32" i="6"/>
  <c r="BB52" i="6"/>
  <c r="AW53" i="6" s="1"/>
  <c r="AZ52" i="6"/>
  <c r="BA52" i="6" s="1"/>
  <c r="F51" i="6" l="1"/>
  <c r="F49" i="3" s="1"/>
  <c r="DB53" i="6"/>
  <c r="CW54" i="6" s="1"/>
  <c r="CZ53" i="6"/>
  <c r="DA53" i="6" s="1"/>
  <c r="BI32" i="6"/>
  <c r="BG32" i="6"/>
  <c r="BK32" i="6" s="1"/>
  <c r="BB53" i="6"/>
  <c r="AW54" i="6" s="1"/>
  <c r="AZ53" i="6"/>
  <c r="BA53" i="6" s="1"/>
  <c r="DZ53" i="6"/>
  <c r="EA53" i="6" s="1"/>
  <c r="EB53" i="6"/>
  <c r="DW54" i="6" s="1"/>
  <c r="BZ52" i="6"/>
  <c r="CA52" i="6" s="1"/>
  <c r="G52" i="6" s="1"/>
  <c r="G50" i="3" s="1"/>
  <c r="CB52" i="6"/>
  <c r="BW53" i="6" s="1"/>
  <c r="BH32" i="6"/>
  <c r="BC33" i="6" s="1"/>
  <c r="F52" i="6" l="1"/>
  <c r="F50" i="3" s="1"/>
  <c r="EB54" i="6"/>
  <c r="DZ54" i="6"/>
  <c r="BF33" i="6"/>
  <c r="BJ33" i="6" s="1"/>
  <c r="BE33" i="6"/>
  <c r="CB53" i="6"/>
  <c r="BW54" i="6" s="1"/>
  <c r="BZ53" i="6"/>
  <c r="CA53" i="6" s="1"/>
  <c r="BB54" i="6"/>
  <c r="AZ54" i="6"/>
  <c r="DB54" i="6"/>
  <c r="CZ54" i="6"/>
  <c r="G53" i="6"/>
  <c r="G51" i="3" s="1"/>
  <c r="F53" i="6" l="1"/>
  <c r="F51" i="3" s="1"/>
  <c r="BH33" i="6"/>
  <c r="BC34" i="6" s="1"/>
  <c r="BG33" i="6"/>
  <c r="BK33" i="6" s="1"/>
  <c r="BI33" i="6"/>
  <c r="BA54" i="6"/>
  <c r="BA9" i="6" s="1"/>
  <c r="AZ9" i="6"/>
  <c r="DA54" i="6"/>
  <c r="DA9" i="6" s="1"/>
  <c r="CZ9" i="6"/>
  <c r="CQ17" i="6"/>
  <c r="CQ19" i="6" s="1"/>
  <c r="CQ20" i="6" s="1"/>
  <c r="DD10" i="6" s="1" a="1"/>
  <c r="DD10" i="6" s="1"/>
  <c r="EA54" i="6"/>
  <c r="EA9" i="6" s="1"/>
  <c r="DQ17" i="6"/>
  <c r="DQ19" i="6" s="1"/>
  <c r="DQ20" i="6" s="1"/>
  <c r="ED10" i="6" s="1" a="1"/>
  <c r="ED10" i="6" s="1"/>
  <c r="DZ9" i="6"/>
  <c r="BZ54" i="6"/>
  <c r="F54" i="6" s="1"/>
  <c r="CB54" i="6"/>
  <c r="Z9" i="6"/>
  <c r="DH10" i="6" l="1"/>
  <c r="DC11" i="6" s="1"/>
  <c r="DD9" i="6"/>
  <c r="CA54" i="6"/>
  <c r="CA9" i="6" s="1"/>
  <c r="BQ17" i="6"/>
  <c r="BQ19" i="6" s="1"/>
  <c r="BQ20" i="6" s="1"/>
  <c r="CD10" i="6" s="1" a="1"/>
  <c r="CD10" i="6" s="1"/>
  <c r="BZ9" i="6"/>
  <c r="ED9" i="6"/>
  <c r="EH10" i="6"/>
  <c r="EC11" i="6" s="1"/>
  <c r="BF34" i="6"/>
  <c r="BJ34" i="6" s="1"/>
  <c r="BE34" i="6"/>
  <c r="F52" i="3"/>
  <c r="F9" i="6"/>
  <c r="AA9" i="6"/>
  <c r="G54" i="6" l="1"/>
  <c r="G52" i="3" s="1"/>
  <c r="CD9" i="6"/>
  <c r="CH10" i="6"/>
  <c r="CC11" i="6" s="1"/>
  <c r="EE11" i="6"/>
  <c r="EF11" i="6"/>
  <c r="BH34" i="6"/>
  <c r="BC35" i="6" s="1"/>
  <c r="BI34" i="6"/>
  <c r="BG34" i="6"/>
  <c r="BK34" i="6" s="1"/>
  <c r="DE11" i="6"/>
  <c r="DF11" i="6"/>
  <c r="G9" i="6" l="1"/>
  <c r="EI11" i="6"/>
  <c r="EG11" i="6"/>
  <c r="DJ11" i="6"/>
  <c r="BE35" i="6"/>
  <c r="BF35" i="6"/>
  <c r="BJ35" i="6" s="1"/>
  <c r="CE11" i="6"/>
  <c r="CF11" i="6"/>
  <c r="EJ11" i="6"/>
  <c r="DH11" i="6"/>
  <c r="DC12" i="6" s="1"/>
  <c r="DI11" i="6"/>
  <c r="DG11" i="6"/>
  <c r="EH11" i="6"/>
  <c r="EC12" i="6" s="1"/>
  <c r="Q20" i="6"/>
  <c r="CG11" i="6" l="1"/>
  <c r="CI11" i="6"/>
  <c r="DK11" i="6"/>
  <c r="BH35" i="6"/>
  <c r="BC36" i="6" s="1"/>
  <c r="BG35" i="6"/>
  <c r="BK35" i="6" s="1"/>
  <c r="BI35" i="6"/>
  <c r="EK11" i="6"/>
  <c r="CH11" i="6"/>
  <c r="CC12" i="6" s="1"/>
  <c r="EF12" i="6"/>
  <c r="EE12" i="6"/>
  <c r="DF12" i="6"/>
  <c r="DE12" i="6"/>
  <c r="DH12" i="6" s="1"/>
  <c r="DC13" i="6" s="1"/>
  <c r="CJ11" i="6"/>
  <c r="H17" i="6"/>
  <c r="H15" i="3" s="1"/>
  <c r="H38" i="6"/>
  <c r="H36" i="3" s="1"/>
  <c r="H42" i="6"/>
  <c r="H40" i="3" s="1"/>
  <c r="H23" i="6"/>
  <c r="H21" i="3" s="1"/>
  <c r="H53" i="6"/>
  <c r="H51" i="3" s="1"/>
  <c r="H46" i="6"/>
  <c r="H44" i="3" s="1"/>
  <c r="H35" i="6"/>
  <c r="H33" i="3" s="1"/>
  <c r="H11" i="6"/>
  <c r="H9" i="3" s="1"/>
  <c r="H43" i="6"/>
  <c r="H41" i="3" s="1"/>
  <c r="H51" i="6"/>
  <c r="H49" i="3" s="1"/>
  <c r="H52" i="6"/>
  <c r="H50" i="3" s="1"/>
  <c r="H37" i="6"/>
  <c r="H35" i="3" s="1"/>
  <c r="H40" i="6"/>
  <c r="H38" i="3" s="1"/>
  <c r="H25" i="6"/>
  <c r="H23" i="3" s="1"/>
  <c r="H36" i="6"/>
  <c r="H34" i="3" s="1"/>
  <c r="H33" i="6"/>
  <c r="H31" i="3" s="1"/>
  <c r="H18" i="6"/>
  <c r="H16" i="3" s="1"/>
  <c r="H12" i="6"/>
  <c r="H10" i="3" s="1"/>
  <c r="H26" i="6"/>
  <c r="H24" i="3" s="1"/>
  <c r="H47" i="6"/>
  <c r="H45" i="3" s="1"/>
  <c r="H30" i="6"/>
  <c r="H28" i="3" s="1"/>
  <c r="H27" i="6"/>
  <c r="H25" i="3" s="1"/>
  <c r="H31" i="6"/>
  <c r="H29" i="3" s="1"/>
  <c r="H16" i="6"/>
  <c r="H14" i="3" s="1"/>
  <c r="H50" i="6"/>
  <c r="H48" i="3" s="1"/>
  <c r="H22" i="6"/>
  <c r="H20" i="3" s="1"/>
  <c r="H20" i="6"/>
  <c r="H18" i="3" s="1"/>
  <c r="H32" i="6"/>
  <c r="H30" i="3" s="1"/>
  <c r="H28" i="6"/>
  <c r="H26" i="3" s="1"/>
  <c r="H13" i="6"/>
  <c r="H11" i="3" s="1"/>
  <c r="H21" i="6"/>
  <c r="H19" i="3" s="1"/>
  <c r="H15" i="6"/>
  <c r="H13" i="3" s="1"/>
  <c r="H48" i="6"/>
  <c r="H46" i="3" s="1"/>
  <c r="H45" i="6"/>
  <c r="H43" i="3" s="1"/>
  <c r="H41" i="6"/>
  <c r="H39" i="3" s="1"/>
  <c r="H14" i="6"/>
  <c r="H12" i="3" s="1"/>
  <c r="DI12" i="6" l="1"/>
  <c r="DG12" i="6"/>
  <c r="CF12" i="6"/>
  <c r="CE12" i="6"/>
  <c r="DE13" i="6"/>
  <c r="DF13" i="6"/>
  <c r="DJ13" i="6" s="1"/>
  <c r="EJ12" i="6"/>
  <c r="DJ12" i="6"/>
  <c r="BE36" i="6"/>
  <c r="BF36" i="6"/>
  <c r="BJ36" i="6" s="1"/>
  <c r="EH12" i="6"/>
  <c r="EC13" i="6" s="1"/>
  <c r="EG12" i="6"/>
  <c r="EI12" i="6"/>
  <c r="CK11" i="6"/>
  <c r="AD9" i="6"/>
  <c r="H10" i="6"/>
  <c r="H8" i="3" s="1"/>
  <c r="AH10" i="6"/>
  <c r="AC11" i="6" s="1"/>
  <c r="AE11" i="6" s="1"/>
  <c r="H19" i="6"/>
  <c r="H17" i="3" s="1"/>
  <c r="EK12" i="6" l="1"/>
  <c r="BG36" i="6"/>
  <c r="BK36" i="6" s="1"/>
  <c r="BI36" i="6"/>
  <c r="CJ12" i="6"/>
  <c r="EF13" i="6"/>
  <c r="EE13" i="6"/>
  <c r="EH13" i="6" s="1"/>
  <c r="EC14" i="6" s="1"/>
  <c r="BH36" i="6"/>
  <c r="BC37" i="6" s="1"/>
  <c r="DH13" i="6"/>
  <c r="DC14" i="6" s="1"/>
  <c r="DI13" i="6"/>
  <c r="DG13" i="6"/>
  <c r="DK13" i="6" s="1"/>
  <c r="DK12" i="6"/>
  <c r="CH12" i="6"/>
  <c r="CC13" i="6" s="1"/>
  <c r="CG12" i="6"/>
  <c r="CI12" i="6"/>
  <c r="AF11" i="6"/>
  <c r="H24" i="6"/>
  <c r="H22" i="3" s="1"/>
  <c r="EF14" i="6" l="1"/>
  <c r="EJ14" i="6" s="1"/>
  <c r="EE14" i="6"/>
  <c r="DE14" i="6"/>
  <c r="DF14" i="6"/>
  <c r="EJ13" i="6"/>
  <c r="BE37" i="6"/>
  <c r="BH37" i="6" s="1"/>
  <c r="BC38" i="6" s="1"/>
  <c r="BF37" i="6"/>
  <c r="BJ37" i="6" s="1"/>
  <c r="CK12" i="6"/>
  <c r="CE13" i="6"/>
  <c r="CH13" i="6" s="1"/>
  <c r="CC14" i="6" s="1"/>
  <c r="CF13" i="6"/>
  <c r="EG13" i="6"/>
  <c r="EI13" i="6"/>
  <c r="AG11" i="6"/>
  <c r="AI11" i="6"/>
  <c r="I11" i="6"/>
  <c r="I9" i="3" s="1"/>
  <c r="AH11" i="6"/>
  <c r="AC12" i="6" s="1"/>
  <c r="AE12" i="6" s="1"/>
  <c r="AJ11" i="6"/>
  <c r="J11" i="6"/>
  <c r="J9" i="3" s="1"/>
  <c r="H29" i="6"/>
  <c r="H27" i="3" s="1"/>
  <c r="EK13" i="6" l="1"/>
  <c r="BG37" i="6"/>
  <c r="BK37" i="6" s="1"/>
  <c r="BI37" i="6"/>
  <c r="DJ14" i="6"/>
  <c r="CE14" i="6"/>
  <c r="CF14" i="6"/>
  <c r="CJ14" i="6" s="1"/>
  <c r="DG14" i="6"/>
  <c r="DI14" i="6"/>
  <c r="CJ13" i="6"/>
  <c r="BF38" i="6"/>
  <c r="BJ38" i="6" s="1"/>
  <c r="BE38" i="6"/>
  <c r="BH38" i="6" s="1"/>
  <c r="BC39" i="6" s="1"/>
  <c r="EH14" i="6"/>
  <c r="EC15" i="6" s="1"/>
  <c r="EI14" i="6"/>
  <c r="EG14" i="6"/>
  <c r="EK14" i="6" s="1"/>
  <c r="CI13" i="6"/>
  <c r="CG13" i="6"/>
  <c r="DH14" i="6"/>
  <c r="DC15" i="6" s="1"/>
  <c r="AF12" i="6"/>
  <c r="AK11" i="6"/>
  <c r="K11" i="6"/>
  <c r="K9" i="3" s="1"/>
  <c r="L9" i="3" s="1"/>
  <c r="H34" i="6"/>
  <c r="H32" i="3" s="1"/>
  <c r="BE39" i="6" l="1"/>
  <c r="BH39" i="6" s="1"/>
  <c r="BC40" i="6" s="1"/>
  <c r="BF39" i="6"/>
  <c r="BJ39" i="6" s="1"/>
  <c r="DE15" i="6"/>
  <c r="DF15" i="6"/>
  <c r="BI38" i="6"/>
  <c r="BG38" i="6"/>
  <c r="BK38" i="6" s="1"/>
  <c r="CH14" i="6"/>
  <c r="CC15" i="6" s="1"/>
  <c r="CI14" i="6"/>
  <c r="CG14" i="6"/>
  <c r="CK14" i="6" s="1"/>
  <c r="CK13" i="6"/>
  <c r="EE15" i="6"/>
  <c r="EF15" i="6"/>
  <c r="DK14" i="6"/>
  <c r="AH12" i="6"/>
  <c r="AC13" i="6" s="1"/>
  <c r="AE13" i="6" s="1"/>
  <c r="AI12" i="6"/>
  <c r="I12" i="6"/>
  <c r="I10" i="3" s="1"/>
  <c r="AG12" i="6"/>
  <c r="AJ12" i="6"/>
  <c r="J12" i="6"/>
  <c r="J10" i="3" s="1"/>
  <c r="H39" i="6"/>
  <c r="H37" i="3" s="1"/>
  <c r="BF40" i="6" l="1"/>
  <c r="BJ40" i="6" s="1"/>
  <c r="BE40" i="6"/>
  <c r="BH40" i="6" s="1"/>
  <c r="BC41" i="6" s="1"/>
  <c r="EH15" i="6"/>
  <c r="EC16" i="6" s="1"/>
  <c r="EI15" i="6"/>
  <c r="EG15" i="6"/>
  <c r="EJ15" i="6"/>
  <c r="CE15" i="6"/>
  <c r="CF15" i="6"/>
  <c r="DH15" i="6"/>
  <c r="DC16" i="6" s="1"/>
  <c r="DG15" i="6"/>
  <c r="DI15" i="6"/>
  <c r="DJ15" i="6"/>
  <c r="BI39" i="6"/>
  <c r="BG39" i="6"/>
  <c r="BK39" i="6" s="1"/>
  <c r="AF13" i="6"/>
  <c r="K12" i="6"/>
  <c r="K10" i="3" s="1"/>
  <c r="L10" i="3" s="1"/>
  <c r="AK12" i="6"/>
  <c r="H44" i="6"/>
  <c r="H42" i="3" s="1"/>
  <c r="BF41" i="6" l="1"/>
  <c r="BJ41" i="6" s="1"/>
  <c r="BE41" i="6"/>
  <c r="BH41" i="6" s="1"/>
  <c r="BC42" i="6" s="1"/>
  <c r="EE16" i="6"/>
  <c r="EF16" i="6"/>
  <c r="CJ15" i="6"/>
  <c r="BG40" i="6"/>
  <c r="BK40" i="6" s="1"/>
  <c r="BI40" i="6"/>
  <c r="DF16" i="6"/>
  <c r="DE16" i="6"/>
  <c r="CH15" i="6"/>
  <c r="CC16" i="6" s="1"/>
  <c r="CG15" i="6"/>
  <c r="CI15" i="6"/>
  <c r="EK15" i="6"/>
  <c r="DK15" i="6"/>
  <c r="J13" i="6"/>
  <c r="J11" i="3" s="1"/>
  <c r="AJ13" i="6"/>
  <c r="AH13" i="6"/>
  <c r="AC14" i="6" s="1"/>
  <c r="AE14" i="6" s="1"/>
  <c r="AI13" i="6"/>
  <c r="AG13" i="6"/>
  <c r="I13" i="6"/>
  <c r="I11" i="3" s="1"/>
  <c r="H54" i="6"/>
  <c r="H49" i="6"/>
  <c r="H47" i="3" s="1"/>
  <c r="BF42" i="6" l="1"/>
  <c r="BJ42" i="6" s="1"/>
  <c r="BE42" i="6"/>
  <c r="DI16" i="6"/>
  <c r="DG16" i="6"/>
  <c r="EI16" i="6"/>
  <c r="EG16" i="6"/>
  <c r="EK16" i="6" s="1"/>
  <c r="CK15" i="6"/>
  <c r="DJ16" i="6"/>
  <c r="CF16" i="6"/>
  <c r="CJ16" i="6" s="1"/>
  <c r="CE16" i="6"/>
  <c r="EH16" i="6"/>
  <c r="EC17" i="6" s="1"/>
  <c r="BI41" i="6"/>
  <c r="BG41" i="6"/>
  <c r="BK41" i="6" s="1"/>
  <c r="DH16" i="6"/>
  <c r="DC17" i="6" s="1"/>
  <c r="EJ16" i="6"/>
  <c r="K13" i="6"/>
  <c r="K11" i="3" s="1"/>
  <c r="L11" i="3" s="1"/>
  <c r="AK13" i="6"/>
  <c r="AF14" i="6"/>
  <c r="AH14" i="6"/>
  <c r="AC15" i="6" s="1"/>
  <c r="AE15" i="6" s="1"/>
  <c r="H52" i="3"/>
  <c r="H9" i="6"/>
  <c r="DK16" i="6" l="1"/>
  <c r="EF17" i="6"/>
  <c r="EJ17" i="6" s="1"/>
  <c r="EE17" i="6"/>
  <c r="BH42" i="6"/>
  <c r="BC43" i="6" s="1"/>
  <c r="BG42" i="6"/>
  <c r="BK42" i="6" s="1"/>
  <c r="BI42" i="6"/>
  <c r="DE17" i="6"/>
  <c r="DH17" i="6" s="1"/>
  <c r="DC18" i="6" s="1"/>
  <c r="DF17" i="6"/>
  <c r="DJ17" i="6" s="1"/>
  <c r="CH16" i="6"/>
  <c r="CC17" i="6" s="1"/>
  <c r="CI16" i="6"/>
  <c r="CG16" i="6"/>
  <c r="AF15" i="6"/>
  <c r="AI14" i="6"/>
  <c r="I14" i="6"/>
  <c r="I12" i="3" s="1"/>
  <c r="AG14" i="6"/>
  <c r="AJ14" i="6"/>
  <c r="J14" i="6"/>
  <c r="J12" i="3" s="1"/>
  <c r="CE17" i="6" l="1"/>
  <c r="CH17" i="6" s="1"/>
  <c r="CC18" i="6" s="1"/>
  <c r="CF17" i="6"/>
  <c r="CJ17" i="6" s="1"/>
  <c r="EG17" i="6"/>
  <c r="EK17" i="6" s="1"/>
  <c r="EI17" i="6"/>
  <c r="DE18" i="6"/>
  <c r="DH18" i="6" s="1"/>
  <c r="DC19" i="6" s="1"/>
  <c r="DF18" i="6"/>
  <c r="DJ18" i="6" s="1"/>
  <c r="CK16" i="6"/>
  <c r="BF43" i="6"/>
  <c r="BJ43" i="6" s="1"/>
  <c r="BE43" i="6"/>
  <c r="DG17" i="6"/>
  <c r="DK17" i="6" s="1"/>
  <c r="DI17" i="6"/>
  <c r="EH17" i="6"/>
  <c r="EC18" i="6" s="1"/>
  <c r="AJ15" i="6"/>
  <c r="J15" i="6"/>
  <c r="J13" i="3" s="1"/>
  <c r="K14" i="6"/>
  <c r="K12" i="3" s="1"/>
  <c r="L12" i="3" s="1"/>
  <c r="AK14" i="6"/>
  <c r="AH15" i="6"/>
  <c r="AC16" i="6" s="1"/>
  <c r="AE16" i="6" s="1"/>
  <c r="AI15" i="6"/>
  <c r="I15" i="6"/>
  <c r="I13" i="3" s="1"/>
  <c r="AG15" i="6"/>
  <c r="DF19" i="6" l="1"/>
  <c r="DJ19" i="6" s="1"/>
  <c r="DE19" i="6"/>
  <c r="EE18" i="6"/>
  <c r="EF18" i="6"/>
  <c r="EJ18" i="6" s="1"/>
  <c r="BG43" i="6"/>
  <c r="BK43" i="6" s="1"/>
  <c r="BI43" i="6"/>
  <c r="CF18" i="6"/>
  <c r="CJ18" i="6" s="1"/>
  <c r="CE18" i="6"/>
  <c r="DI18" i="6"/>
  <c r="DG18" i="6"/>
  <c r="DK18" i="6" s="1"/>
  <c r="BH43" i="6"/>
  <c r="BC44" i="6" s="1"/>
  <c r="CG17" i="6"/>
  <c r="CK17" i="6" s="1"/>
  <c r="CI17" i="6"/>
  <c r="AF16" i="6"/>
  <c r="K15" i="6"/>
  <c r="K13" i="3" s="1"/>
  <c r="L13" i="3" s="1"/>
  <c r="AK15" i="6"/>
  <c r="CH18" i="6" l="1"/>
  <c r="CC19" i="6" s="1"/>
  <c r="CG18" i="6"/>
  <c r="CK18" i="6" s="1"/>
  <c r="CI18" i="6"/>
  <c r="BF44" i="6"/>
  <c r="BJ44" i="6" s="1"/>
  <c r="BE44" i="6"/>
  <c r="BH44" i="6" s="1"/>
  <c r="BC45" i="6" s="1"/>
  <c r="EH18" i="6"/>
  <c r="EC19" i="6" s="1"/>
  <c r="EG18" i="6"/>
  <c r="EK18" i="6" s="1"/>
  <c r="EI18" i="6"/>
  <c r="DH19" i="6"/>
  <c r="DC20" i="6" s="1"/>
  <c r="DG19" i="6"/>
  <c r="DK19" i="6" s="1"/>
  <c r="DI19" i="6"/>
  <c r="AH16" i="6"/>
  <c r="AC17" i="6" s="1"/>
  <c r="AE17" i="6" s="1"/>
  <c r="AI16" i="6"/>
  <c r="AG16" i="6"/>
  <c r="I16" i="6"/>
  <c r="I14" i="3" s="1"/>
  <c r="AJ16" i="6"/>
  <c r="J16" i="6"/>
  <c r="J14" i="3" s="1"/>
  <c r="BF45" i="6" l="1"/>
  <c r="BJ45" i="6" s="1"/>
  <c r="BE45" i="6"/>
  <c r="BH45" i="6" s="1"/>
  <c r="BC46" i="6" s="1"/>
  <c r="EE19" i="6"/>
  <c r="EF19" i="6"/>
  <c r="EJ19" i="6" s="1"/>
  <c r="DE20" i="6"/>
  <c r="DF20" i="6"/>
  <c r="DJ20" i="6" s="1"/>
  <c r="BI44" i="6"/>
  <c r="BG44" i="6"/>
  <c r="BK44" i="6" s="1"/>
  <c r="CF19" i="6"/>
  <c r="CJ19" i="6" s="1"/>
  <c r="CE19" i="6"/>
  <c r="K16" i="6"/>
  <c r="K14" i="3" s="1"/>
  <c r="L14" i="3" s="1"/>
  <c r="AK16" i="6"/>
  <c r="AF17" i="6"/>
  <c r="BE46" i="6" l="1"/>
  <c r="BH46" i="6" s="1"/>
  <c r="BC47" i="6" s="1"/>
  <c r="BF46" i="6"/>
  <c r="BJ46" i="6" s="1"/>
  <c r="EH19" i="6"/>
  <c r="EC20" i="6" s="1"/>
  <c r="EI19" i="6"/>
  <c r="EG19" i="6"/>
  <c r="EK19" i="6" s="1"/>
  <c r="CH19" i="6"/>
  <c r="CC20" i="6" s="1"/>
  <c r="CI19" i="6"/>
  <c r="CG19" i="6"/>
  <c r="CK19" i="6" s="1"/>
  <c r="BG45" i="6"/>
  <c r="BK45" i="6" s="1"/>
  <c r="BI45" i="6"/>
  <c r="DH20" i="6"/>
  <c r="DC21" i="6" s="1"/>
  <c r="DI20" i="6"/>
  <c r="DG20" i="6"/>
  <c r="DK20" i="6" s="1"/>
  <c r="J17" i="6"/>
  <c r="J15" i="3" s="1"/>
  <c r="AJ17" i="6"/>
  <c r="AH17" i="6"/>
  <c r="AC18" i="6" s="1"/>
  <c r="AE18" i="6" s="1"/>
  <c r="AI17" i="6"/>
  <c r="I17" i="6"/>
  <c r="I15" i="3" s="1"/>
  <c r="AG17" i="6"/>
  <c r="BF47" i="6" l="1"/>
  <c r="BJ47" i="6" s="1"/>
  <c r="BE47" i="6"/>
  <c r="BH47" i="6" s="1"/>
  <c r="BC48" i="6" s="1"/>
  <c r="DE21" i="6"/>
  <c r="DF21" i="6"/>
  <c r="DJ21" i="6" s="1"/>
  <c r="EE20" i="6"/>
  <c r="EH20" i="6" s="1"/>
  <c r="EC21" i="6" s="1"/>
  <c r="EF20" i="6"/>
  <c r="EJ20" i="6" s="1"/>
  <c r="CF20" i="6"/>
  <c r="CJ20" i="6" s="1"/>
  <c r="CE20" i="6"/>
  <c r="CH20" i="6" s="1"/>
  <c r="CC21" i="6" s="1"/>
  <c r="BI46" i="6"/>
  <c r="BG46" i="6"/>
  <c r="BK46" i="6" s="1"/>
  <c r="AF18" i="6"/>
  <c r="AH18" i="6"/>
  <c r="AC19" i="6" s="1"/>
  <c r="AE19" i="6" s="1"/>
  <c r="K17" i="6"/>
  <c r="K15" i="3" s="1"/>
  <c r="L15" i="3" s="1"/>
  <c r="AK17" i="6"/>
  <c r="BF48" i="6" l="1"/>
  <c r="BJ48" i="6" s="1"/>
  <c r="BE48" i="6"/>
  <c r="BH48" i="6" s="1"/>
  <c r="BC49" i="6" s="1"/>
  <c r="CF21" i="6"/>
  <c r="CJ21" i="6" s="1"/>
  <c r="CE21" i="6"/>
  <c r="EE21" i="6"/>
  <c r="EF21" i="6"/>
  <c r="EJ21" i="6" s="1"/>
  <c r="CI20" i="6"/>
  <c r="CG20" i="6"/>
  <c r="CK20" i="6" s="1"/>
  <c r="BI47" i="6"/>
  <c r="BG47" i="6"/>
  <c r="BK47" i="6" s="1"/>
  <c r="DH21" i="6"/>
  <c r="DC22" i="6" s="1"/>
  <c r="DI21" i="6"/>
  <c r="DG21" i="6"/>
  <c r="DK21" i="6" s="1"/>
  <c r="EG20" i="6"/>
  <c r="EK20" i="6" s="1"/>
  <c r="EI20" i="6"/>
  <c r="AF19" i="6"/>
  <c r="AI18" i="6"/>
  <c r="I18" i="6"/>
  <c r="I16" i="3" s="1"/>
  <c r="AG18" i="6"/>
  <c r="AJ18" i="6"/>
  <c r="J18" i="6"/>
  <c r="J16" i="3" s="1"/>
  <c r="BE49" i="6" l="1"/>
  <c r="BH49" i="6" s="1"/>
  <c r="BC50" i="6" s="1"/>
  <c r="BF49" i="6"/>
  <c r="BJ49" i="6" s="1"/>
  <c r="DF22" i="6"/>
  <c r="DJ22" i="6" s="1"/>
  <c r="DE22" i="6"/>
  <c r="EH21" i="6"/>
  <c r="EC22" i="6" s="1"/>
  <c r="EG21" i="6"/>
  <c r="EK21" i="6" s="1"/>
  <c r="EI21" i="6"/>
  <c r="BG48" i="6"/>
  <c r="BK48" i="6" s="1"/>
  <c r="BI48" i="6"/>
  <c r="CH21" i="6"/>
  <c r="CC22" i="6" s="1"/>
  <c r="CI21" i="6"/>
  <c r="CG21" i="6"/>
  <c r="CK21" i="6" s="1"/>
  <c r="AG19" i="6"/>
  <c r="I19" i="6"/>
  <c r="I17" i="3" s="1"/>
  <c r="AI19" i="6"/>
  <c r="AK18" i="6"/>
  <c r="K18" i="6"/>
  <c r="K16" i="3" s="1"/>
  <c r="L16" i="3" s="1"/>
  <c r="AH19" i="6"/>
  <c r="AC20" i="6" s="1"/>
  <c r="AE20" i="6" s="1"/>
  <c r="AJ19" i="6"/>
  <c r="J19" i="6"/>
  <c r="J17" i="3" s="1"/>
  <c r="BE50" i="6" l="1"/>
  <c r="BH50" i="6" s="1"/>
  <c r="BC51" i="6" s="1"/>
  <c r="BF50" i="6"/>
  <c r="BJ50" i="6" s="1"/>
  <c r="CF22" i="6"/>
  <c r="CJ22" i="6" s="1"/>
  <c r="CE22" i="6"/>
  <c r="CH22" i="6" s="1"/>
  <c r="CC23" i="6" s="1"/>
  <c r="EE22" i="6"/>
  <c r="EF22" i="6"/>
  <c r="EJ22" i="6" s="1"/>
  <c r="DH22" i="6"/>
  <c r="DC23" i="6" s="1"/>
  <c r="DI22" i="6"/>
  <c r="DG22" i="6"/>
  <c r="DK22" i="6" s="1"/>
  <c r="BG49" i="6"/>
  <c r="BK49" i="6" s="1"/>
  <c r="BI49" i="6"/>
  <c r="AK19" i="6"/>
  <c r="K19" i="6"/>
  <c r="K17" i="3" s="1"/>
  <c r="L17" i="3" s="1"/>
  <c r="AF20" i="6"/>
  <c r="CF23" i="6" l="1"/>
  <c r="CJ23" i="6" s="1"/>
  <c r="CE23" i="6"/>
  <c r="CH23" i="6" s="1"/>
  <c r="CC24" i="6" s="1"/>
  <c r="EG22" i="6"/>
  <c r="EK22" i="6" s="1"/>
  <c r="EI22" i="6"/>
  <c r="BF51" i="6"/>
  <c r="BJ51" i="6" s="1"/>
  <c r="BE51" i="6"/>
  <c r="BH51" i="6" s="1"/>
  <c r="BC52" i="6" s="1"/>
  <c r="DF23" i="6"/>
  <c r="DJ23" i="6" s="1"/>
  <c r="DE23" i="6"/>
  <c r="EH22" i="6"/>
  <c r="EC23" i="6" s="1"/>
  <c r="CI22" i="6"/>
  <c r="CG22" i="6"/>
  <c r="CK22" i="6" s="1"/>
  <c r="BI50" i="6"/>
  <c r="BG50" i="6"/>
  <c r="BK50" i="6" s="1"/>
  <c r="AJ20" i="6"/>
  <c r="J20" i="6"/>
  <c r="J18" i="3" s="1"/>
  <c r="I20" i="6"/>
  <c r="I18" i="3" s="1"/>
  <c r="AI20" i="6"/>
  <c r="AG20" i="6"/>
  <c r="AH20" i="6"/>
  <c r="AC21" i="6" s="1"/>
  <c r="AE21" i="6" s="1"/>
  <c r="CF24" i="6" l="1"/>
  <c r="CJ24" i="6" s="1"/>
  <c r="CE24" i="6"/>
  <c r="BF52" i="6"/>
  <c r="BJ52" i="6" s="1"/>
  <c r="BE52" i="6"/>
  <c r="EE23" i="6"/>
  <c r="EF23" i="6"/>
  <c r="EJ23" i="6" s="1"/>
  <c r="BI51" i="6"/>
  <c r="BG51" i="6"/>
  <c r="BK51" i="6" s="1"/>
  <c r="DH23" i="6"/>
  <c r="DC24" i="6" s="1"/>
  <c r="DI23" i="6"/>
  <c r="DG23" i="6"/>
  <c r="DK23" i="6" s="1"/>
  <c r="CG23" i="6"/>
  <c r="CK23" i="6" s="1"/>
  <c r="CI23" i="6"/>
  <c r="K20" i="6"/>
  <c r="K18" i="3" s="1"/>
  <c r="L18" i="3" s="1"/>
  <c r="AK20" i="6"/>
  <c r="AF21" i="6"/>
  <c r="BI52" i="6" l="1"/>
  <c r="BG52" i="6"/>
  <c r="BK52" i="6" s="1"/>
  <c r="DF24" i="6"/>
  <c r="DJ24" i="6" s="1"/>
  <c r="DE24" i="6"/>
  <c r="CH24" i="6"/>
  <c r="CC25" i="6" s="1"/>
  <c r="CG24" i="6"/>
  <c r="CK24" i="6" s="1"/>
  <c r="CI24" i="6"/>
  <c r="EH23" i="6"/>
  <c r="EC24" i="6" s="1"/>
  <c r="EI23" i="6"/>
  <c r="EG23" i="6"/>
  <c r="EK23" i="6" s="1"/>
  <c r="BH52" i="6"/>
  <c r="BC53" i="6" s="1"/>
  <c r="AH21" i="6"/>
  <c r="AC22" i="6" s="1"/>
  <c r="AE22" i="6" s="1"/>
  <c r="AI21" i="6"/>
  <c r="I21" i="6"/>
  <c r="I19" i="3" s="1"/>
  <c r="AG21" i="6"/>
  <c r="J21" i="6"/>
  <c r="J19" i="3" s="1"/>
  <c r="AJ21" i="6"/>
  <c r="BF53" i="6" l="1"/>
  <c r="BJ53" i="6" s="1"/>
  <c r="BE53" i="6"/>
  <c r="BH53" i="6" s="1"/>
  <c r="BC54" i="6" s="1"/>
  <c r="DI24" i="6"/>
  <c r="DG24" i="6"/>
  <c r="DK24" i="6" s="1"/>
  <c r="CF25" i="6"/>
  <c r="CJ25" i="6" s="1"/>
  <c r="CE25" i="6"/>
  <c r="CH25" i="6" s="1"/>
  <c r="CC26" i="6" s="1"/>
  <c r="EF24" i="6"/>
  <c r="EJ24" i="6" s="1"/>
  <c r="EE24" i="6"/>
  <c r="EH24" i="6" s="1"/>
  <c r="EC25" i="6" s="1"/>
  <c r="DH24" i="6"/>
  <c r="DC25" i="6" s="1"/>
  <c r="AK21" i="6"/>
  <c r="K21" i="6"/>
  <c r="K19" i="3" s="1"/>
  <c r="L19" i="3" s="1"/>
  <c r="AF22" i="6"/>
  <c r="BF54" i="6" l="1"/>
  <c r="BE54" i="6"/>
  <c r="CE26" i="6"/>
  <c r="CF26" i="6"/>
  <c r="CJ26" i="6" s="1"/>
  <c r="CG25" i="6"/>
  <c r="CK25" i="6" s="1"/>
  <c r="CI25" i="6"/>
  <c r="BI53" i="6"/>
  <c r="BG53" i="6"/>
  <c r="BK53" i="6" s="1"/>
  <c r="DE25" i="6"/>
  <c r="DF25" i="6"/>
  <c r="DJ25" i="6" s="1"/>
  <c r="EF25" i="6"/>
  <c r="EJ25" i="6" s="1"/>
  <c r="EE25" i="6"/>
  <c r="EG24" i="6"/>
  <c r="EK24" i="6" s="1"/>
  <c r="EI24" i="6"/>
  <c r="AG22" i="6"/>
  <c r="AI22" i="6"/>
  <c r="I22" i="6"/>
  <c r="I20" i="3" s="1"/>
  <c r="AJ22" i="6"/>
  <c r="J22" i="6"/>
  <c r="J20" i="3" s="1"/>
  <c r="AH22" i="6"/>
  <c r="AC23" i="6" s="1"/>
  <c r="AE23" i="6" s="1"/>
  <c r="EH25" i="6" l="1"/>
  <c r="EC26" i="6" s="1"/>
  <c r="EG25" i="6"/>
  <c r="EK25" i="6" s="1"/>
  <c r="EI25" i="6"/>
  <c r="CH26" i="6"/>
  <c r="CC27" i="6" s="1"/>
  <c r="CI26" i="6"/>
  <c r="CG26" i="6"/>
  <c r="CK26" i="6" s="1"/>
  <c r="BH54" i="6"/>
  <c r="BI54" i="6"/>
  <c r="BI9" i="6" s="1"/>
  <c r="BG54" i="6"/>
  <c r="BE9" i="6"/>
  <c r="AQ15" i="6" s="1"/>
  <c r="DH25" i="6"/>
  <c r="DC26" i="6" s="1"/>
  <c r="DG25" i="6"/>
  <c r="DK25" i="6" s="1"/>
  <c r="DI25" i="6"/>
  <c r="BJ54" i="6"/>
  <c r="BJ9" i="6" s="1"/>
  <c r="BF9" i="6"/>
  <c r="AK22" i="6"/>
  <c r="K22" i="6"/>
  <c r="K20" i="3" s="1"/>
  <c r="L20" i="3" s="1"/>
  <c r="AF23" i="6"/>
  <c r="CF27" i="6" l="1"/>
  <c r="CJ27" i="6" s="1"/>
  <c r="CE27" i="6"/>
  <c r="CH27" i="6" s="1"/>
  <c r="CC28" i="6" s="1"/>
  <c r="DE26" i="6"/>
  <c r="DF26" i="6"/>
  <c r="DJ26" i="6" s="1"/>
  <c r="BK54" i="6"/>
  <c r="BK9" i="6" s="1"/>
  <c r="BG9" i="6"/>
  <c r="EF26" i="6"/>
  <c r="EJ26" i="6" s="1"/>
  <c r="EE26" i="6"/>
  <c r="I23" i="6"/>
  <c r="I21" i="3" s="1"/>
  <c r="AI23" i="6"/>
  <c r="AG23" i="6"/>
  <c r="AJ23" i="6"/>
  <c r="J23" i="6"/>
  <c r="J21" i="3" s="1"/>
  <c r="AH23" i="6"/>
  <c r="AC24" i="6" s="1"/>
  <c r="AE24" i="6" s="1"/>
  <c r="CF28" i="6" l="1"/>
  <c r="CJ28" i="6" s="1"/>
  <c r="CE28" i="6"/>
  <c r="DH26" i="6"/>
  <c r="DC27" i="6" s="1"/>
  <c r="DI26" i="6"/>
  <c r="DG26" i="6"/>
  <c r="DK26" i="6" s="1"/>
  <c r="CI27" i="6"/>
  <c r="CG27" i="6"/>
  <c r="CK27" i="6" s="1"/>
  <c r="EH26" i="6"/>
  <c r="EC27" i="6" s="1"/>
  <c r="EG26" i="6"/>
  <c r="EK26" i="6" s="1"/>
  <c r="EI26" i="6"/>
  <c r="AH24" i="6"/>
  <c r="AC25" i="6" s="1"/>
  <c r="AE25" i="6" s="1"/>
  <c r="AF24" i="6"/>
  <c r="K23" i="6"/>
  <c r="K21" i="3" s="1"/>
  <c r="L21" i="3" s="1"/>
  <c r="AK23" i="6"/>
  <c r="EE27" i="6" l="1"/>
  <c r="EF27" i="6"/>
  <c r="EJ27" i="6" s="1"/>
  <c r="DE27" i="6"/>
  <c r="DF27" i="6"/>
  <c r="DJ27" i="6" s="1"/>
  <c r="CH28" i="6"/>
  <c r="CC29" i="6" s="1"/>
  <c r="CI28" i="6"/>
  <c r="CG28" i="6"/>
  <c r="CK28" i="6" s="1"/>
  <c r="J24" i="6"/>
  <c r="J22" i="3" s="1"/>
  <c r="AJ24" i="6"/>
  <c r="AF25" i="6"/>
  <c r="AH25" i="6"/>
  <c r="AC26" i="6" s="1"/>
  <c r="AE26" i="6" s="1"/>
  <c r="AG24" i="6"/>
  <c r="AI24" i="6"/>
  <c r="I24" i="6"/>
  <c r="I22" i="3" s="1"/>
  <c r="DH27" i="6" l="1"/>
  <c r="DC28" i="6" s="1"/>
  <c r="DI27" i="6"/>
  <c r="DG27" i="6"/>
  <c r="DK27" i="6" s="1"/>
  <c r="CF29" i="6"/>
  <c r="CJ29" i="6" s="1"/>
  <c r="CE29" i="6"/>
  <c r="CH29" i="6" s="1"/>
  <c r="CC30" i="6" s="1"/>
  <c r="EH27" i="6"/>
  <c r="EC28" i="6" s="1"/>
  <c r="EG27" i="6"/>
  <c r="EK27" i="6" s="1"/>
  <c r="EI27" i="6"/>
  <c r="AG25" i="6"/>
  <c r="I25" i="6"/>
  <c r="I23" i="3" s="1"/>
  <c r="AI25" i="6"/>
  <c r="K24" i="6"/>
  <c r="K22" i="3" s="1"/>
  <c r="L22" i="3" s="1"/>
  <c r="AK24" i="6"/>
  <c r="AF26" i="6"/>
  <c r="AH26" i="6"/>
  <c r="AC27" i="6" s="1"/>
  <c r="AE27" i="6" s="1"/>
  <c r="J25" i="6"/>
  <c r="J23" i="3" s="1"/>
  <c r="AJ25" i="6"/>
  <c r="CE30" i="6" l="1"/>
  <c r="CF30" i="6"/>
  <c r="CJ30" i="6" s="1"/>
  <c r="EF28" i="6"/>
  <c r="EJ28" i="6" s="1"/>
  <c r="EE28" i="6"/>
  <c r="CG29" i="6"/>
  <c r="CK29" i="6" s="1"/>
  <c r="CI29" i="6"/>
  <c r="DF28" i="6"/>
  <c r="DJ28" i="6" s="1"/>
  <c r="DE28" i="6"/>
  <c r="AG26" i="6"/>
  <c r="I26" i="6"/>
  <c r="I24" i="3" s="1"/>
  <c r="AI26" i="6"/>
  <c r="J26" i="6"/>
  <c r="J24" i="3" s="1"/>
  <c r="AJ26" i="6"/>
  <c r="AF27" i="6"/>
  <c r="AK25" i="6"/>
  <c r="K25" i="6"/>
  <c r="K23" i="3" s="1"/>
  <c r="L23" i="3" s="1"/>
  <c r="EG28" i="6" l="1"/>
  <c r="EK28" i="6" s="1"/>
  <c r="EI28" i="6"/>
  <c r="DH28" i="6"/>
  <c r="DC29" i="6" s="1"/>
  <c r="DI28" i="6"/>
  <c r="DG28" i="6"/>
  <c r="DK28" i="6" s="1"/>
  <c r="EH28" i="6"/>
  <c r="EC29" i="6" s="1"/>
  <c r="CH30" i="6"/>
  <c r="CC31" i="6" s="1"/>
  <c r="CG30" i="6"/>
  <c r="CK30" i="6" s="1"/>
  <c r="CI30" i="6"/>
  <c r="AK26" i="6"/>
  <c r="K26" i="6"/>
  <c r="K24" i="3" s="1"/>
  <c r="L24" i="3" s="1"/>
  <c r="AH27" i="6"/>
  <c r="AC28" i="6" s="1"/>
  <c r="AE28" i="6" s="1"/>
  <c r="AG27" i="6"/>
  <c r="I27" i="6"/>
  <c r="I25" i="3" s="1"/>
  <c r="AI27" i="6"/>
  <c r="AJ27" i="6"/>
  <c r="J27" i="6"/>
  <c r="J25" i="3" s="1"/>
  <c r="CF31" i="6" l="1"/>
  <c r="CJ31" i="6" s="1"/>
  <c r="CE31" i="6"/>
  <c r="CH31" i="6" s="1"/>
  <c r="CC32" i="6" s="1"/>
  <c r="DF29" i="6"/>
  <c r="DJ29" i="6" s="1"/>
  <c r="DE29" i="6"/>
  <c r="DH29" i="6" s="1"/>
  <c r="DC30" i="6" s="1"/>
  <c r="EF29" i="6"/>
  <c r="EJ29" i="6" s="1"/>
  <c r="EE29" i="6"/>
  <c r="K27" i="6"/>
  <c r="K25" i="3" s="1"/>
  <c r="L25" i="3" s="1"/>
  <c r="AK27" i="6"/>
  <c r="AF28" i="6"/>
  <c r="CF32" i="6" l="1"/>
  <c r="CJ32" i="6" s="1"/>
  <c r="CE32" i="6"/>
  <c r="EG29" i="6"/>
  <c r="EK29" i="6" s="1"/>
  <c r="EI29" i="6"/>
  <c r="CI31" i="6"/>
  <c r="CG31" i="6"/>
  <c r="CK31" i="6" s="1"/>
  <c r="DF30" i="6"/>
  <c r="DJ30" i="6" s="1"/>
  <c r="DE30" i="6"/>
  <c r="EH29" i="6"/>
  <c r="EC30" i="6" s="1"/>
  <c r="DG29" i="6"/>
  <c r="DK29" i="6" s="1"/>
  <c r="DI29" i="6"/>
  <c r="J28" i="6"/>
  <c r="J26" i="3" s="1"/>
  <c r="AJ28" i="6"/>
  <c r="AH28" i="6"/>
  <c r="AC29" i="6" s="1"/>
  <c r="AE29" i="6" s="1"/>
  <c r="AI28" i="6"/>
  <c r="AG28" i="6"/>
  <c r="I28" i="6"/>
  <c r="I26" i="3" s="1"/>
  <c r="DG30" i="6" l="1"/>
  <c r="DK30" i="6" s="1"/>
  <c r="DI30" i="6"/>
  <c r="EF30" i="6"/>
  <c r="EJ30" i="6" s="1"/>
  <c r="EE30" i="6"/>
  <c r="CH32" i="6"/>
  <c r="CC33" i="6" s="1"/>
  <c r="CI32" i="6"/>
  <c r="CG32" i="6"/>
  <c r="CK32" i="6" s="1"/>
  <c r="DH30" i="6"/>
  <c r="DC31" i="6" s="1"/>
  <c r="K28" i="6"/>
  <c r="K26" i="3" s="1"/>
  <c r="L26" i="3" s="1"/>
  <c r="AK28" i="6"/>
  <c r="AF29" i="6"/>
  <c r="EH30" i="6" l="1"/>
  <c r="EC31" i="6" s="1"/>
  <c r="EI30" i="6"/>
  <c r="EG30" i="6"/>
  <c r="EK30" i="6" s="1"/>
  <c r="DE31" i="6"/>
  <c r="DF31" i="6"/>
  <c r="DJ31" i="6" s="1"/>
  <c r="CF33" i="6"/>
  <c r="CJ33" i="6" s="1"/>
  <c r="CE33" i="6"/>
  <c r="CH33" i="6" s="1"/>
  <c r="CC34" i="6" s="1"/>
  <c r="AJ29" i="6"/>
  <c r="J29" i="6"/>
  <c r="J27" i="3" s="1"/>
  <c r="AH29" i="6"/>
  <c r="AC30" i="6" s="1"/>
  <c r="AE30" i="6" s="1"/>
  <c r="AI29" i="6"/>
  <c r="AG29" i="6"/>
  <c r="I29" i="6"/>
  <c r="I27" i="3" s="1"/>
  <c r="CE34" i="6" l="1"/>
  <c r="CH34" i="6" s="1"/>
  <c r="CC35" i="6" s="1"/>
  <c r="CF34" i="6"/>
  <c r="CJ34" i="6" s="1"/>
  <c r="DH31" i="6"/>
  <c r="DC32" i="6" s="1"/>
  <c r="DG31" i="6"/>
  <c r="DK31" i="6" s="1"/>
  <c r="DI31" i="6"/>
  <c r="CG33" i="6"/>
  <c r="CK33" i="6" s="1"/>
  <c r="CI33" i="6"/>
  <c r="EE31" i="6"/>
  <c r="EH31" i="6" s="1"/>
  <c r="EC32" i="6" s="1"/>
  <c r="EF31" i="6"/>
  <c r="EJ31" i="6" s="1"/>
  <c r="AF30" i="6"/>
  <c r="AH30" i="6"/>
  <c r="AC31" i="6" s="1"/>
  <c r="AE31" i="6" s="1"/>
  <c r="K29" i="6"/>
  <c r="K27" i="3" s="1"/>
  <c r="L27" i="3" s="1"/>
  <c r="AK29" i="6"/>
  <c r="DF32" i="6" l="1"/>
  <c r="DJ32" i="6" s="1"/>
  <c r="DE32" i="6"/>
  <c r="EF32" i="6"/>
  <c r="EJ32" i="6" s="1"/>
  <c r="EE32" i="6"/>
  <c r="CF35" i="6"/>
  <c r="CJ35" i="6" s="1"/>
  <c r="CE35" i="6"/>
  <c r="EI31" i="6"/>
  <c r="EG31" i="6"/>
  <c r="EK31" i="6" s="1"/>
  <c r="CI34" i="6"/>
  <c r="CG34" i="6"/>
  <c r="CK34" i="6" s="1"/>
  <c r="AF31" i="6"/>
  <c r="I30" i="6"/>
  <c r="I28" i="3" s="1"/>
  <c r="AI30" i="6"/>
  <c r="AG30" i="6"/>
  <c r="AJ30" i="6"/>
  <c r="J30" i="6"/>
  <c r="J28" i="3" s="1"/>
  <c r="CH35" i="6" l="1"/>
  <c r="CC36" i="6" s="1"/>
  <c r="CG35" i="6"/>
  <c r="CK35" i="6" s="1"/>
  <c r="CI35" i="6"/>
  <c r="DH32" i="6"/>
  <c r="DC33" i="6" s="1"/>
  <c r="DG32" i="6"/>
  <c r="DK32" i="6" s="1"/>
  <c r="DI32" i="6"/>
  <c r="EI32" i="6"/>
  <c r="EG32" i="6"/>
  <c r="EK32" i="6" s="1"/>
  <c r="EH32" i="6"/>
  <c r="EC33" i="6" s="1"/>
  <c r="AK30" i="6"/>
  <c r="K30" i="6"/>
  <c r="K28" i="3" s="1"/>
  <c r="L28" i="3" s="1"/>
  <c r="I31" i="6"/>
  <c r="I29" i="3" s="1"/>
  <c r="AI31" i="6"/>
  <c r="AG31" i="6"/>
  <c r="J31" i="6"/>
  <c r="J29" i="3" s="1"/>
  <c r="AJ31" i="6"/>
  <c r="AH31" i="6"/>
  <c r="AC32" i="6" s="1"/>
  <c r="AE32" i="6" s="1"/>
  <c r="DF33" i="6" l="1"/>
  <c r="DJ33" i="6" s="1"/>
  <c r="DE33" i="6"/>
  <c r="EF33" i="6"/>
  <c r="EJ33" i="6" s="1"/>
  <c r="EE33" i="6"/>
  <c r="CE36" i="6"/>
  <c r="CF36" i="6"/>
  <c r="CJ36" i="6" s="1"/>
  <c r="AH32" i="6"/>
  <c r="AC33" i="6" s="1"/>
  <c r="AE33" i="6" s="1"/>
  <c r="AF32" i="6"/>
  <c r="K31" i="6"/>
  <c r="K29" i="3" s="1"/>
  <c r="L29" i="3" s="1"/>
  <c r="AK31" i="6"/>
  <c r="EH33" i="6" l="1"/>
  <c r="EC34" i="6" s="1"/>
  <c r="EI33" i="6"/>
  <c r="EG33" i="6"/>
  <c r="EK33" i="6" s="1"/>
  <c r="DH33" i="6"/>
  <c r="DC34" i="6" s="1"/>
  <c r="DG33" i="6"/>
  <c r="DK33" i="6" s="1"/>
  <c r="DI33" i="6"/>
  <c r="CH36" i="6"/>
  <c r="CC37" i="6" s="1"/>
  <c r="CG36" i="6"/>
  <c r="CK36" i="6" s="1"/>
  <c r="CI36" i="6"/>
  <c r="AH33" i="6"/>
  <c r="AC34" i="6" s="1"/>
  <c r="AE34" i="6" s="1"/>
  <c r="AF33" i="6"/>
  <c r="J32" i="6"/>
  <c r="J30" i="3" s="1"/>
  <c r="AJ32" i="6"/>
  <c r="AI32" i="6"/>
  <c r="I32" i="6"/>
  <c r="I30" i="3" s="1"/>
  <c r="AG32" i="6"/>
  <c r="DE34" i="6" l="1"/>
  <c r="DH34" i="6" s="1"/>
  <c r="DC35" i="6" s="1"/>
  <c r="DF34" i="6"/>
  <c r="DJ34" i="6" s="1"/>
  <c r="CE37" i="6"/>
  <c r="CF37" i="6"/>
  <c r="CJ37" i="6" s="1"/>
  <c r="EF34" i="6"/>
  <c r="EJ34" i="6" s="1"/>
  <c r="EE34" i="6"/>
  <c r="AF34" i="6"/>
  <c r="AH34" i="6"/>
  <c r="AC35" i="6" s="1"/>
  <c r="AE35" i="6" s="1"/>
  <c r="K32" i="6"/>
  <c r="K30" i="3" s="1"/>
  <c r="L30" i="3" s="1"/>
  <c r="AK32" i="6"/>
  <c r="AJ33" i="6"/>
  <c r="J33" i="6"/>
  <c r="J31" i="3" s="1"/>
  <c r="I33" i="6"/>
  <c r="I31" i="3" s="1"/>
  <c r="AI33" i="6"/>
  <c r="AG33" i="6"/>
  <c r="EG34" i="6" l="1"/>
  <c r="EK34" i="6" s="1"/>
  <c r="EI34" i="6"/>
  <c r="CI37" i="6"/>
  <c r="CG37" i="6"/>
  <c r="CK37" i="6" s="1"/>
  <c r="DE35" i="6"/>
  <c r="DH35" i="6" s="1"/>
  <c r="DC36" i="6" s="1"/>
  <c r="DF35" i="6"/>
  <c r="DJ35" i="6" s="1"/>
  <c r="CH37" i="6"/>
  <c r="CC38" i="6" s="1"/>
  <c r="EH34" i="6"/>
  <c r="EC35" i="6" s="1"/>
  <c r="DG34" i="6"/>
  <c r="DK34" i="6" s="1"/>
  <c r="DI34" i="6"/>
  <c r="K33" i="6"/>
  <c r="K31" i="3" s="1"/>
  <c r="L31" i="3" s="1"/>
  <c r="AK33" i="6"/>
  <c r="AG34" i="6"/>
  <c r="AI34" i="6"/>
  <c r="I34" i="6"/>
  <c r="I32" i="3" s="1"/>
  <c r="AF35" i="6"/>
  <c r="AH35" i="6"/>
  <c r="AC36" i="6" s="1"/>
  <c r="AE36" i="6" s="1"/>
  <c r="J34" i="6"/>
  <c r="J32" i="3" s="1"/>
  <c r="AJ34" i="6"/>
  <c r="CF38" i="6" l="1"/>
  <c r="CJ38" i="6" s="1"/>
  <c r="CE38" i="6"/>
  <c r="CH38" i="6" s="1"/>
  <c r="CC39" i="6" s="1"/>
  <c r="DE36" i="6"/>
  <c r="DF36" i="6"/>
  <c r="DJ36" i="6" s="1"/>
  <c r="EF35" i="6"/>
  <c r="EJ35" i="6" s="1"/>
  <c r="EE35" i="6"/>
  <c r="EH35" i="6" s="1"/>
  <c r="EC36" i="6" s="1"/>
  <c r="DG35" i="6"/>
  <c r="DK35" i="6" s="1"/>
  <c r="DI35" i="6"/>
  <c r="AH36" i="6"/>
  <c r="AC37" i="6" s="1"/>
  <c r="AE37" i="6" s="1"/>
  <c r="AF36" i="6"/>
  <c r="AJ36" i="6" s="1"/>
  <c r="J35" i="6"/>
  <c r="J33" i="3" s="1"/>
  <c r="AJ35" i="6"/>
  <c r="AG35" i="6"/>
  <c r="I35" i="6"/>
  <c r="I33" i="3" s="1"/>
  <c r="AI35" i="6"/>
  <c r="AK34" i="6"/>
  <c r="K34" i="6"/>
  <c r="K32" i="3" s="1"/>
  <c r="L32" i="3" s="1"/>
  <c r="EI35" i="6" l="1"/>
  <c r="EG35" i="6"/>
  <c r="EK35" i="6" s="1"/>
  <c r="CF39" i="6"/>
  <c r="CJ39" i="6" s="1"/>
  <c r="CE39" i="6"/>
  <c r="EF36" i="6"/>
  <c r="EJ36" i="6" s="1"/>
  <c r="EE36" i="6"/>
  <c r="EH36" i="6" s="1"/>
  <c r="EC37" i="6" s="1"/>
  <c r="DH36" i="6"/>
  <c r="DC37" i="6" s="1"/>
  <c r="DI36" i="6"/>
  <c r="DG36" i="6"/>
  <c r="DK36" i="6" s="1"/>
  <c r="CG38" i="6"/>
  <c r="CK38" i="6" s="1"/>
  <c r="CI38" i="6"/>
  <c r="AG36" i="6"/>
  <c r="AK36" i="6" s="1"/>
  <c r="AF37" i="6"/>
  <c r="AJ37" i="6" s="1"/>
  <c r="AI36" i="6"/>
  <c r="AK35" i="6"/>
  <c r="AI37" i="6"/>
  <c r="AH37" i="6"/>
  <c r="AC38" i="6" s="1"/>
  <c r="AE38" i="6" s="1"/>
  <c r="J36" i="6" l="1"/>
  <c r="J34" i="3" s="1"/>
  <c r="K35" i="6"/>
  <c r="K33" i="3" s="1"/>
  <c r="L33" i="3" s="1"/>
  <c r="AG37" i="6"/>
  <c r="AK37" i="6" s="1"/>
  <c r="EF37" i="6"/>
  <c r="EJ37" i="6" s="1"/>
  <c r="EE37" i="6"/>
  <c r="EH37" i="6" s="1"/>
  <c r="EC38" i="6" s="1"/>
  <c r="CG39" i="6"/>
  <c r="CK39" i="6" s="1"/>
  <c r="CI39" i="6"/>
  <c r="EI36" i="6"/>
  <c r="EG36" i="6"/>
  <c r="EK36" i="6" s="1"/>
  <c r="I36" i="6"/>
  <c r="I34" i="3" s="1"/>
  <c r="DE37" i="6"/>
  <c r="DF37" i="6"/>
  <c r="DJ37" i="6" s="1"/>
  <c r="CH39" i="6"/>
  <c r="CC40" i="6" s="1"/>
  <c r="AF38" i="6"/>
  <c r="AH38" i="6"/>
  <c r="AC39" i="6" s="1"/>
  <c r="AE39" i="6" s="1"/>
  <c r="K36" i="6" l="1"/>
  <c r="K34" i="3" s="1"/>
  <c r="L34" i="3" s="1"/>
  <c r="J37" i="6"/>
  <c r="J35" i="3" s="1"/>
  <c r="EF38" i="6"/>
  <c r="EJ38" i="6" s="1"/>
  <c r="EE38" i="6"/>
  <c r="EH38" i="6" s="1"/>
  <c r="EC39" i="6" s="1"/>
  <c r="DI37" i="6"/>
  <c r="DG37" i="6"/>
  <c r="I37" i="6"/>
  <c r="I35" i="3" s="1"/>
  <c r="CE40" i="6"/>
  <c r="CF40" i="6"/>
  <c r="CJ40" i="6" s="1"/>
  <c r="DH37" i="6"/>
  <c r="DC38" i="6" s="1"/>
  <c r="EG37" i="6"/>
  <c r="EK37" i="6" s="1"/>
  <c r="EI37" i="6"/>
  <c r="AF39" i="6"/>
  <c r="AJ38" i="6"/>
  <c r="AG38" i="6"/>
  <c r="AI38" i="6"/>
  <c r="EF39" i="6" l="1"/>
  <c r="EJ39" i="6" s="1"/>
  <c r="EE39" i="6"/>
  <c r="EH39" i="6" s="1"/>
  <c r="EC40" i="6" s="1"/>
  <c r="CI40" i="6"/>
  <c r="CG40" i="6"/>
  <c r="CK40" i="6" s="1"/>
  <c r="DE38" i="6"/>
  <c r="DF38" i="6"/>
  <c r="EI38" i="6"/>
  <c r="EG38" i="6"/>
  <c r="EK38" i="6" s="1"/>
  <c r="CH40" i="6"/>
  <c r="CC41" i="6" s="1"/>
  <c r="DK37" i="6"/>
  <c r="K37" i="6"/>
  <c r="K35" i="3" s="1"/>
  <c r="L35" i="3" s="1"/>
  <c r="AJ39" i="6"/>
  <c r="AK38" i="6"/>
  <c r="AG39" i="6"/>
  <c r="AI39" i="6"/>
  <c r="AH39" i="6"/>
  <c r="AC40" i="6" s="1"/>
  <c r="AE40" i="6" s="1"/>
  <c r="EE40" i="6" l="1"/>
  <c r="EH40" i="6" s="1"/>
  <c r="EC41" i="6" s="1"/>
  <c r="EF40" i="6"/>
  <c r="EJ40" i="6" s="1"/>
  <c r="DJ38" i="6"/>
  <c r="J38" i="6"/>
  <c r="J36" i="3" s="1"/>
  <c r="CE41" i="6"/>
  <c r="CH41" i="6" s="1"/>
  <c r="CC42" i="6" s="1"/>
  <c r="CF41" i="6"/>
  <c r="CJ41" i="6" s="1"/>
  <c r="EG39" i="6"/>
  <c r="EK39" i="6" s="1"/>
  <c r="EI39" i="6"/>
  <c r="DH38" i="6"/>
  <c r="DC39" i="6" s="1"/>
  <c r="DI38" i="6"/>
  <c r="DG38" i="6"/>
  <c r="I38" i="6"/>
  <c r="I36" i="3" s="1"/>
  <c r="AF40" i="6"/>
  <c r="AK39" i="6"/>
  <c r="CE42" i="6" l="1"/>
  <c r="CF42" i="6"/>
  <c r="CJ42" i="6" s="1"/>
  <c r="EE41" i="6"/>
  <c r="EF41" i="6"/>
  <c r="EJ41" i="6" s="1"/>
  <c r="DK38" i="6"/>
  <c r="K38" i="6"/>
  <c r="K36" i="3" s="1"/>
  <c r="L36" i="3" s="1"/>
  <c r="DF39" i="6"/>
  <c r="DE39" i="6"/>
  <c r="DH39" i="6" s="1"/>
  <c r="DC40" i="6" s="1"/>
  <c r="CI41" i="6"/>
  <c r="CG41" i="6"/>
  <c r="CK41" i="6" s="1"/>
  <c r="EI40" i="6"/>
  <c r="EG40" i="6"/>
  <c r="EK40" i="6" s="1"/>
  <c r="AG40" i="6"/>
  <c r="AI40" i="6"/>
  <c r="AH40" i="6"/>
  <c r="AC41" i="6" s="1"/>
  <c r="AE41" i="6" s="1"/>
  <c r="AJ40" i="6"/>
  <c r="DF40" i="6" l="1"/>
  <c r="DE40" i="6"/>
  <c r="DJ39" i="6"/>
  <c r="J39" i="6"/>
  <c r="J37" i="3" s="1"/>
  <c r="EI41" i="6"/>
  <c r="EG41" i="6"/>
  <c r="EK41" i="6" s="1"/>
  <c r="DG39" i="6"/>
  <c r="DI39" i="6"/>
  <c r="I39" i="6"/>
  <c r="I37" i="3" s="1"/>
  <c r="EH41" i="6"/>
  <c r="EC42" i="6" s="1"/>
  <c r="CH42" i="6"/>
  <c r="CC43" i="6" s="1"/>
  <c r="CG42" i="6"/>
  <c r="CK42" i="6" s="1"/>
  <c r="CI42" i="6"/>
  <c r="AH41" i="6"/>
  <c r="AC42" i="6" s="1"/>
  <c r="AE42" i="6" s="1"/>
  <c r="AF41" i="6"/>
  <c r="AK40" i="6"/>
  <c r="CF43" i="6" l="1"/>
  <c r="CJ43" i="6" s="1"/>
  <c r="CE43" i="6"/>
  <c r="CH43" i="6" s="1"/>
  <c r="CC44" i="6" s="1"/>
  <c r="DK39" i="6"/>
  <c r="K39" i="6"/>
  <c r="K37" i="3" s="1"/>
  <c r="L37" i="3" s="1"/>
  <c r="EF42" i="6"/>
  <c r="EJ42" i="6" s="1"/>
  <c r="EE42" i="6"/>
  <c r="EH42" i="6" s="1"/>
  <c r="EC43" i="6" s="1"/>
  <c r="DH40" i="6"/>
  <c r="DC41" i="6" s="1"/>
  <c r="DG40" i="6"/>
  <c r="DI40" i="6"/>
  <c r="I40" i="6"/>
  <c r="I38" i="3" s="1"/>
  <c r="DJ40" i="6"/>
  <c r="J40" i="6"/>
  <c r="J38" i="3" s="1"/>
  <c r="AF42" i="6"/>
  <c r="AH42" i="6"/>
  <c r="AC43" i="6" s="1"/>
  <c r="AE43" i="6" s="1"/>
  <c r="AJ41" i="6"/>
  <c r="AI41" i="6"/>
  <c r="AG41" i="6"/>
  <c r="CE44" i="6" l="1"/>
  <c r="CH44" i="6" s="1"/>
  <c r="CC45" i="6" s="1"/>
  <c r="CF44" i="6"/>
  <c r="CJ44" i="6" s="1"/>
  <c r="EF43" i="6"/>
  <c r="EJ43" i="6" s="1"/>
  <c r="EE43" i="6"/>
  <c r="EH43" i="6" s="1"/>
  <c r="EC44" i="6" s="1"/>
  <c r="EI42" i="6"/>
  <c r="EG42" i="6"/>
  <c r="EK42" i="6" s="1"/>
  <c r="DK40" i="6"/>
  <c r="K40" i="6"/>
  <c r="K38" i="3" s="1"/>
  <c r="L38" i="3" s="1"/>
  <c r="CG43" i="6"/>
  <c r="CK43" i="6" s="1"/>
  <c r="CI43" i="6"/>
  <c r="DE41" i="6"/>
  <c r="DH41" i="6" s="1"/>
  <c r="DC42" i="6" s="1"/>
  <c r="DF41" i="6"/>
  <c r="AF43" i="6"/>
  <c r="AK41" i="6"/>
  <c r="AI42" i="6"/>
  <c r="AG42" i="6"/>
  <c r="AJ42" i="6"/>
  <c r="DE42" i="6" l="1"/>
  <c r="DF42" i="6"/>
  <c r="EE44" i="6"/>
  <c r="EF44" i="6"/>
  <c r="EJ44" i="6" s="1"/>
  <c r="CF45" i="6"/>
  <c r="CJ45" i="6" s="1"/>
  <c r="CE45" i="6"/>
  <c r="CH45" i="6" s="1"/>
  <c r="CC46" i="6" s="1"/>
  <c r="DJ41" i="6"/>
  <c r="J41" i="6"/>
  <c r="J39" i="3" s="1"/>
  <c r="DG41" i="6"/>
  <c r="DI41" i="6"/>
  <c r="I41" i="6"/>
  <c r="I39" i="3" s="1"/>
  <c r="EI43" i="6"/>
  <c r="EG43" i="6"/>
  <c r="EK43" i="6" s="1"/>
  <c r="CG44" i="6"/>
  <c r="CK44" i="6" s="1"/>
  <c r="CI44" i="6"/>
  <c r="AI43" i="6"/>
  <c r="AG43" i="6"/>
  <c r="AH43" i="6"/>
  <c r="AC44" i="6" s="1"/>
  <c r="AE44" i="6" s="1"/>
  <c r="AK42" i="6"/>
  <c r="AJ43" i="6"/>
  <c r="CF46" i="6" l="1"/>
  <c r="CJ46" i="6" s="1"/>
  <c r="CE46" i="6"/>
  <c r="CH46" i="6" s="1"/>
  <c r="CC47" i="6" s="1"/>
  <c r="DK41" i="6"/>
  <c r="K41" i="6"/>
  <c r="K39" i="3" s="1"/>
  <c r="L39" i="3" s="1"/>
  <c r="CG45" i="6"/>
  <c r="CK45" i="6" s="1"/>
  <c r="CI45" i="6"/>
  <c r="EG44" i="6"/>
  <c r="EK44" i="6" s="1"/>
  <c r="EI44" i="6"/>
  <c r="DJ42" i="6"/>
  <c r="J42" i="6"/>
  <c r="J40" i="3" s="1"/>
  <c r="EH44" i="6"/>
  <c r="EC45" i="6" s="1"/>
  <c r="DH42" i="6"/>
  <c r="DC43" i="6" s="1"/>
  <c r="DG42" i="6"/>
  <c r="DI42" i="6"/>
  <c r="I42" i="6"/>
  <c r="I40" i="3" s="1"/>
  <c r="AF44" i="6"/>
  <c r="AK43" i="6"/>
  <c r="CF47" i="6" l="1"/>
  <c r="CJ47" i="6" s="1"/>
  <c r="CE47" i="6"/>
  <c r="CH47" i="6" s="1"/>
  <c r="CC48" i="6" s="1"/>
  <c r="EF45" i="6"/>
  <c r="EJ45" i="6" s="1"/>
  <c r="EE45" i="6"/>
  <c r="EH45" i="6" s="1"/>
  <c r="EC46" i="6" s="1"/>
  <c r="DK42" i="6"/>
  <c r="K42" i="6"/>
  <c r="K40" i="3" s="1"/>
  <c r="L40" i="3" s="1"/>
  <c r="CG46" i="6"/>
  <c r="CK46" i="6" s="1"/>
  <c r="CI46" i="6"/>
  <c r="DF43" i="6"/>
  <c r="DE43" i="6"/>
  <c r="AI44" i="6"/>
  <c r="AG44" i="6"/>
  <c r="AH44" i="6"/>
  <c r="AC45" i="6" s="1"/>
  <c r="AE45" i="6" s="1"/>
  <c r="AJ44" i="6"/>
  <c r="CE48" i="6" l="1"/>
  <c r="CH48" i="6" s="1"/>
  <c r="CC49" i="6" s="1"/>
  <c r="CF48" i="6"/>
  <c r="CJ48" i="6" s="1"/>
  <c r="DH43" i="6"/>
  <c r="DC44" i="6" s="1"/>
  <c r="DG43" i="6"/>
  <c r="DI43" i="6"/>
  <c r="I43" i="6"/>
  <c r="I41" i="3" s="1"/>
  <c r="DJ43" i="6"/>
  <c r="J43" i="6"/>
  <c r="J41" i="3" s="1"/>
  <c r="EE46" i="6"/>
  <c r="EH46" i="6" s="1"/>
  <c r="EC47" i="6" s="1"/>
  <c r="EF46" i="6"/>
  <c r="EJ46" i="6" s="1"/>
  <c r="CG47" i="6"/>
  <c r="CK47" i="6" s="1"/>
  <c r="CI47" i="6"/>
  <c r="EG45" i="6"/>
  <c r="EK45" i="6" s="1"/>
  <c r="EI45" i="6"/>
  <c r="AF45" i="6"/>
  <c r="AK44" i="6"/>
  <c r="EF47" i="6" l="1"/>
  <c r="EJ47" i="6" s="1"/>
  <c r="EE47" i="6"/>
  <c r="EH47" i="6" s="1"/>
  <c r="EC48" i="6" s="1"/>
  <c r="CF49" i="6"/>
  <c r="CJ49" i="6" s="1"/>
  <c r="CE49" i="6"/>
  <c r="CH49" i="6" s="1"/>
  <c r="CC50" i="6" s="1"/>
  <c r="DF44" i="6"/>
  <c r="DE44" i="6"/>
  <c r="EG46" i="6"/>
  <c r="EK46" i="6" s="1"/>
  <c r="EI46" i="6"/>
  <c r="DK43" i="6"/>
  <c r="K43" i="6"/>
  <c r="K41" i="3" s="1"/>
  <c r="L41" i="3" s="1"/>
  <c r="CI48" i="6"/>
  <c r="CG48" i="6"/>
  <c r="CK48" i="6" s="1"/>
  <c r="AI45" i="6"/>
  <c r="AG45" i="6"/>
  <c r="AH45" i="6"/>
  <c r="AC46" i="6" s="1"/>
  <c r="AE46" i="6" s="1"/>
  <c r="AJ45" i="6"/>
  <c r="EE48" i="6" l="1"/>
  <c r="EH48" i="6" s="1"/>
  <c r="EC49" i="6" s="1"/>
  <c r="EF48" i="6"/>
  <c r="EJ48" i="6" s="1"/>
  <c r="DJ44" i="6"/>
  <c r="J44" i="6"/>
  <c r="J42" i="3" s="1"/>
  <c r="DH44" i="6"/>
  <c r="DC45" i="6" s="1"/>
  <c r="DI44" i="6"/>
  <c r="DG44" i="6"/>
  <c r="I44" i="6"/>
  <c r="I42" i="3" s="1"/>
  <c r="CF50" i="6"/>
  <c r="CJ50" i="6" s="1"/>
  <c r="CE50" i="6"/>
  <c r="CH50" i="6" s="1"/>
  <c r="CC51" i="6" s="1"/>
  <c r="EG47" i="6"/>
  <c r="EK47" i="6" s="1"/>
  <c r="EI47" i="6"/>
  <c r="CI49" i="6"/>
  <c r="CG49" i="6"/>
  <c r="CK49" i="6" s="1"/>
  <c r="AF46" i="6"/>
  <c r="AK45" i="6"/>
  <c r="EE49" i="6" l="1"/>
  <c r="EH49" i="6" s="1"/>
  <c r="EC50" i="6" s="1"/>
  <c r="EF49" i="6"/>
  <c r="EJ49" i="6" s="1"/>
  <c r="CE51" i="6"/>
  <c r="CF51" i="6"/>
  <c r="CJ51" i="6" s="1"/>
  <c r="DK44" i="6"/>
  <c r="K44" i="6"/>
  <c r="K42" i="3" s="1"/>
  <c r="L42" i="3" s="1"/>
  <c r="CG50" i="6"/>
  <c r="CK50" i="6" s="1"/>
  <c r="CI50" i="6"/>
  <c r="DF45" i="6"/>
  <c r="DE45" i="6"/>
  <c r="EI48" i="6"/>
  <c r="EG48" i="6"/>
  <c r="EK48" i="6" s="1"/>
  <c r="AJ46" i="6"/>
  <c r="AI46" i="6"/>
  <c r="AG46" i="6"/>
  <c r="AH46" i="6"/>
  <c r="AC47" i="6" s="1"/>
  <c r="AE47" i="6" s="1"/>
  <c r="CG51" i="6" l="1"/>
  <c r="CK51" i="6" s="1"/>
  <c r="CI51" i="6"/>
  <c r="DJ45" i="6"/>
  <c r="J45" i="6"/>
  <c r="J43" i="3" s="1"/>
  <c r="EE50" i="6"/>
  <c r="EH50" i="6" s="1"/>
  <c r="EC51" i="6" s="1"/>
  <c r="EF50" i="6"/>
  <c r="EJ50" i="6" s="1"/>
  <c r="DH45" i="6"/>
  <c r="DC46" i="6" s="1"/>
  <c r="DG45" i="6"/>
  <c r="DI45" i="6"/>
  <c r="I45" i="6"/>
  <c r="I43" i="3" s="1"/>
  <c r="CH51" i="6"/>
  <c r="CC52" i="6" s="1"/>
  <c r="EI49" i="6"/>
  <c r="EG49" i="6"/>
  <c r="EK49" i="6" s="1"/>
  <c r="AF47" i="6"/>
  <c r="AK46" i="6"/>
  <c r="EF51" i="6" l="1"/>
  <c r="EJ51" i="6" s="1"/>
  <c r="EE51" i="6"/>
  <c r="EH51" i="6" s="1"/>
  <c r="EC52" i="6" s="1"/>
  <c r="CF52" i="6"/>
  <c r="CJ52" i="6" s="1"/>
  <c r="CE52" i="6"/>
  <c r="CH52" i="6" s="1"/>
  <c r="CC53" i="6" s="1"/>
  <c r="DF46" i="6"/>
  <c r="DE46" i="6"/>
  <c r="DK45" i="6"/>
  <c r="K45" i="6"/>
  <c r="K43" i="3" s="1"/>
  <c r="L43" i="3" s="1"/>
  <c r="EI50" i="6"/>
  <c r="EG50" i="6"/>
  <c r="EK50" i="6" s="1"/>
  <c r="AI47" i="6"/>
  <c r="AG47" i="6"/>
  <c r="AJ47" i="6"/>
  <c r="AH47" i="6"/>
  <c r="AC48" i="6" s="1"/>
  <c r="AE48" i="6" s="1"/>
  <c r="EF52" i="6" l="1"/>
  <c r="EJ52" i="6" s="1"/>
  <c r="EE52" i="6"/>
  <c r="EH52" i="6" s="1"/>
  <c r="EC53" i="6" s="1"/>
  <c r="DG46" i="6"/>
  <c r="DI46" i="6"/>
  <c r="I46" i="6"/>
  <c r="I44" i="3" s="1"/>
  <c r="DJ46" i="6"/>
  <c r="J46" i="6"/>
  <c r="J44" i="3" s="1"/>
  <c r="CF53" i="6"/>
  <c r="CJ53" i="6" s="1"/>
  <c r="CE53" i="6"/>
  <c r="CH53" i="6" s="1"/>
  <c r="CC54" i="6" s="1"/>
  <c r="EI51" i="6"/>
  <c r="EG51" i="6"/>
  <c r="EK51" i="6" s="1"/>
  <c r="DH46" i="6"/>
  <c r="DC47" i="6" s="1"/>
  <c r="CI52" i="6"/>
  <c r="CG52" i="6"/>
  <c r="CK52" i="6" s="1"/>
  <c r="AF48" i="6"/>
  <c r="AK47" i="6"/>
  <c r="EF53" i="6" l="1"/>
  <c r="EJ53" i="6" s="1"/>
  <c r="EE53" i="6"/>
  <c r="EH53" i="6" s="1"/>
  <c r="EC54" i="6" s="1"/>
  <c r="CE54" i="6"/>
  <c r="CF54" i="6"/>
  <c r="DK46" i="6"/>
  <c r="K46" i="6"/>
  <c r="K44" i="3" s="1"/>
  <c r="L44" i="3" s="1"/>
  <c r="DF47" i="6"/>
  <c r="DE47" i="6"/>
  <c r="DH47" i="6" s="1"/>
  <c r="DC48" i="6" s="1"/>
  <c r="CI53" i="6"/>
  <c r="CG53" i="6"/>
  <c r="CK53" i="6" s="1"/>
  <c r="EI52" i="6"/>
  <c r="EG52" i="6"/>
  <c r="EK52" i="6" s="1"/>
  <c r="AI48" i="6"/>
  <c r="AG48" i="6"/>
  <c r="AJ48" i="6"/>
  <c r="AH48" i="6"/>
  <c r="AC49" i="6" s="1"/>
  <c r="AE49" i="6" s="1"/>
  <c r="DF48" i="6" l="1"/>
  <c r="DE48" i="6"/>
  <c r="DH48" i="6" s="1"/>
  <c r="DC49" i="6" s="1"/>
  <c r="EF54" i="6"/>
  <c r="EE54" i="6"/>
  <c r="EH54" i="6" s="1"/>
  <c r="CI54" i="6"/>
  <c r="CI9" i="6" s="1"/>
  <c r="CG54" i="6"/>
  <c r="CE9" i="6"/>
  <c r="BQ15" i="6" s="1"/>
  <c r="DI47" i="6"/>
  <c r="DG47" i="6"/>
  <c r="I47" i="6"/>
  <c r="I45" i="3" s="1"/>
  <c r="CH54" i="6"/>
  <c r="EG53" i="6"/>
  <c r="EK53" i="6" s="1"/>
  <c r="EI53" i="6"/>
  <c r="DJ47" i="6"/>
  <c r="J47" i="6"/>
  <c r="J45" i="3" s="1"/>
  <c r="CJ54" i="6"/>
  <c r="CJ9" i="6" s="1"/>
  <c r="CF9" i="6"/>
  <c r="AK48" i="6"/>
  <c r="AF49" i="6"/>
  <c r="AH49" i="6"/>
  <c r="AC50" i="6" s="1"/>
  <c r="AE50" i="6" s="1"/>
  <c r="DE49" i="6" l="1"/>
  <c r="DH49" i="6" s="1"/>
  <c r="DC50" i="6" s="1"/>
  <c r="DF49" i="6"/>
  <c r="DJ49" i="6" s="1"/>
  <c r="CK54" i="6"/>
  <c r="CK9" i="6" s="1"/>
  <c r="CG9" i="6"/>
  <c r="EJ54" i="6"/>
  <c r="EJ9" i="6" s="1"/>
  <c r="EF9" i="6"/>
  <c r="DK47" i="6"/>
  <c r="K47" i="6"/>
  <c r="K45" i="3" s="1"/>
  <c r="L45" i="3" s="1"/>
  <c r="DG48" i="6"/>
  <c r="DI48" i="6"/>
  <c r="I48" i="6"/>
  <c r="I46" i="3" s="1"/>
  <c r="EI54" i="6"/>
  <c r="EI9" i="6" s="1"/>
  <c r="EG54" i="6"/>
  <c r="EE9" i="6"/>
  <c r="DQ15" i="6" s="1"/>
  <c r="DJ48" i="6"/>
  <c r="J48" i="6"/>
  <c r="J46" i="3" s="1"/>
  <c r="AF50" i="6"/>
  <c r="J49" i="6"/>
  <c r="J47" i="3" s="1"/>
  <c r="AJ49" i="6"/>
  <c r="I49" i="6"/>
  <c r="I47" i="3" s="1"/>
  <c r="AG49" i="6"/>
  <c r="AI49" i="6"/>
  <c r="DE50" i="6" l="1"/>
  <c r="DH50" i="6" s="1"/>
  <c r="DC51" i="6" s="1"/>
  <c r="DF50" i="6"/>
  <c r="DJ50" i="6" s="1"/>
  <c r="EK54" i="6"/>
  <c r="EK9" i="6" s="1"/>
  <c r="EG9" i="6"/>
  <c r="DK48" i="6"/>
  <c r="K48" i="6"/>
  <c r="K46" i="3" s="1"/>
  <c r="L46" i="3" s="1"/>
  <c r="DG49" i="6"/>
  <c r="DK49" i="6" s="1"/>
  <c r="DI49" i="6"/>
  <c r="AK49" i="6"/>
  <c r="AG50" i="6"/>
  <c r="I50" i="6"/>
  <c r="I48" i="3" s="1"/>
  <c r="AI50" i="6"/>
  <c r="AJ50" i="6"/>
  <c r="AH50" i="6"/>
  <c r="AC51" i="6" s="1"/>
  <c r="AE51" i="6" s="1"/>
  <c r="J50" i="6" l="1"/>
  <c r="J48" i="3" s="1"/>
  <c r="K49" i="6"/>
  <c r="K47" i="3" s="1"/>
  <c r="L47" i="3" s="1"/>
  <c r="DF51" i="6"/>
  <c r="DJ51" i="6" s="1"/>
  <c r="DE51" i="6"/>
  <c r="DH51" i="6" s="1"/>
  <c r="DC52" i="6" s="1"/>
  <c r="DG50" i="6"/>
  <c r="DK50" i="6" s="1"/>
  <c r="DI50" i="6"/>
  <c r="AF51" i="6"/>
  <c r="K50" i="6"/>
  <c r="K48" i="3" s="1"/>
  <c r="L48" i="3" s="1"/>
  <c r="AK50" i="6"/>
  <c r="DE52" i="6" l="1"/>
  <c r="DH52" i="6" s="1"/>
  <c r="DC53" i="6" s="1"/>
  <c r="DF52" i="6"/>
  <c r="DJ52" i="6" s="1"/>
  <c r="DI51" i="6"/>
  <c r="DG51" i="6"/>
  <c r="DK51" i="6" s="1"/>
  <c r="I51" i="6"/>
  <c r="I49" i="3" s="1"/>
  <c r="AG51" i="6"/>
  <c r="AI51" i="6"/>
  <c r="AH51" i="6"/>
  <c r="AC52" i="6" s="1"/>
  <c r="AE52" i="6" s="1"/>
  <c r="L2" i="3"/>
  <c r="J51" i="6"/>
  <c r="J49" i="3" s="1"/>
  <c r="AJ51" i="6"/>
  <c r="DF53" i="6" l="1"/>
  <c r="DJ53" i="6" s="1"/>
  <c r="DE53" i="6"/>
  <c r="DH53" i="6" s="1"/>
  <c r="DC54" i="6" s="1"/>
  <c r="DI52" i="6"/>
  <c r="DG52" i="6"/>
  <c r="DK52" i="6" s="1"/>
  <c r="AF52" i="6"/>
  <c r="K51" i="6"/>
  <c r="K49" i="3" s="1"/>
  <c r="L49" i="3" s="1"/>
  <c r="AK51" i="6"/>
  <c r="DF54" i="6" l="1"/>
  <c r="DE54" i="6"/>
  <c r="DH54" i="6" s="1"/>
  <c r="DG53" i="6"/>
  <c r="DK53" i="6" s="1"/>
  <c r="DI53" i="6"/>
  <c r="AI52" i="6"/>
  <c r="I52" i="6"/>
  <c r="I50" i="3" s="1"/>
  <c r="AG52" i="6"/>
  <c r="J52" i="6"/>
  <c r="J50" i="3" s="1"/>
  <c r="AJ52" i="6"/>
  <c r="AH52" i="6"/>
  <c r="AC53" i="6" s="1"/>
  <c r="AE53" i="6" s="1"/>
  <c r="DG54" i="6" l="1"/>
  <c r="DI54" i="6"/>
  <c r="DI9" i="6" s="1"/>
  <c r="DE9" i="6"/>
  <c r="CQ15" i="6" s="1"/>
  <c r="DJ54" i="6"/>
  <c r="DJ9" i="6" s="1"/>
  <c r="DF9" i="6"/>
  <c r="K52" i="6"/>
  <c r="K50" i="3" s="1"/>
  <c r="L50" i="3" s="1"/>
  <c r="AK52" i="6"/>
  <c r="AF53" i="6"/>
  <c r="DK54" i="6" l="1"/>
  <c r="DK9" i="6" s="1"/>
  <c r="DG9" i="6"/>
  <c r="J53" i="6"/>
  <c r="J51" i="3" s="1"/>
  <c r="AJ53" i="6"/>
  <c r="I53" i="6"/>
  <c r="I51" i="3" s="1"/>
  <c r="AG53" i="6"/>
  <c r="AI53" i="6"/>
  <c r="AH53" i="6"/>
  <c r="AC54" i="6" s="1"/>
  <c r="AE54" i="6" s="1"/>
  <c r="K53" i="6" l="1"/>
  <c r="K51" i="3" s="1"/>
  <c r="L51" i="3" s="1"/>
  <c r="AK53" i="6"/>
  <c r="AF54" i="6"/>
  <c r="AG54" i="6" l="1"/>
  <c r="I54" i="6"/>
  <c r="AI54" i="6"/>
  <c r="AI9" i="6" s="1"/>
  <c r="AE9" i="6"/>
  <c r="Q15" i="6" s="1"/>
  <c r="J54" i="6"/>
  <c r="AJ54" i="6"/>
  <c r="AJ9" i="6" s="1"/>
  <c r="AF9" i="6"/>
  <c r="AH54" i="6"/>
  <c r="I52" i="3" l="1"/>
  <c r="I9" i="6"/>
  <c r="J52" i="3"/>
  <c r="J9" i="6"/>
  <c r="AK54" i="6"/>
  <c r="AK9" i="6" s="1"/>
  <c r="K54" i="6"/>
  <c r="AG9" i="6"/>
  <c r="K52" i="3" l="1"/>
  <c r="L52" i="3" s="1"/>
  <c r="K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<sst xmlns="http://schemas.openxmlformats.org/spreadsheetml/2006/main" count="339" uniqueCount="58">
  <si>
    <t>Borrower:</t>
  </si>
  <si>
    <t>Philadelphia Water Department</t>
  </si>
  <si>
    <t>Closing Date:</t>
  </si>
  <si>
    <t>Cost of Issuance:</t>
  </si>
  <si>
    <t>Draws</t>
  </si>
  <si>
    <t>Date</t>
  </si>
  <si>
    <t>Principal</t>
  </si>
  <si>
    <t>Interest</t>
  </si>
  <si>
    <t>Debt Service</t>
  </si>
  <si>
    <t>Total</t>
  </si>
  <si>
    <t>First Principal:</t>
  </si>
  <si>
    <t>Aggregate Debt Service and Coverage</t>
  </si>
  <si>
    <t>Aggregate</t>
  </si>
  <si>
    <t>#</t>
  </si>
  <si>
    <t>Dates</t>
  </si>
  <si>
    <t>FY After Close</t>
  </si>
  <si>
    <t>PennVest</t>
  </si>
  <si>
    <t>First Pennvest Principal</t>
  </si>
  <si>
    <t>Last Pennvest Principal</t>
  </si>
  <si>
    <t>WIFIA</t>
  </si>
  <si>
    <t>Beginning Balance</t>
  </si>
  <si>
    <t>Ending Balance</t>
  </si>
  <si>
    <t>Target</t>
  </si>
  <si>
    <t>Final Payment</t>
  </si>
  <si>
    <t>Last WIFIA Payment</t>
  </si>
  <si>
    <t>Goal Seek Cell</t>
  </si>
  <si>
    <t>Totals:</t>
  </si>
  <si>
    <t>Fraction</t>
  </si>
  <si>
    <t>Beginning</t>
  </si>
  <si>
    <t>Ending</t>
  </si>
  <si>
    <t>WIFIA Rate:</t>
  </si>
  <si>
    <t>Project(s):</t>
  </si>
  <si>
    <t>Loan:</t>
  </si>
  <si>
    <t>Loan 1 - Distribution Main Replacement</t>
  </si>
  <si>
    <t>Loan 5 - Baxter WTP Storage &amp; Belmont WTP Storage Replacement</t>
  </si>
  <si>
    <t>Bond Financed Portion</t>
  </si>
  <si>
    <t>Duration</t>
  </si>
  <si>
    <t>WIFIA WAM</t>
  </si>
  <si>
    <t>Final Draw</t>
  </si>
  <si>
    <t>Bond Interest During Draws</t>
  </si>
  <si>
    <t>Bond/PennVest Rate:</t>
  </si>
  <si>
    <t>Bond Term:</t>
  </si>
  <si>
    <t>WIFIA Loan Size</t>
  </si>
  <si>
    <t>WIFIA Eligible COI</t>
  </si>
  <si>
    <t>Construction Interest:</t>
  </si>
  <si>
    <t>COI:</t>
  </si>
  <si>
    <t>Total WIFIA Amount:</t>
  </si>
  <si>
    <t>WIFIA Term:</t>
  </si>
  <si>
    <t>First WIFIA Payment</t>
  </si>
  <si>
    <t>WIFIA Draw Escalator</t>
  </si>
  <si>
    <t>Total Project Costs:</t>
  </si>
  <si>
    <t>Loan 2 - George's Hill/Belmont High Pump Station</t>
  </si>
  <si>
    <t>Loan 3 - East Park Booster Station/Monument Road Storage Replacement</t>
  </si>
  <si>
    <t>Loan 4 - Schuylkill River Crossing</t>
  </si>
  <si>
    <t>Cash Financed Portion</t>
  </si>
  <si>
    <t>Cash/PennVest/Bond Financing</t>
  </si>
  <si>
    <t>Cash/Bond Financing Matching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</si>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</sst>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\ &quot;years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centerContinuous"/>
    </xf>
    <xf numFmtId="14" fontId="0" fillId="0" borderId="0" xfId="0" applyNumberFormat="1" applyAlignment="1">
      <alignment horizontal="right"/>
    </xf>
    <xf numFmtId="43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1" applyNumberFormat="1" applyFont="1"/>
    <xf numFmtId="0" fontId="2" fillId="0" borderId="0" xfId="0" quotePrefix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/>
    <xf numFmtId="14" fontId="4" fillId="0" borderId="0" xfId="0" applyNumberFormat="1" applyFont="1" applyAlignment="1">
      <alignment horizontal="right"/>
    </xf>
    <xf numFmtId="164" fontId="4" fillId="0" borderId="0" xfId="0" applyNumberFormat="1" applyFont="1"/>
    <xf numFmtId="14" fontId="0" fillId="0" borderId="0" xfId="0" applyNumberFormat="1" applyAlignment="1">
      <alignment horizontal="centerContinuous"/>
    </xf>
    <xf numFmtId="14" fontId="0" fillId="0" borderId="0" xfId="0" applyNumberFormat="1" applyAlignment="1">
      <alignment horizontal="center" vertical="center"/>
    </xf>
    <xf numFmtId="10" fontId="0" fillId="0" borderId="0" xfId="0" applyNumberFormat="1"/>
    <xf numFmtId="3" fontId="0" fillId="0" borderId="0" xfId="0" applyNumberFormat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4" fontId="4" fillId="2" borderId="16" xfId="0" applyNumberFormat="1" applyFont="1" applyFill="1" applyBorder="1" applyAlignment="1">
      <alignment horizontal="center"/>
    </xf>
    <xf numFmtId="14" fontId="0" fillId="0" borderId="17" xfId="0" applyNumberFormat="1" applyBorder="1"/>
    <xf numFmtId="14" fontId="0" fillId="0" borderId="18" xfId="0" applyNumberFormat="1" applyBorder="1"/>
    <xf numFmtId="14" fontId="0" fillId="0" borderId="19" xfId="0" applyNumberFormat="1" applyBorder="1"/>
    <xf numFmtId="3" fontId="4" fillId="2" borderId="4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0" fillId="0" borderId="8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4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3" fontId="4" fillId="3" borderId="3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quotePrefix="1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quotePrefix="1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quotePrefix="1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quotePrefix="1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14" fontId="4" fillId="2" borderId="20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10" fontId="2" fillId="0" borderId="0" xfId="0" applyNumberFormat="1" applyFont="1" applyAlignment="1">
      <alignment horizontal="center"/>
    </xf>
    <xf numFmtId="43" fontId="4" fillId="0" borderId="0" xfId="1" applyFont="1"/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right"/>
    </xf>
    <xf numFmtId="9" fontId="2" fillId="3" borderId="0" xfId="0" applyNumberFormat="1" applyFont="1" applyFill="1" applyAlignment="1">
      <alignment horizontal="center"/>
    </xf>
    <xf numFmtId="3" fontId="5" fillId="5" borderId="5" xfId="0" applyNumberFormat="1" applyFont="1" applyFill="1" applyBorder="1" applyAlignment="1">
      <alignment horizontal="center"/>
    </xf>
    <xf numFmtId="3" fontId="5" fillId="5" borderId="6" xfId="0" applyNumberFormat="1" applyFont="1" applyFill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3" fontId="4" fillId="3" borderId="1" xfId="0" quotePrefix="1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Goal Seek Loans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2AE1-2A32-4ECC-9EA3-5251C0497327}">
  <sheetPr codeName="Sheet1"/>
  <dimension ref="A1:H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0.5703125" customWidth="1"/>
    <col min="2" max="6" width="35.5703125" customWidth="1"/>
    <col min="8" max="8" width="9.42578125" bestFit="1" customWidth="1"/>
    <col min="11" max="11" width="14.5703125" bestFit="1" customWidth="1"/>
    <col min="13" max="13" width="12" bestFit="1" customWidth="1"/>
  </cols>
  <sheetData>
    <row r="1" spans="1:6" x14ac:dyDescent="0.25">
      <c r="A1" s="1" t="s">
        <v>0</v>
      </c>
      <c r="B1" s="14" t="s">
        <v>1</v>
      </c>
    </row>
    <row r="3" spans="1:6" x14ac:dyDescent="0.25">
      <c r="A3" s="5" t="s">
        <v>32</v>
      </c>
      <c r="B3" s="2">
        <v>1</v>
      </c>
      <c r="C3" s="2">
        <v>2</v>
      </c>
      <c r="D3" s="2">
        <v>3</v>
      </c>
      <c r="E3" s="2">
        <v>4</v>
      </c>
      <c r="F3" s="2">
        <v>5</v>
      </c>
    </row>
    <row r="4" spans="1:6" x14ac:dyDescent="0.25">
      <c r="A4" s="5" t="s">
        <v>31</v>
      </c>
      <c r="B4" s="10" t="s">
        <v>33</v>
      </c>
      <c r="C4" s="57" t="s">
        <v>51</v>
      </c>
      <c r="D4" s="57" t="s">
        <v>52</v>
      </c>
      <c r="E4" s="57" t="s">
        <v>53</v>
      </c>
      <c r="F4" s="57" t="s">
        <v>34</v>
      </c>
    </row>
    <row r="5" spans="1:6" x14ac:dyDescent="0.25">
      <c r="A5" s="1" t="s">
        <v>2</v>
      </c>
      <c r="B5" s="11">
        <v>44896</v>
      </c>
      <c r="C5" s="11">
        <v>45108</v>
      </c>
      <c r="D5" s="11">
        <v>45474</v>
      </c>
      <c r="E5" s="11">
        <v>45839</v>
      </c>
      <c r="F5" s="11">
        <v>46569</v>
      </c>
    </row>
    <row r="6" spans="1:6" x14ac:dyDescent="0.25">
      <c r="A6" s="1" t="s">
        <v>10</v>
      </c>
      <c r="B6" s="58">
        <v>46203</v>
      </c>
      <c r="C6" s="58">
        <v>45838</v>
      </c>
      <c r="D6" s="58">
        <v>46203</v>
      </c>
      <c r="E6" s="58">
        <v>46934</v>
      </c>
      <c r="F6" s="58">
        <v>47299</v>
      </c>
    </row>
    <row r="7" spans="1:6" x14ac:dyDescent="0.25">
      <c r="A7" s="5" t="s">
        <v>41</v>
      </c>
      <c r="B7" s="12">
        <v>0</v>
      </c>
      <c r="C7" s="12">
        <v>20</v>
      </c>
      <c r="D7" s="12">
        <v>20</v>
      </c>
      <c r="E7" s="12">
        <v>20</v>
      </c>
      <c r="F7" s="12">
        <v>20</v>
      </c>
    </row>
    <row r="8" spans="1:6" x14ac:dyDescent="0.25">
      <c r="A8" s="5" t="s">
        <v>47</v>
      </c>
      <c r="B8" s="12">
        <v>20</v>
      </c>
      <c r="C8" s="12">
        <v>35</v>
      </c>
      <c r="D8" s="12">
        <v>35</v>
      </c>
      <c r="E8" s="12">
        <v>35</v>
      </c>
      <c r="F8" s="12">
        <v>35</v>
      </c>
    </row>
    <row r="9" spans="1:6" x14ac:dyDescent="0.25">
      <c r="A9" s="5" t="s">
        <v>40</v>
      </c>
      <c r="B9" s="72">
        <v>0.05</v>
      </c>
      <c r="C9" s="72">
        <v>0.05</v>
      </c>
      <c r="D9" s="72">
        <v>0.05</v>
      </c>
      <c r="E9" s="72">
        <v>0.05</v>
      </c>
      <c r="F9" s="72">
        <v>0.05</v>
      </c>
    </row>
    <row r="10" spans="1:6" x14ac:dyDescent="0.25">
      <c r="A10" s="5" t="s">
        <v>30</v>
      </c>
      <c r="B10" s="72">
        <v>3.5000000000000003E-2</v>
      </c>
      <c r="C10" s="72">
        <v>0.04</v>
      </c>
      <c r="D10" s="72">
        <v>0.04</v>
      </c>
      <c r="E10" s="72">
        <v>0.04</v>
      </c>
      <c r="F10" s="72">
        <v>0.04</v>
      </c>
    </row>
    <row r="11" spans="1:6" x14ac:dyDescent="0.25">
      <c r="A11" s="76" t="s">
        <v>3</v>
      </c>
      <c r="B11" s="77">
        <v>0.01</v>
      </c>
      <c r="C11" s="77">
        <v>0.01</v>
      </c>
      <c r="D11" s="77">
        <v>0.01</v>
      </c>
      <c r="E11" s="77">
        <v>0.01</v>
      </c>
      <c r="F11" s="77">
        <v>0.01</v>
      </c>
    </row>
    <row r="12" spans="1:6" x14ac:dyDescent="0.25">
      <c r="A12" s="2" t="s">
        <v>4</v>
      </c>
    </row>
    <row r="13" spans="1:6" x14ac:dyDescent="0.25">
      <c r="A13" s="3">
        <v>44742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</row>
    <row r="14" spans="1:6" x14ac:dyDescent="0.25">
      <c r="A14" s="3">
        <f>EDATE(A13,12)</f>
        <v>45107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</row>
    <row r="15" spans="1:6" x14ac:dyDescent="0.25">
      <c r="A15" s="3">
        <f t="shared" ref="A15:A23" si="0">EDATE(A14,12)</f>
        <v>45473</v>
      </c>
      <c r="B15" s="13">
        <v>13155186.336666666</v>
      </c>
      <c r="C15" s="13">
        <v>5155500</v>
      </c>
      <c r="D15" s="13">
        <v>0</v>
      </c>
      <c r="E15" s="13">
        <v>0</v>
      </c>
      <c r="F15" s="13">
        <v>0</v>
      </c>
    </row>
    <row r="16" spans="1:6" x14ac:dyDescent="0.25">
      <c r="A16" s="3">
        <f t="shared" si="0"/>
        <v>45838</v>
      </c>
      <c r="B16" s="13">
        <v>13155186.336666666</v>
      </c>
      <c r="C16" s="13">
        <v>10311000</v>
      </c>
      <c r="D16" s="13">
        <v>17627222.22222222</v>
      </c>
      <c r="E16" s="13">
        <v>0</v>
      </c>
      <c r="F16" s="13">
        <v>0</v>
      </c>
    </row>
    <row r="17" spans="1:8" x14ac:dyDescent="0.25">
      <c r="A17" s="3">
        <f t="shared" si="0"/>
        <v>46203</v>
      </c>
      <c r="B17" s="13">
        <v>13155186.336666666</v>
      </c>
      <c r="C17" s="13">
        <v>10311000</v>
      </c>
      <c r="D17" s="13">
        <v>28301444.444444448</v>
      </c>
      <c r="E17" s="13">
        <v>42183559.016666673</v>
      </c>
      <c r="F17" s="13">
        <v>0</v>
      </c>
    </row>
    <row r="18" spans="1:8" x14ac:dyDescent="0.25">
      <c r="A18" s="3">
        <f t="shared" si="0"/>
        <v>46568</v>
      </c>
      <c r="B18" s="13">
        <v>0</v>
      </c>
      <c r="C18" s="13">
        <v>5155500</v>
      </c>
      <c r="D18" s="13">
        <v>14958666.666666668</v>
      </c>
      <c r="E18" s="13">
        <v>63275338.524999991</v>
      </c>
      <c r="F18" s="13">
        <v>31310862.745098036</v>
      </c>
    </row>
    <row r="19" spans="1:8" x14ac:dyDescent="0.25">
      <c r="A19" s="3">
        <f t="shared" si="0"/>
        <v>46934</v>
      </c>
      <c r="B19" s="13">
        <v>0</v>
      </c>
      <c r="C19" s="13">
        <v>0</v>
      </c>
      <c r="D19" s="13">
        <v>24017000</v>
      </c>
      <c r="E19" s="13">
        <v>38475994.808333345</v>
      </c>
      <c r="F19" s="13">
        <v>53675764.705882356</v>
      </c>
    </row>
    <row r="20" spans="1:8" x14ac:dyDescent="0.25">
      <c r="A20" s="3">
        <f t="shared" si="0"/>
        <v>47299</v>
      </c>
      <c r="B20" s="13"/>
      <c r="C20" s="13"/>
      <c r="D20" s="13">
        <v>8005666.6666666642</v>
      </c>
      <c r="E20" s="13">
        <v>8692107.6500000004</v>
      </c>
      <c r="F20" s="13">
        <v>77661219.251336902</v>
      </c>
    </row>
    <row r="21" spans="1:8" x14ac:dyDescent="0.25">
      <c r="A21" s="3">
        <f t="shared" si="0"/>
        <v>47664</v>
      </c>
      <c r="B21" s="13"/>
      <c r="C21" s="13"/>
      <c r="D21" s="13"/>
      <c r="E21" s="13"/>
      <c r="F21" s="13">
        <v>101646673.79679143</v>
      </c>
    </row>
    <row r="22" spans="1:8" x14ac:dyDescent="0.25">
      <c r="A22" s="3">
        <f t="shared" si="0"/>
        <v>48029</v>
      </c>
      <c r="B22" s="13"/>
      <c r="C22" s="13"/>
      <c r="D22" s="13"/>
      <c r="E22" s="13"/>
      <c r="F22" s="13">
        <v>83754752.228164017</v>
      </c>
    </row>
    <row r="23" spans="1:8" x14ac:dyDescent="0.25">
      <c r="A23" s="3">
        <f t="shared" si="0"/>
        <v>48395</v>
      </c>
      <c r="B23" s="13"/>
      <c r="C23" s="13"/>
      <c r="D23" s="13"/>
      <c r="E23" s="13"/>
      <c r="F23" s="13">
        <v>11992727.272727277</v>
      </c>
    </row>
    <row r="25" spans="1:8" x14ac:dyDescent="0.25">
      <c r="A25" s="1" t="s">
        <v>9</v>
      </c>
      <c r="B25" s="9">
        <f>SUM(B13:B23)</f>
        <v>39465559.009999998</v>
      </c>
      <c r="C25" s="9">
        <f t="shared" ref="C25:F25" si="1">SUM(C13:C23)</f>
        <v>30933000</v>
      </c>
      <c r="D25" s="9">
        <f t="shared" si="1"/>
        <v>92910000</v>
      </c>
      <c r="E25" s="9">
        <f t="shared" si="1"/>
        <v>152627000</v>
      </c>
      <c r="F25" s="9">
        <f t="shared" si="1"/>
        <v>360042000</v>
      </c>
    </row>
    <row r="27" spans="1:8" x14ac:dyDescent="0.25">
      <c r="B27" s="9">
        <f>SUM(B25:F25)*49%</f>
        <v>331229003.9149</v>
      </c>
    </row>
    <row r="30" spans="1:8" x14ac:dyDescent="0.25">
      <c r="H30" s="19"/>
    </row>
    <row r="31" spans="1:8" x14ac:dyDescent="0.25">
      <c r="H31" s="19"/>
    </row>
    <row r="32" spans="1:8" x14ac:dyDescent="0.25">
      <c r="B32" s="8">
        <f>0.51*B25</f>
        <v>20127435.095100001</v>
      </c>
      <c r="H32" s="19"/>
    </row>
    <row r="33" spans="8:8" x14ac:dyDescent="0.25">
      <c r="H33" s="19"/>
    </row>
    <row r="34" spans="8:8" x14ac:dyDescent="0.25">
      <c r="H34" s="19"/>
    </row>
    <row r="35" spans="8:8" x14ac:dyDescent="0.25">
      <c r="H35" s="19"/>
    </row>
    <row r="36" spans="8:8" x14ac:dyDescent="0.25">
      <c r="H36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35D6-504E-40C8-A3D5-86273321B2F6}">
  <sheetPr codeName="Sheet2"/>
  <dimension ref="A1:EK55"/>
  <sheetViews>
    <sheetView showGridLines="0" workbookViewId="0"/>
  </sheetViews>
  <sheetFormatPr defaultRowHeight="15" x14ac:dyDescent="0.25"/>
  <cols>
    <col min="1" max="1" width="20.5703125" bestFit="1" customWidth="1"/>
    <col min="2" max="2" width="15.28515625" bestFit="1" customWidth="1"/>
    <col min="3" max="3" width="9.7109375" style="3" bestFit="1" customWidth="1"/>
    <col min="4" max="5" width="12.140625" style="20" bestFit="1" customWidth="1"/>
    <col min="6" max="7" width="14.85546875" style="20" bestFit="1" customWidth="1"/>
    <col min="8" max="11" width="12.140625" style="20" customWidth="1"/>
    <col min="12" max="12" width="12.140625" customWidth="1"/>
    <col min="13" max="13" width="15.85546875" style="3" bestFit="1" customWidth="1"/>
    <col min="14" max="14" width="29.140625" bestFit="1" customWidth="1"/>
    <col min="16" max="16" width="25.7109375" bestFit="1" customWidth="1"/>
    <col min="17" max="17" width="10.140625" bestFit="1" customWidth="1"/>
    <col min="22" max="22" width="9.7109375" style="3" bestFit="1" customWidth="1"/>
    <col min="23" max="28" width="11.7109375" style="20" customWidth="1"/>
    <col min="29" max="37" width="17.42578125" style="20" bestFit="1" customWidth="1"/>
    <col min="39" max="39" width="15.85546875" bestFit="1" customWidth="1"/>
    <col min="40" max="40" width="29.140625" bestFit="1" customWidth="1"/>
    <col min="42" max="42" width="25.7109375" bestFit="1" customWidth="1"/>
    <col min="43" max="43" width="10.140625" bestFit="1" customWidth="1"/>
    <col min="48" max="48" width="9.7109375" bestFit="1" customWidth="1"/>
    <col min="49" max="54" width="11.7109375" customWidth="1"/>
    <col min="55" max="63" width="17.42578125" bestFit="1" customWidth="1"/>
    <col min="65" max="65" width="15.85546875" bestFit="1" customWidth="1"/>
    <col min="66" max="66" width="29.140625" bestFit="1" customWidth="1"/>
    <col min="68" max="68" width="25.7109375" bestFit="1" customWidth="1"/>
    <col min="69" max="69" width="10.140625" bestFit="1" customWidth="1"/>
    <col min="74" max="74" width="9.7109375" bestFit="1" customWidth="1"/>
    <col min="75" max="80" width="11.7109375" customWidth="1"/>
    <col min="81" max="89" width="17.42578125" bestFit="1" customWidth="1"/>
    <col min="91" max="91" width="15.85546875" bestFit="1" customWidth="1"/>
    <col min="92" max="92" width="29.140625" bestFit="1" customWidth="1"/>
    <col min="94" max="94" width="25.7109375" bestFit="1" customWidth="1"/>
    <col min="95" max="95" width="10.140625" bestFit="1" customWidth="1"/>
    <col min="100" max="100" width="9.7109375" bestFit="1" customWidth="1"/>
    <col min="101" max="106" width="11.7109375" customWidth="1"/>
    <col min="107" max="115" width="17.42578125" bestFit="1" customWidth="1"/>
    <col min="117" max="117" width="15.85546875" bestFit="1" customWidth="1"/>
    <col min="118" max="118" width="29.140625" bestFit="1" customWidth="1"/>
    <col min="120" max="120" width="25.7109375" bestFit="1" customWidth="1"/>
    <col min="121" max="121" width="10.7109375" bestFit="1" customWidth="1"/>
    <col min="126" max="126" width="9.7109375" bestFit="1" customWidth="1"/>
    <col min="127" max="132" width="11.7109375" customWidth="1"/>
    <col min="133" max="141" width="17.42578125" bestFit="1" customWidth="1"/>
  </cols>
  <sheetData>
    <row r="1" spans="1:141" ht="15" customHeight="1" x14ac:dyDescent="0.25">
      <c r="M1">
        <v>1</v>
      </c>
      <c r="AM1">
        <v>2</v>
      </c>
      <c r="AV1" s="3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M1">
        <v>3</v>
      </c>
      <c r="BV1" s="3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M1">
        <v>4</v>
      </c>
      <c r="CV1" s="3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M1">
        <v>5</v>
      </c>
      <c r="DV1" s="3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</row>
    <row r="2" spans="1:141" ht="15" customHeight="1" x14ac:dyDescent="0.25">
      <c r="X2" s="25"/>
      <c r="AE2" s="20" t="s">
        <v>22</v>
      </c>
      <c r="AF2" s="20" t="s">
        <v>25</v>
      </c>
      <c r="AG2" s="20" t="s">
        <v>23</v>
      </c>
      <c r="AM2" s="3"/>
      <c r="AV2" s="3"/>
      <c r="AW2" s="20"/>
      <c r="AX2" s="25"/>
      <c r="AY2" s="20"/>
      <c r="AZ2" s="20"/>
      <c r="BA2" s="20"/>
      <c r="BB2" s="20"/>
      <c r="BC2" s="20"/>
      <c r="BD2" s="20"/>
      <c r="BE2" s="20" t="s">
        <v>22</v>
      </c>
      <c r="BF2" s="20" t="s">
        <v>25</v>
      </c>
      <c r="BG2" s="20" t="s">
        <v>23</v>
      </c>
      <c r="BH2" s="20"/>
      <c r="BI2" s="20"/>
      <c r="BJ2" s="20"/>
      <c r="BK2" s="20"/>
      <c r="BM2" s="3"/>
      <c r="BV2" s="3"/>
      <c r="BW2" s="20"/>
      <c r="BX2" s="25"/>
      <c r="BY2" s="20"/>
      <c r="BZ2" s="20"/>
      <c r="CA2" s="20"/>
      <c r="CB2" s="20"/>
      <c r="CC2" s="20"/>
      <c r="CD2" s="20"/>
      <c r="CE2" s="20" t="s">
        <v>22</v>
      </c>
      <c r="CF2" s="20" t="s">
        <v>25</v>
      </c>
      <c r="CG2" s="20" t="s">
        <v>23</v>
      </c>
      <c r="CH2" s="20"/>
      <c r="CI2" s="20"/>
      <c r="CJ2" s="20"/>
      <c r="CK2" s="20"/>
      <c r="CM2" s="3"/>
      <c r="CV2" s="3"/>
      <c r="CW2" s="20"/>
      <c r="CX2" s="25"/>
      <c r="CY2" s="20"/>
      <c r="CZ2" s="20"/>
      <c r="DA2" s="20"/>
      <c r="DB2" s="20"/>
      <c r="DC2" s="20"/>
      <c r="DD2" s="20"/>
      <c r="DE2" s="20" t="s">
        <v>22</v>
      </c>
      <c r="DF2" s="20" t="s">
        <v>25</v>
      </c>
      <c r="DG2" s="20" t="s">
        <v>23</v>
      </c>
      <c r="DH2" s="20"/>
      <c r="DI2" s="20"/>
      <c r="DJ2" s="20"/>
      <c r="DK2" s="20"/>
      <c r="DM2" s="3"/>
      <c r="DV2" s="3"/>
      <c r="DW2" s="20"/>
      <c r="DX2" s="25"/>
      <c r="DY2" s="20"/>
      <c r="DZ2" s="20"/>
      <c r="EA2" s="20"/>
      <c r="EB2" s="20"/>
      <c r="EC2" s="20"/>
      <c r="ED2" s="20"/>
      <c r="EE2" s="20" t="s">
        <v>22</v>
      </c>
      <c r="EF2" s="20" t="s">
        <v>25</v>
      </c>
      <c r="EG2" s="20" t="s">
        <v>23</v>
      </c>
      <c r="EH2" s="20"/>
      <c r="EI2" s="20"/>
      <c r="EJ2" s="20"/>
      <c r="EK2" s="20"/>
    </row>
    <row r="3" spans="1:141" ht="15" customHeight="1" x14ac:dyDescent="0.25">
      <c r="X3" s="25"/>
      <c r="AE3" s="20">
        <v>1448780.2306486759</v>
      </c>
      <c r="AF3" s="26" t="str" cm="1">
        <f t="array" aca="1" ref="AF3" ca="1">CELL("address",INDEX(AH10:AH54,_xlfn.XMATCH(AG3,_xlfn.ANCHORARRAY(V10))))</f>
        <v>$AH$33</v>
      </c>
      <c r="AG3" s="3">
        <f>Q14</f>
        <v>53143</v>
      </c>
      <c r="AM3" s="3"/>
      <c r="AV3" s="3"/>
      <c r="AW3" s="20"/>
      <c r="AX3" s="25"/>
      <c r="AY3" s="20"/>
      <c r="AZ3" s="20"/>
      <c r="BA3" s="20"/>
      <c r="BB3" s="20"/>
      <c r="BC3" s="20"/>
      <c r="BD3" s="20"/>
      <c r="BE3" s="20">
        <v>1431427.9898321077</v>
      </c>
      <c r="BF3" s="26" t="str" cm="1">
        <f t="array" aca="1" ref="BF3" ca="1">CELL("address",INDEX(BH10:BH54,_xlfn.XMATCH(BG3,_xlfn.ANCHORARRAY(AV10))))</f>
        <v>$BH$47</v>
      </c>
      <c r="BG3" s="3">
        <f>AQ14</f>
        <v>58256</v>
      </c>
      <c r="BH3" s="20"/>
      <c r="BI3" s="20"/>
      <c r="BJ3" s="20"/>
      <c r="BK3" s="20"/>
      <c r="BM3" s="3"/>
      <c r="BV3" s="3"/>
      <c r="BW3" s="20"/>
      <c r="BX3" s="25"/>
      <c r="BY3" s="20"/>
      <c r="BZ3" s="20"/>
      <c r="CA3" s="20"/>
      <c r="CB3" s="20"/>
      <c r="CC3" s="20"/>
      <c r="CD3" s="20"/>
      <c r="CE3" s="20">
        <v>4369048.8872362766</v>
      </c>
      <c r="CF3" s="26" t="str" cm="1">
        <f t="array" aca="1" ref="CF3" ca="1">CELL("address",INDEX(CH10:CH54,_xlfn.XMATCH(CG3,_xlfn.ANCHORARRAY(BV10))))</f>
        <v>$CH$48</v>
      </c>
      <c r="CG3" s="3">
        <f>BQ14</f>
        <v>58622</v>
      </c>
      <c r="CH3" s="20"/>
      <c r="CI3" s="20"/>
      <c r="CJ3" s="20"/>
      <c r="CK3" s="20"/>
      <c r="CM3" s="3"/>
      <c r="CV3" s="3"/>
      <c r="CW3" s="20"/>
      <c r="CX3" s="25"/>
      <c r="CY3" s="20"/>
      <c r="CZ3" s="20"/>
      <c r="DA3" s="20"/>
      <c r="DB3" s="20"/>
      <c r="DC3" s="20"/>
      <c r="DD3" s="20"/>
      <c r="DE3" s="20">
        <v>7144961.2727559358</v>
      </c>
      <c r="DF3" s="26" t="str" cm="1">
        <f t="array" aca="1" ref="DF3" ca="1">CELL("address",INDEX(DH10:DH54,_xlfn.XMATCH(DG3,_xlfn.ANCHORARRAY(CV10))))</f>
        <v>$DH$50</v>
      </c>
      <c r="DG3" s="3">
        <f>CQ14</f>
        <v>59352</v>
      </c>
      <c r="DH3" s="20"/>
      <c r="DI3" s="20"/>
      <c r="DJ3" s="20"/>
      <c r="DK3" s="20"/>
      <c r="DM3" s="3"/>
      <c r="DV3" s="3"/>
      <c r="DW3" s="20"/>
      <c r="DX3" s="25"/>
      <c r="DY3" s="20"/>
      <c r="DZ3" s="20"/>
      <c r="EA3" s="20"/>
      <c r="EB3" s="20"/>
      <c r="EC3" s="20"/>
      <c r="ED3" s="20"/>
      <c r="EE3" s="20">
        <v>16499585.951834703</v>
      </c>
      <c r="EF3" s="26" t="str" cm="1">
        <f t="array" aca="1" ref="EF3" ca="1">CELL("address",INDEX(EH10:EH54,_xlfn.XMATCH(EG3,_xlfn.ANCHORARRAY(DV10))))</f>
        <v>$EH$51</v>
      </c>
      <c r="EG3" s="3">
        <f>DQ14</f>
        <v>59717</v>
      </c>
      <c r="EH3" s="20"/>
      <c r="EI3" s="20"/>
      <c r="EJ3" s="20"/>
      <c r="EK3" s="20"/>
    </row>
    <row r="4" spans="1:141" ht="14.25" customHeight="1" x14ac:dyDescent="0.25">
      <c r="D4" s="20" t="s">
        <v>16</v>
      </c>
      <c r="E4" s="20" t="s">
        <v>16</v>
      </c>
      <c r="F4" s="20" t="s">
        <v>16</v>
      </c>
      <c r="G4" s="20" t="s">
        <v>16</v>
      </c>
      <c r="H4" s="20" t="s">
        <v>19</v>
      </c>
      <c r="I4" s="20" t="s">
        <v>19</v>
      </c>
      <c r="J4" s="20" t="s">
        <v>19</v>
      </c>
      <c r="K4" s="20" t="s">
        <v>19</v>
      </c>
      <c r="X4" s="25" t="s">
        <v>16</v>
      </c>
      <c r="Y4" s="25" t="s">
        <v>16</v>
      </c>
      <c r="Z4" s="25" t="s">
        <v>16</v>
      </c>
      <c r="AA4" s="25" t="s">
        <v>16</v>
      </c>
      <c r="AC4" s="20" t="s">
        <v>19</v>
      </c>
      <c r="AD4" s="20" t="s">
        <v>19</v>
      </c>
      <c r="AE4" s="20" t="s">
        <v>19</v>
      </c>
      <c r="AF4" s="20" t="s">
        <v>19</v>
      </c>
      <c r="AG4" s="20" t="s">
        <v>19</v>
      </c>
      <c r="AH4" s="20" t="s">
        <v>19</v>
      </c>
      <c r="AM4" s="3"/>
      <c r="AV4" s="3"/>
      <c r="AW4" s="20"/>
      <c r="AX4" s="25" t="s">
        <v>16</v>
      </c>
      <c r="AY4" s="25" t="s">
        <v>16</v>
      </c>
      <c r="AZ4" s="25" t="s">
        <v>16</v>
      </c>
      <c r="BA4" s="25" t="s">
        <v>16</v>
      </c>
      <c r="BB4" s="20"/>
      <c r="BC4" s="20" t="s">
        <v>19</v>
      </c>
      <c r="BD4" s="20" t="s">
        <v>19</v>
      </c>
      <c r="BE4" s="20" t="s">
        <v>19</v>
      </c>
      <c r="BF4" s="20" t="s">
        <v>19</v>
      </c>
      <c r="BG4" s="20" t="s">
        <v>19</v>
      </c>
      <c r="BH4" s="20" t="s">
        <v>19</v>
      </c>
      <c r="BI4" s="20"/>
      <c r="BJ4" s="20"/>
      <c r="BK4" s="20"/>
      <c r="BM4" s="3"/>
      <c r="BV4" s="3"/>
      <c r="BW4" s="20"/>
      <c r="BX4" s="25" t="s">
        <v>16</v>
      </c>
      <c r="BY4" s="25" t="s">
        <v>16</v>
      </c>
      <c r="BZ4" s="25" t="s">
        <v>16</v>
      </c>
      <c r="CA4" s="25" t="s">
        <v>16</v>
      </c>
      <c r="CB4" s="20"/>
      <c r="CC4" s="20" t="s">
        <v>19</v>
      </c>
      <c r="CD4" s="20" t="s">
        <v>19</v>
      </c>
      <c r="CE4" s="20" t="s">
        <v>19</v>
      </c>
      <c r="CF4" s="20" t="s">
        <v>19</v>
      </c>
      <c r="CG4" s="20" t="s">
        <v>19</v>
      </c>
      <c r="CH4" s="20" t="s">
        <v>19</v>
      </c>
      <c r="CI4" s="20"/>
      <c r="CJ4" s="20"/>
      <c r="CK4" s="20"/>
      <c r="CM4" s="3"/>
      <c r="CV4" s="3"/>
      <c r="CW4" s="20"/>
      <c r="CX4" s="25" t="s">
        <v>16</v>
      </c>
      <c r="CY4" s="25" t="s">
        <v>16</v>
      </c>
      <c r="CZ4" s="25" t="s">
        <v>16</v>
      </c>
      <c r="DA4" s="25" t="s">
        <v>16</v>
      </c>
      <c r="DB4" s="20"/>
      <c r="DC4" s="20" t="s">
        <v>19</v>
      </c>
      <c r="DD4" s="20" t="s">
        <v>19</v>
      </c>
      <c r="DE4" s="20" t="s">
        <v>19</v>
      </c>
      <c r="DF4" s="20" t="s">
        <v>19</v>
      </c>
      <c r="DG4" s="20" t="s">
        <v>19</v>
      </c>
      <c r="DH4" s="20" t="s">
        <v>19</v>
      </c>
      <c r="DI4" s="20"/>
      <c r="DJ4" s="20"/>
      <c r="DK4" s="20"/>
      <c r="DM4" s="3"/>
      <c r="DV4" s="3"/>
      <c r="DW4" s="20"/>
      <c r="DX4" s="25" t="s">
        <v>16</v>
      </c>
      <c r="DY4" s="25" t="s">
        <v>16</v>
      </c>
      <c r="DZ4" s="25" t="s">
        <v>16</v>
      </c>
      <c r="EA4" s="25" t="s">
        <v>16</v>
      </c>
      <c r="EB4" s="20"/>
      <c r="EC4" s="20" t="s">
        <v>19</v>
      </c>
      <c r="ED4" s="20" t="s">
        <v>19</v>
      </c>
      <c r="EE4" s="20" t="s">
        <v>19</v>
      </c>
      <c r="EF4" s="20" t="s">
        <v>19</v>
      </c>
      <c r="EG4" s="20" t="s">
        <v>19</v>
      </c>
      <c r="EH4" s="20" t="s">
        <v>19</v>
      </c>
      <c r="EI4" s="20"/>
      <c r="EJ4" s="20"/>
      <c r="EK4" s="20"/>
    </row>
    <row r="5" spans="1:141" ht="15.75" thickBot="1" x14ac:dyDescent="0.3">
      <c r="A5" s="21" t="s">
        <v>44</v>
      </c>
      <c r="B5" s="73">
        <f>SUMIF($X$11:$X$54,"&gt;"&amp;0,$Z$11:$Z$54)+SUMIF($AX$11:$AX$54,"&gt;"&amp;0,$AZ$11:$AZ$54)+SUMIF($BX$11:$BX$54,"&gt;"&amp;0,$BZ$11:$BZ$54)+SUMIF($CX$11:$CX$54,"&gt;"&amp;0,$CZ$11:$CZ$54)+SUMIF($DX$11:$DX$54,"&gt;"&amp;0,$DZ$11:$DZ$54)</f>
        <v>34327586.593113668</v>
      </c>
      <c r="X5" s="25">
        <v>0.51</v>
      </c>
      <c r="AD5" s="25">
        <v>0.49</v>
      </c>
      <c r="AF5" s="26"/>
      <c r="AG5" s="3"/>
      <c r="AM5" s="3"/>
      <c r="AV5" s="3"/>
      <c r="AW5" s="20"/>
      <c r="AX5" s="25">
        <v>0.51</v>
      </c>
      <c r="AY5" s="20"/>
      <c r="AZ5" s="20"/>
      <c r="BA5" s="20"/>
      <c r="BB5" s="20"/>
      <c r="BC5" s="20"/>
      <c r="BD5" s="25">
        <v>0.49</v>
      </c>
      <c r="BE5" s="20"/>
      <c r="BF5" s="26"/>
      <c r="BG5" s="3"/>
      <c r="BH5" s="20"/>
      <c r="BI5" s="20"/>
      <c r="BJ5" s="20"/>
      <c r="BK5" s="20"/>
      <c r="BM5" s="3"/>
      <c r="BV5" s="3"/>
      <c r="BW5" s="20"/>
      <c r="BX5" s="25">
        <v>0.51</v>
      </c>
      <c r="BY5" s="20"/>
      <c r="BZ5" s="20"/>
      <c r="CA5" s="20"/>
      <c r="CB5" s="20"/>
      <c r="CC5" s="20"/>
      <c r="CD5" s="25">
        <v>0.49</v>
      </c>
      <c r="CE5" s="20"/>
      <c r="CF5" s="26"/>
      <c r="CG5" s="3"/>
      <c r="CH5" s="20"/>
      <c r="CI5" s="20"/>
      <c r="CJ5" s="20"/>
      <c r="CK5" s="20"/>
      <c r="CM5" s="3"/>
      <c r="CV5" s="3"/>
      <c r="CW5" s="20"/>
      <c r="CX5" s="25">
        <v>0.51</v>
      </c>
      <c r="CY5" s="20"/>
      <c r="CZ5" s="20"/>
      <c r="DA5" s="20"/>
      <c r="DB5" s="20"/>
      <c r="DC5" s="20"/>
      <c r="DD5" s="25">
        <v>0.49</v>
      </c>
      <c r="DE5" s="20"/>
      <c r="DF5" s="26"/>
      <c r="DG5" s="3"/>
      <c r="DH5" s="20"/>
      <c r="DI5" s="20"/>
      <c r="DJ5" s="20"/>
      <c r="DK5" s="20"/>
      <c r="DM5" s="3"/>
      <c r="DV5" s="3"/>
      <c r="DW5" s="20"/>
      <c r="DX5" s="25">
        <v>0.51</v>
      </c>
      <c r="DY5" s="20"/>
      <c r="DZ5" s="20"/>
      <c r="EA5" s="20"/>
      <c r="EB5" s="20"/>
      <c r="EC5" s="20"/>
      <c r="ED5" s="25">
        <v>0.49</v>
      </c>
      <c r="EE5" s="20"/>
      <c r="EF5" s="26"/>
      <c r="EG5" s="3"/>
      <c r="EH5" s="20"/>
      <c r="EI5" s="20"/>
      <c r="EJ5" s="20"/>
      <c r="EK5" s="20"/>
    </row>
    <row r="6" spans="1:141" ht="15.75" thickBot="1" x14ac:dyDescent="0.3">
      <c r="A6" s="21" t="s">
        <v>45</v>
      </c>
      <c r="B6" s="73">
        <v>1000000</v>
      </c>
      <c r="D6" s="90" t="s">
        <v>12</v>
      </c>
      <c r="E6" s="91"/>
      <c r="F6" s="91"/>
      <c r="G6" s="91"/>
      <c r="H6" s="91"/>
      <c r="I6" s="91"/>
      <c r="J6" s="91"/>
      <c r="K6" s="92"/>
      <c r="X6" s="80" t="str">
        <f>N10</f>
        <v>Loan 1 - Distribution Main Replacement</v>
      </c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2"/>
      <c r="AM6" s="3"/>
      <c r="AV6" s="3"/>
      <c r="AW6" s="20"/>
      <c r="AX6" s="80" t="str">
        <f>AN10</f>
        <v>Loan 2 - George's Hill/Belmont High Pump Station</v>
      </c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2"/>
      <c r="BM6" s="3"/>
      <c r="BV6" s="3"/>
      <c r="BW6" s="20"/>
      <c r="BX6" s="80" t="str">
        <f>BN10</f>
        <v>Loan 3 - East Park Booster Station/Monument Road Storage Replacement</v>
      </c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2"/>
      <c r="CM6" s="3"/>
      <c r="CV6" s="3"/>
      <c r="CW6" s="20"/>
      <c r="CX6" s="80" t="str">
        <f>CN10</f>
        <v>Loan 4 - Schuylkill River Crossing</v>
      </c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2"/>
      <c r="DM6" s="3"/>
      <c r="DV6" s="3"/>
      <c r="DW6" s="20"/>
      <c r="DX6" s="80" t="str">
        <f>DN10</f>
        <v>Loan 5 - Baxter WTP Storage &amp; Belmont WTP Storage Replacement</v>
      </c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2"/>
    </row>
    <row r="7" spans="1:141" ht="15.75" thickBot="1" x14ac:dyDescent="0.3">
      <c r="A7" s="21" t="s">
        <v>50</v>
      </c>
      <c r="B7" s="73">
        <f>SUM(Inputs!$B$25:$F$25)</f>
        <v>675977559.00999999</v>
      </c>
      <c r="D7" s="88" t="s">
        <v>55</v>
      </c>
      <c r="E7" s="84"/>
      <c r="F7" s="84"/>
      <c r="G7" s="89"/>
      <c r="H7" s="85" t="s">
        <v>19</v>
      </c>
      <c r="I7" s="86"/>
      <c r="J7" s="86"/>
      <c r="K7" s="87"/>
      <c r="X7" s="88" t="s">
        <v>54</v>
      </c>
      <c r="Y7" s="84"/>
      <c r="Z7" s="84"/>
      <c r="AA7" s="84"/>
      <c r="AB7" s="48"/>
      <c r="AC7" s="85" t="s">
        <v>19</v>
      </c>
      <c r="AD7" s="86"/>
      <c r="AE7" s="86"/>
      <c r="AF7" s="86"/>
      <c r="AG7" s="86"/>
      <c r="AH7" s="87"/>
      <c r="AI7" s="78" t="s">
        <v>12</v>
      </c>
      <c r="AJ7" s="78"/>
      <c r="AK7" s="79"/>
      <c r="AM7" s="3"/>
      <c r="AV7" s="3"/>
      <c r="AW7" s="20"/>
      <c r="AX7" s="83" t="s">
        <v>35</v>
      </c>
      <c r="AY7" s="84"/>
      <c r="AZ7" s="84"/>
      <c r="BA7" s="84"/>
      <c r="BB7" s="48"/>
      <c r="BC7" s="85" t="s">
        <v>19</v>
      </c>
      <c r="BD7" s="86"/>
      <c r="BE7" s="86"/>
      <c r="BF7" s="86"/>
      <c r="BG7" s="86"/>
      <c r="BH7" s="87"/>
      <c r="BI7" s="78" t="s">
        <v>12</v>
      </c>
      <c r="BJ7" s="78"/>
      <c r="BK7" s="79"/>
      <c r="BM7" s="3"/>
      <c r="BV7" s="3"/>
      <c r="BW7" s="20"/>
      <c r="BX7" s="83" t="s">
        <v>35</v>
      </c>
      <c r="BY7" s="84"/>
      <c r="BZ7" s="84"/>
      <c r="CA7" s="84"/>
      <c r="CB7" s="48"/>
      <c r="CC7" s="85" t="s">
        <v>19</v>
      </c>
      <c r="CD7" s="86"/>
      <c r="CE7" s="86"/>
      <c r="CF7" s="86"/>
      <c r="CG7" s="86"/>
      <c r="CH7" s="87"/>
      <c r="CI7" s="78" t="s">
        <v>12</v>
      </c>
      <c r="CJ7" s="78"/>
      <c r="CK7" s="79"/>
      <c r="CM7" s="3"/>
      <c r="CV7" s="3"/>
      <c r="CW7" s="20"/>
      <c r="CX7" s="83" t="s">
        <v>35</v>
      </c>
      <c r="CY7" s="84"/>
      <c r="CZ7" s="84"/>
      <c r="DA7" s="84"/>
      <c r="DB7" s="48"/>
      <c r="DC7" s="85" t="s">
        <v>19</v>
      </c>
      <c r="DD7" s="86"/>
      <c r="DE7" s="86"/>
      <c r="DF7" s="86"/>
      <c r="DG7" s="86"/>
      <c r="DH7" s="87"/>
      <c r="DI7" s="78" t="s">
        <v>12</v>
      </c>
      <c r="DJ7" s="78"/>
      <c r="DK7" s="79"/>
      <c r="DM7" s="3"/>
      <c r="DV7" s="3"/>
      <c r="DW7" s="20"/>
      <c r="DX7" s="83" t="s">
        <v>35</v>
      </c>
      <c r="DY7" s="84"/>
      <c r="DZ7" s="84"/>
      <c r="EA7" s="84"/>
      <c r="EB7" s="48"/>
      <c r="EC7" s="85" t="s">
        <v>19</v>
      </c>
      <c r="ED7" s="86"/>
      <c r="EE7" s="86"/>
      <c r="EF7" s="86"/>
      <c r="EG7" s="86"/>
      <c r="EH7" s="87"/>
      <c r="EI7" s="78" t="s">
        <v>12</v>
      </c>
      <c r="EJ7" s="78"/>
      <c r="EK7" s="79"/>
    </row>
    <row r="8" spans="1:141" ht="15.75" customHeight="1" thickBot="1" x14ac:dyDescent="0.3">
      <c r="A8" s="21" t="s">
        <v>46</v>
      </c>
      <c r="B8" s="73">
        <f>SUM(B5:B7)*49%</f>
        <v>348539521.34552568</v>
      </c>
      <c r="D8" s="49" t="s">
        <v>4</v>
      </c>
      <c r="E8" s="50" t="s">
        <v>6</v>
      </c>
      <c r="F8" s="51" t="s">
        <v>7</v>
      </c>
      <c r="G8" s="52" t="s">
        <v>8</v>
      </c>
      <c r="H8" s="51" t="s">
        <v>4</v>
      </c>
      <c r="I8" s="50" t="s">
        <v>6</v>
      </c>
      <c r="J8" s="51" t="s">
        <v>7</v>
      </c>
      <c r="K8" s="52" t="s">
        <v>8</v>
      </c>
      <c r="L8" s="47"/>
      <c r="V8" s="36" t="s">
        <v>14</v>
      </c>
      <c r="W8" s="40" t="s">
        <v>28</v>
      </c>
      <c r="X8" s="27" t="s">
        <v>4</v>
      </c>
      <c r="Y8" s="27" t="s">
        <v>6</v>
      </c>
      <c r="Z8" s="27" t="s">
        <v>7</v>
      </c>
      <c r="AA8" s="27" t="s">
        <v>8</v>
      </c>
      <c r="AB8" s="41" t="s">
        <v>29</v>
      </c>
      <c r="AC8" s="45" t="s">
        <v>20</v>
      </c>
      <c r="AD8" s="28" t="s">
        <v>4</v>
      </c>
      <c r="AE8" s="28" t="s">
        <v>6</v>
      </c>
      <c r="AF8" s="28" t="s">
        <v>7</v>
      </c>
      <c r="AG8" s="28" t="s">
        <v>8</v>
      </c>
      <c r="AH8" s="29" t="s">
        <v>21</v>
      </c>
      <c r="AI8" s="28" t="s">
        <v>6</v>
      </c>
      <c r="AJ8" s="28" t="s">
        <v>7</v>
      </c>
      <c r="AK8" s="29" t="s">
        <v>8</v>
      </c>
      <c r="AM8" s="3"/>
      <c r="AV8" s="36" t="s">
        <v>14</v>
      </c>
      <c r="AW8" s="40" t="s">
        <v>28</v>
      </c>
      <c r="AX8" s="27" t="s">
        <v>4</v>
      </c>
      <c r="AY8" s="27" t="s">
        <v>6</v>
      </c>
      <c r="AZ8" s="27" t="s">
        <v>7</v>
      </c>
      <c r="BA8" s="27" t="s">
        <v>8</v>
      </c>
      <c r="BB8" s="41" t="s">
        <v>29</v>
      </c>
      <c r="BC8" s="45" t="s">
        <v>20</v>
      </c>
      <c r="BD8" s="28" t="s">
        <v>4</v>
      </c>
      <c r="BE8" s="28" t="s">
        <v>6</v>
      </c>
      <c r="BF8" s="28" t="s">
        <v>7</v>
      </c>
      <c r="BG8" s="28" t="s">
        <v>8</v>
      </c>
      <c r="BH8" s="29" t="s">
        <v>21</v>
      </c>
      <c r="BI8" s="28" t="s">
        <v>6</v>
      </c>
      <c r="BJ8" s="28" t="s">
        <v>7</v>
      </c>
      <c r="BK8" s="29" t="s">
        <v>8</v>
      </c>
      <c r="BM8" s="3"/>
      <c r="BV8" s="36" t="s">
        <v>14</v>
      </c>
      <c r="BW8" s="40" t="s">
        <v>28</v>
      </c>
      <c r="BX8" s="27" t="s">
        <v>4</v>
      </c>
      <c r="BY8" s="27" t="s">
        <v>6</v>
      </c>
      <c r="BZ8" s="27" t="s">
        <v>7</v>
      </c>
      <c r="CA8" s="27" t="s">
        <v>8</v>
      </c>
      <c r="CB8" s="41" t="s">
        <v>29</v>
      </c>
      <c r="CC8" s="45" t="s">
        <v>20</v>
      </c>
      <c r="CD8" s="28" t="s">
        <v>4</v>
      </c>
      <c r="CE8" s="28" t="s">
        <v>6</v>
      </c>
      <c r="CF8" s="28" t="s">
        <v>7</v>
      </c>
      <c r="CG8" s="28" t="s">
        <v>8</v>
      </c>
      <c r="CH8" s="29" t="s">
        <v>21</v>
      </c>
      <c r="CI8" s="28" t="s">
        <v>6</v>
      </c>
      <c r="CJ8" s="28" t="s">
        <v>7</v>
      </c>
      <c r="CK8" s="29" t="s">
        <v>8</v>
      </c>
      <c r="CM8" s="3"/>
      <c r="CV8" s="36" t="s">
        <v>14</v>
      </c>
      <c r="CW8" s="40" t="s">
        <v>28</v>
      </c>
      <c r="CX8" s="27" t="s">
        <v>4</v>
      </c>
      <c r="CY8" s="27" t="s">
        <v>6</v>
      </c>
      <c r="CZ8" s="27" t="s">
        <v>7</v>
      </c>
      <c r="DA8" s="27" t="s">
        <v>8</v>
      </c>
      <c r="DB8" s="41" t="s">
        <v>29</v>
      </c>
      <c r="DC8" s="45" t="s">
        <v>20</v>
      </c>
      <c r="DD8" s="28" t="s">
        <v>4</v>
      </c>
      <c r="DE8" s="28" t="s">
        <v>6</v>
      </c>
      <c r="DF8" s="28" t="s">
        <v>7</v>
      </c>
      <c r="DG8" s="28" t="s">
        <v>8</v>
      </c>
      <c r="DH8" s="29" t="s">
        <v>21</v>
      </c>
      <c r="DI8" s="28" t="s">
        <v>6</v>
      </c>
      <c r="DJ8" s="28" t="s">
        <v>7</v>
      </c>
      <c r="DK8" s="29" t="s">
        <v>8</v>
      </c>
      <c r="DM8" s="3"/>
      <c r="DV8" s="36" t="s">
        <v>14</v>
      </c>
      <c r="DW8" s="40" t="s">
        <v>28</v>
      </c>
      <c r="DX8" s="27" t="s">
        <v>4</v>
      </c>
      <c r="DY8" s="27" t="s">
        <v>6</v>
      </c>
      <c r="DZ8" s="27" t="s">
        <v>7</v>
      </c>
      <c r="EA8" s="27" t="s">
        <v>8</v>
      </c>
      <c r="EB8" s="41" t="s">
        <v>29</v>
      </c>
      <c r="EC8" s="45" t="s">
        <v>20</v>
      </c>
      <c r="ED8" s="28" t="s">
        <v>4</v>
      </c>
      <c r="EE8" s="28" t="s">
        <v>6</v>
      </c>
      <c r="EF8" s="28" t="s">
        <v>7</v>
      </c>
      <c r="EG8" s="28" t="s">
        <v>8</v>
      </c>
      <c r="EH8" s="29" t="s">
        <v>21</v>
      </c>
      <c r="EI8" s="28" t="s">
        <v>6</v>
      </c>
      <c r="EJ8" s="28" t="s">
        <v>7</v>
      </c>
      <c r="EK8" s="29" t="s">
        <v>8</v>
      </c>
    </row>
    <row r="9" spans="1:141" ht="15.75" thickBot="1" x14ac:dyDescent="0.3">
      <c r="C9" s="36" t="s">
        <v>26</v>
      </c>
      <c r="D9" s="53">
        <f>SUM(D10:D54)</f>
        <v>345258555.09510005</v>
      </c>
      <c r="E9" s="54">
        <f t="shared" ref="E9:K9" si="0">SUM(E10:E54)</f>
        <v>324621119.99999994</v>
      </c>
      <c r="F9" s="55">
        <f t="shared" si="0"/>
        <v>176680840.14280847</v>
      </c>
      <c r="G9" s="56">
        <f t="shared" si="0"/>
        <v>501301960.1428085</v>
      </c>
      <c r="H9" s="53">
        <f t="shared" si="0"/>
        <v>342809496.70938969</v>
      </c>
      <c r="I9" s="54">
        <f t="shared" si="0"/>
        <v>342809496.70938981</v>
      </c>
      <c r="J9" s="55">
        <f t="shared" si="0"/>
        <v>362418481.92008108</v>
      </c>
      <c r="K9" s="56">
        <f t="shared" si="0"/>
        <v>705227978.62947083</v>
      </c>
      <c r="M9"/>
      <c r="S9" t="s">
        <v>36</v>
      </c>
      <c r="T9" s="46" t="s">
        <v>27</v>
      </c>
      <c r="U9" s="46" t="s">
        <v>13</v>
      </c>
      <c r="V9" s="63" t="s">
        <v>26</v>
      </c>
      <c r="W9" s="64"/>
      <c r="X9" s="65">
        <f>SUM(X10:X54)</f>
        <v>20637435.095100001</v>
      </c>
      <c r="Y9" s="65">
        <f>SUM(Y10:Y54)</f>
        <v>0</v>
      </c>
      <c r="Z9" s="65">
        <f>SUM(Z10:Z54)</f>
        <v>0</v>
      </c>
      <c r="AA9" s="65">
        <f>SUM(AA10:AA54)</f>
        <v>0</v>
      </c>
      <c r="AB9" s="66"/>
      <c r="AC9" s="67"/>
      <c r="AD9" s="68">
        <f>SUM(AD10:AD54)</f>
        <v>19828123.914899997</v>
      </c>
      <c r="AE9" s="68">
        <f>SUM(AE10:AE54)</f>
        <v>19828123.914899997</v>
      </c>
      <c r="AF9" s="68">
        <f>SUM(AF10:AF54)</f>
        <v>8027601.44789147</v>
      </c>
      <c r="AG9" s="68">
        <f>SUM(AG10:AG54)</f>
        <v>27855725.362791471</v>
      </c>
      <c r="AH9" s="69"/>
      <c r="AI9" s="68">
        <f>SUM(AI10:AI54)</f>
        <v>19828123.914899997</v>
      </c>
      <c r="AJ9" s="68">
        <f>SUM(AJ10:AJ54)</f>
        <v>8027601.44789147</v>
      </c>
      <c r="AK9" s="69">
        <f>SUM(AK10:AK54)</f>
        <v>27855725.362791471</v>
      </c>
      <c r="AS9" t="s">
        <v>36</v>
      </c>
      <c r="AT9" s="46" t="s">
        <v>27</v>
      </c>
      <c r="AU9" s="46" t="s">
        <v>13</v>
      </c>
      <c r="AV9" s="63" t="s">
        <v>26</v>
      </c>
      <c r="AW9" s="64"/>
      <c r="AX9" s="65">
        <f>SUM(AX10:AX54)</f>
        <v>15775830</v>
      </c>
      <c r="AY9" s="65">
        <f>SUM(AY10:AY54)</f>
        <v>15775829.999999996</v>
      </c>
      <c r="AZ9" s="65">
        <f>SUM(AZ10:AZ54)</f>
        <v>8358851.0356104821</v>
      </c>
      <c r="BA9" s="65">
        <f>SUM(BA10:BA54)</f>
        <v>24134681.035610475</v>
      </c>
      <c r="BB9" s="66"/>
      <c r="BC9" s="67"/>
      <c r="BD9" s="68">
        <f>SUM(BD10:BD54)</f>
        <v>15701280.311955389</v>
      </c>
      <c r="BE9" s="68">
        <f>SUM(BE10:BE54)</f>
        <v>15701280.311955402</v>
      </c>
      <c r="BF9" s="68">
        <f>SUM(BF10:BF54)</f>
        <v>17044879.969544604</v>
      </c>
      <c r="BG9" s="68">
        <f>SUM(BG10:BG54)</f>
        <v>32746160.281500012</v>
      </c>
      <c r="BH9" s="69"/>
      <c r="BI9" s="68">
        <f>SUM(BI10:BI54)</f>
        <v>31477110.3119554</v>
      </c>
      <c r="BJ9" s="68">
        <f>SUM(BJ10:BJ54)</f>
        <v>25403731.005155094</v>
      </c>
      <c r="BK9" s="69">
        <f>SUM(BK10:BK54)</f>
        <v>56880841.317110479</v>
      </c>
      <c r="BS9" t="s">
        <v>36</v>
      </c>
      <c r="BT9" s="46" t="s">
        <v>27</v>
      </c>
      <c r="BU9" s="46" t="s">
        <v>13</v>
      </c>
      <c r="BV9" s="63" t="s">
        <v>26</v>
      </c>
      <c r="BW9" s="64"/>
      <c r="BX9" s="65">
        <f>SUM(BX10:BX54)</f>
        <v>47384100</v>
      </c>
      <c r="BY9" s="65">
        <f>SUM(BY10:BY54)</f>
        <v>47384099.999999978</v>
      </c>
      <c r="BZ9" s="65">
        <f>SUM(BZ10:BZ54)</f>
        <v>24521898.180715408</v>
      </c>
      <c r="CA9" s="65">
        <f>SUM(CA10:CA54)</f>
        <v>71905998.180715412</v>
      </c>
      <c r="CB9" s="66"/>
      <c r="CC9" s="67"/>
      <c r="CD9" s="68">
        <f>SUM(CD10:CD54)</f>
        <v>47923934.534198709</v>
      </c>
      <c r="CE9" s="68">
        <f>SUM(CE10:CE54)</f>
        <v>47923934.534198709</v>
      </c>
      <c r="CF9" s="68">
        <f>SUM(CF10:CF54)</f>
        <v>51551862.587383948</v>
      </c>
      <c r="CG9" s="68">
        <f>SUM(CG10:CG54)</f>
        <v>99475797.121582657</v>
      </c>
      <c r="CH9" s="69"/>
      <c r="CI9" s="68">
        <f>SUM(CI10:CI54)</f>
        <v>95308034.534198686</v>
      </c>
      <c r="CJ9" s="68">
        <f>SUM(CJ10:CJ54)</f>
        <v>76073760.768099383</v>
      </c>
      <c r="CK9" s="69">
        <f>SUM(CK10:CK54)</f>
        <v>171381795.30229807</v>
      </c>
      <c r="CS9" t="s">
        <v>36</v>
      </c>
      <c r="CT9" s="46" t="s">
        <v>27</v>
      </c>
      <c r="CU9" s="46" t="s">
        <v>13</v>
      </c>
      <c r="CV9" s="63" t="s">
        <v>26</v>
      </c>
      <c r="CW9" s="64"/>
      <c r="CX9" s="65">
        <f>SUM(CX10:CX54)</f>
        <v>77839770.000000015</v>
      </c>
      <c r="CY9" s="65">
        <f>SUM(CY10:CY54)</f>
        <v>77839770.000000015</v>
      </c>
      <c r="CZ9" s="65">
        <f>SUM(CZ10:CZ54)</f>
        <v>46732766.019729689</v>
      </c>
      <c r="DA9" s="65">
        <f>SUM(DA10:DA54)</f>
        <v>124572536.01972972</v>
      </c>
      <c r="DB9" s="66"/>
      <c r="DC9" s="67"/>
      <c r="DD9" s="68">
        <f>SUM(DD10:DD54)</f>
        <v>78372814.111846983</v>
      </c>
      <c r="DE9" s="68">
        <f>SUM(DE10:DE54)</f>
        <v>78372814.111846969</v>
      </c>
      <c r="DF9" s="68">
        <f>SUM(DF10:DF54)</f>
        <v>89500835.528844059</v>
      </c>
      <c r="DG9" s="68">
        <f>SUM(DG10:DG54)</f>
        <v>167873649.64069101</v>
      </c>
      <c r="DH9" s="69"/>
      <c r="DI9" s="68">
        <f>SUM(DI10:DI54)</f>
        <v>156212584.11184701</v>
      </c>
      <c r="DJ9" s="68">
        <f>SUM(DJ10:DJ54)</f>
        <v>136233601.54857373</v>
      </c>
      <c r="DK9" s="69">
        <f>SUM(DK10:DK54)</f>
        <v>292446185.66042072</v>
      </c>
      <c r="DS9" t="s">
        <v>36</v>
      </c>
      <c r="DT9" s="46" t="s">
        <v>27</v>
      </c>
      <c r="DU9" s="46" t="s">
        <v>13</v>
      </c>
      <c r="DV9" s="63" t="s">
        <v>26</v>
      </c>
      <c r="DW9" s="64"/>
      <c r="DX9" s="65">
        <f>SUM(DX10:DX54)</f>
        <v>183621420</v>
      </c>
      <c r="DY9" s="65">
        <f>SUM(DY10:DY54)</f>
        <v>183621419.99999997</v>
      </c>
      <c r="DZ9" s="65">
        <f>SUM(DZ10:DZ54)</f>
        <v>97067324.90675281</v>
      </c>
      <c r="EA9" s="65">
        <f>SUM(EA10:EA54)</f>
        <v>280688744.90675282</v>
      </c>
      <c r="EB9" s="66"/>
      <c r="EC9" s="67"/>
      <c r="ED9" s="68">
        <f>SUM(ED10:ED54)</f>
        <v>180983343.83648863</v>
      </c>
      <c r="EE9" s="68">
        <f>SUM(EE10:EE54)</f>
        <v>180983343.8364886</v>
      </c>
      <c r="EF9" s="68">
        <f>SUM(EF10:EF54)</f>
        <v>196293302.38641709</v>
      </c>
      <c r="EG9" s="68">
        <f>SUM(EG10:EG54)</f>
        <v>377276646.22290564</v>
      </c>
      <c r="EH9" s="69"/>
      <c r="EI9" s="68">
        <f>SUM(EI10:EI54)</f>
        <v>364604763.83648866</v>
      </c>
      <c r="EJ9" s="68">
        <f>SUM(EJ10:EJ54)</f>
        <v>293360627.29316998</v>
      </c>
      <c r="EK9" s="69">
        <f>SUM(EK10:EK54)</f>
        <v>657965391.12965846</v>
      </c>
    </row>
    <row r="10" spans="1:141" x14ac:dyDescent="0.25">
      <c r="C10" s="37" cm="1">
        <f t="array" ref="C10:C54">_xlfn.ANCHORARRAY(V10)</f>
        <v>44742</v>
      </c>
      <c r="D10" s="42">
        <f>SUMIFS($V10:$GG10,$V$4:$GG$4,D$4,$V$8:$GG$8,D$8)</f>
        <v>0</v>
      </c>
      <c r="E10" s="31">
        <f t="shared" ref="E10:K25" si="1">SUMIFS($V10:$GG10,$V$4:$GG$4,E$4,$V$8:$GG$8,E$8)</f>
        <v>0</v>
      </c>
      <c r="F10" s="31">
        <f t="shared" si="1"/>
        <v>0</v>
      </c>
      <c r="G10" s="32">
        <f t="shared" si="1"/>
        <v>0</v>
      </c>
      <c r="H10" s="42">
        <f t="shared" si="1"/>
        <v>0</v>
      </c>
      <c r="I10" s="31">
        <f t="shared" si="1"/>
        <v>0</v>
      </c>
      <c r="J10" s="31">
        <f t="shared" si="1"/>
        <v>0</v>
      </c>
      <c r="K10" s="32">
        <f t="shared" si="1"/>
        <v>0</v>
      </c>
      <c r="M10" s="3" t="str">
        <f>Inputs!$A4</f>
        <v>Project(s):</v>
      </c>
      <c r="N10" s="75" t="str" cm="1">
        <f t="array" ref="N10">INDEX(INDEX(projectData,0,M$1),_xlfn.XMATCH(M10,projectInfo,0))</f>
        <v>Loan 1 - Distribution Main Replacement</v>
      </c>
      <c r="P10" t="s">
        <v>15</v>
      </c>
      <c r="Q10" s="3">
        <v>44742</v>
      </c>
      <c r="S10" cm="1">
        <f t="array" ref="S10:S54">YEARFRAC(_xlfn.ANCHORARRAY(V10)+0,N11)</f>
        <v>0.41944444444444445</v>
      </c>
      <c r="T10" cm="1">
        <f t="array" ref="T10:T54">YEARFRAC(_xlfn.ANCHORARRAY(V10)+0,_xlfn.XLOOKUP(_xlfn.ANCHORARRAY(V10)-1,_xlfn.ANCHORARRAY(V10),_xlfn.ANCHORARRAY(V10),N11+0,-1))</f>
        <v>0.41944444444444445</v>
      </c>
      <c r="U10" cm="1">
        <f t="array" ref="U10:U54">_xlfn.SEQUENCE(45)</f>
        <v>1</v>
      </c>
      <c r="V10" s="59" cm="1">
        <f t="array" ref="V10:V54">EDATE(Q10,(_xlfn.ANCHORARRAY(U10)-1)*12)</f>
        <v>44742</v>
      </c>
      <c r="W10" s="60">
        <v>0</v>
      </c>
      <c r="X10" s="61">
        <v>0</v>
      </c>
      <c r="Y10" s="61">
        <f t="shared" ref="Y10" si="2">IF(AND(V10&gt;=Q$11,V10&lt;=Q$12),PPMT(N$15,YEARFRAC(V10+0,Q$11)+1,N$13,-SUM(_xlfn.ANCHORARRAY(X$10))),0)</f>
        <v>0</v>
      </c>
      <c r="Z10" s="61">
        <f>W10*N$15*T10</f>
        <v>0</v>
      </c>
      <c r="AA10" s="61">
        <f>Y10+Z10</f>
        <v>0</v>
      </c>
      <c r="AB10" s="62">
        <f t="shared" ref="AB10:AB54" si="3">W10+X10-Y10</f>
        <v>0</v>
      </c>
      <c r="AC10" s="60">
        <v>0</v>
      </c>
      <c r="AD10" s="61">
        <v>0</v>
      </c>
      <c r="AE10" s="61">
        <f t="shared" ref="AE10" si="4">MAX(AE$3/(1+N$15)-AC10*$N$16,0)*(V10&lt;=Q$14)*(V10&gt;=Q$13)</f>
        <v>0</v>
      </c>
      <c r="AF10" s="61">
        <f>AC10*N$16*T10</f>
        <v>0</v>
      </c>
      <c r="AG10" s="61">
        <f>AE10+AF10</f>
        <v>0</v>
      </c>
      <c r="AH10" s="62">
        <f t="shared" ref="AH10:AH54" si="5">AC10+AD10-AE10</f>
        <v>0</v>
      </c>
      <c r="AI10" s="61">
        <f t="shared" ref="AI10:AI54" si="6">AE10+Y10</f>
        <v>0</v>
      </c>
      <c r="AJ10" s="61">
        <f t="shared" ref="AJ10:AJ54" si="7">AF10+Z10</f>
        <v>0</v>
      </c>
      <c r="AK10" s="62">
        <f t="shared" ref="AK10:AK54" si="8">AG10+AA10</f>
        <v>0</v>
      </c>
      <c r="AM10" s="3" t="str">
        <f>Inputs!$A4</f>
        <v>Project(s):</v>
      </c>
      <c r="AN10" s="75" t="str" cm="1">
        <f t="array" ref="AN10">INDEX(INDEX(projectData,0,AM$1),_xlfn.XMATCH(AM10,projectInfo,0))</f>
        <v>Loan 2 - George's Hill/Belmont High Pump Station</v>
      </c>
      <c r="AP10" t="s">
        <v>15</v>
      </c>
      <c r="AQ10" s="3">
        <v>44742</v>
      </c>
      <c r="AS10" cm="1">
        <f t="array" ref="AS10:AS54">YEARFRAC(_xlfn.ANCHORARRAY(AV10)+0,AN11)</f>
        <v>1.0027777777777778</v>
      </c>
      <c r="AT10" cm="1">
        <f t="array" ref="AT10:AT54">YEARFRAC(_xlfn.ANCHORARRAY(AV10)+0,_xlfn.XLOOKUP(_xlfn.ANCHORARRAY(AV10)-1,_xlfn.ANCHORARRAY(AV10),_xlfn.ANCHORARRAY(AV10),AN11+0,-1))</f>
        <v>1.0027777777777778</v>
      </c>
      <c r="AU10" cm="1">
        <f t="array" ref="AU10:AU54">_xlfn.SEQUENCE(45)</f>
        <v>1</v>
      </c>
      <c r="AV10" s="59" cm="1">
        <f t="array" ref="AV10:AV54">EDATE(AQ10,(_xlfn.ANCHORARRAY(AU10)-1)*12)</f>
        <v>44742</v>
      </c>
      <c r="AW10" s="60">
        <v>0</v>
      </c>
      <c r="AX10" s="61" cm="1">
        <f t="array" ref="AX10:AX54">_xlfn.XLOOKUP(_xlfn.ANCHORARRAY(AV10),AM18:AM27,AN18:AN27,0)*AX$5</f>
        <v>0</v>
      </c>
      <c r="AY10" s="61">
        <f t="shared" ref="AY10:AY54" si="9">IF(AND(AV10&gt;=AQ$11,AV10&lt;=AQ$12),PPMT(AN$15,YEARFRAC(AV10+0,AQ$11)+1,AN$13,-SUM(_xlfn.ANCHORARRAY(AX$10))),0)</f>
        <v>0</v>
      </c>
      <c r="AZ10" s="61">
        <f>AW10*AN$15*AT10</f>
        <v>0</v>
      </c>
      <c r="BA10" s="61">
        <f>AY10+AZ10</f>
        <v>0</v>
      </c>
      <c r="BB10" s="62">
        <f t="shared" ref="BB10:BB54" si="10">AW10+AX10-AY10</f>
        <v>0</v>
      </c>
      <c r="BC10" s="60">
        <v>0</v>
      </c>
      <c r="BD10" s="61" cm="1">
        <f t="array" ref="BD10:BD54">_xlfn.XLOOKUP(_xlfn.ANCHORARRAY(AV10),AM18:AM27,AN18:AN27,0)*BD$5*(AQ20)</f>
        <v>0</v>
      </c>
      <c r="BE10" s="61">
        <f t="shared" ref="BE10" si="11">MAX(BE$3/(1+AN$15)-BC10*$N$16,0)*(AV10&lt;=AQ$14)*(AV10&gt;=AQ$13)</f>
        <v>0</v>
      </c>
      <c r="BF10" s="61">
        <f>BC10*AN$16*AT10</f>
        <v>0</v>
      </c>
      <c r="BG10" s="61">
        <f>BE10+BF10</f>
        <v>0</v>
      </c>
      <c r="BH10" s="62">
        <f t="shared" ref="BH10:BH54" si="12">BC10+BD10-BE10</f>
        <v>0</v>
      </c>
      <c r="BI10" s="61">
        <f t="shared" ref="BI10:BI54" si="13">BE10+AY10</f>
        <v>0</v>
      </c>
      <c r="BJ10" s="61">
        <f t="shared" ref="BJ10:BJ54" si="14">BF10+AZ10</f>
        <v>0</v>
      </c>
      <c r="BK10" s="62">
        <f t="shared" ref="BK10:BK54" si="15">BG10+BA10</f>
        <v>0</v>
      </c>
      <c r="BM10" s="3" t="str">
        <f>Inputs!$A4</f>
        <v>Project(s):</v>
      </c>
      <c r="BN10" s="75" t="str" cm="1">
        <f t="array" ref="BN10">INDEX(INDEX(projectData,0,BM$1),_xlfn.XMATCH(BM10,projectInfo,0))</f>
        <v>Loan 3 - East Park Booster Station/Monument Road Storage Replacement</v>
      </c>
      <c r="BP10" t="s">
        <v>15</v>
      </c>
      <c r="BQ10" s="3">
        <v>44742</v>
      </c>
      <c r="BS10" cm="1">
        <f t="array" ref="BS10:BS54">YEARFRAC(_xlfn.ANCHORARRAY(BV10)+0,BN11)</f>
        <v>2.0027777777777778</v>
      </c>
      <c r="BT10" cm="1">
        <f t="array" ref="BT10:BT54">YEARFRAC(_xlfn.ANCHORARRAY(BV10)+0,_xlfn.XLOOKUP(_xlfn.ANCHORARRAY(BV10)-1,_xlfn.ANCHORARRAY(BV10),_xlfn.ANCHORARRAY(BV10),BN11+0,-1))</f>
        <v>2.0027777777777778</v>
      </c>
      <c r="BU10" cm="1">
        <f t="array" ref="BU10:BU54">_xlfn.SEQUENCE(45)</f>
        <v>1</v>
      </c>
      <c r="BV10" s="59" cm="1">
        <f t="array" ref="BV10:BV54">EDATE(BQ10,(_xlfn.ANCHORARRAY(BU10)-1)*12)</f>
        <v>44742</v>
      </c>
      <c r="BW10" s="60">
        <v>0</v>
      </c>
      <c r="BX10" s="61" cm="1">
        <f t="array" ref="BX10:BX54">_xlfn.XLOOKUP(_xlfn.ANCHORARRAY(BV10),BM18:BM27,BN18:BN27,0)*BX$5</f>
        <v>0</v>
      </c>
      <c r="BY10" s="61">
        <f t="shared" ref="BY10:BY54" si="16">IF(AND(BV10&gt;=BQ$11,BV10&lt;=BQ$12),PPMT(BN$15,YEARFRAC(BV10+0,BQ$11)+1,BN$13,-SUM(_xlfn.ANCHORARRAY(BX$10))),0)</f>
        <v>0</v>
      </c>
      <c r="BZ10" s="61">
        <f>BW10*BN$15*BT10</f>
        <v>0</v>
      </c>
      <c r="CA10" s="61">
        <f>BY10+BZ10</f>
        <v>0</v>
      </c>
      <c r="CB10" s="62">
        <f t="shared" ref="CB10:CB54" si="17">BW10+BX10-BY10</f>
        <v>0</v>
      </c>
      <c r="CC10" s="60">
        <v>0</v>
      </c>
      <c r="CD10" s="61" cm="1">
        <f t="array" ref="CD10:CD54">_xlfn.XLOOKUP(_xlfn.ANCHORARRAY(BV10),BM18:BM27,BN18:BN27,0)*CD$5*(BQ20)</f>
        <v>0</v>
      </c>
      <c r="CE10" s="61">
        <f t="shared" ref="CE10" si="18">MAX(CE$3/(1+BN$15)-CC10*$N$16,0)*(BV10&lt;=BQ$14)*(BV10&gt;=BQ$13)</f>
        <v>0</v>
      </c>
      <c r="CF10" s="61">
        <f>CC10*BN$16*BT10</f>
        <v>0</v>
      </c>
      <c r="CG10" s="61">
        <f>CE10+CF10</f>
        <v>0</v>
      </c>
      <c r="CH10" s="62">
        <f t="shared" ref="CH10:CH54" si="19">CC10+CD10-CE10</f>
        <v>0</v>
      </c>
      <c r="CI10" s="61">
        <f t="shared" ref="CI10:CI54" si="20">CE10+BY10</f>
        <v>0</v>
      </c>
      <c r="CJ10" s="61">
        <f t="shared" ref="CJ10:CJ54" si="21">CF10+BZ10</f>
        <v>0</v>
      </c>
      <c r="CK10" s="62">
        <f t="shared" ref="CK10:CK54" si="22">CG10+CA10</f>
        <v>0</v>
      </c>
      <c r="CM10" s="3" t="str">
        <f>Inputs!$A4</f>
        <v>Project(s):</v>
      </c>
      <c r="CN10" s="10" t="str" cm="1">
        <f t="array" ref="CN10">INDEX(INDEX(projectData,0,CM$1),_xlfn.XMATCH(CM10,projectInfo,0))</f>
        <v>Loan 4 - Schuylkill River Crossing</v>
      </c>
      <c r="CP10" t="s">
        <v>15</v>
      </c>
      <c r="CQ10" s="3">
        <v>44742</v>
      </c>
      <c r="CS10" cm="1">
        <f t="array" ref="CS10:CS54">YEARFRAC(_xlfn.ANCHORARRAY(CV10)+0,CN11)</f>
        <v>3.0027777777777778</v>
      </c>
      <c r="CT10" cm="1">
        <f t="array" ref="CT10:CT54">YEARFRAC(_xlfn.ANCHORARRAY(CV10)+0,_xlfn.XLOOKUP(_xlfn.ANCHORARRAY(CV10)-1,_xlfn.ANCHORARRAY(CV10),_xlfn.ANCHORARRAY(CV10),CN11+0,-1))</f>
        <v>3.0027777777777778</v>
      </c>
      <c r="CU10" cm="1">
        <f t="array" ref="CU10:CU54">_xlfn.SEQUENCE(45)</f>
        <v>1</v>
      </c>
      <c r="CV10" s="59" cm="1">
        <f t="array" ref="CV10:CV54">EDATE(CQ10,(_xlfn.ANCHORARRAY(CU10)-1)*12)</f>
        <v>44742</v>
      </c>
      <c r="CW10" s="60">
        <v>0</v>
      </c>
      <c r="CX10" s="61" cm="1">
        <f t="array" ref="CX10:CX54">_xlfn.XLOOKUP(_xlfn.ANCHORARRAY(CV10),CM18:CM27,CN18:CN27,0)*CX$5</f>
        <v>0</v>
      </c>
      <c r="CY10" s="61">
        <f t="shared" ref="CY10:CY54" si="23">IF(AND(CV10&gt;=CQ$11,CV10&lt;=CQ$12),PPMT(CN$15,YEARFRAC(CV10+0,CQ$11)+1,CN$13,-SUM(_xlfn.ANCHORARRAY(CX$10))),0)</f>
        <v>0</v>
      </c>
      <c r="CZ10" s="61">
        <f>CW10*CN$15*CT10</f>
        <v>0</v>
      </c>
      <c r="DA10" s="61">
        <f>CY10+CZ10</f>
        <v>0</v>
      </c>
      <c r="DB10" s="62">
        <f t="shared" ref="DB10:DB54" si="24">CW10+CX10-CY10</f>
        <v>0</v>
      </c>
      <c r="DC10" s="60">
        <v>0</v>
      </c>
      <c r="DD10" s="61" cm="1">
        <f t="array" ref="DD10:DD54">_xlfn.XLOOKUP(_xlfn.ANCHORARRAY(CV10),CM18:CM27,CN18:CN27,0)*DD$5*(CQ20)</f>
        <v>0</v>
      </c>
      <c r="DE10" s="61">
        <f t="shared" ref="DE10" si="25">MAX(DE$3/(1+CN$15)-DC10*$N$16,0)*(CV10&lt;=CQ$14)*(CV10&gt;=CQ$13)</f>
        <v>0</v>
      </c>
      <c r="DF10" s="61">
        <f>DC10*CN$16*CT10</f>
        <v>0</v>
      </c>
      <c r="DG10" s="61">
        <f>DE10+DF10</f>
        <v>0</v>
      </c>
      <c r="DH10" s="62">
        <f t="shared" ref="DH10:DH54" si="26">DC10+DD10-DE10</f>
        <v>0</v>
      </c>
      <c r="DI10" s="61">
        <f t="shared" ref="DI10:DI54" si="27">DE10+CY10</f>
        <v>0</v>
      </c>
      <c r="DJ10" s="61">
        <f t="shared" ref="DJ10:DJ54" si="28">DF10+CZ10</f>
        <v>0</v>
      </c>
      <c r="DK10" s="62">
        <f t="shared" ref="DK10:DK54" si="29">DG10+DA10</f>
        <v>0</v>
      </c>
      <c r="DM10" s="3" t="str">
        <f>Inputs!$A4</f>
        <v>Project(s):</v>
      </c>
      <c r="DN10" s="10" t="str" cm="1">
        <f t="array" ref="DN10">INDEX(INDEX(projectData,0,DM$1),_xlfn.XMATCH(DM10,projectInfo,0))</f>
        <v>Loan 5 - Baxter WTP Storage &amp; Belmont WTP Storage Replacement</v>
      </c>
      <c r="DP10" t="s">
        <v>15</v>
      </c>
      <c r="DQ10" s="3">
        <v>44742</v>
      </c>
      <c r="DS10" cm="1">
        <f t="array" ref="DS10:DS54">YEARFRAC(_xlfn.ANCHORARRAY(DV10)+0,DN11)</f>
        <v>5.0027777777777782</v>
      </c>
      <c r="DT10" cm="1">
        <f t="array" ref="DT10:DT54">YEARFRAC(_xlfn.ANCHORARRAY(DV10)+0,_xlfn.XLOOKUP(_xlfn.ANCHORARRAY(DV10)-1,_xlfn.ANCHORARRAY(DV10),_xlfn.ANCHORARRAY(DV10),DN11+0,-1))</f>
        <v>5.0027777777777782</v>
      </c>
      <c r="DU10" cm="1">
        <f t="array" ref="DU10:DU54">_xlfn.SEQUENCE(45)</f>
        <v>1</v>
      </c>
      <c r="DV10" s="59" cm="1">
        <f t="array" ref="DV10:DV54">EDATE(DQ10,(_xlfn.ANCHORARRAY(DU10)-1)*12)</f>
        <v>44742</v>
      </c>
      <c r="DW10" s="60">
        <v>0</v>
      </c>
      <c r="DX10" s="61" cm="1">
        <f t="array" ref="DX10:DX54">_xlfn.XLOOKUP(_xlfn.ANCHORARRAY(DV10),DM18:DM29,DN18:DN29,0)*DX$5</f>
        <v>0</v>
      </c>
      <c r="DY10" s="61">
        <f t="shared" ref="DY10:DY54" si="30">IF(AND(DV10&gt;=DQ$11,DV10&lt;=DQ$12),PPMT(DN$15,YEARFRAC(DV10+0,DQ$11)+1,DN$13,-SUM(_xlfn.ANCHORARRAY(DX$10))),0)</f>
        <v>0</v>
      </c>
      <c r="DZ10" s="61">
        <f>DW10*DN$15*DT10</f>
        <v>0</v>
      </c>
      <c r="EA10" s="61">
        <f>DY10+DZ10</f>
        <v>0</v>
      </c>
      <c r="EB10" s="62">
        <f t="shared" ref="EB10:EB54" si="31">DW10+DX10-DY10</f>
        <v>0</v>
      </c>
      <c r="EC10" s="60">
        <v>0</v>
      </c>
      <c r="ED10" s="61" cm="1">
        <f t="array" ref="ED10:ED54">_xlfn.XLOOKUP(_xlfn.ANCHORARRAY(DV10),DM18:DM29,DN18:DN29,0)*ED$5*(DQ20)</f>
        <v>0</v>
      </c>
      <c r="EE10" s="61">
        <f t="shared" ref="EE10" si="32">MAX(EE$3/(1+DN$15)-EC10*$N$16,0)*(DV10&lt;=DQ$14)*(DV10&gt;=DQ$13)</f>
        <v>0</v>
      </c>
      <c r="EF10" s="61">
        <f>EC10*DN$16*DT10</f>
        <v>0</v>
      </c>
      <c r="EG10" s="61">
        <f>EE10+EF10</f>
        <v>0</v>
      </c>
      <c r="EH10" s="62">
        <f t="shared" ref="EH10:EH54" si="33">EC10+ED10-EE10</f>
        <v>0</v>
      </c>
      <c r="EI10" s="61">
        <f t="shared" ref="EI10:EI54" si="34">EE10+DY10</f>
        <v>0</v>
      </c>
      <c r="EJ10" s="61">
        <f t="shared" ref="EJ10:EJ54" si="35">EF10+DZ10</f>
        <v>0</v>
      </c>
      <c r="EK10" s="62">
        <f t="shared" ref="EK10:EK54" si="36">EG10+EA10</f>
        <v>0</v>
      </c>
    </row>
    <row r="11" spans="1:141" x14ac:dyDescent="0.25">
      <c r="C11" s="38">
        <v>45107</v>
      </c>
      <c r="D11" s="43">
        <f t="shared" ref="D11:K26" si="37">SUMIFS($V11:$GG11,$V$4:$GG$4,D$4,$V$8:$GG$8,D$8)</f>
        <v>510000</v>
      </c>
      <c r="E11" s="30">
        <f t="shared" si="1"/>
        <v>0</v>
      </c>
      <c r="F11" s="30">
        <f t="shared" si="1"/>
        <v>0</v>
      </c>
      <c r="G11" s="33">
        <f t="shared" si="1"/>
        <v>0</v>
      </c>
      <c r="H11" s="43">
        <f t="shared" si="1"/>
        <v>490000</v>
      </c>
      <c r="I11" s="30">
        <f t="shared" si="1"/>
        <v>0</v>
      </c>
      <c r="J11" s="30">
        <f t="shared" si="1"/>
        <v>0</v>
      </c>
      <c r="K11" s="33">
        <f t="shared" si="1"/>
        <v>0</v>
      </c>
      <c r="M11" s="3" t="str">
        <f>Inputs!$A5</f>
        <v>Closing Date:</v>
      </c>
      <c r="N11" s="11" cm="1">
        <f t="array" ref="N11">INDEX(INDEX(projectData,0,M$1),_xlfn.XMATCH(M11,projectInfo,0))</f>
        <v>44896</v>
      </c>
      <c r="P11" t="s">
        <v>17</v>
      </c>
      <c r="Q11" s="3">
        <f>N12</f>
        <v>46203</v>
      </c>
      <c r="S11">
        <v>0.5805555555555556</v>
      </c>
      <c r="T11">
        <v>1</v>
      </c>
      <c r="U11">
        <v>2</v>
      </c>
      <c r="V11" s="38">
        <v>45107</v>
      </c>
      <c r="W11" s="43">
        <f t="shared" ref="W11:W54" si="38">AB10</f>
        <v>0</v>
      </c>
      <c r="X11" s="30">
        <f>Q18*$X$5</f>
        <v>510000</v>
      </c>
      <c r="Y11" s="30">
        <v>0</v>
      </c>
      <c r="Z11" s="30">
        <v>0</v>
      </c>
      <c r="AA11" s="30">
        <f t="shared" ref="AA11:AA54" si="39">Y11+Z11</f>
        <v>0</v>
      </c>
      <c r="AB11" s="33">
        <f t="shared" si="3"/>
        <v>510000</v>
      </c>
      <c r="AC11" s="43">
        <f t="shared" ref="AC11:AC54" si="40">AH10</f>
        <v>0</v>
      </c>
      <c r="AD11" s="30">
        <f>Q18*AD5</f>
        <v>490000</v>
      </c>
      <c r="AE11" s="30">
        <f>MAX(AE$3/(1+N$15)-AC11*$N$16,0)*(V11&lt;=Q$14)*(V11&gt;=Q$13)</f>
        <v>0</v>
      </c>
      <c r="AF11" s="30">
        <f t="shared" ref="AF11:AF54" si="41">AC11*N$16*T12</f>
        <v>0</v>
      </c>
      <c r="AG11" s="30">
        <f t="shared" ref="AG11:AG54" si="42">AE11+AF11</f>
        <v>0</v>
      </c>
      <c r="AH11" s="33">
        <f t="shared" si="5"/>
        <v>490000</v>
      </c>
      <c r="AI11" s="30">
        <f t="shared" si="6"/>
        <v>0</v>
      </c>
      <c r="AJ11" s="30">
        <f t="shared" si="7"/>
        <v>0</v>
      </c>
      <c r="AK11" s="33">
        <f t="shared" si="8"/>
        <v>0</v>
      </c>
      <c r="AM11" s="3" t="str">
        <f>Inputs!$A5</f>
        <v>Closing Date:</v>
      </c>
      <c r="AN11" s="11" cm="1">
        <f t="array" ref="AN11">INDEX(INDEX(projectData,0,AM$1),_xlfn.XMATCH(AM11,projectInfo,0))</f>
        <v>45108</v>
      </c>
      <c r="AP11" t="s">
        <v>17</v>
      </c>
      <c r="AQ11" s="3">
        <f>AN12</f>
        <v>45838</v>
      </c>
      <c r="AS11">
        <v>2.7777777777777779E-3</v>
      </c>
      <c r="AT11">
        <v>1</v>
      </c>
      <c r="AU11">
        <v>2</v>
      </c>
      <c r="AV11" s="38">
        <v>45107</v>
      </c>
      <c r="AW11" s="43">
        <f t="shared" ref="AW11:AW54" si="43">BB10</f>
        <v>0</v>
      </c>
      <c r="AX11" s="30">
        <v>0</v>
      </c>
      <c r="AY11" s="30">
        <f t="shared" si="9"/>
        <v>0</v>
      </c>
      <c r="AZ11" s="30">
        <f t="shared" ref="AZ11:AZ54" si="44">AW11*AN$15*AT12</f>
        <v>0</v>
      </c>
      <c r="BA11" s="30">
        <f t="shared" ref="BA11:BA54" si="45">AY11+AZ11</f>
        <v>0</v>
      </c>
      <c r="BB11" s="33">
        <f t="shared" si="10"/>
        <v>0</v>
      </c>
      <c r="BC11" s="43">
        <f t="shared" ref="BC11:BC54" si="46">BH10</f>
        <v>0</v>
      </c>
      <c r="BD11" s="30">
        <v>0</v>
      </c>
      <c r="BE11" s="30">
        <f>MAX(BE$3/(1+AN$15)-BC11*$N$16,0)*(AV11&lt;=AQ$14)*(AV11&gt;=AQ$13)</f>
        <v>0</v>
      </c>
      <c r="BF11" s="30">
        <f t="shared" ref="BF11:BF54" si="47">BC11*AN$16*AT12</f>
        <v>0</v>
      </c>
      <c r="BG11" s="30">
        <f t="shared" ref="BG11:BG54" si="48">BE11+BF11</f>
        <v>0</v>
      </c>
      <c r="BH11" s="33">
        <f t="shared" si="12"/>
        <v>0</v>
      </c>
      <c r="BI11" s="30">
        <f t="shared" si="13"/>
        <v>0</v>
      </c>
      <c r="BJ11" s="30">
        <f t="shared" si="14"/>
        <v>0</v>
      </c>
      <c r="BK11" s="33">
        <f t="shared" si="15"/>
        <v>0</v>
      </c>
      <c r="BM11" s="3" t="str">
        <f>Inputs!$A5</f>
        <v>Closing Date:</v>
      </c>
      <c r="BN11" s="11" cm="1">
        <f t="array" ref="BN11">INDEX(INDEX(projectData,0,BM$1),_xlfn.XMATCH(BM11,projectInfo,0))</f>
        <v>45474</v>
      </c>
      <c r="BP11" t="s">
        <v>17</v>
      </c>
      <c r="BQ11" s="3">
        <f>BN12</f>
        <v>46203</v>
      </c>
      <c r="BS11">
        <v>1.0027777777777778</v>
      </c>
      <c r="BT11">
        <v>1</v>
      </c>
      <c r="BU11">
        <v>2</v>
      </c>
      <c r="BV11" s="38">
        <v>45107</v>
      </c>
      <c r="BW11" s="43">
        <f t="shared" ref="BW11:BW54" si="49">CB10</f>
        <v>0</v>
      </c>
      <c r="BX11" s="30">
        <v>0</v>
      </c>
      <c r="BY11" s="30">
        <f t="shared" si="16"/>
        <v>0</v>
      </c>
      <c r="BZ11" s="30">
        <f t="shared" ref="BZ11:BZ54" si="50">BW11*BN$15*BT12</f>
        <v>0</v>
      </c>
      <c r="CA11" s="30">
        <f t="shared" ref="CA11:CA54" si="51">BY11+BZ11</f>
        <v>0</v>
      </c>
      <c r="CB11" s="33">
        <f t="shared" si="17"/>
        <v>0</v>
      </c>
      <c r="CC11" s="43">
        <f t="shared" ref="CC11:CC54" si="52">CH10</f>
        <v>0</v>
      </c>
      <c r="CD11" s="30">
        <v>0</v>
      </c>
      <c r="CE11" s="30">
        <f>MAX(CE$3/(1+BN$15)-CC11*$N$16,0)*(BV11&lt;=BQ$14)*(BV11&gt;=BQ$13)</f>
        <v>0</v>
      </c>
      <c r="CF11" s="30">
        <f t="shared" ref="CF11:CF54" si="53">CC11*BN$16*BT12</f>
        <v>0</v>
      </c>
      <c r="CG11" s="30">
        <f t="shared" ref="CG11:CG54" si="54">CE11+CF11</f>
        <v>0</v>
      </c>
      <c r="CH11" s="33">
        <f t="shared" si="19"/>
        <v>0</v>
      </c>
      <c r="CI11" s="30">
        <f t="shared" si="20"/>
        <v>0</v>
      </c>
      <c r="CJ11" s="30">
        <f t="shared" si="21"/>
        <v>0</v>
      </c>
      <c r="CK11" s="33">
        <f t="shared" si="22"/>
        <v>0</v>
      </c>
      <c r="CM11" s="3" t="str">
        <f>Inputs!$A5</f>
        <v>Closing Date:</v>
      </c>
      <c r="CN11" s="11" cm="1">
        <f t="array" ref="CN11">INDEX(INDEX(projectData,0,CM$1),_xlfn.XMATCH(CM11,projectInfo,0))</f>
        <v>45839</v>
      </c>
      <c r="CP11" t="s">
        <v>17</v>
      </c>
      <c r="CQ11" s="3">
        <f>CN12</f>
        <v>46934</v>
      </c>
      <c r="CS11">
        <v>2.0027777777777778</v>
      </c>
      <c r="CT11">
        <v>1</v>
      </c>
      <c r="CU11">
        <v>2</v>
      </c>
      <c r="CV11" s="38">
        <v>45107</v>
      </c>
      <c r="CW11" s="43">
        <f t="shared" ref="CW11:CW54" si="55">DB10</f>
        <v>0</v>
      </c>
      <c r="CX11" s="30">
        <v>0</v>
      </c>
      <c r="CY11" s="30">
        <f t="shared" si="23"/>
        <v>0</v>
      </c>
      <c r="CZ11" s="30">
        <f t="shared" ref="CZ11:CZ54" si="56">CW11*CN$15*CT12</f>
        <v>0</v>
      </c>
      <c r="DA11" s="30">
        <f t="shared" ref="DA11:DA54" si="57">CY11+CZ11</f>
        <v>0</v>
      </c>
      <c r="DB11" s="33">
        <f t="shared" si="24"/>
        <v>0</v>
      </c>
      <c r="DC11" s="43">
        <f t="shared" ref="DC11:DC54" si="58">DH10</f>
        <v>0</v>
      </c>
      <c r="DD11" s="30">
        <v>0</v>
      </c>
      <c r="DE11" s="30">
        <f>MAX(DE$3/(1+CN$15)-DC11*$N$16,0)*(CV11&lt;=CQ$14)*(CV11&gt;=CQ$13)</f>
        <v>0</v>
      </c>
      <c r="DF11" s="30">
        <f t="shared" ref="DF11:DF54" si="59">DC11*CN$16*CT12</f>
        <v>0</v>
      </c>
      <c r="DG11" s="30">
        <f t="shared" ref="DG11:DG54" si="60">DE11+DF11</f>
        <v>0</v>
      </c>
      <c r="DH11" s="33">
        <f t="shared" si="26"/>
        <v>0</v>
      </c>
      <c r="DI11" s="30">
        <f t="shared" si="27"/>
        <v>0</v>
      </c>
      <c r="DJ11" s="30">
        <f t="shared" si="28"/>
        <v>0</v>
      </c>
      <c r="DK11" s="33">
        <f t="shared" si="29"/>
        <v>0</v>
      </c>
      <c r="DM11" s="3" t="str">
        <f>Inputs!$A5</f>
        <v>Closing Date:</v>
      </c>
      <c r="DN11" s="11" cm="1">
        <f t="array" ref="DN11">INDEX(INDEX(projectData,0,DM$1),_xlfn.XMATCH(DM11,projectInfo,0))</f>
        <v>46569</v>
      </c>
      <c r="DP11" t="s">
        <v>17</v>
      </c>
      <c r="DQ11" s="3">
        <f>DN12</f>
        <v>47299</v>
      </c>
      <c r="DS11">
        <v>4.0027777777777782</v>
      </c>
      <c r="DT11">
        <v>1</v>
      </c>
      <c r="DU11">
        <v>2</v>
      </c>
      <c r="DV11" s="38">
        <v>45107</v>
      </c>
      <c r="DW11" s="43">
        <f t="shared" ref="DW11:DW54" si="61">EB10</f>
        <v>0</v>
      </c>
      <c r="DX11" s="30">
        <v>0</v>
      </c>
      <c r="DY11" s="30">
        <f t="shared" si="30"/>
        <v>0</v>
      </c>
      <c r="DZ11" s="30">
        <f t="shared" ref="DZ11:DZ54" si="62">DW11*DN$15*DT12</f>
        <v>0</v>
      </c>
      <c r="EA11" s="30">
        <f t="shared" ref="EA11:EA54" si="63">DY11+DZ11</f>
        <v>0</v>
      </c>
      <c r="EB11" s="33">
        <f t="shared" si="31"/>
        <v>0</v>
      </c>
      <c r="EC11" s="43">
        <f t="shared" ref="EC11:EC54" si="64">EH10</f>
        <v>0</v>
      </c>
      <c r="ED11" s="30">
        <v>0</v>
      </c>
      <c r="EE11" s="30">
        <f>MAX(EE$3/(1+DN$15)-EC11*$N$16,0)*(DV11&lt;=DQ$14)*(DV11&gt;=DQ$13)</f>
        <v>0</v>
      </c>
      <c r="EF11" s="30">
        <f t="shared" ref="EF11:EF54" si="65">EC11*DN$16*DT12</f>
        <v>0</v>
      </c>
      <c r="EG11" s="30">
        <f t="shared" ref="EG11:EG54" si="66">EE11+EF11</f>
        <v>0</v>
      </c>
      <c r="EH11" s="33">
        <f t="shared" si="33"/>
        <v>0</v>
      </c>
      <c r="EI11" s="30">
        <f t="shared" si="34"/>
        <v>0</v>
      </c>
      <c r="EJ11" s="30">
        <f t="shared" si="35"/>
        <v>0</v>
      </c>
      <c r="EK11" s="33">
        <f t="shared" si="36"/>
        <v>0</v>
      </c>
    </row>
    <row r="12" spans="1:141" x14ac:dyDescent="0.25">
      <c r="A12" s="20"/>
      <c r="C12" s="38">
        <v>45473</v>
      </c>
      <c r="D12" s="43">
        <f t="shared" si="37"/>
        <v>9338450.0317000002</v>
      </c>
      <c r="E12" s="30">
        <f t="shared" si="1"/>
        <v>0</v>
      </c>
      <c r="F12" s="30">
        <f t="shared" si="1"/>
        <v>0</v>
      </c>
      <c r="G12" s="33">
        <f t="shared" si="1"/>
        <v>0</v>
      </c>
      <c r="H12" s="43">
        <f t="shared" si="1"/>
        <v>9062921.3569592312</v>
      </c>
      <c r="I12" s="30">
        <f t="shared" si="1"/>
        <v>0</v>
      </c>
      <c r="J12" s="30">
        <f t="shared" si="1"/>
        <v>17150</v>
      </c>
      <c r="K12" s="33">
        <f t="shared" si="1"/>
        <v>17150</v>
      </c>
      <c r="M12" s="3" t="str">
        <f>Inputs!$A6</f>
        <v>First Principal:</v>
      </c>
      <c r="N12" s="15" cm="1">
        <f t="array" ref="N12">INDEX(INDEX(projectData,0,M$1),_xlfn.XMATCH(M12,projectInfo,0))</f>
        <v>46203</v>
      </c>
      <c r="P12" t="s">
        <v>18</v>
      </c>
      <c r="Q12" s="3">
        <f>EDATE(Q11,12*(N13-1))</f>
        <v>45838</v>
      </c>
      <c r="S12">
        <v>1.5805555555555555</v>
      </c>
      <c r="T12">
        <v>1</v>
      </c>
      <c r="U12">
        <v>3</v>
      </c>
      <c r="V12" s="38">
        <v>45473</v>
      </c>
      <c r="W12" s="43">
        <f t="shared" si="38"/>
        <v>510000</v>
      </c>
      <c r="X12" s="30">
        <f>IFERROR(VLOOKUP(V12,Inputs!$A$13:$B$23,2,0),0)*$X$5</f>
        <v>6709145.0317000002</v>
      </c>
      <c r="Y12" s="30">
        <v>0</v>
      </c>
      <c r="Z12" s="30">
        <v>0</v>
      </c>
      <c r="AA12" s="30">
        <f t="shared" si="39"/>
        <v>0</v>
      </c>
      <c r="AB12" s="33">
        <f t="shared" si="3"/>
        <v>7219145.0317000002</v>
      </c>
      <c r="AC12" s="43">
        <f t="shared" si="40"/>
        <v>490000</v>
      </c>
      <c r="AD12" s="30">
        <f>IFERROR(VLOOKUP(C12,Inputs!$A$13:$B$23,2,0),0)*'PV &amp; WIFIA New'!$AD$5</f>
        <v>6446041.3049666658</v>
      </c>
      <c r="AE12" s="30">
        <f t="shared" ref="AE12:AE54" si="67">MAX(AE$3/(1+N$15)-AC12*$N$16,0)*(V12&lt;=Q$14)*(V12&gt;=Q$13)</f>
        <v>0</v>
      </c>
      <c r="AF12" s="30">
        <f t="shared" si="41"/>
        <v>17150</v>
      </c>
      <c r="AG12" s="30">
        <f t="shared" si="42"/>
        <v>17150</v>
      </c>
      <c r="AH12" s="33">
        <f t="shared" si="5"/>
        <v>6936041.3049666658</v>
      </c>
      <c r="AI12" s="30">
        <f t="shared" si="6"/>
        <v>0</v>
      </c>
      <c r="AJ12" s="30">
        <f t="shared" si="7"/>
        <v>17150</v>
      </c>
      <c r="AK12" s="33">
        <f t="shared" si="8"/>
        <v>17150</v>
      </c>
      <c r="AM12" s="3" t="str">
        <f>Inputs!$A6</f>
        <v>First Principal:</v>
      </c>
      <c r="AN12" s="15" cm="1">
        <f t="array" ref="AN12">INDEX(INDEX(projectData,0,AM$1),_xlfn.XMATCH(AM12,projectInfo,0))</f>
        <v>45838</v>
      </c>
      <c r="AP12" t="s">
        <v>18</v>
      </c>
      <c r="AQ12" s="3">
        <f>EDATE(AQ11,12*(AN13-1))</f>
        <v>52778</v>
      </c>
      <c r="AS12">
        <v>0.99722222222222223</v>
      </c>
      <c r="AT12">
        <v>1</v>
      </c>
      <c r="AU12">
        <v>3</v>
      </c>
      <c r="AV12" s="38">
        <v>45473</v>
      </c>
      <c r="AW12" s="43">
        <f t="shared" si="43"/>
        <v>0</v>
      </c>
      <c r="AX12" s="30">
        <v>2629305</v>
      </c>
      <c r="AY12" s="30">
        <f t="shared" si="9"/>
        <v>0</v>
      </c>
      <c r="AZ12" s="30">
        <f t="shared" si="44"/>
        <v>0</v>
      </c>
      <c r="BA12" s="30">
        <f t="shared" si="45"/>
        <v>0</v>
      </c>
      <c r="BB12" s="33">
        <f t="shared" si="10"/>
        <v>2629305</v>
      </c>
      <c r="BC12" s="43">
        <f t="shared" si="46"/>
        <v>0</v>
      </c>
      <c r="BD12" s="30">
        <v>2616880.0519925645</v>
      </c>
      <c r="BE12" s="30">
        <f t="shared" ref="BE12:BE54" si="68">MAX(BE$3/(1+AN$15)-BC12*$N$16,0)*(AV12&lt;=AQ$14)*(AV12&gt;=AQ$13)</f>
        <v>0</v>
      </c>
      <c r="BF12" s="30">
        <f t="shared" si="47"/>
        <v>0</v>
      </c>
      <c r="BG12" s="30">
        <f t="shared" si="48"/>
        <v>0</v>
      </c>
      <c r="BH12" s="33">
        <f t="shared" si="12"/>
        <v>2616880.0519925645</v>
      </c>
      <c r="BI12" s="30">
        <f t="shared" si="13"/>
        <v>0</v>
      </c>
      <c r="BJ12" s="30">
        <f t="shared" si="14"/>
        <v>0</v>
      </c>
      <c r="BK12" s="33">
        <f t="shared" si="15"/>
        <v>0</v>
      </c>
      <c r="BM12" s="3" t="str">
        <f>Inputs!$A6</f>
        <v>First Principal:</v>
      </c>
      <c r="BN12" s="15" cm="1">
        <f t="array" ref="BN12">INDEX(INDEX(projectData,0,BM$1),_xlfn.XMATCH(BM12,projectInfo,0))</f>
        <v>46203</v>
      </c>
      <c r="BP12" t="s">
        <v>18</v>
      </c>
      <c r="BQ12" s="3">
        <f>EDATE(BQ11,12*(BN13-1))</f>
        <v>53143</v>
      </c>
      <c r="BS12">
        <v>2.7777777777777779E-3</v>
      </c>
      <c r="BT12">
        <v>1</v>
      </c>
      <c r="BU12">
        <v>3</v>
      </c>
      <c r="BV12" s="38">
        <v>45473</v>
      </c>
      <c r="BW12" s="43">
        <f t="shared" si="49"/>
        <v>0</v>
      </c>
      <c r="BX12" s="30">
        <v>0</v>
      </c>
      <c r="BY12" s="30">
        <f t="shared" si="16"/>
        <v>0</v>
      </c>
      <c r="BZ12" s="30">
        <f t="shared" si="50"/>
        <v>0</v>
      </c>
      <c r="CA12" s="30">
        <f t="shared" si="51"/>
        <v>0</v>
      </c>
      <c r="CB12" s="33">
        <f t="shared" si="17"/>
        <v>0</v>
      </c>
      <c r="CC12" s="43">
        <f t="shared" si="52"/>
        <v>0</v>
      </c>
      <c r="CD12" s="30">
        <v>0</v>
      </c>
      <c r="CE12" s="30">
        <f t="shared" ref="CE12:CE54" si="69">MAX(CE$3/(1+BN$15)-CC12*$N$16,0)*(BV12&lt;=BQ$14)*(BV12&gt;=BQ$13)</f>
        <v>0</v>
      </c>
      <c r="CF12" s="30">
        <f t="shared" si="53"/>
        <v>0</v>
      </c>
      <c r="CG12" s="30">
        <f t="shared" si="54"/>
        <v>0</v>
      </c>
      <c r="CH12" s="33">
        <f t="shared" si="19"/>
        <v>0</v>
      </c>
      <c r="CI12" s="30">
        <f t="shared" si="20"/>
        <v>0</v>
      </c>
      <c r="CJ12" s="30">
        <f t="shared" si="21"/>
        <v>0</v>
      </c>
      <c r="CK12" s="33">
        <f t="shared" si="22"/>
        <v>0</v>
      </c>
      <c r="CM12" s="3" t="str">
        <f>Inputs!$A6</f>
        <v>First Principal:</v>
      </c>
      <c r="CN12" s="15" cm="1">
        <f t="array" ref="CN12">INDEX(INDEX(projectData,0,CM$1),_xlfn.XMATCH(CM12,projectInfo,0))</f>
        <v>46934</v>
      </c>
      <c r="CP12" t="s">
        <v>18</v>
      </c>
      <c r="CQ12" s="3">
        <f>EDATE(CQ11,12*(CN13-1))</f>
        <v>53873</v>
      </c>
      <c r="CS12">
        <v>1.0027777777777778</v>
      </c>
      <c r="CT12">
        <v>1</v>
      </c>
      <c r="CU12">
        <v>3</v>
      </c>
      <c r="CV12" s="38">
        <v>45473</v>
      </c>
      <c r="CW12" s="43">
        <f t="shared" si="55"/>
        <v>0</v>
      </c>
      <c r="CX12" s="30">
        <v>0</v>
      </c>
      <c r="CY12" s="30">
        <f t="shared" si="23"/>
        <v>0</v>
      </c>
      <c r="CZ12" s="30">
        <f t="shared" si="56"/>
        <v>0</v>
      </c>
      <c r="DA12" s="30">
        <f t="shared" si="57"/>
        <v>0</v>
      </c>
      <c r="DB12" s="33">
        <f t="shared" si="24"/>
        <v>0</v>
      </c>
      <c r="DC12" s="43">
        <f t="shared" si="58"/>
        <v>0</v>
      </c>
      <c r="DD12" s="30">
        <v>0</v>
      </c>
      <c r="DE12" s="30">
        <f t="shared" ref="DE12:DE54" si="70">MAX(DE$3/(1+CN$15)-DC12*$N$16,0)*(CV12&lt;=CQ$14)*(CV12&gt;=CQ$13)</f>
        <v>0</v>
      </c>
      <c r="DF12" s="30">
        <f t="shared" si="59"/>
        <v>0</v>
      </c>
      <c r="DG12" s="30">
        <f t="shared" si="60"/>
        <v>0</v>
      </c>
      <c r="DH12" s="33">
        <f t="shared" si="26"/>
        <v>0</v>
      </c>
      <c r="DI12" s="30">
        <f t="shared" si="27"/>
        <v>0</v>
      </c>
      <c r="DJ12" s="30">
        <f t="shared" si="28"/>
        <v>0</v>
      </c>
      <c r="DK12" s="33">
        <f t="shared" si="29"/>
        <v>0</v>
      </c>
      <c r="DM12" s="3" t="str">
        <f>Inputs!$A6</f>
        <v>First Principal:</v>
      </c>
      <c r="DN12" s="15" cm="1">
        <f t="array" ref="DN12">INDEX(INDEX(projectData,0,DM$1),_xlfn.XMATCH(DM12,projectInfo,0))</f>
        <v>47299</v>
      </c>
      <c r="DP12" t="s">
        <v>18</v>
      </c>
      <c r="DQ12" s="3">
        <f>EDATE(DQ11,12*(DN13-1))</f>
        <v>54239</v>
      </c>
      <c r="DS12">
        <v>3.0027777777777778</v>
      </c>
      <c r="DT12">
        <v>1</v>
      </c>
      <c r="DU12">
        <v>3</v>
      </c>
      <c r="DV12" s="38">
        <v>45473</v>
      </c>
      <c r="DW12" s="43">
        <f t="shared" si="61"/>
        <v>0</v>
      </c>
      <c r="DX12" s="30">
        <v>0</v>
      </c>
      <c r="DY12" s="30">
        <f t="shared" si="30"/>
        <v>0</v>
      </c>
      <c r="DZ12" s="30">
        <f t="shared" si="62"/>
        <v>0</v>
      </c>
      <c r="EA12" s="30">
        <f t="shared" si="63"/>
        <v>0</v>
      </c>
      <c r="EB12" s="33">
        <f t="shared" si="31"/>
        <v>0</v>
      </c>
      <c r="EC12" s="43">
        <f t="shared" si="64"/>
        <v>0</v>
      </c>
      <c r="ED12" s="30">
        <v>0</v>
      </c>
      <c r="EE12" s="30">
        <f t="shared" ref="EE12:EE54" si="71">MAX(EE$3/(1+DN$15)-EC12*$N$16,0)*(DV12&lt;=DQ$14)*(DV12&gt;=DQ$13)</f>
        <v>0</v>
      </c>
      <c r="EF12" s="30">
        <f t="shared" si="65"/>
        <v>0</v>
      </c>
      <c r="EG12" s="30">
        <f t="shared" si="66"/>
        <v>0</v>
      </c>
      <c r="EH12" s="33">
        <f t="shared" si="33"/>
        <v>0</v>
      </c>
      <c r="EI12" s="30">
        <f t="shared" si="34"/>
        <v>0</v>
      </c>
      <c r="EJ12" s="30">
        <f t="shared" si="35"/>
        <v>0</v>
      </c>
      <c r="EK12" s="33">
        <f t="shared" si="36"/>
        <v>0</v>
      </c>
    </row>
    <row r="13" spans="1:141" x14ac:dyDescent="0.25">
      <c r="A13" s="20"/>
      <c r="C13" s="38">
        <v>45838</v>
      </c>
      <c r="D13" s="43">
        <f t="shared" si="37"/>
        <v>20957638.365033332</v>
      </c>
      <c r="E13" s="30">
        <f t="shared" si="1"/>
        <v>477101.91428052378</v>
      </c>
      <c r="F13" s="30">
        <f t="shared" si="1"/>
        <v>131465.25</v>
      </c>
      <c r="G13" s="33">
        <f t="shared" si="1"/>
        <v>608567.16428052378</v>
      </c>
      <c r="H13" s="43">
        <f t="shared" si="1"/>
        <v>20772104.108311929</v>
      </c>
      <c r="I13" s="30">
        <f t="shared" si="1"/>
        <v>0</v>
      </c>
      <c r="J13" s="30">
        <f t="shared" si="1"/>
        <v>347436.64775353589</v>
      </c>
      <c r="K13" s="33">
        <f t="shared" si="1"/>
        <v>347436.64775353589</v>
      </c>
      <c r="M13" s="3" t="str">
        <f>Inputs!$A7</f>
        <v>Bond Term:</v>
      </c>
      <c r="N13" s="12" cm="1">
        <f t="array" ref="N13">INDEX(INDEX(projectData,0,M$1),_xlfn.XMATCH(M13,projectInfo,0))</f>
        <v>0</v>
      </c>
      <c r="P13" t="s">
        <v>48</v>
      </c>
      <c r="Q13" s="3">
        <f>EDATE(Q12,12)</f>
        <v>46203</v>
      </c>
      <c r="S13">
        <v>2.5805555555555557</v>
      </c>
      <c r="T13">
        <v>1</v>
      </c>
      <c r="U13">
        <v>4</v>
      </c>
      <c r="V13" s="38">
        <v>45838</v>
      </c>
      <c r="W13" s="43">
        <f t="shared" si="38"/>
        <v>7219145.0317000002</v>
      </c>
      <c r="X13" s="30">
        <f>IFERROR(VLOOKUP(V13,Inputs!$A$13:$B$23,2,0),0)*$X$5</f>
        <v>6709145.0317000002</v>
      </c>
      <c r="Y13" s="30">
        <v>0</v>
      </c>
      <c r="Z13" s="30">
        <v>0</v>
      </c>
      <c r="AA13" s="30">
        <f t="shared" si="39"/>
        <v>0</v>
      </c>
      <c r="AB13" s="33">
        <f t="shared" si="3"/>
        <v>13928290.0634</v>
      </c>
      <c r="AC13" s="43">
        <f t="shared" si="40"/>
        <v>6936041.3049666658</v>
      </c>
      <c r="AD13" s="30">
        <f>IFERROR(VLOOKUP(C13,Inputs!$A$13:$B$23,2,0),0)*'PV &amp; WIFIA New'!$AD$5</f>
        <v>6446041.3049666658</v>
      </c>
      <c r="AE13" s="30">
        <f t="shared" si="67"/>
        <v>0</v>
      </c>
      <c r="AF13" s="30">
        <f t="shared" si="41"/>
        <v>242761.44567383334</v>
      </c>
      <c r="AG13" s="30">
        <f t="shared" si="42"/>
        <v>242761.44567383334</v>
      </c>
      <c r="AH13" s="33">
        <f t="shared" si="5"/>
        <v>13382082.609933332</v>
      </c>
      <c r="AI13" s="30">
        <f t="shared" si="6"/>
        <v>0</v>
      </c>
      <c r="AJ13" s="30">
        <f t="shared" si="7"/>
        <v>242761.44567383334</v>
      </c>
      <c r="AK13" s="33">
        <f t="shared" si="8"/>
        <v>242761.44567383334</v>
      </c>
      <c r="AM13" s="3" t="str">
        <f>Inputs!$A7</f>
        <v>Bond Term:</v>
      </c>
      <c r="AN13" s="12" cm="1">
        <f t="array" ref="AN13">INDEX(INDEX(projectData,0,AM$1),_xlfn.XMATCH(AM13,projectInfo,0))</f>
        <v>20</v>
      </c>
      <c r="AP13" t="s">
        <v>48</v>
      </c>
      <c r="AQ13" s="3">
        <f>EDATE(AQ12,12)</f>
        <v>53143</v>
      </c>
      <c r="AS13">
        <v>1.9972222222222222</v>
      </c>
      <c r="AT13">
        <v>1</v>
      </c>
      <c r="AU13">
        <v>4</v>
      </c>
      <c r="AV13" s="38">
        <v>45838</v>
      </c>
      <c r="AW13" s="43">
        <f t="shared" si="43"/>
        <v>2629305</v>
      </c>
      <c r="AX13" s="30">
        <v>5258610</v>
      </c>
      <c r="AY13" s="30">
        <f t="shared" si="9"/>
        <v>477101.91428052378</v>
      </c>
      <c r="AZ13" s="30">
        <f t="shared" si="44"/>
        <v>131465.25</v>
      </c>
      <c r="BA13" s="30">
        <f t="shared" si="45"/>
        <v>608567.16428052378</v>
      </c>
      <c r="BB13" s="33">
        <f t="shared" si="10"/>
        <v>7410813.0857194765</v>
      </c>
      <c r="BC13" s="43">
        <f t="shared" si="46"/>
        <v>2616880.0519925645</v>
      </c>
      <c r="BD13" s="30">
        <v>5233760.1039851289</v>
      </c>
      <c r="BE13" s="30">
        <f t="shared" si="68"/>
        <v>0</v>
      </c>
      <c r="BF13" s="30">
        <f t="shared" si="47"/>
        <v>104675.20207970258</v>
      </c>
      <c r="BG13" s="30">
        <f t="shared" si="48"/>
        <v>104675.20207970258</v>
      </c>
      <c r="BH13" s="33">
        <f t="shared" si="12"/>
        <v>7850640.1559776934</v>
      </c>
      <c r="BI13" s="30">
        <f t="shared" si="13"/>
        <v>477101.91428052378</v>
      </c>
      <c r="BJ13" s="30">
        <f t="shared" si="14"/>
        <v>236140.45207970258</v>
      </c>
      <c r="BK13" s="33">
        <f t="shared" si="15"/>
        <v>713242.36636022641</v>
      </c>
      <c r="BM13" s="3" t="str">
        <f>Inputs!$A7</f>
        <v>Bond Term:</v>
      </c>
      <c r="BN13" s="12" cm="1">
        <f t="array" ref="BN13">INDEX(INDEX(projectData,0,BM$1),_xlfn.XMATCH(BM13,projectInfo,0))</f>
        <v>20</v>
      </c>
      <c r="BP13" t="s">
        <v>48</v>
      </c>
      <c r="BQ13" s="3">
        <f>EDATE(BQ12,12)</f>
        <v>53508</v>
      </c>
      <c r="BS13">
        <v>0.99722222222222223</v>
      </c>
      <c r="BT13">
        <v>1</v>
      </c>
      <c r="BU13">
        <v>4</v>
      </c>
      <c r="BV13" s="38">
        <v>45838</v>
      </c>
      <c r="BW13" s="43">
        <f t="shared" si="49"/>
        <v>0</v>
      </c>
      <c r="BX13" s="30">
        <v>8989883.3333333321</v>
      </c>
      <c r="BY13" s="30">
        <f t="shared" si="16"/>
        <v>0</v>
      </c>
      <c r="BZ13" s="30">
        <f t="shared" si="50"/>
        <v>0</v>
      </c>
      <c r="CA13" s="30">
        <f t="shared" si="51"/>
        <v>0</v>
      </c>
      <c r="CB13" s="33">
        <f t="shared" si="17"/>
        <v>8989883.3333333321</v>
      </c>
      <c r="CC13" s="43">
        <f t="shared" si="52"/>
        <v>0</v>
      </c>
      <c r="CD13" s="30">
        <v>9092302.6993601359</v>
      </c>
      <c r="CE13" s="30">
        <f t="shared" si="69"/>
        <v>0</v>
      </c>
      <c r="CF13" s="30">
        <f t="shared" si="53"/>
        <v>0</v>
      </c>
      <c r="CG13" s="30">
        <f t="shared" si="54"/>
        <v>0</v>
      </c>
      <c r="CH13" s="33">
        <f t="shared" si="19"/>
        <v>9092302.6993601359</v>
      </c>
      <c r="CI13" s="30">
        <f t="shared" si="20"/>
        <v>0</v>
      </c>
      <c r="CJ13" s="30">
        <f t="shared" si="21"/>
        <v>0</v>
      </c>
      <c r="CK13" s="33">
        <f t="shared" si="22"/>
        <v>0</v>
      </c>
      <c r="CM13" s="3" t="str">
        <f>Inputs!$A7</f>
        <v>Bond Term:</v>
      </c>
      <c r="CN13" s="12" cm="1">
        <f t="array" ref="CN13">INDEX(INDEX(projectData,0,CM$1),_xlfn.XMATCH(CM13,projectInfo,0))</f>
        <v>20</v>
      </c>
      <c r="CP13" t="s">
        <v>48</v>
      </c>
      <c r="CQ13" s="3">
        <f>EDATE(CQ12,12)</f>
        <v>54239</v>
      </c>
      <c r="CS13">
        <v>2.7777777777777779E-3</v>
      </c>
      <c r="CT13">
        <v>1</v>
      </c>
      <c r="CU13">
        <v>4</v>
      </c>
      <c r="CV13" s="38">
        <v>45838</v>
      </c>
      <c r="CW13" s="43">
        <f t="shared" si="55"/>
        <v>0</v>
      </c>
      <c r="CX13" s="30">
        <v>0</v>
      </c>
      <c r="CY13" s="30">
        <f t="shared" si="23"/>
        <v>0</v>
      </c>
      <c r="CZ13" s="30">
        <f t="shared" si="56"/>
        <v>0</v>
      </c>
      <c r="DA13" s="30">
        <f t="shared" si="57"/>
        <v>0</v>
      </c>
      <c r="DB13" s="33">
        <f t="shared" si="24"/>
        <v>0</v>
      </c>
      <c r="DC13" s="43">
        <f t="shared" si="58"/>
        <v>0</v>
      </c>
      <c r="DD13" s="30">
        <v>0</v>
      </c>
      <c r="DE13" s="30">
        <f t="shared" si="70"/>
        <v>0</v>
      </c>
      <c r="DF13" s="30">
        <f t="shared" si="59"/>
        <v>0</v>
      </c>
      <c r="DG13" s="30">
        <f t="shared" si="60"/>
        <v>0</v>
      </c>
      <c r="DH13" s="33">
        <f t="shared" si="26"/>
        <v>0</v>
      </c>
      <c r="DI13" s="30">
        <f t="shared" si="27"/>
        <v>0</v>
      </c>
      <c r="DJ13" s="30">
        <f t="shared" si="28"/>
        <v>0</v>
      </c>
      <c r="DK13" s="33">
        <f t="shared" si="29"/>
        <v>0</v>
      </c>
      <c r="DM13" s="3" t="str">
        <f>Inputs!$A7</f>
        <v>Bond Term:</v>
      </c>
      <c r="DN13" s="12" cm="1">
        <f t="array" ref="DN13">INDEX(INDEX(projectData,0,DM$1),_xlfn.XMATCH(DM13,projectInfo,0))</f>
        <v>20</v>
      </c>
      <c r="DP13" t="s">
        <v>48</v>
      </c>
      <c r="DQ13" s="3">
        <f>EDATE(DQ12,12)</f>
        <v>54604</v>
      </c>
      <c r="DS13">
        <v>2.0027777777777778</v>
      </c>
      <c r="DT13">
        <v>1</v>
      </c>
      <c r="DU13">
        <v>4</v>
      </c>
      <c r="DV13" s="38">
        <v>45838</v>
      </c>
      <c r="DW13" s="43">
        <f t="shared" si="61"/>
        <v>0</v>
      </c>
      <c r="DX13" s="30">
        <v>0</v>
      </c>
      <c r="DY13" s="30">
        <f t="shared" si="30"/>
        <v>0</v>
      </c>
      <c r="DZ13" s="30">
        <f t="shared" si="62"/>
        <v>0</v>
      </c>
      <c r="EA13" s="30">
        <f t="shared" si="63"/>
        <v>0</v>
      </c>
      <c r="EB13" s="33">
        <f t="shared" si="31"/>
        <v>0</v>
      </c>
      <c r="EC13" s="43">
        <f t="shared" si="64"/>
        <v>0</v>
      </c>
      <c r="ED13" s="30">
        <v>0</v>
      </c>
      <c r="EE13" s="30">
        <f t="shared" si="71"/>
        <v>0</v>
      </c>
      <c r="EF13" s="30">
        <f t="shared" si="65"/>
        <v>0</v>
      </c>
      <c r="EG13" s="30">
        <f t="shared" si="66"/>
        <v>0</v>
      </c>
      <c r="EH13" s="33">
        <f t="shared" si="33"/>
        <v>0</v>
      </c>
      <c r="EI13" s="30">
        <f t="shared" si="34"/>
        <v>0</v>
      </c>
      <c r="EJ13" s="30">
        <f t="shared" si="35"/>
        <v>0</v>
      </c>
      <c r="EK13" s="33">
        <f t="shared" si="36"/>
        <v>0</v>
      </c>
    </row>
    <row r="14" spans="1:141" x14ac:dyDescent="0.25">
      <c r="A14" s="20"/>
      <c r="C14" s="38">
        <v>46203</v>
      </c>
      <c r="D14" s="43">
        <f t="shared" si="37"/>
        <v>47915106.79686667</v>
      </c>
      <c r="E14" s="30">
        <f t="shared" si="1"/>
        <v>1933974.7856969864</v>
      </c>
      <c r="F14" s="30">
        <f t="shared" si="1"/>
        <v>820034.8209526405</v>
      </c>
      <c r="G14" s="33">
        <f t="shared" si="1"/>
        <v>2754009.606649627</v>
      </c>
      <c r="H14" s="43">
        <f t="shared" si="1"/>
        <v>47938917.431556121</v>
      </c>
      <c r="I14" s="30">
        <f t="shared" si="1"/>
        <v>911417.80450821505</v>
      </c>
      <c r="J14" s="30">
        <f t="shared" si="1"/>
        <v>1146090.6055611798</v>
      </c>
      <c r="K14" s="33">
        <f t="shared" si="1"/>
        <v>2057508.4100693949</v>
      </c>
      <c r="M14" s="3" t="str">
        <f>Inputs!$A8</f>
        <v>WIFIA Term:</v>
      </c>
      <c r="N14" s="12" cm="1">
        <f t="array" ref="N14">INDEX(INDEX(projectData,0,M$1),_xlfn.XMATCH(M14,projectInfo,0))</f>
        <v>20</v>
      </c>
      <c r="P14" t="s">
        <v>24</v>
      </c>
      <c r="Q14" s="3">
        <f>EDATE(N12,12*(N14-1))</f>
        <v>53143</v>
      </c>
      <c r="S14">
        <v>3.5805555555555557</v>
      </c>
      <c r="T14">
        <v>1</v>
      </c>
      <c r="U14">
        <v>5</v>
      </c>
      <c r="V14" s="38">
        <v>46203</v>
      </c>
      <c r="W14" s="43">
        <f t="shared" si="38"/>
        <v>13928290.0634</v>
      </c>
      <c r="X14" s="30">
        <f>IFERROR(VLOOKUP(V14,Inputs!$A$13:$B$23,2,0),0)*$X$5</f>
        <v>6709145.0317000002</v>
      </c>
      <c r="Y14" s="30">
        <v>0</v>
      </c>
      <c r="Z14" s="30">
        <v>0</v>
      </c>
      <c r="AA14" s="30">
        <f t="shared" si="39"/>
        <v>0</v>
      </c>
      <c r="AB14" s="33">
        <f t="shared" si="3"/>
        <v>20637435.095100001</v>
      </c>
      <c r="AC14" s="43">
        <f t="shared" si="40"/>
        <v>13382082.609933332</v>
      </c>
      <c r="AD14" s="30">
        <f>IFERROR(VLOOKUP(C14,Inputs!$A$13:$B$23,2,0),0)*'PV &amp; WIFIA New'!$AD$5</f>
        <v>6446041.3049666658</v>
      </c>
      <c r="AE14" s="30">
        <f t="shared" si="67"/>
        <v>911417.80450821505</v>
      </c>
      <c r="AF14" s="30">
        <f t="shared" si="41"/>
        <v>468372.89134766668</v>
      </c>
      <c r="AG14" s="30">
        <f t="shared" si="42"/>
        <v>1379790.6958558818</v>
      </c>
      <c r="AH14" s="33">
        <f t="shared" si="5"/>
        <v>18916706.110391781</v>
      </c>
      <c r="AI14" s="30">
        <f t="shared" si="6"/>
        <v>911417.80450821505</v>
      </c>
      <c r="AJ14" s="30">
        <f t="shared" si="7"/>
        <v>468372.89134766668</v>
      </c>
      <c r="AK14" s="33">
        <f t="shared" si="8"/>
        <v>1379790.6958558818</v>
      </c>
      <c r="AM14" s="3" t="str">
        <f>Inputs!$A8</f>
        <v>WIFIA Term:</v>
      </c>
      <c r="AN14" s="12" cm="1">
        <f t="array" ref="AN14">INDEX(INDEX(projectData,0,AM$1),_xlfn.XMATCH(AM14,projectInfo,0))</f>
        <v>35</v>
      </c>
      <c r="AP14" t="s">
        <v>24</v>
      </c>
      <c r="AQ14" s="3">
        <f>EDATE(AN12,12*(AN14-1))</f>
        <v>58256</v>
      </c>
      <c r="AS14">
        <v>2.9972222222222222</v>
      </c>
      <c r="AT14">
        <v>1</v>
      </c>
      <c r="AU14">
        <v>5</v>
      </c>
      <c r="AV14" s="38">
        <v>46203</v>
      </c>
      <c r="AW14" s="43">
        <f t="shared" si="43"/>
        <v>7410813.0857194765</v>
      </c>
      <c r="AX14" s="30">
        <v>5258610</v>
      </c>
      <c r="AY14" s="30">
        <f t="shared" si="9"/>
        <v>500957.00999454997</v>
      </c>
      <c r="AZ14" s="30">
        <f t="shared" si="44"/>
        <v>370540.65428597387</v>
      </c>
      <c r="BA14" s="30">
        <f t="shared" si="45"/>
        <v>871497.66428052378</v>
      </c>
      <c r="BB14" s="33">
        <f t="shared" si="10"/>
        <v>12168466.075724928</v>
      </c>
      <c r="BC14" s="43">
        <f t="shared" si="46"/>
        <v>7850640.1559776934</v>
      </c>
      <c r="BD14" s="30">
        <v>5233760.1039851289</v>
      </c>
      <c r="BE14" s="30">
        <f t="shared" si="68"/>
        <v>0</v>
      </c>
      <c r="BF14" s="30">
        <f t="shared" si="47"/>
        <v>314025.60623910773</v>
      </c>
      <c r="BG14" s="30">
        <f t="shared" si="48"/>
        <v>314025.60623910773</v>
      </c>
      <c r="BH14" s="33">
        <f t="shared" si="12"/>
        <v>13084400.259962823</v>
      </c>
      <c r="BI14" s="30">
        <f t="shared" si="13"/>
        <v>500957.00999454997</v>
      </c>
      <c r="BJ14" s="30">
        <f t="shared" si="14"/>
        <v>684566.26052508154</v>
      </c>
      <c r="BK14" s="33">
        <f t="shared" si="15"/>
        <v>1185523.2705196314</v>
      </c>
      <c r="BM14" s="3" t="str">
        <f>Inputs!$A8</f>
        <v>WIFIA Term:</v>
      </c>
      <c r="BN14" s="12" cm="1">
        <f t="array" ref="BN14">INDEX(INDEX(projectData,0,BM$1),_xlfn.XMATCH(BM14,projectInfo,0))</f>
        <v>35</v>
      </c>
      <c r="BP14" t="s">
        <v>24</v>
      </c>
      <c r="BQ14" s="3">
        <f>EDATE(BN12,12*(BN14-1))</f>
        <v>58622</v>
      </c>
      <c r="BS14">
        <v>1.9972222222222222</v>
      </c>
      <c r="BT14">
        <v>1</v>
      </c>
      <c r="BU14">
        <v>5</v>
      </c>
      <c r="BV14" s="38">
        <v>46203</v>
      </c>
      <c r="BW14" s="43">
        <f t="shared" si="49"/>
        <v>8989883.3333333321</v>
      </c>
      <c r="BX14" s="30">
        <v>14433736.666666668</v>
      </c>
      <c r="BY14" s="30">
        <f t="shared" si="16"/>
        <v>1433017.7757024365</v>
      </c>
      <c r="BZ14" s="30">
        <f t="shared" si="50"/>
        <v>449494.16666666663</v>
      </c>
      <c r="CA14" s="30">
        <f t="shared" si="51"/>
        <v>1882511.942369103</v>
      </c>
      <c r="CB14" s="33">
        <f t="shared" si="17"/>
        <v>21990602.224297564</v>
      </c>
      <c r="CC14" s="43">
        <f t="shared" si="52"/>
        <v>9092302.6993601359</v>
      </c>
      <c r="CD14" s="30">
        <v>14598176.415658349</v>
      </c>
      <c r="CE14" s="30">
        <f t="shared" si="69"/>
        <v>0</v>
      </c>
      <c r="CF14" s="30">
        <f t="shared" si="53"/>
        <v>363692.10797440546</v>
      </c>
      <c r="CG14" s="30">
        <f t="shared" si="54"/>
        <v>363692.10797440546</v>
      </c>
      <c r="CH14" s="33">
        <f t="shared" si="19"/>
        <v>23690479.115018487</v>
      </c>
      <c r="CI14" s="30">
        <f t="shared" si="20"/>
        <v>1433017.7757024365</v>
      </c>
      <c r="CJ14" s="30">
        <f t="shared" si="21"/>
        <v>813186.27464107214</v>
      </c>
      <c r="CK14" s="33">
        <f t="shared" si="22"/>
        <v>2246204.0503435084</v>
      </c>
      <c r="CM14" s="3" t="str">
        <f>Inputs!$A8</f>
        <v>WIFIA Term:</v>
      </c>
      <c r="CN14" s="12" cm="1">
        <f t="array" ref="CN14">INDEX(INDEX(projectData,0,CM$1),_xlfn.XMATCH(CM14,projectInfo,0))</f>
        <v>35</v>
      </c>
      <c r="CP14" t="s">
        <v>24</v>
      </c>
      <c r="CQ14" s="3">
        <f>EDATE(CN12,12*(CN14-1))</f>
        <v>59352</v>
      </c>
      <c r="CS14">
        <v>0.99722222222222223</v>
      </c>
      <c r="CT14">
        <v>1</v>
      </c>
      <c r="CU14">
        <v>5</v>
      </c>
      <c r="CV14" s="38">
        <v>46203</v>
      </c>
      <c r="CW14" s="43">
        <f t="shared" si="55"/>
        <v>0</v>
      </c>
      <c r="CX14" s="30">
        <v>21513615.098500002</v>
      </c>
      <c r="CY14" s="30">
        <f t="shared" si="23"/>
        <v>0</v>
      </c>
      <c r="CZ14" s="30">
        <f t="shared" si="56"/>
        <v>0</v>
      </c>
      <c r="DA14" s="30">
        <f t="shared" si="57"/>
        <v>0</v>
      </c>
      <c r="DB14" s="33">
        <f t="shared" si="24"/>
        <v>21513615.098500002</v>
      </c>
      <c r="DC14" s="43">
        <f t="shared" si="58"/>
        <v>0</v>
      </c>
      <c r="DD14" s="30">
        <v>21660939.60694598</v>
      </c>
      <c r="DE14" s="30">
        <f t="shared" si="70"/>
        <v>0</v>
      </c>
      <c r="DF14" s="30">
        <f t="shared" si="59"/>
        <v>0</v>
      </c>
      <c r="DG14" s="30">
        <f t="shared" si="60"/>
        <v>0</v>
      </c>
      <c r="DH14" s="33">
        <f t="shared" si="26"/>
        <v>21660939.60694598</v>
      </c>
      <c r="DI14" s="30">
        <f t="shared" si="27"/>
        <v>0</v>
      </c>
      <c r="DJ14" s="30">
        <f t="shared" si="28"/>
        <v>0</v>
      </c>
      <c r="DK14" s="33">
        <f t="shared" si="29"/>
        <v>0</v>
      </c>
      <c r="DM14" s="3" t="str">
        <f>Inputs!$A8</f>
        <v>WIFIA Term:</v>
      </c>
      <c r="DN14" s="12" cm="1">
        <f t="array" ref="DN14">INDEX(INDEX(projectData,0,DM$1),_xlfn.XMATCH(DM14,projectInfo,0))</f>
        <v>35</v>
      </c>
      <c r="DP14" t="s">
        <v>24</v>
      </c>
      <c r="DQ14" s="3">
        <f>EDATE(DN12,12*(DN14-1))</f>
        <v>59717</v>
      </c>
      <c r="DS14">
        <v>1.0027777777777778</v>
      </c>
      <c r="DT14">
        <v>1</v>
      </c>
      <c r="DU14">
        <v>5</v>
      </c>
      <c r="DV14" s="38">
        <v>46203</v>
      </c>
      <c r="DW14" s="43">
        <f t="shared" si="61"/>
        <v>0</v>
      </c>
      <c r="DX14" s="30">
        <v>0</v>
      </c>
      <c r="DY14" s="30">
        <f t="shared" si="30"/>
        <v>0</v>
      </c>
      <c r="DZ14" s="30">
        <f t="shared" si="62"/>
        <v>0</v>
      </c>
      <c r="EA14" s="30">
        <f t="shared" si="63"/>
        <v>0</v>
      </c>
      <c r="EB14" s="33">
        <f t="shared" si="31"/>
        <v>0</v>
      </c>
      <c r="EC14" s="43">
        <f t="shared" si="64"/>
        <v>0</v>
      </c>
      <c r="ED14" s="30">
        <v>0</v>
      </c>
      <c r="EE14" s="30">
        <f t="shared" si="71"/>
        <v>0</v>
      </c>
      <c r="EF14" s="30">
        <f t="shared" si="65"/>
        <v>0</v>
      </c>
      <c r="EG14" s="30">
        <f t="shared" si="66"/>
        <v>0</v>
      </c>
      <c r="EH14" s="33">
        <f t="shared" si="33"/>
        <v>0</v>
      </c>
      <c r="EI14" s="30">
        <f t="shared" si="34"/>
        <v>0</v>
      </c>
      <c r="EJ14" s="30">
        <f t="shared" si="35"/>
        <v>0</v>
      </c>
      <c r="EK14" s="33">
        <f t="shared" si="36"/>
        <v>0</v>
      </c>
    </row>
    <row r="15" spans="1:141" x14ac:dyDescent="0.25">
      <c r="A15" s="20"/>
      <c r="C15" s="38">
        <v>46568</v>
      </c>
      <c r="D15" s="43">
        <f t="shared" si="37"/>
        <v>58497187.647749998</v>
      </c>
      <c r="E15" s="30">
        <f t="shared" si="1"/>
        <v>2030673.5249818356</v>
      </c>
      <c r="F15" s="30">
        <f t="shared" si="1"/>
        <v>2783634.1699261246</v>
      </c>
      <c r="G15" s="33">
        <f t="shared" si="1"/>
        <v>4814307.6949079605</v>
      </c>
      <c r="H15" s="43">
        <f t="shared" si="1"/>
        <v>58563244.829716831</v>
      </c>
      <c r="I15" s="30">
        <f t="shared" si="1"/>
        <v>717705.9819921694</v>
      </c>
      <c r="J15" s="30">
        <f t="shared" si="1"/>
        <v>2999517.4731408041</v>
      </c>
      <c r="K15" s="33">
        <f t="shared" si="1"/>
        <v>3717223.4551329734</v>
      </c>
      <c r="M15" s="3" t="str">
        <f>Inputs!$A9</f>
        <v>Bond/PennVest Rate:</v>
      </c>
      <c r="N15" s="72" cm="1">
        <f t="array" ref="N15">INDEX(INDEX(projectData,0,M$1),_xlfn.XMATCH(M15,projectInfo,0))</f>
        <v>0.05</v>
      </c>
      <c r="P15" t="s">
        <v>37</v>
      </c>
      <c r="Q15" s="70">
        <f>SUMPRODUCT(_xlfn.ANCHORARRAY(S10),AE10:AE54)/AE9</f>
        <v>14.098540935741212</v>
      </c>
      <c r="S15">
        <v>4.5805555555555557</v>
      </c>
      <c r="T15">
        <v>1</v>
      </c>
      <c r="U15">
        <v>6</v>
      </c>
      <c r="V15" s="38">
        <v>46568</v>
      </c>
      <c r="W15" s="43">
        <f t="shared" si="38"/>
        <v>20637435.095100001</v>
      </c>
      <c r="X15" s="30">
        <f>IFERROR(VLOOKUP(V15,Inputs!$A$13:$B$23,2,0),0)*$X$5</f>
        <v>0</v>
      </c>
      <c r="Y15" s="30">
        <v>0</v>
      </c>
      <c r="Z15" s="30">
        <v>0</v>
      </c>
      <c r="AA15" s="30">
        <f t="shared" si="39"/>
        <v>0</v>
      </c>
      <c r="AB15" s="33">
        <f t="shared" si="3"/>
        <v>20637435.095100001</v>
      </c>
      <c r="AC15" s="43">
        <f t="shared" si="40"/>
        <v>18916706.110391781</v>
      </c>
      <c r="AD15" s="30">
        <f>IFERROR(VLOOKUP(C15,Inputs!$A$13:$B$23,2,0),0)*'PV &amp; WIFIA New'!$AD$5</f>
        <v>0</v>
      </c>
      <c r="AE15" s="30">
        <f t="shared" si="67"/>
        <v>717705.9819921694</v>
      </c>
      <c r="AF15" s="30">
        <f t="shared" si="41"/>
        <v>662084.71386371239</v>
      </c>
      <c r="AG15" s="30">
        <f t="shared" si="42"/>
        <v>1379790.6958558818</v>
      </c>
      <c r="AH15" s="33">
        <f t="shared" si="5"/>
        <v>18199000.128399611</v>
      </c>
      <c r="AI15" s="30">
        <f t="shared" si="6"/>
        <v>717705.9819921694</v>
      </c>
      <c r="AJ15" s="30">
        <f t="shared" si="7"/>
        <v>662084.71386371239</v>
      </c>
      <c r="AK15" s="33">
        <f t="shared" si="8"/>
        <v>1379790.6958558818</v>
      </c>
      <c r="AM15" s="3" t="str">
        <f>Inputs!$A9</f>
        <v>Bond/PennVest Rate:</v>
      </c>
      <c r="AN15" s="72" cm="1">
        <f t="array" ref="AN15">INDEX(INDEX(projectData,0,AM$1),_xlfn.XMATCH(AM15,projectInfo,0))</f>
        <v>0.05</v>
      </c>
      <c r="AP15" t="s">
        <v>37</v>
      </c>
      <c r="AQ15" s="70">
        <f>SUMPRODUCT(_xlfn.ANCHORARRAY(AS10),BE10:BE54)/BE9</f>
        <v>29.636537664807772</v>
      </c>
      <c r="AS15">
        <v>3.9972222222222222</v>
      </c>
      <c r="AT15">
        <v>1</v>
      </c>
      <c r="AU15">
        <v>6</v>
      </c>
      <c r="AV15" s="38">
        <v>46568</v>
      </c>
      <c r="AW15" s="43">
        <f t="shared" si="43"/>
        <v>12168466.075724928</v>
      </c>
      <c r="AX15" s="30">
        <v>2629305</v>
      </c>
      <c r="AY15" s="30">
        <f t="shared" si="9"/>
        <v>526004.86049427744</v>
      </c>
      <c r="AZ15" s="30">
        <f t="shared" si="44"/>
        <v>608423.30378624646</v>
      </c>
      <c r="BA15" s="30">
        <f t="shared" si="45"/>
        <v>1134428.164280524</v>
      </c>
      <c r="BB15" s="33">
        <f t="shared" si="10"/>
        <v>14271766.215230651</v>
      </c>
      <c r="BC15" s="43">
        <f t="shared" si="46"/>
        <v>13084400.259962823</v>
      </c>
      <c r="BD15" s="30">
        <v>2616880.0519925645</v>
      </c>
      <c r="BE15" s="30">
        <f t="shared" si="68"/>
        <v>0</v>
      </c>
      <c r="BF15" s="30">
        <f t="shared" si="47"/>
        <v>523376.01039851294</v>
      </c>
      <c r="BG15" s="30">
        <f t="shared" si="48"/>
        <v>523376.01039851294</v>
      </c>
      <c r="BH15" s="33">
        <f t="shared" si="12"/>
        <v>15701280.311955389</v>
      </c>
      <c r="BI15" s="30">
        <f t="shared" si="13"/>
        <v>526004.86049427744</v>
      </c>
      <c r="BJ15" s="30">
        <f t="shared" si="14"/>
        <v>1131799.3141847593</v>
      </c>
      <c r="BK15" s="33">
        <f t="shared" si="15"/>
        <v>1657804.174679037</v>
      </c>
      <c r="BM15" s="3" t="str">
        <f>Inputs!$A9</f>
        <v>Bond/PennVest Rate:</v>
      </c>
      <c r="BN15" s="72" cm="1">
        <f t="array" ref="BN15">INDEX(INDEX(projectData,0,BM$1),_xlfn.XMATCH(BM15,projectInfo,0))</f>
        <v>0.05</v>
      </c>
      <c r="BP15" t="s">
        <v>37</v>
      </c>
      <c r="BQ15" s="70">
        <f>SUMPRODUCT(_xlfn.ANCHORARRAY(BS10),CE10:CE54)/CE9</f>
        <v>29.636537664807779</v>
      </c>
      <c r="BS15">
        <v>2.9972222222222222</v>
      </c>
      <c r="BT15">
        <v>1</v>
      </c>
      <c r="BU15">
        <v>6</v>
      </c>
      <c r="BV15" s="38">
        <v>46568</v>
      </c>
      <c r="BW15" s="43">
        <f t="shared" si="49"/>
        <v>21990602.224297564</v>
      </c>
      <c r="BX15" s="30">
        <v>7628920.0000000009</v>
      </c>
      <c r="BY15" s="30">
        <f t="shared" si="16"/>
        <v>1504668.6644875582</v>
      </c>
      <c r="BZ15" s="30">
        <f t="shared" si="50"/>
        <v>1099530.1112148783</v>
      </c>
      <c r="CA15" s="30">
        <f t="shared" si="51"/>
        <v>2604198.7757024365</v>
      </c>
      <c r="CB15" s="33">
        <f t="shared" si="17"/>
        <v>28114853.559810005</v>
      </c>
      <c r="CC15" s="43">
        <f t="shared" si="52"/>
        <v>23690479.115018487</v>
      </c>
      <c r="CD15" s="30">
        <v>7715834.270285584</v>
      </c>
      <c r="CE15" s="30">
        <f t="shared" si="69"/>
        <v>0</v>
      </c>
      <c r="CF15" s="30">
        <f t="shared" si="53"/>
        <v>947619.16460073949</v>
      </c>
      <c r="CG15" s="30">
        <f t="shared" si="54"/>
        <v>947619.16460073949</v>
      </c>
      <c r="CH15" s="33">
        <f t="shared" si="19"/>
        <v>31406313.385304071</v>
      </c>
      <c r="CI15" s="30">
        <f t="shared" si="20"/>
        <v>1504668.6644875582</v>
      </c>
      <c r="CJ15" s="30">
        <f t="shared" si="21"/>
        <v>2047149.2758156178</v>
      </c>
      <c r="CK15" s="33">
        <f t="shared" si="22"/>
        <v>3551817.9403031757</v>
      </c>
      <c r="CM15" s="3" t="str">
        <f>Inputs!$A9</f>
        <v>Bond/PennVest Rate:</v>
      </c>
      <c r="CN15" s="72" cm="1">
        <f t="array" ref="CN15">INDEX(INDEX(projectData,0,CM$1),_xlfn.XMATCH(CM15,projectInfo,0))</f>
        <v>0.05</v>
      </c>
      <c r="CP15" t="s">
        <v>37</v>
      </c>
      <c r="CQ15" s="70">
        <f>SUMPRODUCT(_xlfn.ANCHORARRAY(CS10),DE10:DE54)/DE9</f>
        <v>30.636537664807776</v>
      </c>
      <c r="CS15">
        <v>1.9972222222222222</v>
      </c>
      <c r="CT15">
        <v>1</v>
      </c>
      <c r="CU15">
        <v>6</v>
      </c>
      <c r="CV15" s="38">
        <v>46568</v>
      </c>
      <c r="CW15" s="43">
        <f t="shared" si="55"/>
        <v>21513615.098500002</v>
      </c>
      <c r="CX15" s="30">
        <v>32270422.647749998</v>
      </c>
      <c r="CY15" s="30">
        <f t="shared" si="23"/>
        <v>0</v>
      </c>
      <c r="CZ15" s="30">
        <f t="shared" si="56"/>
        <v>1075680.7549250002</v>
      </c>
      <c r="DA15" s="30">
        <f t="shared" si="57"/>
        <v>1075680.7549250002</v>
      </c>
      <c r="DB15" s="33">
        <f t="shared" si="24"/>
        <v>53784037.746250004</v>
      </c>
      <c r="DC15" s="43">
        <f t="shared" si="58"/>
        <v>21660939.60694598</v>
      </c>
      <c r="DD15" s="30">
        <v>32491409.410418954</v>
      </c>
      <c r="DE15" s="30">
        <f t="shared" si="70"/>
        <v>0</v>
      </c>
      <c r="DF15" s="30">
        <f t="shared" si="59"/>
        <v>866437.58427783928</v>
      </c>
      <c r="DG15" s="30">
        <f t="shared" si="60"/>
        <v>866437.58427783928</v>
      </c>
      <c r="DH15" s="33">
        <f t="shared" si="26"/>
        <v>54152349.017364934</v>
      </c>
      <c r="DI15" s="30">
        <f t="shared" si="27"/>
        <v>0</v>
      </c>
      <c r="DJ15" s="30">
        <f t="shared" si="28"/>
        <v>1942118.3392028394</v>
      </c>
      <c r="DK15" s="33">
        <f t="shared" si="29"/>
        <v>1942118.3392028394</v>
      </c>
      <c r="DM15" s="3" t="str">
        <f>Inputs!$A9</f>
        <v>Bond/PennVest Rate:</v>
      </c>
      <c r="DN15" s="72" cm="1">
        <f t="array" ref="DN15">INDEX(INDEX(projectData,0,DM$1),_xlfn.XMATCH(DM15,projectInfo,0))</f>
        <v>0.05</v>
      </c>
      <c r="DP15" t="s">
        <v>37</v>
      </c>
      <c r="DQ15" s="70">
        <f>SUMPRODUCT(_xlfn.ANCHORARRAY(DS10),EE10:EE54)/EE9</f>
        <v>29.636537664807772</v>
      </c>
      <c r="DS15">
        <v>2.7777777777777779E-3</v>
      </c>
      <c r="DT15">
        <v>1</v>
      </c>
      <c r="DU15">
        <v>6</v>
      </c>
      <c r="DV15" s="38">
        <v>46568</v>
      </c>
      <c r="DW15" s="43">
        <f t="shared" si="61"/>
        <v>0</v>
      </c>
      <c r="DX15" s="30">
        <v>15968539.999999998</v>
      </c>
      <c r="DY15" s="30">
        <f t="shared" si="30"/>
        <v>0</v>
      </c>
      <c r="DZ15" s="30">
        <f t="shared" si="62"/>
        <v>0</v>
      </c>
      <c r="EA15" s="30">
        <f t="shared" si="63"/>
        <v>0</v>
      </c>
      <c r="EB15" s="33">
        <f t="shared" si="31"/>
        <v>15968539.999999998</v>
      </c>
      <c r="EC15" s="43">
        <f t="shared" si="64"/>
        <v>0</v>
      </c>
      <c r="ED15" s="30">
        <v>15739121.097019736</v>
      </c>
      <c r="EE15" s="30">
        <f t="shared" si="71"/>
        <v>0</v>
      </c>
      <c r="EF15" s="30">
        <f t="shared" si="65"/>
        <v>0</v>
      </c>
      <c r="EG15" s="30">
        <f t="shared" si="66"/>
        <v>0</v>
      </c>
      <c r="EH15" s="33">
        <f t="shared" si="33"/>
        <v>15739121.097019736</v>
      </c>
      <c r="EI15" s="30">
        <f t="shared" si="34"/>
        <v>0</v>
      </c>
      <c r="EJ15" s="30">
        <f t="shared" si="35"/>
        <v>0</v>
      </c>
      <c r="EK15" s="33">
        <f t="shared" si="36"/>
        <v>0</v>
      </c>
    </row>
    <row r="16" spans="1:141" x14ac:dyDescent="0.25">
      <c r="A16" s="20"/>
      <c r="C16" s="38">
        <v>46934</v>
      </c>
      <c r="D16" s="43">
        <f t="shared" si="37"/>
        <v>59246067.35225001</v>
      </c>
      <c r="E16" s="30">
        <f t="shared" si="1"/>
        <v>4486283.2323592855</v>
      </c>
      <c r="F16" s="30">
        <f t="shared" si="1"/>
        <v>5606959.8760645334</v>
      </c>
      <c r="G16" s="33">
        <f t="shared" si="1"/>
        <v>10093243.108423818</v>
      </c>
      <c r="H16" s="43">
        <f t="shared" si="1"/>
        <v>59126699.644517176</v>
      </c>
      <c r="I16" s="30">
        <f t="shared" si="1"/>
        <v>742825.69136189541</v>
      </c>
      <c r="J16" s="30">
        <f t="shared" si="1"/>
        <v>5316927.556959752</v>
      </c>
      <c r="K16" s="33">
        <f t="shared" si="1"/>
        <v>6059753.2483216468</v>
      </c>
      <c r="M16" s="3" t="str">
        <f>Inputs!$A10</f>
        <v>WIFIA Rate:</v>
      </c>
      <c r="N16" s="72" cm="1">
        <f t="array" ref="N16">INDEX(INDEX(projectData,0,M$1),_xlfn.XMATCH(M16,projectInfo,0))</f>
        <v>3.5000000000000003E-2</v>
      </c>
      <c r="P16" t="s">
        <v>38</v>
      </c>
      <c r="Q16" s="3">
        <f>_xlfn.MAXIFS(M19:M27,N19:N27,"&lt;&gt;0")</f>
        <v>46203</v>
      </c>
      <c r="S16">
        <v>5.5805555555555557</v>
      </c>
      <c r="T16">
        <v>1</v>
      </c>
      <c r="U16">
        <v>7</v>
      </c>
      <c r="V16" s="38">
        <v>46934</v>
      </c>
      <c r="W16" s="43">
        <f t="shared" si="38"/>
        <v>20637435.095100001</v>
      </c>
      <c r="X16" s="30">
        <f>IFERROR(VLOOKUP(V16,Inputs!$A$13:$B$23,2,0),0)*$X$5</f>
        <v>0</v>
      </c>
      <c r="Y16" s="30">
        <v>0</v>
      </c>
      <c r="Z16" s="30">
        <v>0</v>
      </c>
      <c r="AA16" s="30">
        <f t="shared" si="39"/>
        <v>0</v>
      </c>
      <c r="AB16" s="33">
        <f t="shared" si="3"/>
        <v>20637435.095100001</v>
      </c>
      <c r="AC16" s="43">
        <f t="shared" si="40"/>
        <v>18199000.128399611</v>
      </c>
      <c r="AD16" s="30">
        <f>IFERROR(VLOOKUP(C16,Inputs!$A$13:$B$23,2,0),0)*'PV &amp; WIFIA New'!$AD$5</f>
        <v>0</v>
      </c>
      <c r="AE16" s="30">
        <f t="shared" si="67"/>
        <v>742825.69136189541</v>
      </c>
      <c r="AF16" s="30">
        <f t="shared" si="41"/>
        <v>636965.00449398637</v>
      </c>
      <c r="AG16" s="30">
        <f t="shared" si="42"/>
        <v>1379790.6958558818</v>
      </c>
      <c r="AH16" s="33">
        <f t="shared" si="5"/>
        <v>17456174.437037714</v>
      </c>
      <c r="AI16" s="30">
        <f t="shared" si="6"/>
        <v>742825.69136189541</v>
      </c>
      <c r="AJ16" s="30">
        <f t="shared" si="7"/>
        <v>636965.00449398637</v>
      </c>
      <c r="AK16" s="33">
        <f t="shared" si="8"/>
        <v>1379790.6958558818</v>
      </c>
      <c r="AM16" s="3" t="str">
        <f>Inputs!$A10</f>
        <v>WIFIA Rate:</v>
      </c>
      <c r="AN16" s="72" cm="1">
        <f t="array" ref="AN16">INDEX(INDEX(projectData,0,AM$1),_xlfn.XMATCH(AM16,projectInfo,0))</f>
        <v>0.04</v>
      </c>
      <c r="AP16" t="s">
        <v>38</v>
      </c>
      <c r="AQ16" s="3">
        <f>_xlfn.MAXIFS(AM19:AM27,AN19:AN27,"&lt;&gt;0")</f>
        <v>46568</v>
      </c>
      <c r="AS16">
        <v>4.9972222222222218</v>
      </c>
      <c r="AT16">
        <v>1</v>
      </c>
      <c r="AU16">
        <v>7</v>
      </c>
      <c r="AV16" s="38">
        <v>46934</v>
      </c>
      <c r="AW16" s="43">
        <f t="shared" si="43"/>
        <v>14271766.215230651</v>
      </c>
      <c r="AX16" s="30">
        <v>0</v>
      </c>
      <c r="AY16" s="30">
        <f t="shared" si="9"/>
        <v>552305.10351899127</v>
      </c>
      <c r="AZ16" s="30">
        <f t="shared" si="44"/>
        <v>713588.31076153263</v>
      </c>
      <c r="BA16" s="30">
        <f t="shared" si="45"/>
        <v>1265893.414280524</v>
      </c>
      <c r="BB16" s="33">
        <f t="shared" si="10"/>
        <v>13719461.11171166</v>
      </c>
      <c r="BC16" s="43">
        <f t="shared" si="46"/>
        <v>15701280.311955389</v>
      </c>
      <c r="BD16" s="30">
        <v>0</v>
      </c>
      <c r="BE16" s="30">
        <f t="shared" si="68"/>
        <v>0</v>
      </c>
      <c r="BF16" s="30">
        <f t="shared" si="47"/>
        <v>628051.21247821557</v>
      </c>
      <c r="BG16" s="30">
        <f t="shared" si="48"/>
        <v>628051.21247821557</v>
      </c>
      <c r="BH16" s="33">
        <f t="shared" si="12"/>
        <v>15701280.311955389</v>
      </c>
      <c r="BI16" s="30">
        <f t="shared" si="13"/>
        <v>552305.10351899127</v>
      </c>
      <c r="BJ16" s="30">
        <f t="shared" si="14"/>
        <v>1341639.5232397481</v>
      </c>
      <c r="BK16" s="33">
        <f t="shared" si="15"/>
        <v>1893944.6267587396</v>
      </c>
      <c r="BM16" s="3" t="str">
        <f>Inputs!$A10</f>
        <v>WIFIA Rate:</v>
      </c>
      <c r="BN16" s="72" cm="1">
        <f t="array" ref="BN16">INDEX(INDEX(projectData,0,BM$1),_xlfn.XMATCH(BM16,projectInfo,0))</f>
        <v>0.04</v>
      </c>
      <c r="BP16" t="s">
        <v>38</v>
      </c>
      <c r="BQ16" s="3">
        <f>_xlfn.MAXIFS(BM19:BM27,BN19:BN27,"&lt;&gt;0")</f>
        <v>47299</v>
      </c>
      <c r="BS16">
        <v>3.9972222222222222</v>
      </c>
      <c r="BT16">
        <v>1</v>
      </c>
      <c r="BU16">
        <v>7</v>
      </c>
      <c r="BV16" s="38">
        <v>46934</v>
      </c>
      <c r="BW16" s="43">
        <f t="shared" si="49"/>
        <v>28114853.559810005</v>
      </c>
      <c r="BX16" s="30">
        <v>12248670</v>
      </c>
      <c r="BY16" s="30">
        <f t="shared" si="16"/>
        <v>1579902.0977119361</v>
      </c>
      <c r="BZ16" s="30">
        <f t="shared" si="50"/>
        <v>1405742.6779905003</v>
      </c>
      <c r="CA16" s="30">
        <f t="shared" si="51"/>
        <v>2985644.7757024365</v>
      </c>
      <c r="CB16" s="33">
        <f t="shared" si="17"/>
        <v>38783621.462098069</v>
      </c>
      <c r="CC16" s="43">
        <f t="shared" si="52"/>
        <v>31406313.385304071</v>
      </c>
      <c r="CD16" s="30">
        <v>12388215.861670975</v>
      </c>
      <c r="CE16" s="30">
        <f t="shared" si="69"/>
        <v>0</v>
      </c>
      <c r="CF16" s="30">
        <f t="shared" si="53"/>
        <v>1256252.5354121628</v>
      </c>
      <c r="CG16" s="30">
        <f t="shared" si="54"/>
        <v>1256252.5354121628</v>
      </c>
      <c r="CH16" s="33">
        <f t="shared" si="19"/>
        <v>43794529.246975049</v>
      </c>
      <c r="CI16" s="30">
        <f t="shared" si="20"/>
        <v>1579902.0977119361</v>
      </c>
      <c r="CJ16" s="30">
        <f t="shared" si="21"/>
        <v>2661995.2134026634</v>
      </c>
      <c r="CK16" s="33">
        <f t="shared" si="22"/>
        <v>4241897.311114599</v>
      </c>
      <c r="CM16" s="3" t="str">
        <f>Inputs!$A10</f>
        <v>WIFIA Rate:</v>
      </c>
      <c r="CN16" s="72" cm="1">
        <f t="array" ref="CN16">INDEX(INDEX(projectData,0,CM$1),_xlfn.XMATCH(CM16,projectInfo,0))</f>
        <v>0.04</v>
      </c>
      <c r="CP16" t="s">
        <v>38</v>
      </c>
      <c r="CQ16" s="3">
        <f>_xlfn.MAXIFS(CM19:CM27,CN19:CN27,"&lt;&gt;0")</f>
        <v>47299</v>
      </c>
      <c r="CS16">
        <v>2.9972222222222222</v>
      </c>
      <c r="CT16">
        <v>1</v>
      </c>
      <c r="CU16">
        <v>7</v>
      </c>
      <c r="CV16" s="38">
        <v>46934</v>
      </c>
      <c r="CW16" s="43">
        <f t="shared" si="55"/>
        <v>53784037.746250004</v>
      </c>
      <c r="CX16" s="30">
        <v>19622757.352250006</v>
      </c>
      <c r="CY16" s="30">
        <f t="shared" si="23"/>
        <v>2354076.0311283581</v>
      </c>
      <c r="CZ16" s="30">
        <f t="shared" si="56"/>
        <v>2689201.8873125003</v>
      </c>
      <c r="DA16" s="30">
        <f t="shared" si="57"/>
        <v>5043277.9184408579</v>
      </c>
      <c r="DB16" s="33">
        <f t="shared" si="24"/>
        <v>71052719.067371652</v>
      </c>
      <c r="DC16" s="43">
        <f t="shared" si="58"/>
        <v>54152349.017364934</v>
      </c>
      <c r="DD16" s="30">
        <v>19757133.330812365</v>
      </c>
      <c r="DE16" s="30">
        <f t="shared" si="70"/>
        <v>0</v>
      </c>
      <c r="DF16" s="30">
        <f t="shared" si="59"/>
        <v>2166093.9606945976</v>
      </c>
      <c r="DG16" s="30">
        <f t="shared" si="60"/>
        <v>2166093.9606945976</v>
      </c>
      <c r="DH16" s="33">
        <f t="shared" si="26"/>
        <v>73909482.348177299</v>
      </c>
      <c r="DI16" s="30">
        <f t="shared" si="27"/>
        <v>2354076.0311283581</v>
      </c>
      <c r="DJ16" s="30">
        <f t="shared" si="28"/>
        <v>4855295.8480070978</v>
      </c>
      <c r="DK16" s="33">
        <f t="shared" si="29"/>
        <v>7209371.8791354559</v>
      </c>
      <c r="DM16" s="3" t="str">
        <f>Inputs!$A10</f>
        <v>WIFIA Rate:</v>
      </c>
      <c r="DN16" s="72" cm="1">
        <f t="array" ref="DN16">INDEX(INDEX(projectData,0,DM$1),_xlfn.XMATCH(DM16,projectInfo,0))</f>
        <v>0.04</v>
      </c>
      <c r="DP16" t="s">
        <v>38</v>
      </c>
      <c r="DQ16" s="3">
        <f>_xlfn.MAXIFS(DM19:DM27,DN19:DN27,"&lt;&gt;0")</f>
        <v>47664</v>
      </c>
      <c r="DS16">
        <v>0.99722222222222223</v>
      </c>
      <c r="DT16">
        <v>1</v>
      </c>
      <c r="DU16">
        <v>7</v>
      </c>
      <c r="DV16" s="38">
        <v>46934</v>
      </c>
      <c r="DW16" s="43">
        <f t="shared" si="61"/>
        <v>15968539.999999998</v>
      </c>
      <c r="DX16" s="30">
        <v>27374640</v>
      </c>
      <c r="DY16" s="30">
        <f t="shared" si="30"/>
        <v>0</v>
      </c>
      <c r="DZ16" s="30">
        <f t="shared" si="62"/>
        <v>798427</v>
      </c>
      <c r="EA16" s="30">
        <f t="shared" si="63"/>
        <v>798427</v>
      </c>
      <c r="EB16" s="33">
        <f t="shared" si="31"/>
        <v>43343180</v>
      </c>
      <c r="EC16" s="43">
        <f t="shared" si="64"/>
        <v>15739121.097019736</v>
      </c>
      <c r="ED16" s="30">
        <v>26981350.452033836</v>
      </c>
      <c r="EE16" s="30">
        <f t="shared" si="71"/>
        <v>0</v>
      </c>
      <c r="EF16" s="30">
        <f t="shared" si="65"/>
        <v>629564.84388078947</v>
      </c>
      <c r="EG16" s="30">
        <f t="shared" si="66"/>
        <v>629564.84388078947</v>
      </c>
      <c r="EH16" s="33">
        <f t="shared" si="33"/>
        <v>42720471.549053572</v>
      </c>
      <c r="EI16" s="30">
        <f t="shared" si="34"/>
        <v>0</v>
      </c>
      <c r="EJ16" s="30">
        <f t="shared" si="35"/>
        <v>1427991.8438807894</v>
      </c>
      <c r="EK16" s="33">
        <f t="shared" si="36"/>
        <v>1427991.8438807894</v>
      </c>
    </row>
    <row r="17" spans="1:141" x14ac:dyDescent="0.25">
      <c r="A17" s="20"/>
      <c r="C17" s="38">
        <v>47299</v>
      </c>
      <c r="D17" s="43">
        <f t="shared" si="37"/>
        <v>48123086.719681822</v>
      </c>
      <c r="E17" s="30">
        <f t="shared" si="1"/>
        <v>10263784.198405799</v>
      </c>
      <c r="F17" s="30">
        <f t="shared" si="1"/>
        <v>8344949.0820590695</v>
      </c>
      <c r="G17" s="33">
        <f t="shared" si="1"/>
        <v>18608733.280464869</v>
      </c>
      <c r="H17" s="43">
        <f t="shared" si="1"/>
        <v>47630924.669353507</v>
      </c>
      <c r="I17" s="30">
        <f t="shared" si="1"/>
        <v>768824.59055956174</v>
      </c>
      <c r="J17" s="30">
        <f t="shared" si="1"/>
        <v>7655996.6435427722</v>
      </c>
      <c r="K17" s="33">
        <f t="shared" si="1"/>
        <v>8424821.2341023348</v>
      </c>
      <c r="M17" s="3" t="str">
        <f>Inputs!$A11</f>
        <v>Cost of Issuance:</v>
      </c>
      <c r="N17" s="72" t="s">
        <v>57</v>
      </c>
      <c r="P17" t="s">
        <v>39</v>
      </c>
      <c r="Q17" s="20">
        <f>SUMIF(_xlfn.ANCHORARRAY(V10),"&lt;="&amp;Q16,Z10:Z54)</f>
        <v>0</v>
      </c>
      <c r="S17">
        <v>6.5805555555555557</v>
      </c>
      <c r="T17">
        <v>1</v>
      </c>
      <c r="U17">
        <v>8</v>
      </c>
      <c r="V17" s="38">
        <v>47299</v>
      </c>
      <c r="W17" s="43">
        <f t="shared" si="38"/>
        <v>20637435.095100001</v>
      </c>
      <c r="X17" s="30">
        <f>IFERROR(VLOOKUP(V17,Inputs!$A$13:$B$23,2,0),0)*$X$5</f>
        <v>0</v>
      </c>
      <c r="Y17" s="30">
        <v>0</v>
      </c>
      <c r="Z17" s="30">
        <v>0</v>
      </c>
      <c r="AA17" s="30">
        <f t="shared" si="39"/>
        <v>0</v>
      </c>
      <c r="AB17" s="33">
        <f t="shared" si="3"/>
        <v>20637435.095100001</v>
      </c>
      <c r="AC17" s="43">
        <f t="shared" si="40"/>
        <v>17456174.437037714</v>
      </c>
      <c r="AD17" s="30">
        <f>IFERROR(VLOOKUP(C17,Inputs!$A$13:$B$23,2,0),0)*'PV &amp; WIFIA New'!$AD$5</f>
        <v>0</v>
      </c>
      <c r="AE17" s="30">
        <f t="shared" si="67"/>
        <v>768824.59055956174</v>
      </c>
      <c r="AF17" s="30">
        <f t="shared" si="41"/>
        <v>610966.10529632005</v>
      </c>
      <c r="AG17" s="30">
        <f t="shared" si="42"/>
        <v>1379790.6958558818</v>
      </c>
      <c r="AH17" s="33">
        <f t="shared" si="5"/>
        <v>16687349.846478153</v>
      </c>
      <c r="AI17" s="30">
        <f t="shared" si="6"/>
        <v>768824.59055956174</v>
      </c>
      <c r="AJ17" s="30">
        <f t="shared" si="7"/>
        <v>610966.10529632005</v>
      </c>
      <c r="AK17" s="33">
        <f t="shared" si="8"/>
        <v>1379790.6958558818</v>
      </c>
      <c r="AM17" s="3" t="str">
        <f>Inputs!$A11</f>
        <v>Cost of Issuance:</v>
      </c>
      <c r="AN17" s="72" t="s">
        <v>57</v>
      </c>
      <c r="AP17" t="s">
        <v>39</v>
      </c>
      <c r="AQ17" s="20">
        <f>SUMIF(_xlfn.ANCHORARRAY(AV10),"&lt;="&amp;AQ16,AZ10:AZ54)</f>
        <v>1110429.2080722204</v>
      </c>
      <c r="AS17">
        <v>5.9972222222222218</v>
      </c>
      <c r="AT17">
        <v>1</v>
      </c>
      <c r="AU17">
        <v>8</v>
      </c>
      <c r="AV17" s="38">
        <v>47299</v>
      </c>
      <c r="AW17" s="43">
        <f t="shared" si="43"/>
        <v>13719461.11171166</v>
      </c>
      <c r="AX17" s="30">
        <v>0</v>
      </c>
      <c r="AY17" s="30">
        <f t="shared" si="9"/>
        <v>579920.35869494081</v>
      </c>
      <c r="AZ17" s="30">
        <f t="shared" si="44"/>
        <v>685973.05558558309</v>
      </c>
      <c r="BA17" s="30">
        <f t="shared" si="45"/>
        <v>1265893.414280524</v>
      </c>
      <c r="BB17" s="33">
        <f t="shared" si="10"/>
        <v>13139540.75301672</v>
      </c>
      <c r="BC17" s="43">
        <f t="shared" si="46"/>
        <v>15701280.311955389</v>
      </c>
      <c r="BD17" s="30">
        <v>0</v>
      </c>
      <c r="BE17" s="30">
        <f t="shared" si="68"/>
        <v>0</v>
      </c>
      <c r="BF17" s="30">
        <f t="shared" si="47"/>
        <v>628051.21247821557</v>
      </c>
      <c r="BG17" s="30">
        <f t="shared" si="48"/>
        <v>628051.21247821557</v>
      </c>
      <c r="BH17" s="33">
        <f t="shared" si="12"/>
        <v>15701280.311955389</v>
      </c>
      <c r="BI17" s="30">
        <f t="shared" si="13"/>
        <v>579920.35869494081</v>
      </c>
      <c r="BJ17" s="30">
        <f t="shared" si="14"/>
        <v>1314024.2680637985</v>
      </c>
      <c r="BK17" s="33">
        <f t="shared" si="15"/>
        <v>1893944.6267587396</v>
      </c>
      <c r="BM17" s="3" t="str">
        <f>Inputs!$A11</f>
        <v>Cost of Issuance:</v>
      </c>
      <c r="BN17" s="72" t="s">
        <v>57</v>
      </c>
      <c r="BP17" t="s">
        <v>39</v>
      </c>
      <c r="BQ17" s="20">
        <f>SUMIF(_xlfn.ANCHORARRAY(BV10),"&lt;="&amp;BQ16,BZ10:BZ54)</f>
        <v>4893948.0289769489</v>
      </c>
      <c r="BS17">
        <v>4.9972222222222218</v>
      </c>
      <c r="BT17">
        <v>1</v>
      </c>
      <c r="BU17">
        <v>8</v>
      </c>
      <c r="BV17" s="38">
        <v>47299</v>
      </c>
      <c r="BW17" s="43">
        <f t="shared" si="49"/>
        <v>38783621.462098069</v>
      </c>
      <c r="BX17" s="30">
        <v>4082889.9999999986</v>
      </c>
      <c r="BY17" s="30">
        <f t="shared" si="16"/>
        <v>1658897.2025975327</v>
      </c>
      <c r="BZ17" s="30">
        <f t="shared" si="50"/>
        <v>1939181.0731049036</v>
      </c>
      <c r="CA17" s="30">
        <f t="shared" si="51"/>
        <v>3598078.2757024365</v>
      </c>
      <c r="CB17" s="33">
        <f t="shared" si="17"/>
        <v>41207614.259500533</v>
      </c>
      <c r="CC17" s="43">
        <f t="shared" si="52"/>
        <v>43794529.246975049</v>
      </c>
      <c r="CD17" s="30">
        <v>4129405.2872236567</v>
      </c>
      <c r="CE17" s="30">
        <f t="shared" si="69"/>
        <v>0</v>
      </c>
      <c r="CF17" s="30">
        <f t="shared" si="53"/>
        <v>1751781.169879002</v>
      </c>
      <c r="CG17" s="30">
        <f t="shared" si="54"/>
        <v>1751781.169879002</v>
      </c>
      <c r="CH17" s="33">
        <f t="shared" si="19"/>
        <v>47923934.534198709</v>
      </c>
      <c r="CI17" s="30">
        <f t="shared" si="20"/>
        <v>1658897.2025975327</v>
      </c>
      <c r="CJ17" s="30">
        <f t="shared" si="21"/>
        <v>3690962.2429839056</v>
      </c>
      <c r="CK17" s="33">
        <f t="shared" si="22"/>
        <v>5349859.445581438</v>
      </c>
      <c r="CM17" s="3" t="str">
        <f>Inputs!$A11</f>
        <v>Cost of Issuance:</v>
      </c>
      <c r="CN17" s="72" t="s">
        <v>57</v>
      </c>
      <c r="CP17" t="s">
        <v>39</v>
      </c>
      <c r="CQ17" s="20">
        <f>SUMIF(_xlfn.ANCHORARRAY(CV10),"&lt;="&amp;CQ16,CZ10:CZ54)</f>
        <v>7317518.5956060831</v>
      </c>
      <c r="CS17">
        <v>3.9972222222222222</v>
      </c>
      <c r="CT17">
        <v>1</v>
      </c>
      <c r="CU17">
        <v>8</v>
      </c>
      <c r="CV17" s="38">
        <v>47299</v>
      </c>
      <c r="CW17" s="43">
        <f t="shared" si="55"/>
        <v>71052719.067371652</v>
      </c>
      <c r="CX17" s="30">
        <v>4432974.9015000006</v>
      </c>
      <c r="CY17" s="30">
        <f t="shared" si="23"/>
        <v>2471779.8326847763</v>
      </c>
      <c r="CZ17" s="30">
        <f t="shared" si="56"/>
        <v>3552635.9533685828</v>
      </c>
      <c r="DA17" s="30">
        <f t="shared" si="57"/>
        <v>6024415.7860533595</v>
      </c>
      <c r="DB17" s="33">
        <f t="shared" si="24"/>
        <v>73013914.136186883</v>
      </c>
      <c r="DC17" s="43">
        <f t="shared" si="58"/>
        <v>73909482.348177299</v>
      </c>
      <c r="DD17" s="30">
        <v>4463331.7636696855</v>
      </c>
      <c r="DE17" s="30">
        <f t="shared" si="70"/>
        <v>0</v>
      </c>
      <c r="DF17" s="30">
        <f t="shared" si="59"/>
        <v>2956379.2939270921</v>
      </c>
      <c r="DG17" s="30">
        <f t="shared" si="60"/>
        <v>2956379.2939270921</v>
      </c>
      <c r="DH17" s="33">
        <f t="shared" si="26"/>
        <v>78372814.111846983</v>
      </c>
      <c r="DI17" s="30">
        <f t="shared" si="27"/>
        <v>2471779.8326847763</v>
      </c>
      <c r="DJ17" s="30">
        <f t="shared" si="28"/>
        <v>6509015.2472956749</v>
      </c>
      <c r="DK17" s="33">
        <f t="shared" si="29"/>
        <v>8980795.0799804516</v>
      </c>
      <c r="DM17" s="3" t="str">
        <f>Inputs!$A11</f>
        <v>Cost of Issuance:</v>
      </c>
      <c r="DN17" s="72" t="s">
        <v>57</v>
      </c>
      <c r="DP17" t="s">
        <v>39</v>
      </c>
      <c r="DQ17" s="20">
        <f>SUMIF(_xlfn.ANCHORARRAY(DV10),"&lt;="&amp;DQ16,DZ10:DZ54)</f>
        <v>6835446.7506876634</v>
      </c>
      <c r="DS17">
        <v>1.9972222222222222</v>
      </c>
      <c r="DT17">
        <v>1</v>
      </c>
      <c r="DU17">
        <v>8</v>
      </c>
      <c r="DV17" s="38">
        <v>47299</v>
      </c>
      <c r="DW17" s="43">
        <f t="shared" si="61"/>
        <v>43343180</v>
      </c>
      <c r="DX17" s="30">
        <v>39607221.81818182</v>
      </c>
      <c r="DY17" s="30">
        <f t="shared" si="30"/>
        <v>5553186.8044285504</v>
      </c>
      <c r="DZ17" s="30">
        <f t="shared" si="62"/>
        <v>2167159</v>
      </c>
      <c r="EA17" s="30">
        <f t="shared" si="63"/>
        <v>7720345.8044285504</v>
      </c>
      <c r="EB17" s="33">
        <f t="shared" si="31"/>
        <v>77397215.013753265</v>
      </c>
      <c r="EC17" s="43">
        <f t="shared" si="64"/>
        <v>42720471.549053572</v>
      </c>
      <c r="ED17" s="30">
        <v>39038187.618460163</v>
      </c>
      <c r="EE17" s="30">
        <f t="shared" si="71"/>
        <v>0</v>
      </c>
      <c r="EF17" s="30">
        <f t="shared" si="65"/>
        <v>1708818.8619621429</v>
      </c>
      <c r="EG17" s="30">
        <f t="shared" si="66"/>
        <v>1708818.8619621429</v>
      </c>
      <c r="EH17" s="33">
        <f t="shared" si="33"/>
        <v>81758659.167513728</v>
      </c>
      <c r="EI17" s="30">
        <f t="shared" si="34"/>
        <v>5553186.8044285504</v>
      </c>
      <c r="EJ17" s="30">
        <f t="shared" si="35"/>
        <v>3875977.8619621429</v>
      </c>
      <c r="EK17" s="33">
        <f t="shared" si="36"/>
        <v>9429164.6663906928</v>
      </c>
    </row>
    <row r="18" spans="1:141" x14ac:dyDescent="0.25">
      <c r="A18" s="20"/>
      <c r="C18" s="38">
        <v>47664</v>
      </c>
      <c r="D18" s="43">
        <f t="shared" si="37"/>
        <v>51839803.636363633</v>
      </c>
      <c r="E18" s="30">
        <f t="shared" si="1"/>
        <v>10776973.408326089</v>
      </c>
      <c r="F18" s="30">
        <f t="shared" si="1"/>
        <v>10237914.208122872</v>
      </c>
      <c r="G18" s="33">
        <f t="shared" si="1"/>
        <v>21014887.616448961</v>
      </c>
      <c r="H18" s="43">
        <f t="shared" si="1"/>
        <v>51095024.784886487</v>
      </c>
      <c r="I18" s="30">
        <f t="shared" si="1"/>
        <v>795733.45122914633</v>
      </c>
      <c r="J18" s="30">
        <f t="shared" si="1"/>
        <v>9534324.7696473282</v>
      </c>
      <c r="K18" s="33">
        <f t="shared" si="1"/>
        <v>10330058.220876474</v>
      </c>
      <c r="M18" s="3" t="str">
        <f>Inputs!$A12</f>
        <v>Draws</v>
      </c>
      <c r="N18" cm="1">
        <f t="array" ref="N18">INDEX(INDEX(projectData,0,M$1),_xlfn.XMATCH(M18,projectInfo,0))</f>
        <v>0</v>
      </c>
      <c r="P18" t="s">
        <v>43</v>
      </c>
      <c r="Q18" s="20">
        <f>1000000*(M1=1)</f>
        <v>1000000</v>
      </c>
      <c r="S18">
        <v>7.5805555555555557</v>
      </c>
      <c r="T18">
        <v>1</v>
      </c>
      <c r="U18">
        <v>9</v>
      </c>
      <c r="V18" s="38">
        <v>47664</v>
      </c>
      <c r="W18" s="43">
        <f t="shared" si="38"/>
        <v>20637435.095100001</v>
      </c>
      <c r="X18" s="30">
        <f>IFERROR(VLOOKUP(V18,Inputs!$A$13:$B$23,2,0),0)*$X$5</f>
        <v>0</v>
      </c>
      <c r="Y18" s="30">
        <v>0</v>
      </c>
      <c r="Z18" s="30">
        <v>0</v>
      </c>
      <c r="AA18" s="30">
        <f t="shared" si="39"/>
        <v>0</v>
      </c>
      <c r="AB18" s="33">
        <f t="shared" si="3"/>
        <v>20637435.095100001</v>
      </c>
      <c r="AC18" s="43">
        <f t="shared" si="40"/>
        <v>16687349.846478153</v>
      </c>
      <c r="AD18" s="30">
        <f>IFERROR(VLOOKUP(C18,Inputs!$A$13:$B$23,2,0),0)*'PV &amp; WIFIA New'!$AD$5</f>
        <v>0</v>
      </c>
      <c r="AE18" s="30">
        <f t="shared" si="67"/>
        <v>795733.45122914633</v>
      </c>
      <c r="AF18" s="30">
        <f t="shared" si="41"/>
        <v>584057.24462673545</v>
      </c>
      <c r="AG18" s="30">
        <f t="shared" si="42"/>
        <v>1379790.6958558818</v>
      </c>
      <c r="AH18" s="33">
        <f t="shared" si="5"/>
        <v>15891616.395249007</v>
      </c>
      <c r="AI18" s="30">
        <f t="shared" si="6"/>
        <v>795733.45122914633</v>
      </c>
      <c r="AJ18" s="30">
        <f t="shared" si="7"/>
        <v>584057.24462673545</v>
      </c>
      <c r="AK18" s="33">
        <f t="shared" si="8"/>
        <v>1379790.6958558818</v>
      </c>
      <c r="AM18" s="3" t="str">
        <f>Inputs!$A12</f>
        <v>Draws</v>
      </c>
      <c r="AN18" cm="1">
        <f t="array" ref="AN18">INDEX(INDEX(projectData,0,AM$1),_xlfn.XMATCH(AM18,projectInfo,0))</f>
        <v>0</v>
      </c>
      <c r="AP18" t="s">
        <v>43</v>
      </c>
      <c r="AQ18" s="20">
        <f>1000000*(AM1=1)</f>
        <v>0</v>
      </c>
      <c r="AS18">
        <v>6.9972222222222218</v>
      </c>
      <c r="AT18">
        <v>1</v>
      </c>
      <c r="AU18">
        <v>9</v>
      </c>
      <c r="AV18" s="38">
        <v>47664</v>
      </c>
      <c r="AW18" s="43">
        <f t="shared" si="43"/>
        <v>13139540.75301672</v>
      </c>
      <c r="AX18" s="30">
        <v>0</v>
      </c>
      <c r="AY18" s="30">
        <f t="shared" si="9"/>
        <v>608916.37662968796</v>
      </c>
      <c r="AZ18" s="30">
        <f t="shared" si="44"/>
        <v>656977.03765083605</v>
      </c>
      <c r="BA18" s="30">
        <f t="shared" si="45"/>
        <v>1265893.414280524</v>
      </c>
      <c r="BB18" s="33">
        <f t="shared" si="10"/>
        <v>12530624.376387032</v>
      </c>
      <c r="BC18" s="43">
        <f t="shared" si="46"/>
        <v>15701280.311955389</v>
      </c>
      <c r="BD18" s="30">
        <v>0</v>
      </c>
      <c r="BE18" s="30">
        <f t="shared" si="68"/>
        <v>0</v>
      </c>
      <c r="BF18" s="30">
        <f t="shared" si="47"/>
        <v>628051.21247821557</v>
      </c>
      <c r="BG18" s="30">
        <f t="shared" si="48"/>
        <v>628051.21247821557</v>
      </c>
      <c r="BH18" s="33">
        <f t="shared" si="12"/>
        <v>15701280.311955389</v>
      </c>
      <c r="BI18" s="30">
        <f t="shared" si="13"/>
        <v>608916.37662968796</v>
      </c>
      <c r="BJ18" s="30">
        <f t="shared" si="14"/>
        <v>1285028.2501290515</v>
      </c>
      <c r="BK18" s="33">
        <f t="shared" si="15"/>
        <v>1893944.6267587396</v>
      </c>
      <c r="BM18" s="3" t="str">
        <f>Inputs!$A12</f>
        <v>Draws</v>
      </c>
      <c r="BN18" cm="1">
        <f t="array" ref="BN18">INDEX(INDEX(projectData,0,BM$1),_xlfn.XMATCH(BM18,projectInfo,0))</f>
        <v>0</v>
      </c>
      <c r="BP18" t="s">
        <v>43</v>
      </c>
      <c r="BQ18" s="20">
        <f>1000000*(BM1=1)</f>
        <v>0</v>
      </c>
      <c r="BS18">
        <v>5.9972222222222218</v>
      </c>
      <c r="BT18">
        <v>1</v>
      </c>
      <c r="BU18">
        <v>9</v>
      </c>
      <c r="BV18" s="38">
        <v>47664</v>
      </c>
      <c r="BW18" s="43">
        <f t="shared" si="49"/>
        <v>41207614.259500533</v>
      </c>
      <c r="BX18" s="30">
        <v>0</v>
      </c>
      <c r="BY18" s="30">
        <f t="shared" si="16"/>
        <v>1741842.0627274094</v>
      </c>
      <c r="BZ18" s="30">
        <f t="shared" si="50"/>
        <v>2060380.7129750268</v>
      </c>
      <c r="CA18" s="30">
        <f t="shared" si="51"/>
        <v>3802222.7757024365</v>
      </c>
      <c r="CB18" s="33">
        <f t="shared" si="17"/>
        <v>39465772.196773127</v>
      </c>
      <c r="CC18" s="43">
        <f t="shared" si="52"/>
        <v>47923934.534198709</v>
      </c>
      <c r="CD18" s="30">
        <v>0</v>
      </c>
      <c r="CE18" s="30">
        <f t="shared" si="69"/>
        <v>0</v>
      </c>
      <c r="CF18" s="30">
        <f t="shared" si="53"/>
        <v>1916957.3813679484</v>
      </c>
      <c r="CG18" s="30">
        <f t="shared" si="54"/>
        <v>1916957.3813679484</v>
      </c>
      <c r="CH18" s="33">
        <f t="shared" si="19"/>
        <v>47923934.534198709</v>
      </c>
      <c r="CI18" s="30">
        <f t="shared" si="20"/>
        <v>1741842.0627274094</v>
      </c>
      <c r="CJ18" s="30">
        <f t="shared" si="21"/>
        <v>3977338.0943429749</v>
      </c>
      <c r="CK18" s="33">
        <f t="shared" si="22"/>
        <v>5719180.1570703853</v>
      </c>
      <c r="CM18" s="3" t="str">
        <f>Inputs!$A12</f>
        <v>Draws</v>
      </c>
      <c r="CN18" cm="1">
        <f t="array" ref="CN18">INDEX(INDEX(projectData,0,CM$1),_xlfn.XMATCH(CM18,projectInfo,0))</f>
        <v>0</v>
      </c>
      <c r="CP18" t="s">
        <v>43</v>
      </c>
      <c r="CQ18" s="20">
        <f>1000000*(CM1=1)</f>
        <v>0</v>
      </c>
      <c r="CS18">
        <v>4.9972222222222218</v>
      </c>
      <c r="CT18">
        <v>1</v>
      </c>
      <c r="CU18">
        <v>9</v>
      </c>
      <c r="CV18" s="38">
        <v>47664</v>
      </c>
      <c r="CW18" s="43">
        <f t="shared" si="55"/>
        <v>73013914.136186883</v>
      </c>
      <c r="CX18" s="30">
        <v>0</v>
      </c>
      <c r="CY18" s="30">
        <f t="shared" si="23"/>
        <v>2595368.8243190153</v>
      </c>
      <c r="CZ18" s="30">
        <f t="shared" si="56"/>
        <v>3650695.7068093442</v>
      </c>
      <c r="DA18" s="30">
        <f t="shared" si="57"/>
        <v>6246064.53112836</v>
      </c>
      <c r="DB18" s="33">
        <f t="shared" si="24"/>
        <v>70418545.311867863</v>
      </c>
      <c r="DC18" s="43">
        <f t="shared" si="58"/>
        <v>78372814.111846983</v>
      </c>
      <c r="DD18" s="30">
        <v>0</v>
      </c>
      <c r="DE18" s="30">
        <f t="shared" si="70"/>
        <v>0</v>
      </c>
      <c r="DF18" s="30">
        <f t="shared" si="59"/>
        <v>3134912.5644738795</v>
      </c>
      <c r="DG18" s="30">
        <f t="shared" si="60"/>
        <v>3134912.5644738795</v>
      </c>
      <c r="DH18" s="33">
        <f t="shared" si="26"/>
        <v>78372814.111846983</v>
      </c>
      <c r="DI18" s="30">
        <f t="shared" si="27"/>
        <v>2595368.8243190153</v>
      </c>
      <c r="DJ18" s="30">
        <f t="shared" si="28"/>
        <v>6785608.2712832242</v>
      </c>
      <c r="DK18" s="33">
        <f t="shared" si="29"/>
        <v>9380977.0956022404</v>
      </c>
      <c r="DM18" s="3" t="str">
        <f>Inputs!$A12</f>
        <v>Draws</v>
      </c>
      <c r="DN18" cm="1">
        <f t="array" ref="DN18">INDEX(INDEX(projectData,0,DM$1),_xlfn.XMATCH(DM18,projectInfo,0))</f>
        <v>0</v>
      </c>
      <c r="DP18" t="s">
        <v>43</v>
      </c>
      <c r="DQ18" s="20">
        <f>1000000*(DM1=1)</f>
        <v>0</v>
      </c>
      <c r="DS18">
        <v>2.9972222222222222</v>
      </c>
      <c r="DT18">
        <v>1</v>
      </c>
      <c r="DU18">
        <v>9</v>
      </c>
      <c r="DV18" s="38">
        <v>47664</v>
      </c>
      <c r="DW18" s="43">
        <f t="shared" si="61"/>
        <v>77397215.013753265</v>
      </c>
      <c r="DX18" s="30">
        <v>51839803.636363633</v>
      </c>
      <c r="DY18" s="30">
        <f t="shared" si="30"/>
        <v>5830846.1446499778</v>
      </c>
      <c r="DZ18" s="30">
        <f t="shared" si="62"/>
        <v>3869860.7506876634</v>
      </c>
      <c r="EA18" s="30">
        <f t="shared" si="63"/>
        <v>9700706.8953376412</v>
      </c>
      <c r="EB18" s="33">
        <f t="shared" si="31"/>
        <v>123406172.50546691</v>
      </c>
      <c r="EC18" s="43">
        <f t="shared" si="64"/>
        <v>81758659.167513728</v>
      </c>
      <c r="ED18" s="30">
        <v>51095024.784886487</v>
      </c>
      <c r="EE18" s="30">
        <f t="shared" si="71"/>
        <v>0</v>
      </c>
      <c r="EF18" s="30">
        <f t="shared" si="65"/>
        <v>3270346.3667005491</v>
      </c>
      <c r="EG18" s="30">
        <f t="shared" si="66"/>
        <v>3270346.3667005491</v>
      </c>
      <c r="EH18" s="33">
        <f t="shared" si="33"/>
        <v>132853683.95240021</v>
      </c>
      <c r="EI18" s="30">
        <f t="shared" si="34"/>
        <v>5830846.1446499778</v>
      </c>
      <c r="EJ18" s="30">
        <f t="shared" si="35"/>
        <v>7140207.1173882131</v>
      </c>
      <c r="EK18" s="33">
        <f t="shared" si="36"/>
        <v>12971053.26203819</v>
      </c>
    </row>
    <row r="19" spans="1:141" x14ac:dyDescent="0.25">
      <c r="A19" s="20"/>
      <c r="C19" s="38">
        <v>48029</v>
      </c>
      <c r="D19" s="43">
        <f t="shared" si="37"/>
        <v>42714923.636363648</v>
      </c>
      <c r="E19" s="30">
        <f t="shared" si="1"/>
        <v>11315822.078742396</v>
      </c>
      <c r="F19" s="30">
        <f t="shared" si="1"/>
        <v>12291055.719524749</v>
      </c>
      <c r="G19" s="33">
        <f t="shared" si="1"/>
        <v>23606877.798267141</v>
      </c>
      <c r="H19" s="43">
        <f t="shared" si="1"/>
        <v>42101241.300875232</v>
      </c>
      <c r="I19" s="30">
        <f t="shared" si="1"/>
        <v>823584.1220221665</v>
      </c>
      <c r="J19" s="30">
        <f t="shared" si="1"/>
        <v>11550275.090249766</v>
      </c>
      <c r="K19" s="33">
        <f t="shared" si="1"/>
        <v>12373859.212271933</v>
      </c>
      <c r="M19" s="3">
        <f>Inputs!$A13</f>
        <v>44742</v>
      </c>
      <c r="N19" s="13" cm="1">
        <f t="array" ref="N19">INDEX(INDEX(projectData,0,M$1),_xlfn.XMATCH(M19,projectInfo,0))</f>
        <v>0</v>
      </c>
      <c r="P19" s="71" t="s">
        <v>42</v>
      </c>
      <c r="Q19" s="20">
        <f>SUM(N19:N27,Q18,Q17)*AD5</f>
        <v>19828123.914899997</v>
      </c>
      <c r="S19">
        <v>8.5805555555555557</v>
      </c>
      <c r="T19">
        <v>1</v>
      </c>
      <c r="U19">
        <v>10</v>
      </c>
      <c r="V19" s="38">
        <v>48029</v>
      </c>
      <c r="W19" s="43">
        <f t="shared" si="38"/>
        <v>20637435.095100001</v>
      </c>
      <c r="X19" s="30">
        <f>IFERROR(VLOOKUP(V19,Inputs!$A$13:$B$23,2,0),0)*$X$5</f>
        <v>0</v>
      </c>
      <c r="Y19" s="30">
        <v>0</v>
      </c>
      <c r="Z19" s="30">
        <v>0</v>
      </c>
      <c r="AA19" s="30">
        <f t="shared" si="39"/>
        <v>0</v>
      </c>
      <c r="AB19" s="33">
        <f t="shared" si="3"/>
        <v>20637435.095100001</v>
      </c>
      <c r="AC19" s="43">
        <f t="shared" si="40"/>
        <v>15891616.395249007</v>
      </c>
      <c r="AD19" s="30">
        <f>IFERROR(VLOOKUP(C19,Inputs!$A$13:$B$23,2,0),0)*'PV &amp; WIFIA New'!$AD$5</f>
        <v>0</v>
      </c>
      <c r="AE19" s="30">
        <f t="shared" si="67"/>
        <v>823584.1220221665</v>
      </c>
      <c r="AF19" s="30">
        <f t="shared" si="41"/>
        <v>556206.57383371529</v>
      </c>
      <c r="AG19" s="30">
        <f t="shared" si="42"/>
        <v>1379790.6958558818</v>
      </c>
      <c r="AH19" s="33">
        <f t="shared" si="5"/>
        <v>15068032.27322684</v>
      </c>
      <c r="AI19" s="30">
        <f t="shared" si="6"/>
        <v>823584.1220221665</v>
      </c>
      <c r="AJ19" s="30">
        <f t="shared" si="7"/>
        <v>556206.57383371529</v>
      </c>
      <c r="AK19" s="33">
        <f t="shared" si="8"/>
        <v>1379790.6958558818</v>
      </c>
      <c r="AM19" s="3">
        <f>Inputs!$A13</f>
        <v>44742</v>
      </c>
      <c r="AN19" s="13" cm="1">
        <f t="array" ref="AN19">INDEX(INDEX(projectData,0,AM$1),_xlfn.XMATCH(AM19,projectInfo,0))</f>
        <v>0</v>
      </c>
      <c r="AP19" s="71" t="s">
        <v>42</v>
      </c>
      <c r="AQ19" s="20">
        <f>SUM(AN19:AN27,AQ18,AQ17)*BD5</f>
        <v>15701280.311955387</v>
      </c>
      <c r="AS19">
        <v>7.9972222222222218</v>
      </c>
      <c r="AT19">
        <v>1</v>
      </c>
      <c r="AU19">
        <v>10</v>
      </c>
      <c r="AV19" s="38">
        <v>48029</v>
      </c>
      <c r="AW19" s="43">
        <f t="shared" si="43"/>
        <v>12530624.376387032</v>
      </c>
      <c r="AX19" s="30">
        <v>0</v>
      </c>
      <c r="AY19" s="30">
        <f t="shared" si="9"/>
        <v>639362.19546117238</v>
      </c>
      <c r="AZ19" s="30">
        <f t="shared" si="44"/>
        <v>626531.21881935163</v>
      </c>
      <c r="BA19" s="30">
        <f t="shared" si="45"/>
        <v>1265893.414280524</v>
      </c>
      <c r="BB19" s="33">
        <f t="shared" si="10"/>
        <v>11891262.180925859</v>
      </c>
      <c r="BC19" s="43">
        <f t="shared" si="46"/>
        <v>15701280.311955389</v>
      </c>
      <c r="BD19" s="30">
        <v>0</v>
      </c>
      <c r="BE19" s="30">
        <f t="shared" si="68"/>
        <v>0</v>
      </c>
      <c r="BF19" s="30">
        <f t="shared" si="47"/>
        <v>628051.21247821557</v>
      </c>
      <c r="BG19" s="30">
        <f t="shared" si="48"/>
        <v>628051.21247821557</v>
      </c>
      <c r="BH19" s="33">
        <f t="shared" si="12"/>
        <v>15701280.311955389</v>
      </c>
      <c r="BI19" s="30">
        <f t="shared" si="13"/>
        <v>639362.19546117238</v>
      </c>
      <c r="BJ19" s="30">
        <f t="shared" si="14"/>
        <v>1254582.4312975672</v>
      </c>
      <c r="BK19" s="33">
        <f t="shared" si="15"/>
        <v>1893944.6267587396</v>
      </c>
      <c r="BM19" s="3">
        <f>Inputs!$A13</f>
        <v>44742</v>
      </c>
      <c r="BN19" s="13" cm="1">
        <f t="array" ref="BN19">INDEX(INDEX(projectData,0,BM$1),_xlfn.XMATCH(BM19,projectInfo,0))</f>
        <v>0</v>
      </c>
      <c r="BP19" s="71" t="s">
        <v>42</v>
      </c>
      <c r="BQ19" s="20">
        <f>SUM(BN19:BN27,BQ18,BQ17)*CD5</f>
        <v>47923934.534198701</v>
      </c>
      <c r="BS19">
        <v>6.9972222222222218</v>
      </c>
      <c r="BT19">
        <v>1</v>
      </c>
      <c r="BU19">
        <v>10</v>
      </c>
      <c r="BV19" s="38">
        <v>48029</v>
      </c>
      <c r="BW19" s="43">
        <f t="shared" si="49"/>
        <v>39465772.196773127</v>
      </c>
      <c r="BX19" s="30">
        <v>0</v>
      </c>
      <c r="BY19" s="30">
        <f t="shared" si="16"/>
        <v>1828934.1658637801</v>
      </c>
      <c r="BZ19" s="30">
        <f t="shared" si="50"/>
        <v>1973288.6098386564</v>
      </c>
      <c r="CA19" s="30">
        <f t="shared" si="51"/>
        <v>3802222.7757024365</v>
      </c>
      <c r="CB19" s="33">
        <f t="shared" si="17"/>
        <v>37636838.030909345</v>
      </c>
      <c r="CC19" s="43">
        <f t="shared" si="52"/>
        <v>47923934.534198709</v>
      </c>
      <c r="CD19" s="30">
        <v>0</v>
      </c>
      <c r="CE19" s="30">
        <f t="shared" si="69"/>
        <v>0</v>
      </c>
      <c r="CF19" s="30">
        <f t="shared" si="53"/>
        <v>1916957.3813679484</v>
      </c>
      <c r="CG19" s="30">
        <f t="shared" si="54"/>
        <v>1916957.3813679484</v>
      </c>
      <c r="CH19" s="33">
        <f t="shared" si="19"/>
        <v>47923934.534198709</v>
      </c>
      <c r="CI19" s="30">
        <f t="shared" si="20"/>
        <v>1828934.1658637801</v>
      </c>
      <c r="CJ19" s="30">
        <f t="shared" si="21"/>
        <v>3890245.991206605</v>
      </c>
      <c r="CK19" s="33">
        <f t="shared" si="22"/>
        <v>5719180.1570703853</v>
      </c>
      <c r="CM19" s="3">
        <f>Inputs!$A13</f>
        <v>44742</v>
      </c>
      <c r="CN19" s="13" cm="1">
        <f t="array" ref="CN19">INDEX(INDEX(projectData,0,CM$1),_xlfn.XMATCH(CM19,projectInfo,0))</f>
        <v>0</v>
      </c>
      <c r="CP19" s="71" t="s">
        <v>42</v>
      </c>
      <c r="CQ19" s="20">
        <f>SUM(CN19:CN27,CQ18,CQ17)*DD5</f>
        <v>78372814.111846983</v>
      </c>
      <c r="CS19">
        <v>5.9972222222222218</v>
      </c>
      <c r="CT19">
        <v>1</v>
      </c>
      <c r="CU19">
        <v>10</v>
      </c>
      <c r="CV19" s="38">
        <v>48029</v>
      </c>
      <c r="CW19" s="43">
        <f t="shared" si="55"/>
        <v>70418545.311867863</v>
      </c>
      <c r="CX19" s="30">
        <v>0</v>
      </c>
      <c r="CY19" s="30">
        <f t="shared" si="23"/>
        <v>2725137.2655349658</v>
      </c>
      <c r="CZ19" s="30">
        <f t="shared" si="56"/>
        <v>3520927.2655933932</v>
      </c>
      <c r="DA19" s="30">
        <f t="shared" si="57"/>
        <v>6246064.531128359</v>
      </c>
      <c r="DB19" s="33">
        <f t="shared" si="24"/>
        <v>67693408.046332896</v>
      </c>
      <c r="DC19" s="43">
        <f t="shared" si="58"/>
        <v>78372814.111846983</v>
      </c>
      <c r="DD19" s="30">
        <v>0</v>
      </c>
      <c r="DE19" s="30">
        <f t="shared" si="70"/>
        <v>0</v>
      </c>
      <c r="DF19" s="30">
        <f t="shared" si="59"/>
        <v>3134912.5644738795</v>
      </c>
      <c r="DG19" s="30">
        <f t="shared" si="60"/>
        <v>3134912.5644738795</v>
      </c>
      <c r="DH19" s="33">
        <f t="shared" si="26"/>
        <v>78372814.111846983</v>
      </c>
      <c r="DI19" s="30">
        <f t="shared" si="27"/>
        <v>2725137.2655349658</v>
      </c>
      <c r="DJ19" s="30">
        <f t="shared" si="28"/>
        <v>6655839.8300672732</v>
      </c>
      <c r="DK19" s="33">
        <f t="shared" si="29"/>
        <v>9380977.0956022386</v>
      </c>
      <c r="DM19" s="3">
        <f>Inputs!$A13</f>
        <v>44742</v>
      </c>
      <c r="DN19" s="13" cm="1">
        <f t="array" ref="DN19">INDEX(INDEX(projectData,0,DM$1),_xlfn.XMATCH(DM19,projectInfo,0))</f>
        <v>0</v>
      </c>
      <c r="DP19" s="71" t="s">
        <v>42</v>
      </c>
      <c r="DQ19" s="20">
        <f>SUM(DN19:DN27,DQ18,DQ17)*ED5</f>
        <v>132853683.95240022</v>
      </c>
      <c r="DS19">
        <v>3.9972222222222222</v>
      </c>
      <c r="DT19">
        <v>1</v>
      </c>
      <c r="DU19">
        <v>10</v>
      </c>
      <c r="DV19" s="38">
        <v>48029</v>
      </c>
      <c r="DW19" s="43">
        <f t="shared" si="61"/>
        <v>123406172.50546691</v>
      </c>
      <c r="DX19" s="30">
        <v>42714923.636363648</v>
      </c>
      <c r="DY19" s="30">
        <f t="shared" si="30"/>
        <v>6122388.4518824769</v>
      </c>
      <c r="DZ19" s="30">
        <f t="shared" si="62"/>
        <v>6170308.625273346</v>
      </c>
      <c r="EA19" s="30">
        <f t="shared" si="63"/>
        <v>12292697.077155823</v>
      </c>
      <c r="EB19" s="33">
        <f t="shared" si="31"/>
        <v>159998707.68994808</v>
      </c>
      <c r="EC19" s="43">
        <f t="shared" si="64"/>
        <v>132853683.95240021</v>
      </c>
      <c r="ED19" s="30">
        <v>42101241.300875232</v>
      </c>
      <c r="EE19" s="30">
        <f t="shared" si="71"/>
        <v>0</v>
      </c>
      <c r="EF19" s="30">
        <f t="shared" si="65"/>
        <v>5314147.3580960082</v>
      </c>
      <c r="EG19" s="30">
        <f t="shared" si="66"/>
        <v>5314147.3580960082</v>
      </c>
      <c r="EH19" s="33">
        <f t="shared" si="33"/>
        <v>174954925.25327545</v>
      </c>
      <c r="EI19" s="30">
        <f t="shared" si="34"/>
        <v>6122388.4518824769</v>
      </c>
      <c r="EJ19" s="30">
        <f t="shared" si="35"/>
        <v>11484455.983369354</v>
      </c>
      <c r="EK19" s="33">
        <f t="shared" si="36"/>
        <v>17606844.435251832</v>
      </c>
    </row>
    <row r="20" spans="1:141" x14ac:dyDescent="0.25">
      <c r="A20" s="20"/>
      <c r="C20" s="38">
        <v>48395</v>
      </c>
      <c r="D20" s="43">
        <f t="shared" si="37"/>
        <v>6116290.909090911</v>
      </c>
      <c r="E20" s="30">
        <f t="shared" si="1"/>
        <v>11881613.182679515</v>
      </c>
      <c r="F20" s="30">
        <f t="shared" si="1"/>
        <v>13861010.797405809</v>
      </c>
      <c r="G20" s="33">
        <f t="shared" si="1"/>
        <v>25742623.980085324</v>
      </c>
      <c r="H20" s="43">
        <f t="shared" si="1"/>
        <v>6028418.5832131673</v>
      </c>
      <c r="I20" s="30">
        <f t="shared" si="1"/>
        <v>852409.56629294227</v>
      </c>
      <c r="J20" s="30">
        <f t="shared" si="1"/>
        <v>13205499.298014</v>
      </c>
      <c r="K20" s="33">
        <f t="shared" si="1"/>
        <v>14057908.864306943</v>
      </c>
      <c r="M20" s="3">
        <f>Inputs!$A14</f>
        <v>45107</v>
      </c>
      <c r="N20" s="13" cm="1">
        <f t="array" ref="N20">INDEX(INDEX(projectData,0,M$1),_xlfn.XMATCH(M20,projectInfo,0))</f>
        <v>0</v>
      </c>
      <c r="P20" t="s">
        <v>49</v>
      </c>
      <c r="Q20" s="8">
        <f>Q19/(SUM(N19:N27)*AD5)</f>
        <v>1.0253385489800515</v>
      </c>
      <c r="S20">
        <v>9.5805555555555557</v>
      </c>
      <c r="T20">
        <v>1</v>
      </c>
      <c r="U20">
        <v>11</v>
      </c>
      <c r="V20" s="38">
        <v>48395</v>
      </c>
      <c r="W20" s="43">
        <f t="shared" si="38"/>
        <v>20637435.095100001</v>
      </c>
      <c r="X20" s="30">
        <f>IFERROR(VLOOKUP(V20,Inputs!$A$13:$B$23,2,0),0)*$X$5</f>
        <v>0</v>
      </c>
      <c r="Y20" s="30">
        <v>0</v>
      </c>
      <c r="Z20" s="30">
        <v>0</v>
      </c>
      <c r="AA20" s="30">
        <f t="shared" si="39"/>
        <v>0</v>
      </c>
      <c r="AB20" s="33">
        <f t="shared" si="3"/>
        <v>20637435.095100001</v>
      </c>
      <c r="AC20" s="43">
        <f t="shared" si="40"/>
        <v>15068032.27322684</v>
      </c>
      <c r="AD20" s="30">
        <f>IFERROR(VLOOKUP(C20,Inputs!$A$13:$B$23,2,0),0)*'PV &amp; WIFIA New'!$AD$5</f>
        <v>0</v>
      </c>
      <c r="AE20" s="30">
        <f t="shared" si="67"/>
        <v>852409.56629294227</v>
      </c>
      <c r="AF20" s="30">
        <f t="shared" si="41"/>
        <v>527381.12956293952</v>
      </c>
      <c r="AG20" s="30">
        <f t="shared" si="42"/>
        <v>1379790.6958558818</v>
      </c>
      <c r="AH20" s="33">
        <f t="shared" si="5"/>
        <v>14215622.706933899</v>
      </c>
      <c r="AI20" s="30">
        <f t="shared" si="6"/>
        <v>852409.56629294227</v>
      </c>
      <c r="AJ20" s="30">
        <f t="shared" si="7"/>
        <v>527381.12956293952</v>
      </c>
      <c r="AK20" s="33">
        <f t="shared" si="8"/>
        <v>1379790.6958558818</v>
      </c>
      <c r="AM20" s="3">
        <f>Inputs!$A14</f>
        <v>45107</v>
      </c>
      <c r="AN20" s="13" cm="1">
        <f t="array" ref="AN20">INDEX(INDEX(projectData,0,AM$1),_xlfn.XMATCH(AM20,projectInfo,0))</f>
        <v>0</v>
      </c>
      <c r="AP20" t="s">
        <v>49</v>
      </c>
      <c r="AQ20" s="8">
        <f>AQ19/(SUM(AN19:AN27)*BD5)</f>
        <v>1.035897882781244</v>
      </c>
      <c r="AS20">
        <v>8.9972222222222218</v>
      </c>
      <c r="AT20">
        <v>1</v>
      </c>
      <c r="AU20">
        <v>11</v>
      </c>
      <c r="AV20" s="38">
        <v>48395</v>
      </c>
      <c r="AW20" s="43">
        <f t="shared" si="43"/>
        <v>11891262.180925859</v>
      </c>
      <c r="AX20" s="30">
        <v>0</v>
      </c>
      <c r="AY20" s="30">
        <f t="shared" si="9"/>
        <v>671330.30523423105</v>
      </c>
      <c r="AZ20" s="30">
        <f t="shared" si="44"/>
        <v>594563.10904629296</v>
      </c>
      <c r="BA20" s="30">
        <f t="shared" si="45"/>
        <v>1265893.414280524</v>
      </c>
      <c r="BB20" s="33">
        <f t="shared" si="10"/>
        <v>11219931.875691628</v>
      </c>
      <c r="BC20" s="43">
        <f t="shared" si="46"/>
        <v>15701280.311955389</v>
      </c>
      <c r="BD20" s="30">
        <v>0</v>
      </c>
      <c r="BE20" s="30">
        <f t="shared" si="68"/>
        <v>0</v>
      </c>
      <c r="BF20" s="30">
        <f t="shared" si="47"/>
        <v>628051.21247821557</v>
      </c>
      <c r="BG20" s="30">
        <f t="shared" si="48"/>
        <v>628051.21247821557</v>
      </c>
      <c r="BH20" s="33">
        <f t="shared" si="12"/>
        <v>15701280.311955389</v>
      </c>
      <c r="BI20" s="30">
        <f t="shared" si="13"/>
        <v>671330.30523423105</v>
      </c>
      <c r="BJ20" s="30">
        <f t="shared" si="14"/>
        <v>1222614.3215245085</v>
      </c>
      <c r="BK20" s="33">
        <f t="shared" si="15"/>
        <v>1893944.6267587396</v>
      </c>
      <c r="BM20" s="3">
        <f>Inputs!$A14</f>
        <v>45107</v>
      </c>
      <c r="BN20" s="13" cm="1">
        <f t="array" ref="BN20">INDEX(INDEX(projectData,0,BM$1),_xlfn.XMATCH(BM20,projectInfo,0))</f>
        <v>0</v>
      </c>
      <c r="BP20" t="s">
        <v>49</v>
      </c>
      <c r="BQ20" s="8">
        <f>BQ19/(SUM(BN19:BN27)*CD5)</f>
        <v>1.052674071994155</v>
      </c>
      <c r="BS20">
        <v>7.9972222222222218</v>
      </c>
      <c r="BT20">
        <v>1</v>
      </c>
      <c r="BU20">
        <v>11</v>
      </c>
      <c r="BV20" s="38">
        <v>48395</v>
      </c>
      <c r="BW20" s="43">
        <f t="shared" si="49"/>
        <v>37636838.030909345</v>
      </c>
      <c r="BX20" s="30">
        <v>0</v>
      </c>
      <c r="BY20" s="30">
        <f t="shared" si="16"/>
        <v>1920380.8741569691</v>
      </c>
      <c r="BZ20" s="30">
        <f t="shared" si="50"/>
        <v>1881841.9015454673</v>
      </c>
      <c r="CA20" s="30">
        <f t="shared" si="51"/>
        <v>3802222.7757024365</v>
      </c>
      <c r="CB20" s="33">
        <f t="shared" si="17"/>
        <v>35716457.156752378</v>
      </c>
      <c r="CC20" s="43">
        <f t="shared" si="52"/>
        <v>47923934.534198709</v>
      </c>
      <c r="CD20" s="30">
        <v>0</v>
      </c>
      <c r="CE20" s="30">
        <f t="shared" si="69"/>
        <v>0</v>
      </c>
      <c r="CF20" s="30">
        <f t="shared" si="53"/>
        <v>1916957.3813679484</v>
      </c>
      <c r="CG20" s="30">
        <f t="shared" si="54"/>
        <v>1916957.3813679484</v>
      </c>
      <c r="CH20" s="33">
        <f t="shared" si="19"/>
        <v>47923934.534198709</v>
      </c>
      <c r="CI20" s="30">
        <f t="shared" si="20"/>
        <v>1920380.8741569691</v>
      </c>
      <c r="CJ20" s="30">
        <f t="shared" si="21"/>
        <v>3798799.2829134157</v>
      </c>
      <c r="CK20" s="33">
        <f t="shared" si="22"/>
        <v>5719180.1570703853</v>
      </c>
      <c r="CM20" s="3">
        <f>Inputs!$A14</f>
        <v>45107</v>
      </c>
      <c r="CN20" s="13" cm="1">
        <f t="array" ref="CN20">INDEX(INDEX(projectData,0,CM$1),_xlfn.XMATCH(CM20,projectInfo,0))</f>
        <v>0</v>
      </c>
      <c r="CP20" t="s">
        <v>49</v>
      </c>
      <c r="CQ20" s="8">
        <f>CQ19/(SUM(CN19:CN27)*DD5)</f>
        <v>1.0479438015266374</v>
      </c>
      <c r="CS20">
        <v>6.9972222222222218</v>
      </c>
      <c r="CT20">
        <v>1</v>
      </c>
      <c r="CU20">
        <v>11</v>
      </c>
      <c r="CV20" s="38">
        <v>48395</v>
      </c>
      <c r="CW20" s="43">
        <f t="shared" si="55"/>
        <v>67693408.046332896</v>
      </c>
      <c r="CX20" s="30">
        <v>0</v>
      </c>
      <c r="CY20" s="30">
        <f t="shared" si="23"/>
        <v>2861394.1288117142</v>
      </c>
      <c r="CZ20" s="30">
        <f t="shared" si="56"/>
        <v>3384670.4023166448</v>
      </c>
      <c r="DA20" s="30">
        <f t="shared" si="57"/>
        <v>6246064.531128359</v>
      </c>
      <c r="DB20" s="33">
        <f t="shared" si="24"/>
        <v>64832013.917521179</v>
      </c>
      <c r="DC20" s="43">
        <f t="shared" si="58"/>
        <v>78372814.111846983</v>
      </c>
      <c r="DD20" s="30">
        <v>0</v>
      </c>
      <c r="DE20" s="30">
        <f t="shared" si="70"/>
        <v>0</v>
      </c>
      <c r="DF20" s="30">
        <f t="shared" si="59"/>
        <v>3134912.5644738795</v>
      </c>
      <c r="DG20" s="30">
        <f t="shared" si="60"/>
        <v>3134912.5644738795</v>
      </c>
      <c r="DH20" s="33">
        <f t="shared" si="26"/>
        <v>78372814.111846983</v>
      </c>
      <c r="DI20" s="30">
        <f t="shared" si="27"/>
        <v>2861394.1288117142</v>
      </c>
      <c r="DJ20" s="30">
        <f t="shared" si="28"/>
        <v>6519582.9667905243</v>
      </c>
      <c r="DK20" s="33">
        <f t="shared" si="29"/>
        <v>9380977.0956022386</v>
      </c>
      <c r="DM20" s="3">
        <f>Inputs!$A14</f>
        <v>45107</v>
      </c>
      <c r="DN20" s="13" cm="1">
        <f t="array" ref="DN20">INDEX(INDEX(projectData,0,DM$1),_xlfn.XMATCH(DM20,projectInfo,0))</f>
        <v>0</v>
      </c>
      <c r="DP20" t="s">
        <v>49</v>
      </c>
      <c r="DQ20" s="8">
        <f>DQ19/(SUM(DN19:DN27)*ED5)</f>
        <v>1.0258629907944334</v>
      </c>
      <c r="DS20">
        <v>4.9972222222222218</v>
      </c>
      <c r="DT20">
        <v>1</v>
      </c>
      <c r="DU20">
        <v>11</v>
      </c>
      <c r="DV20" s="38">
        <v>48395</v>
      </c>
      <c r="DW20" s="43">
        <f t="shared" si="61"/>
        <v>159998707.68994808</v>
      </c>
      <c r="DX20" s="30">
        <v>6116290.909090911</v>
      </c>
      <c r="DY20" s="30">
        <f t="shared" si="30"/>
        <v>6428507.8744766004</v>
      </c>
      <c r="DZ20" s="30">
        <f t="shared" si="62"/>
        <v>7999935.3844974041</v>
      </c>
      <c r="EA20" s="30">
        <f t="shared" si="63"/>
        <v>14428443.258974005</v>
      </c>
      <c r="EB20" s="33">
        <f t="shared" si="31"/>
        <v>159686490.72456238</v>
      </c>
      <c r="EC20" s="43">
        <f t="shared" si="64"/>
        <v>174954925.25327545</v>
      </c>
      <c r="ED20" s="30">
        <v>6028418.5832131673</v>
      </c>
      <c r="EE20" s="30">
        <f t="shared" si="71"/>
        <v>0</v>
      </c>
      <c r="EF20" s="30">
        <f t="shared" si="65"/>
        <v>6998197.0101310182</v>
      </c>
      <c r="EG20" s="30">
        <f t="shared" si="66"/>
        <v>6998197.0101310182</v>
      </c>
      <c r="EH20" s="33">
        <f t="shared" si="33"/>
        <v>180983343.83648863</v>
      </c>
      <c r="EI20" s="30">
        <f t="shared" si="34"/>
        <v>6428507.8744766004</v>
      </c>
      <c r="EJ20" s="30">
        <f t="shared" si="35"/>
        <v>14998132.394628422</v>
      </c>
      <c r="EK20" s="33">
        <f t="shared" si="36"/>
        <v>21426640.269105025</v>
      </c>
    </row>
    <row r="21" spans="1:141" x14ac:dyDescent="0.25">
      <c r="A21" s="20"/>
      <c r="C21" s="38">
        <v>48760</v>
      </c>
      <c r="D21" s="43">
        <f t="shared" si="37"/>
        <v>0</v>
      </c>
      <c r="E21" s="30">
        <f t="shared" si="1"/>
        <v>12475693.84181349</v>
      </c>
      <c r="F21" s="30">
        <f t="shared" si="1"/>
        <v>13572744.683726378</v>
      </c>
      <c r="G21" s="33">
        <f t="shared" si="1"/>
        <v>26048438.525539871</v>
      </c>
      <c r="H21" s="43">
        <f t="shared" si="1"/>
        <v>0</v>
      </c>
      <c r="I21" s="30">
        <f t="shared" si="1"/>
        <v>882243.90111319534</v>
      </c>
      <c r="J21" s="30">
        <f t="shared" si="1"/>
        <v>13416801.706522275</v>
      </c>
      <c r="K21" s="33">
        <f t="shared" si="1"/>
        <v>14299045.607635472</v>
      </c>
      <c r="M21" s="3">
        <f>Inputs!$A15</f>
        <v>45473</v>
      </c>
      <c r="N21" s="13" cm="1">
        <f t="array" ref="N21">INDEX(INDEX(projectData,0,M$1),_xlfn.XMATCH(M21,projectInfo,0))</f>
        <v>13155186.336666666</v>
      </c>
      <c r="S21">
        <v>10.580555555555556</v>
      </c>
      <c r="T21">
        <v>1</v>
      </c>
      <c r="U21">
        <v>12</v>
      </c>
      <c r="V21" s="38">
        <v>48760</v>
      </c>
      <c r="W21" s="43">
        <f t="shared" si="38"/>
        <v>20637435.095100001</v>
      </c>
      <c r="X21" s="30">
        <f>IFERROR(VLOOKUP(V21,Inputs!$A$13:$B$23,2,0),0)*$X$5</f>
        <v>0</v>
      </c>
      <c r="Y21" s="30">
        <v>0</v>
      </c>
      <c r="Z21" s="30">
        <v>0</v>
      </c>
      <c r="AA21" s="30">
        <f t="shared" si="39"/>
        <v>0</v>
      </c>
      <c r="AB21" s="33">
        <f t="shared" si="3"/>
        <v>20637435.095100001</v>
      </c>
      <c r="AC21" s="43">
        <f t="shared" si="40"/>
        <v>14215622.706933899</v>
      </c>
      <c r="AD21" s="30">
        <f>IFERROR(VLOOKUP(C21,Inputs!$A$13:$B$23,2,0),0)*'PV &amp; WIFIA New'!$AD$5</f>
        <v>0</v>
      </c>
      <c r="AE21" s="30">
        <f t="shared" si="67"/>
        <v>882243.90111319534</v>
      </c>
      <c r="AF21" s="30">
        <f t="shared" si="41"/>
        <v>497546.7947426865</v>
      </c>
      <c r="AG21" s="30">
        <f t="shared" si="42"/>
        <v>1379790.6958558818</v>
      </c>
      <c r="AH21" s="33">
        <f t="shared" si="5"/>
        <v>13333378.805820704</v>
      </c>
      <c r="AI21" s="30">
        <f t="shared" si="6"/>
        <v>882243.90111319534</v>
      </c>
      <c r="AJ21" s="30">
        <f t="shared" si="7"/>
        <v>497546.7947426865</v>
      </c>
      <c r="AK21" s="33">
        <f t="shared" si="8"/>
        <v>1379790.6958558818</v>
      </c>
      <c r="AM21" s="3">
        <f>Inputs!$A15</f>
        <v>45473</v>
      </c>
      <c r="AN21" s="13" cm="1">
        <f t="array" ref="AN21">INDEX(INDEX(projectData,0,AM$1),_xlfn.XMATCH(AM21,projectInfo,0))</f>
        <v>5155500</v>
      </c>
      <c r="AS21">
        <v>9.9972222222222218</v>
      </c>
      <c r="AT21">
        <v>1</v>
      </c>
      <c r="AU21">
        <v>12</v>
      </c>
      <c r="AV21" s="38">
        <v>48760</v>
      </c>
      <c r="AW21" s="43">
        <f t="shared" si="43"/>
        <v>11219931.875691628</v>
      </c>
      <c r="AX21" s="30">
        <v>0</v>
      </c>
      <c r="AY21" s="30">
        <f t="shared" si="9"/>
        <v>704896.82049594261</v>
      </c>
      <c r="AZ21" s="30">
        <f t="shared" si="44"/>
        <v>560996.5937845814</v>
      </c>
      <c r="BA21" s="30">
        <f t="shared" si="45"/>
        <v>1265893.414280524</v>
      </c>
      <c r="BB21" s="33">
        <f t="shared" si="10"/>
        <v>10515035.055195685</v>
      </c>
      <c r="BC21" s="43">
        <f t="shared" si="46"/>
        <v>15701280.311955389</v>
      </c>
      <c r="BD21" s="30">
        <v>0</v>
      </c>
      <c r="BE21" s="30">
        <f t="shared" si="68"/>
        <v>0</v>
      </c>
      <c r="BF21" s="30">
        <f t="shared" si="47"/>
        <v>628051.21247821557</v>
      </c>
      <c r="BG21" s="30">
        <f t="shared" si="48"/>
        <v>628051.21247821557</v>
      </c>
      <c r="BH21" s="33">
        <f t="shared" si="12"/>
        <v>15701280.311955389</v>
      </c>
      <c r="BI21" s="30">
        <f t="shared" si="13"/>
        <v>704896.82049594261</v>
      </c>
      <c r="BJ21" s="30">
        <f t="shared" si="14"/>
        <v>1189047.806262797</v>
      </c>
      <c r="BK21" s="33">
        <f t="shared" si="15"/>
        <v>1893944.6267587396</v>
      </c>
      <c r="BM21" s="3">
        <f>Inputs!$A15</f>
        <v>45473</v>
      </c>
      <c r="BN21" s="13" cm="1">
        <f t="array" ref="BN21">INDEX(INDEX(projectData,0,BM$1),_xlfn.XMATCH(BM21,projectInfo,0))</f>
        <v>0</v>
      </c>
      <c r="BS21">
        <v>8.9972222222222218</v>
      </c>
      <c r="BT21">
        <v>1</v>
      </c>
      <c r="BU21">
        <v>12</v>
      </c>
      <c r="BV21" s="38">
        <v>48760</v>
      </c>
      <c r="BW21" s="43">
        <f t="shared" si="49"/>
        <v>35716457.156752378</v>
      </c>
      <c r="BX21" s="30">
        <v>0</v>
      </c>
      <c r="BY21" s="30">
        <f t="shared" si="16"/>
        <v>2016399.9178648174</v>
      </c>
      <c r="BZ21" s="30">
        <f t="shared" si="50"/>
        <v>1785822.857837619</v>
      </c>
      <c r="CA21" s="30">
        <f t="shared" si="51"/>
        <v>3802222.7757024365</v>
      </c>
      <c r="CB21" s="33">
        <f t="shared" si="17"/>
        <v>33700057.238887563</v>
      </c>
      <c r="CC21" s="43">
        <f t="shared" si="52"/>
        <v>47923934.534198709</v>
      </c>
      <c r="CD21" s="30">
        <v>0</v>
      </c>
      <c r="CE21" s="30">
        <f t="shared" si="69"/>
        <v>0</v>
      </c>
      <c r="CF21" s="30">
        <f t="shared" si="53"/>
        <v>1916957.3813679484</v>
      </c>
      <c r="CG21" s="30">
        <f t="shared" si="54"/>
        <v>1916957.3813679484</v>
      </c>
      <c r="CH21" s="33">
        <f t="shared" si="19"/>
        <v>47923934.534198709</v>
      </c>
      <c r="CI21" s="30">
        <f t="shared" si="20"/>
        <v>2016399.9178648174</v>
      </c>
      <c r="CJ21" s="30">
        <f t="shared" si="21"/>
        <v>3702780.2392055672</v>
      </c>
      <c r="CK21" s="33">
        <f t="shared" si="22"/>
        <v>5719180.1570703853</v>
      </c>
      <c r="CM21" s="3">
        <f>Inputs!$A15</f>
        <v>45473</v>
      </c>
      <c r="CN21" s="13" cm="1">
        <f t="array" ref="CN21">INDEX(INDEX(projectData,0,CM$1),_xlfn.XMATCH(CM21,projectInfo,0))</f>
        <v>0</v>
      </c>
      <c r="CS21">
        <v>7.9972222222222218</v>
      </c>
      <c r="CT21">
        <v>1</v>
      </c>
      <c r="CU21">
        <v>12</v>
      </c>
      <c r="CV21" s="38">
        <v>48760</v>
      </c>
      <c r="CW21" s="43">
        <f t="shared" si="55"/>
        <v>64832013.917521179</v>
      </c>
      <c r="CX21" s="30">
        <v>0</v>
      </c>
      <c r="CY21" s="30">
        <f t="shared" si="23"/>
        <v>3004463.8352522999</v>
      </c>
      <c r="CZ21" s="30">
        <f t="shared" si="56"/>
        <v>3241600.6958760591</v>
      </c>
      <c r="DA21" s="30">
        <f t="shared" si="57"/>
        <v>6246064.531128359</v>
      </c>
      <c r="DB21" s="33">
        <f t="shared" si="24"/>
        <v>61827550.082268879</v>
      </c>
      <c r="DC21" s="43">
        <f t="shared" si="58"/>
        <v>78372814.111846983</v>
      </c>
      <c r="DD21" s="30">
        <v>0</v>
      </c>
      <c r="DE21" s="30">
        <f t="shared" si="70"/>
        <v>0</v>
      </c>
      <c r="DF21" s="30">
        <f t="shared" si="59"/>
        <v>3134912.5644738795</v>
      </c>
      <c r="DG21" s="30">
        <f t="shared" si="60"/>
        <v>3134912.5644738795</v>
      </c>
      <c r="DH21" s="33">
        <f t="shared" si="26"/>
        <v>78372814.111846983</v>
      </c>
      <c r="DI21" s="30">
        <f t="shared" si="27"/>
        <v>3004463.8352522999</v>
      </c>
      <c r="DJ21" s="30">
        <f t="shared" si="28"/>
        <v>6376513.2603499386</v>
      </c>
      <c r="DK21" s="33">
        <f t="shared" si="29"/>
        <v>9380977.0956022386</v>
      </c>
      <c r="DM21" s="3">
        <f>Inputs!$A15</f>
        <v>45473</v>
      </c>
      <c r="DN21" s="13" cm="1">
        <f t="array" ref="DN21">INDEX(INDEX(projectData,0,DM$1),_xlfn.XMATCH(DM21,projectInfo,0))</f>
        <v>0</v>
      </c>
      <c r="DS21">
        <v>5.9972222222222218</v>
      </c>
      <c r="DT21">
        <v>1</v>
      </c>
      <c r="DU21">
        <v>12</v>
      </c>
      <c r="DV21" s="38">
        <v>48760</v>
      </c>
      <c r="DW21" s="43">
        <f t="shared" si="61"/>
        <v>159686490.72456238</v>
      </c>
      <c r="DX21" s="30">
        <v>0</v>
      </c>
      <c r="DY21" s="30">
        <f t="shared" si="30"/>
        <v>6749933.268200431</v>
      </c>
      <c r="DZ21" s="30">
        <f t="shared" si="62"/>
        <v>7984324.5362281194</v>
      </c>
      <c r="EA21" s="30">
        <f t="shared" si="63"/>
        <v>14734257.804428551</v>
      </c>
      <c r="EB21" s="33">
        <f t="shared" si="31"/>
        <v>152936557.45636195</v>
      </c>
      <c r="EC21" s="43">
        <f t="shared" si="64"/>
        <v>180983343.83648863</v>
      </c>
      <c r="ED21" s="30">
        <v>0</v>
      </c>
      <c r="EE21" s="30">
        <f t="shared" si="71"/>
        <v>0</v>
      </c>
      <c r="EF21" s="30">
        <f t="shared" si="65"/>
        <v>7239333.7534595458</v>
      </c>
      <c r="EG21" s="30">
        <f t="shared" si="66"/>
        <v>7239333.7534595458</v>
      </c>
      <c r="EH21" s="33">
        <f t="shared" si="33"/>
        <v>180983343.83648863</v>
      </c>
      <c r="EI21" s="30">
        <f t="shared" si="34"/>
        <v>6749933.268200431</v>
      </c>
      <c r="EJ21" s="30">
        <f t="shared" si="35"/>
        <v>15223658.289687665</v>
      </c>
      <c r="EK21" s="33">
        <f t="shared" si="36"/>
        <v>21973591.557888098</v>
      </c>
    </row>
    <row r="22" spans="1:141" x14ac:dyDescent="0.25">
      <c r="C22" s="38">
        <v>49125</v>
      </c>
      <c r="D22" s="43">
        <f t="shared" si="37"/>
        <v>0</v>
      </c>
      <c r="E22" s="30">
        <f t="shared" si="1"/>
        <v>13099478.533904165</v>
      </c>
      <c r="F22" s="30">
        <f t="shared" si="1"/>
        <v>12948959.991635704</v>
      </c>
      <c r="G22" s="33">
        <f t="shared" si="1"/>
        <v>26048438.525539868</v>
      </c>
      <c r="H22" s="43">
        <f t="shared" si="1"/>
        <v>0</v>
      </c>
      <c r="I22" s="30">
        <f t="shared" si="1"/>
        <v>913122.43765215715</v>
      </c>
      <c r="J22" s="30">
        <f t="shared" si="1"/>
        <v>13385923.169983312</v>
      </c>
      <c r="K22" s="33">
        <f t="shared" si="1"/>
        <v>14299045.607635472</v>
      </c>
      <c r="M22" s="3">
        <f>Inputs!$A16</f>
        <v>45838</v>
      </c>
      <c r="N22" s="13" cm="1">
        <f t="array" ref="N22">INDEX(INDEX(projectData,0,M$1),_xlfn.XMATCH(M22,projectInfo,0))</f>
        <v>13155186.336666666</v>
      </c>
      <c r="S22">
        <v>11.580555555555556</v>
      </c>
      <c r="T22">
        <v>1</v>
      </c>
      <c r="U22">
        <v>13</v>
      </c>
      <c r="V22" s="38">
        <v>49125</v>
      </c>
      <c r="W22" s="43">
        <f t="shared" si="38"/>
        <v>20637435.095100001</v>
      </c>
      <c r="X22" s="30">
        <f>IFERROR(VLOOKUP(V22,Inputs!$A$13:$B$23,2,0),0)*$X$5</f>
        <v>0</v>
      </c>
      <c r="Y22" s="30">
        <v>0</v>
      </c>
      <c r="Z22" s="30">
        <v>0</v>
      </c>
      <c r="AA22" s="30">
        <f t="shared" si="39"/>
        <v>0</v>
      </c>
      <c r="AB22" s="33">
        <f t="shared" si="3"/>
        <v>20637435.095100001</v>
      </c>
      <c r="AC22" s="43">
        <f t="shared" si="40"/>
        <v>13333378.805820704</v>
      </c>
      <c r="AD22" s="30">
        <f>IFERROR(VLOOKUP(C22,Inputs!$A$13:$B$23,2,0),0)*'PV &amp; WIFIA New'!$AD$5</f>
        <v>0</v>
      </c>
      <c r="AE22" s="30">
        <f t="shared" si="67"/>
        <v>913122.43765215715</v>
      </c>
      <c r="AF22" s="30">
        <f t="shared" si="41"/>
        <v>466668.25820372469</v>
      </c>
      <c r="AG22" s="30">
        <f t="shared" si="42"/>
        <v>1379790.6958558818</v>
      </c>
      <c r="AH22" s="33">
        <f t="shared" si="5"/>
        <v>12420256.368168546</v>
      </c>
      <c r="AI22" s="30">
        <f t="shared" si="6"/>
        <v>913122.43765215715</v>
      </c>
      <c r="AJ22" s="30">
        <f t="shared" si="7"/>
        <v>466668.25820372469</v>
      </c>
      <c r="AK22" s="33">
        <f t="shared" si="8"/>
        <v>1379790.6958558818</v>
      </c>
      <c r="AM22" s="3">
        <f>Inputs!$A16</f>
        <v>45838</v>
      </c>
      <c r="AN22" s="13" cm="1">
        <f t="array" ref="AN22">INDEX(INDEX(projectData,0,AM$1),_xlfn.XMATCH(AM22,projectInfo,0))</f>
        <v>10311000</v>
      </c>
      <c r="AS22">
        <v>10.997222222222222</v>
      </c>
      <c r="AT22">
        <v>1</v>
      </c>
      <c r="AU22">
        <v>13</v>
      </c>
      <c r="AV22" s="38">
        <v>49125</v>
      </c>
      <c r="AW22" s="43">
        <f t="shared" si="43"/>
        <v>10515035.055195685</v>
      </c>
      <c r="AX22" s="30">
        <v>0</v>
      </c>
      <c r="AY22" s="30">
        <f t="shared" si="9"/>
        <v>740141.66152073967</v>
      </c>
      <c r="AZ22" s="30">
        <f t="shared" si="44"/>
        <v>525751.75275978434</v>
      </c>
      <c r="BA22" s="30">
        <f t="shared" si="45"/>
        <v>1265893.414280524</v>
      </c>
      <c r="BB22" s="33">
        <f t="shared" si="10"/>
        <v>9774893.3936749455</v>
      </c>
      <c r="BC22" s="43">
        <f t="shared" si="46"/>
        <v>15701280.311955389</v>
      </c>
      <c r="BD22" s="30">
        <v>0</v>
      </c>
      <c r="BE22" s="30">
        <f t="shared" si="68"/>
        <v>0</v>
      </c>
      <c r="BF22" s="30">
        <f t="shared" si="47"/>
        <v>628051.21247821557</v>
      </c>
      <c r="BG22" s="30">
        <f t="shared" si="48"/>
        <v>628051.21247821557</v>
      </c>
      <c r="BH22" s="33">
        <f t="shared" si="12"/>
        <v>15701280.311955389</v>
      </c>
      <c r="BI22" s="30">
        <f t="shared" si="13"/>
        <v>740141.66152073967</v>
      </c>
      <c r="BJ22" s="30">
        <f t="shared" si="14"/>
        <v>1153802.9652379998</v>
      </c>
      <c r="BK22" s="33">
        <f t="shared" si="15"/>
        <v>1893944.6267587396</v>
      </c>
      <c r="BM22" s="3">
        <f>Inputs!$A16</f>
        <v>45838</v>
      </c>
      <c r="BN22" s="13" cm="1">
        <f t="array" ref="BN22">INDEX(INDEX(projectData,0,BM$1),_xlfn.XMATCH(BM22,projectInfo,0))</f>
        <v>17627222.22222222</v>
      </c>
      <c r="BS22">
        <v>9.9972222222222218</v>
      </c>
      <c r="BT22">
        <v>1</v>
      </c>
      <c r="BU22">
        <v>13</v>
      </c>
      <c r="BV22" s="38">
        <v>49125</v>
      </c>
      <c r="BW22" s="43">
        <f t="shared" si="49"/>
        <v>33700057.238887563</v>
      </c>
      <c r="BX22" s="30">
        <v>0</v>
      </c>
      <c r="BY22" s="30">
        <f t="shared" si="16"/>
        <v>2117219.9137580586</v>
      </c>
      <c r="BZ22" s="30">
        <f t="shared" si="50"/>
        <v>1685002.8619443784</v>
      </c>
      <c r="CA22" s="30">
        <f t="shared" si="51"/>
        <v>3802222.7757024369</v>
      </c>
      <c r="CB22" s="33">
        <f t="shared" si="17"/>
        <v>31582837.325129505</v>
      </c>
      <c r="CC22" s="43">
        <f t="shared" si="52"/>
        <v>47923934.534198709</v>
      </c>
      <c r="CD22" s="30">
        <v>0</v>
      </c>
      <c r="CE22" s="30">
        <f t="shared" si="69"/>
        <v>0</v>
      </c>
      <c r="CF22" s="30">
        <f t="shared" si="53"/>
        <v>1916957.3813679484</v>
      </c>
      <c r="CG22" s="30">
        <f t="shared" si="54"/>
        <v>1916957.3813679484</v>
      </c>
      <c r="CH22" s="33">
        <f t="shared" si="19"/>
        <v>47923934.534198709</v>
      </c>
      <c r="CI22" s="30">
        <f t="shared" si="20"/>
        <v>2117219.9137580586</v>
      </c>
      <c r="CJ22" s="30">
        <f t="shared" si="21"/>
        <v>3601960.2433123267</v>
      </c>
      <c r="CK22" s="33">
        <f t="shared" si="22"/>
        <v>5719180.1570703853</v>
      </c>
      <c r="CM22" s="3">
        <f>Inputs!$A16</f>
        <v>45838</v>
      </c>
      <c r="CN22" s="13" cm="1">
        <f t="array" ref="CN22">INDEX(INDEX(projectData,0,CM$1),_xlfn.XMATCH(CM22,projectInfo,0))</f>
        <v>0</v>
      </c>
      <c r="CS22">
        <v>8.9972222222222218</v>
      </c>
      <c r="CT22">
        <v>1</v>
      </c>
      <c r="CU22">
        <v>13</v>
      </c>
      <c r="CV22" s="38">
        <v>49125</v>
      </c>
      <c r="CW22" s="43">
        <f t="shared" si="55"/>
        <v>61827550.082268879</v>
      </c>
      <c r="CX22" s="30">
        <v>0</v>
      </c>
      <c r="CY22" s="30">
        <f t="shared" si="23"/>
        <v>3154687.0270149149</v>
      </c>
      <c r="CZ22" s="30">
        <f t="shared" si="56"/>
        <v>3091377.5041134441</v>
      </c>
      <c r="DA22" s="30">
        <f t="shared" si="57"/>
        <v>6246064.531128359</v>
      </c>
      <c r="DB22" s="33">
        <f t="shared" si="24"/>
        <v>58672863.055253968</v>
      </c>
      <c r="DC22" s="43">
        <f t="shared" si="58"/>
        <v>78372814.111846983</v>
      </c>
      <c r="DD22" s="30">
        <v>0</v>
      </c>
      <c r="DE22" s="30">
        <f t="shared" si="70"/>
        <v>0</v>
      </c>
      <c r="DF22" s="30">
        <f t="shared" si="59"/>
        <v>3134912.5644738795</v>
      </c>
      <c r="DG22" s="30">
        <f t="shared" si="60"/>
        <v>3134912.5644738795</v>
      </c>
      <c r="DH22" s="33">
        <f t="shared" si="26"/>
        <v>78372814.111846983</v>
      </c>
      <c r="DI22" s="30">
        <f t="shared" si="27"/>
        <v>3154687.0270149149</v>
      </c>
      <c r="DJ22" s="30">
        <f t="shared" si="28"/>
        <v>6226290.0685873237</v>
      </c>
      <c r="DK22" s="33">
        <f t="shared" si="29"/>
        <v>9380977.0956022386</v>
      </c>
      <c r="DM22" s="3">
        <f>Inputs!$A16</f>
        <v>45838</v>
      </c>
      <c r="DN22" s="13" cm="1">
        <f t="array" ref="DN22">INDEX(INDEX(projectData,0,DM$1),_xlfn.XMATCH(DM22,projectInfo,0))</f>
        <v>0</v>
      </c>
      <c r="DS22">
        <v>6.9972222222222218</v>
      </c>
      <c r="DT22">
        <v>1</v>
      </c>
      <c r="DU22">
        <v>13</v>
      </c>
      <c r="DV22" s="38">
        <v>49125</v>
      </c>
      <c r="DW22" s="43">
        <f t="shared" si="61"/>
        <v>152936557.45636195</v>
      </c>
      <c r="DX22" s="30">
        <v>0</v>
      </c>
      <c r="DY22" s="30">
        <f t="shared" si="30"/>
        <v>7087429.931610452</v>
      </c>
      <c r="DZ22" s="30">
        <f t="shared" si="62"/>
        <v>7646827.8728180975</v>
      </c>
      <c r="EA22" s="30">
        <f t="shared" si="63"/>
        <v>14734257.804428549</v>
      </c>
      <c r="EB22" s="33">
        <f t="shared" si="31"/>
        <v>145849127.52475148</v>
      </c>
      <c r="EC22" s="43">
        <f t="shared" si="64"/>
        <v>180983343.83648863</v>
      </c>
      <c r="ED22" s="30">
        <v>0</v>
      </c>
      <c r="EE22" s="30">
        <f t="shared" si="71"/>
        <v>0</v>
      </c>
      <c r="EF22" s="30">
        <f t="shared" si="65"/>
        <v>7239333.7534595458</v>
      </c>
      <c r="EG22" s="30">
        <f t="shared" si="66"/>
        <v>7239333.7534595458</v>
      </c>
      <c r="EH22" s="33">
        <f t="shared" si="33"/>
        <v>180983343.83648863</v>
      </c>
      <c r="EI22" s="30">
        <f t="shared" si="34"/>
        <v>7087429.931610452</v>
      </c>
      <c r="EJ22" s="30">
        <f t="shared" si="35"/>
        <v>14886161.626277644</v>
      </c>
      <c r="EK22" s="33">
        <f t="shared" si="36"/>
        <v>21973591.557888094</v>
      </c>
    </row>
    <row r="23" spans="1:141" x14ac:dyDescent="0.25">
      <c r="C23" s="38">
        <v>49490</v>
      </c>
      <c r="D23" s="43">
        <f t="shared" si="37"/>
        <v>0</v>
      </c>
      <c r="E23" s="30">
        <f t="shared" si="1"/>
        <v>13754452.460599374</v>
      </c>
      <c r="F23" s="30">
        <f t="shared" si="1"/>
        <v>12293986.064940497</v>
      </c>
      <c r="G23" s="33">
        <f t="shared" si="1"/>
        <v>26048438.525539871</v>
      </c>
      <c r="H23" s="43">
        <f t="shared" si="1"/>
        <v>0</v>
      </c>
      <c r="I23" s="30">
        <f t="shared" si="1"/>
        <v>945081.72296998266</v>
      </c>
      <c r="J23" s="30">
        <f t="shared" si="1"/>
        <v>13353963.884665489</v>
      </c>
      <c r="K23" s="33">
        <f t="shared" si="1"/>
        <v>14299045.607635472</v>
      </c>
      <c r="M23" s="3">
        <f>Inputs!$A17</f>
        <v>46203</v>
      </c>
      <c r="N23" s="13" cm="1">
        <f t="array" ref="N23">INDEX(INDEX(projectData,0,M$1),_xlfn.XMATCH(M23,projectInfo,0))</f>
        <v>13155186.336666666</v>
      </c>
      <c r="S23">
        <v>12.580555555555556</v>
      </c>
      <c r="T23">
        <v>1</v>
      </c>
      <c r="U23">
        <v>14</v>
      </c>
      <c r="V23" s="38">
        <v>49490</v>
      </c>
      <c r="W23" s="43">
        <f t="shared" si="38"/>
        <v>20637435.095100001</v>
      </c>
      <c r="X23" s="30">
        <f>IFERROR(VLOOKUP(V23,Inputs!$A$13:$B$23,2,0),0)*$X$5</f>
        <v>0</v>
      </c>
      <c r="Y23" s="30">
        <v>0</v>
      </c>
      <c r="Z23" s="30">
        <v>0</v>
      </c>
      <c r="AA23" s="30">
        <f t="shared" si="39"/>
        <v>0</v>
      </c>
      <c r="AB23" s="33">
        <f t="shared" si="3"/>
        <v>20637435.095100001</v>
      </c>
      <c r="AC23" s="43">
        <f t="shared" si="40"/>
        <v>12420256.368168546</v>
      </c>
      <c r="AD23" s="30">
        <f>IFERROR(VLOOKUP(C23,Inputs!$A$13:$B$23,2,0),0)*'PV &amp; WIFIA New'!$AD$5</f>
        <v>0</v>
      </c>
      <c r="AE23" s="30">
        <f t="shared" si="67"/>
        <v>945081.72296998266</v>
      </c>
      <c r="AF23" s="30">
        <f t="shared" si="41"/>
        <v>434708.97288589913</v>
      </c>
      <c r="AG23" s="30">
        <f t="shared" si="42"/>
        <v>1379790.6958558818</v>
      </c>
      <c r="AH23" s="33">
        <f t="shared" si="5"/>
        <v>11475174.645198563</v>
      </c>
      <c r="AI23" s="30">
        <f t="shared" si="6"/>
        <v>945081.72296998266</v>
      </c>
      <c r="AJ23" s="30">
        <f t="shared" si="7"/>
        <v>434708.97288589913</v>
      </c>
      <c r="AK23" s="33">
        <f t="shared" si="8"/>
        <v>1379790.6958558818</v>
      </c>
      <c r="AM23" s="3">
        <f>Inputs!$A17</f>
        <v>46203</v>
      </c>
      <c r="AN23" s="13" cm="1">
        <f t="array" ref="AN23">INDEX(INDEX(projectData,0,AM$1),_xlfn.XMATCH(AM23,projectInfo,0))</f>
        <v>10311000</v>
      </c>
      <c r="AS23">
        <v>11.997222222222222</v>
      </c>
      <c r="AT23">
        <v>1</v>
      </c>
      <c r="AU23">
        <v>14</v>
      </c>
      <c r="AV23" s="38">
        <v>49490</v>
      </c>
      <c r="AW23" s="43">
        <f t="shared" si="43"/>
        <v>9774893.3936749455</v>
      </c>
      <c r="AX23" s="30">
        <v>0</v>
      </c>
      <c r="AY23" s="30">
        <f t="shared" si="9"/>
        <v>777148.74459677667</v>
      </c>
      <c r="AZ23" s="30">
        <f t="shared" si="44"/>
        <v>488744.66968374728</v>
      </c>
      <c r="BA23" s="30">
        <f t="shared" si="45"/>
        <v>1265893.414280524</v>
      </c>
      <c r="BB23" s="33">
        <f t="shared" si="10"/>
        <v>8997744.649078168</v>
      </c>
      <c r="BC23" s="43">
        <f t="shared" si="46"/>
        <v>15701280.311955389</v>
      </c>
      <c r="BD23" s="30">
        <v>0</v>
      </c>
      <c r="BE23" s="30">
        <f t="shared" si="68"/>
        <v>0</v>
      </c>
      <c r="BF23" s="30">
        <f t="shared" si="47"/>
        <v>628051.21247821557</v>
      </c>
      <c r="BG23" s="30">
        <f t="shared" si="48"/>
        <v>628051.21247821557</v>
      </c>
      <c r="BH23" s="33">
        <f t="shared" si="12"/>
        <v>15701280.311955389</v>
      </c>
      <c r="BI23" s="30">
        <f t="shared" si="13"/>
        <v>777148.74459677667</v>
      </c>
      <c r="BJ23" s="30">
        <f t="shared" si="14"/>
        <v>1116795.8821619628</v>
      </c>
      <c r="BK23" s="33">
        <f t="shared" si="15"/>
        <v>1893944.6267587396</v>
      </c>
      <c r="BM23" s="3">
        <f>Inputs!$A17</f>
        <v>46203</v>
      </c>
      <c r="BN23" s="13" cm="1">
        <f t="array" ref="BN23">INDEX(INDEX(projectData,0,BM$1),_xlfn.XMATCH(BM23,projectInfo,0))</f>
        <v>28301444.444444448</v>
      </c>
      <c r="BS23">
        <v>10.997222222222222</v>
      </c>
      <c r="BT23">
        <v>1</v>
      </c>
      <c r="BU23">
        <v>14</v>
      </c>
      <c r="BV23" s="38">
        <v>49490</v>
      </c>
      <c r="BW23" s="43">
        <f t="shared" si="49"/>
        <v>31582837.325129505</v>
      </c>
      <c r="BX23" s="30">
        <v>0</v>
      </c>
      <c r="BY23" s="30">
        <f t="shared" si="16"/>
        <v>2223080.9094459615</v>
      </c>
      <c r="BZ23" s="30">
        <f t="shared" si="50"/>
        <v>1579141.8662564754</v>
      </c>
      <c r="CA23" s="30">
        <f t="shared" si="51"/>
        <v>3802222.7757024369</v>
      </c>
      <c r="CB23" s="33">
        <f t="shared" si="17"/>
        <v>29359756.415683545</v>
      </c>
      <c r="CC23" s="43">
        <f t="shared" si="52"/>
        <v>47923934.534198709</v>
      </c>
      <c r="CD23" s="30">
        <v>0</v>
      </c>
      <c r="CE23" s="30">
        <f t="shared" si="69"/>
        <v>0</v>
      </c>
      <c r="CF23" s="30">
        <f t="shared" si="53"/>
        <v>1916957.3813679484</v>
      </c>
      <c r="CG23" s="30">
        <f t="shared" si="54"/>
        <v>1916957.3813679484</v>
      </c>
      <c r="CH23" s="33">
        <f t="shared" si="19"/>
        <v>47923934.534198709</v>
      </c>
      <c r="CI23" s="30">
        <f t="shared" si="20"/>
        <v>2223080.9094459615</v>
      </c>
      <c r="CJ23" s="30">
        <f t="shared" si="21"/>
        <v>3496099.2476244238</v>
      </c>
      <c r="CK23" s="33">
        <f t="shared" si="22"/>
        <v>5719180.1570703853</v>
      </c>
      <c r="CM23" s="3">
        <f>Inputs!$A17</f>
        <v>46203</v>
      </c>
      <c r="CN23" s="13" cm="1">
        <f t="array" ref="CN23">INDEX(INDEX(projectData,0,CM$1),_xlfn.XMATCH(CM23,projectInfo,0))</f>
        <v>42183559.016666673</v>
      </c>
      <c r="CS23">
        <v>9.9972222222222218</v>
      </c>
      <c r="CT23">
        <v>1</v>
      </c>
      <c r="CU23">
        <v>14</v>
      </c>
      <c r="CV23" s="38">
        <v>49490</v>
      </c>
      <c r="CW23" s="43">
        <f t="shared" si="55"/>
        <v>58672863.055253968</v>
      </c>
      <c r="CX23" s="30">
        <v>0</v>
      </c>
      <c r="CY23" s="30">
        <f t="shared" si="23"/>
        <v>3312421.378365661</v>
      </c>
      <c r="CZ23" s="30">
        <f t="shared" si="56"/>
        <v>2933643.1527626985</v>
      </c>
      <c r="DA23" s="30">
        <f t="shared" si="57"/>
        <v>6246064.53112836</v>
      </c>
      <c r="DB23" s="33">
        <f t="shared" si="24"/>
        <v>55360441.676888309</v>
      </c>
      <c r="DC23" s="43">
        <f t="shared" si="58"/>
        <v>78372814.111846983</v>
      </c>
      <c r="DD23" s="30">
        <v>0</v>
      </c>
      <c r="DE23" s="30">
        <f t="shared" si="70"/>
        <v>0</v>
      </c>
      <c r="DF23" s="30">
        <f t="shared" si="59"/>
        <v>3134912.5644738795</v>
      </c>
      <c r="DG23" s="30">
        <f t="shared" si="60"/>
        <v>3134912.5644738795</v>
      </c>
      <c r="DH23" s="33">
        <f t="shared" si="26"/>
        <v>78372814.111846983</v>
      </c>
      <c r="DI23" s="30">
        <f t="shared" si="27"/>
        <v>3312421.378365661</v>
      </c>
      <c r="DJ23" s="30">
        <f t="shared" si="28"/>
        <v>6068555.7172365785</v>
      </c>
      <c r="DK23" s="33">
        <f t="shared" si="29"/>
        <v>9380977.0956022404</v>
      </c>
      <c r="DM23" s="3">
        <f>Inputs!$A17</f>
        <v>46203</v>
      </c>
      <c r="DN23" s="13" cm="1">
        <f t="array" ref="DN23">INDEX(INDEX(projectData,0,DM$1),_xlfn.XMATCH(DM23,projectInfo,0))</f>
        <v>0</v>
      </c>
      <c r="DS23">
        <v>7.9972222222222218</v>
      </c>
      <c r="DT23">
        <v>1</v>
      </c>
      <c r="DU23">
        <v>14</v>
      </c>
      <c r="DV23" s="38">
        <v>49490</v>
      </c>
      <c r="DW23" s="43">
        <f t="shared" si="61"/>
        <v>145849127.52475148</v>
      </c>
      <c r="DX23" s="30">
        <v>0</v>
      </c>
      <c r="DY23" s="30">
        <f t="shared" si="30"/>
        <v>7441801.4281909754</v>
      </c>
      <c r="DZ23" s="30">
        <f t="shared" si="62"/>
        <v>7292456.376237575</v>
      </c>
      <c r="EA23" s="30">
        <f t="shared" si="63"/>
        <v>14734257.804428551</v>
      </c>
      <c r="EB23" s="33">
        <f t="shared" si="31"/>
        <v>138407326.09656051</v>
      </c>
      <c r="EC23" s="43">
        <f t="shared" si="64"/>
        <v>180983343.83648863</v>
      </c>
      <c r="ED23" s="30">
        <v>0</v>
      </c>
      <c r="EE23" s="30">
        <f t="shared" si="71"/>
        <v>0</v>
      </c>
      <c r="EF23" s="30">
        <f t="shared" si="65"/>
        <v>7239333.7534595458</v>
      </c>
      <c r="EG23" s="30">
        <f t="shared" si="66"/>
        <v>7239333.7534595458</v>
      </c>
      <c r="EH23" s="33">
        <f t="shared" si="33"/>
        <v>180983343.83648863</v>
      </c>
      <c r="EI23" s="30">
        <f t="shared" si="34"/>
        <v>7441801.4281909754</v>
      </c>
      <c r="EJ23" s="30">
        <f t="shared" si="35"/>
        <v>14531790.129697122</v>
      </c>
      <c r="EK23" s="33">
        <f t="shared" si="36"/>
        <v>21973591.557888098</v>
      </c>
    </row>
    <row r="24" spans="1:141" x14ac:dyDescent="0.25">
      <c r="C24" s="38">
        <v>49856</v>
      </c>
      <c r="D24" s="43">
        <f t="shared" si="37"/>
        <v>0</v>
      </c>
      <c r="E24" s="30">
        <f t="shared" si="1"/>
        <v>14442175.083629344</v>
      </c>
      <c r="F24" s="30">
        <f t="shared" si="1"/>
        <v>11606263.441910528</v>
      </c>
      <c r="G24" s="33">
        <f t="shared" si="1"/>
        <v>26048438.525539868</v>
      </c>
      <c r="H24" s="43">
        <f t="shared" si="1"/>
        <v>0</v>
      </c>
      <c r="I24" s="30">
        <f t="shared" si="1"/>
        <v>978159.5832739321</v>
      </c>
      <c r="J24" s="30">
        <f t="shared" si="1"/>
        <v>13320886.02436154</v>
      </c>
      <c r="K24" s="33">
        <f t="shared" si="1"/>
        <v>14299045.607635472</v>
      </c>
      <c r="M24" s="3">
        <f>Inputs!$A18</f>
        <v>46568</v>
      </c>
      <c r="N24" s="13" cm="1">
        <f t="array" ref="N24">INDEX(INDEX(projectData,0,M$1),_xlfn.XMATCH(M24,projectInfo,0))</f>
        <v>0</v>
      </c>
      <c r="S24">
        <v>13.580555555555556</v>
      </c>
      <c r="T24">
        <v>1</v>
      </c>
      <c r="U24">
        <v>15</v>
      </c>
      <c r="V24" s="38">
        <v>49856</v>
      </c>
      <c r="W24" s="43">
        <f t="shared" si="38"/>
        <v>20637435.095100001</v>
      </c>
      <c r="X24" s="30">
        <f>IFERROR(VLOOKUP(V24,Inputs!$A$13:$B$23,2,0),0)*$X$5</f>
        <v>0</v>
      </c>
      <c r="Y24" s="30">
        <v>0</v>
      </c>
      <c r="Z24" s="30">
        <v>0</v>
      </c>
      <c r="AA24" s="30">
        <f t="shared" si="39"/>
        <v>0</v>
      </c>
      <c r="AB24" s="33">
        <f t="shared" si="3"/>
        <v>20637435.095100001</v>
      </c>
      <c r="AC24" s="43">
        <f t="shared" si="40"/>
        <v>11475174.645198563</v>
      </c>
      <c r="AD24" s="30">
        <f>IFERROR(VLOOKUP(C24,Inputs!$A$13:$B$23,2,0),0)*'PV &amp; WIFIA New'!$AD$5</f>
        <v>0</v>
      </c>
      <c r="AE24" s="30">
        <f t="shared" si="67"/>
        <v>978159.5832739321</v>
      </c>
      <c r="AF24" s="30">
        <f t="shared" si="41"/>
        <v>401631.11258194974</v>
      </c>
      <c r="AG24" s="30">
        <f t="shared" si="42"/>
        <v>1379790.6958558818</v>
      </c>
      <c r="AH24" s="33">
        <f t="shared" si="5"/>
        <v>10497015.061924631</v>
      </c>
      <c r="AI24" s="30">
        <f t="shared" si="6"/>
        <v>978159.5832739321</v>
      </c>
      <c r="AJ24" s="30">
        <f t="shared" si="7"/>
        <v>401631.11258194974</v>
      </c>
      <c r="AK24" s="33">
        <f t="shared" si="8"/>
        <v>1379790.6958558818</v>
      </c>
      <c r="AM24" s="3">
        <f>Inputs!$A18</f>
        <v>46568</v>
      </c>
      <c r="AN24" s="13" cm="1">
        <f t="array" ref="AN24">INDEX(INDEX(projectData,0,AM$1),_xlfn.XMATCH(AM24,projectInfo,0))</f>
        <v>5155500</v>
      </c>
      <c r="AS24">
        <v>12.997222222222222</v>
      </c>
      <c r="AT24">
        <v>1</v>
      </c>
      <c r="AU24">
        <v>15</v>
      </c>
      <c r="AV24" s="38">
        <v>49856</v>
      </c>
      <c r="AW24" s="43">
        <f t="shared" si="43"/>
        <v>8997744.649078168</v>
      </c>
      <c r="AX24" s="30">
        <v>0</v>
      </c>
      <c r="AY24" s="30">
        <f t="shared" si="9"/>
        <v>816006.18182661547</v>
      </c>
      <c r="AZ24" s="30">
        <f t="shared" si="44"/>
        <v>449887.23245390842</v>
      </c>
      <c r="BA24" s="30">
        <f t="shared" si="45"/>
        <v>1265893.414280524</v>
      </c>
      <c r="BB24" s="33">
        <f t="shared" si="10"/>
        <v>8181738.4672515523</v>
      </c>
      <c r="BC24" s="43">
        <f t="shared" si="46"/>
        <v>15701280.311955389</v>
      </c>
      <c r="BD24" s="30">
        <v>0</v>
      </c>
      <c r="BE24" s="30">
        <f t="shared" si="68"/>
        <v>0</v>
      </c>
      <c r="BF24" s="30">
        <f t="shared" si="47"/>
        <v>628051.21247821557</v>
      </c>
      <c r="BG24" s="30">
        <f t="shared" si="48"/>
        <v>628051.21247821557</v>
      </c>
      <c r="BH24" s="33">
        <f t="shared" si="12"/>
        <v>15701280.311955389</v>
      </c>
      <c r="BI24" s="30">
        <f t="shared" si="13"/>
        <v>816006.18182661547</v>
      </c>
      <c r="BJ24" s="30">
        <f t="shared" si="14"/>
        <v>1077938.4449321241</v>
      </c>
      <c r="BK24" s="33">
        <f t="shared" si="15"/>
        <v>1893944.6267587396</v>
      </c>
      <c r="BM24" s="3">
        <f>Inputs!$A18</f>
        <v>46568</v>
      </c>
      <c r="BN24" s="13" cm="1">
        <f t="array" ref="BN24">INDEX(INDEX(projectData,0,BM$1),_xlfn.XMATCH(BM24,projectInfo,0))</f>
        <v>14958666.666666668</v>
      </c>
      <c r="BS24">
        <v>11.997222222222222</v>
      </c>
      <c r="BT24">
        <v>1</v>
      </c>
      <c r="BU24">
        <v>15</v>
      </c>
      <c r="BV24" s="38">
        <v>49856</v>
      </c>
      <c r="BW24" s="43">
        <f t="shared" si="49"/>
        <v>29359756.415683545</v>
      </c>
      <c r="BX24" s="30">
        <v>0</v>
      </c>
      <c r="BY24" s="30">
        <f t="shared" si="16"/>
        <v>2334234.9549182593</v>
      </c>
      <c r="BZ24" s="30">
        <f t="shared" si="50"/>
        <v>1467987.8207841774</v>
      </c>
      <c r="CA24" s="30">
        <f t="shared" si="51"/>
        <v>3802222.7757024365</v>
      </c>
      <c r="CB24" s="33">
        <f t="shared" si="17"/>
        <v>27025521.460765287</v>
      </c>
      <c r="CC24" s="43">
        <f t="shared" si="52"/>
        <v>47923934.534198709</v>
      </c>
      <c r="CD24" s="30">
        <v>0</v>
      </c>
      <c r="CE24" s="30">
        <f t="shared" si="69"/>
        <v>0</v>
      </c>
      <c r="CF24" s="30">
        <f t="shared" si="53"/>
        <v>1916957.3813679484</v>
      </c>
      <c r="CG24" s="30">
        <f t="shared" si="54"/>
        <v>1916957.3813679484</v>
      </c>
      <c r="CH24" s="33">
        <f t="shared" si="19"/>
        <v>47923934.534198709</v>
      </c>
      <c r="CI24" s="30">
        <f t="shared" si="20"/>
        <v>2334234.9549182593</v>
      </c>
      <c r="CJ24" s="30">
        <f t="shared" si="21"/>
        <v>3384945.2021521255</v>
      </c>
      <c r="CK24" s="33">
        <f t="shared" si="22"/>
        <v>5719180.1570703853</v>
      </c>
      <c r="CM24" s="3">
        <f>Inputs!$A18</f>
        <v>46568</v>
      </c>
      <c r="CN24" s="13" cm="1">
        <f t="array" ref="CN24">INDEX(INDEX(projectData,0,CM$1),_xlfn.XMATCH(CM24,projectInfo,0))</f>
        <v>63275338.524999991</v>
      </c>
      <c r="CS24">
        <v>10.997222222222222</v>
      </c>
      <c r="CT24">
        <v>1</v>
      </c>
      <c r="CU24">
        <v>15</v>
      </c>
      <c r="CV24" s="38">
        <v>49856</v>
      </c>
      <c r="CW24" s="43">
        <f t="shared" si="55"/>
        <v>55360441.676888309</v>
      </c>
      <c r="CX24" s="30">
        <v>0</v>
      </c>
      <c r="CY24" s="30">
        <f t="shared" si="23"/>
        <v>3478042.4472839441</v>
      </c>
      <c r="CZ24" s="30">
        <f t="shared" si="56"/>
        <v>2768022.0838444158</v>
      </c>
      <c r="DA24" s="30">
        <f t="shared" si="57"/>
        <v>6246064.53112836</v>
      </c>
      <c r="DB24" s="33">
        <f t="shared" si="24"/>
        <v>51882399.229604363</v>
      </c>
      <c r="DC24" s="43">
        <f t="shared" si="58"/>
        <v>78372814.111846983</v>
      </c>
      <c r="DD24" s="30">
        <v>0</v>
      </c>
      <c r="DE24" s="30">
        <f t="shared" si="70"/>
        <v>0</v>
      </c>
      <c r="DF24" s="30">
        <f t="shared" si="59"/>
        <v>3134912.5644738795</v>
      </c>
      <c r="DG24" s="30">
        <f t="shared" si="60"/>
        <v>3134912.5644738795</v>
      </c>
      <c r="DH24" s="33">
        <f t="shared" si="26"/>
        <v>78372814.111846983</v>
      </c>
      <c r="DI24" s="30">
        <f t="shared" si="27"/>
        <v>3478042.4472839441</v>
      </c>
      <c r="DJ24" s="30">
        <f t="shared" si="28"/>
        <v>5902934.6483182954</v>
      </c>
      <c r="DK24" s="33">
        <f t="shared" si="29"/>
        <v>9380977.0956022404</v>
      </c>
      <c r="DM24" s="3">
        <f>Inputs!$A18</f>
        <v>46568</v>
      </c>
      <c r="DN24" s="13" cm="1">
        <f t="array" ref="DN24">INDEX(INDEX(projectData,0,DM$1),_xlfn.XMATCH(DM24,projectInfo,0))</f>
        <v>31310862.745098036</v>
      </c>
      <c r="DS24">
        <v>8.9972222222222218</v>
      </c>
      <c r="DT24">
        <v>1</v>
      </c>
      <c r="DU24">
        <v>15</v>
      </c>
      <c r="DV24" s="38">
        <v>49856</v>
      </c>
      <c r="DW24" s="43">
        <f t="shared" si="61"/>
        <v>138407326.09656051</v>
      </c>
      <c r="DX24" s="30">
        <v>0</v>
      </c>
      <c r="DY24" s="30">
        <f t="shared" si="30"/>
        <v>7813891.4996005241</v>
      </c>
      <c r="DZ24" s="30">
        <f t="shared" si="62"/>
        <v>6920366.3048280254</v>
      </c>
      <c r="EA24" s="30">
        <f t="shared" si="63"/>
        <v>14734257.804428549</v>
      </c>
      <c r="EB24" s="33">
        <f t="shared" si="31"/>
        <v>130593434.59695998</v>
      </c>
      <c r="EC24" s="43">
        <f t="shared" si="64"/>
        <v>180983343.83648863</v>
      </c>
      <c r="ED24" s="30">
        <v>0</v>
      </c>
      <c r="EE24" s="30">
        <f t="shared" si="71"/>
        <v>0</v>
      </c>
      <c r="EF24" s="30">
        <f t="shared" si="65"/>
        <v>7239333.7534595458</v>
      </c>
      <c r="EG24" s="30">
        <f t="shared" si="66"/>
        <v>7239333.7534595458</v>
      </c>
      <c r="EH24" s="33">
        <f t="shared" si="33"/>
        <v>180983343.83648863</v>
      </c>
      <c r="EI24" s="30">
        <f t="shared" si="34"/>
        <v>7813891.4996005241</v>
      </c>
      <c r="EJ24" s="30">
        <f t="shared" si="35"/>
        <v>14159700.058287572</v>
      </c>
      <c r="EK24" s="33">
        <f t="shared" si="36"/>
        <v>21973591.557888094</v>
      </c>
    </row>
    <row r="25" spans="1:141" x14ac:dyDescent="0.25">
      <c r="C25" s="38">
        <v>50221</v>
      </c>
      <c r="D25" s="43">
        <f t="shared" si="37"/>
        <v>0</v>
      </c>
      <c r="E25" s="30">
        <f t="shared" si="1"/>
        <v>15164283.837810811</v>
      </c>
      <c r="F25" s="30">
        <f t="shared" si="1"/>
        <v>10884154.687729061</v>
      </c>
      <c r="G25" s="33">
        <f t="shared" si="1"/>
        <v>26048438.525539868</v>
      </c>
      <c r="H25" s="43">
        <f t="shared" si="1"/>
        <v>0</v>
      </c>
      <c r="I25" s="30">
        <f t="shared" si="1"/>
        <v>1012395.1686885196</v>
      </c>
      <c r="J25" s="30">
        <f t="shared" si="1"/>
        <v>13286650.438946951</v>
      </c>
      <c r="K25" s="33">
        <f t="shared" si="1"/>
        <v>14299045.607635472</v>
      </c>
      <c r="M25" s="3">
        <f>Inputs!$A19</f>
        <v>46934</v>
      </c>
      <c r="N25" s="13" cm="1">
        <f t="array" ref="N25">INDEX(INDEX(projectData,0,M$1),_xlfn.XMATCH(M25,projectInfo,0))</f>
        <v>0</v>
      </c>
      <c r="S25">
        <v>14.580555555555556</v>
      </c>
      <c r="T25">
        <v>1</v>
      </c>
      <c r="U25">
        <v>16</v>
      </c>
      <c r="V25" s="38">
        <v>50221</v>
      </c>
      <c r="W25" s="43">
        <f t="shared" si="38"/>
        <v>20637435.095100001</v>
      </c>
      <c r="X25" s="30">
        <f>IFERROR(VLOOKUP(V25,Inputs!$A$13:$B$23,2,0),0)*$X$5</f>
        <v>0</v>
      </c>
      <c r="Y25" s="30">
        <v>0</v>
      </c>
      <c r="Z25" s="30">
        <v>0</v>
      </c>
      <c r="AA25" s="30">
        <f t="shared" si="39"/>
        <v>0</v>
      </c>
      <c r="AB25" s="33">
        <f t="shared" si="3"/>
        <v>20637435.095100001</v>
      </c>
      <c r="AC25" s="43">
        <f t="shared" si="40"/>
        <v>10497015.061924631</v>
      </c>
      <c r="AD25" s="30">
        <f>IFERROR(VLOOKUP(C25,Inputs!$A$13:$B$23,2,0),0)*'PV &amp; WIFIA New'!$AD$5</f>
        <v>0</v>
      </c>
      <c r="AE25" s="30">
        <f t="shared" si="67"/>
        <v>1012395.1686885196</v>
      </c>
      <c r="AF25" s="30">
        <f t="shared" si="41"/>
        <v>367395.5271673621</v>
      </c>
      <c r="AG25" s="30">
        <f t="shared" si="42"/>
        <v>1379790.6958558818</v>
      </c>
      <c r="AH25" s="33">
        <f t="shared" si="5"/>
        <v>9484619.8932361118</v>
      </c>
      <c r="AI25" s="30">
        <f t="shared" si="6"/>
        <v>1012395.1686885196</v>
      </c>
      <c r="AJ25" s="30">
        <f t="shared" si="7"/>
        <v>367395.5271673621</v>
      </c>
      <c r="AK25" s="33">
        <f t="shared" si="8"/>
        <v>1379790.6958558818</v>
      </c>
      <c r="AM25" s="3">
        <f>Inputs!$A19</f>
        <v>46934</v>
      </c>
      <c r="AN25" s="13" cm="1">
        <f t="array" ref="AN25">INDEX(INDEX(projectData,0,AM$1),_xlfn.XMATCH(AM25,projectInfo,0))</f>
        <v>0</v>
      </c>
      <c r="AS25">
        <v>13.997222222222222</v>
      </c>
      <c r="AT25">
        <v>1</v>
      </c>
      <c r="AU25">
        <v>16</v>
      </c>
      <c r="AV25" s="38">
        <v>50221</v>
      </c>
      <c r="AW25" s="43">
        <f t="shared" si="43"/>
        <v>8181738.4672515523</v>
      </c>
      <c r="AX25" s="30">
        <v>0</v>
      </c>
      <c r="AY25" s="30">
        <f t="shared" si="9"/>
        <v>856806.49091794621</v>
      </c>
      <c r="AZ25" s="30">
        <f t="shared" si="44"/>
        <v>409086.92336257763</v>
      </c>
      <c r="BA25" s="30">
        <f t="shared" si="45"/>
        <v>1265893.4142805238</v>
      </c>
      <c r="BB25" s="33">
        <f t="shared" si="10"/>
        <v>7324931.9763336061</v>
      </c>
      <c r="BC25" s="43">
        <f t="shared" si="46"/>
        <v>15701280.311955389</v>
      </c>
      <c r="BD25" s="30">
        <v>0</v>
      </c>
      <c r="BE25" s="30">
        <f t="shared" si="68"/>
        <v>0</v>
      </c>
      <c r="BF25" s="30">
        <f t="shared" si="47"/>
        <v>628051.21247821557</v>
      </c>
      <c r="BG25" s="30">
        <f t="shared" si="48"/>
        <v>628051.21247821557</v>
      </c>
      <c r="BH25" s="33">
        <f t="shared" si="12"/>
        <v>15701280.311955389</v>
      </c>
      <c r="BI25" s="30">
        <f t="shared" si="13"/>
        <v>856806.49091794621</v>
      </c>
      <c r="BJ25" s="30">
        <f t="shared" si="14"/>
        <v>1037138.1358407931</v>
      </c>
      <c r="BK25" s="33">
        <f t="shared" si="15"/>
        <v>1893944.6267587394</v>
      </c>
      <c r="BM25" s="3">
        <f>Inputs!$A19</f>
        <v>46934</v>
      </c>
      <c r="BN25" s="13" cm="1">
        <f t="array" ref="BN25">INDEX(INDEX(projectData,0,BM$1),_xlfn.XMATCH(BM25,projectInfo,0))</f>
        <v>24017000</v>
      </c>
      <c r="BS25">
        <v>12.997222222222222</v>
      </c>
      <c r="BT25">
        <v>1</v>
      </c>
      <c r="BU25">
        <v>16</v>
      </c>
      <c r="BV25" s="38">
        <v>50221</v>
      </c>
      <c r="BW25" s="43">
        <f t="shared" si="49"/>
        <v>27025521.460765287</v>
      </c>
      <c r="BX25" s="30">
        <v>0</v>
      </c>
      <c r="BY25" s="30">
        <f t="shared" si="16"/>
        <v>2450946.7026641723</v>
      </c>
      <c r="BZ25" s="30">
        <f t="shared" si="50"/>
        <v>1351276.0730382644</v>
      </c>
      <c r="CA25" s="30">
        <f t="shared" si="51"/>
        <v>3802222.7757024365</v>
      </c>
      <c r="CB25" s="33">
        <f t="shared" si="17"/>
        <v>24574574.758101113</v>
      </c>
      <c r="CC25" s="43">
        <f t="shared" si="52"/>
        <v>47923934.534198709</v>
      </c>
      <c r="CD25" s="30">
        <v>0</v>
      </c>
      <c r="CE25" s="30">
        <f t="shared" si="69"/>
        <v>0</v>
      </c>
      <c r="CF25" s="30">
        <f t="shared" si="53"/>
        <v>1916957.3813679484</v>
      </c>
      <c r="CG25" s="30">
        <f t="shared" si="54"/>
        <v>1916957.3813679484</v>
      </c>
      <c r="CH25" s="33">
        <f t="shared" si="19"/>
        <v>47923934.534198709</v>
      </c>
      <c r="CI25" s="30">
        <f t="shared" si="20"/>
        <v>2450946.7026641723</v>
      </c>
      <c r="CJ25" s="30">
        <f t="shared" si="21"/>
        <v>3268233.454406213</v>
      </c>
      <c r="CK25" s="33">
        <f t="shared" si="22"/>
        <v>5719180.1570703853</v>
      </c>
      <c r="CM25" s="3">
        <f>Inputs!$A19</f>
        <v>46934</v>
      </c>
      <c r="CN25" s="13" cm="1">
        <f t="array" ref="CN25">INDEX(INDEX(projectData,0,CM$1),_xlfn.XMATCH(CM25,projectInfo,0))</f>
        <v>38475994.808333345</v>
      </c>
      <c r="CS25">
        <v>11.997222222222222</v>
      </c>
      <c r="CT25">
        <v>1</v>
      </c>
      <c r="CU25">
        <v>16</v>
      </c>
      <c r="CV25" s="38">
        <v>50221</v>
      </c>
      <c r="CW25" s="43">
        <f t="shared" si="55"/>
        <v>51882399.229604363</v>
      </c>
      <c r="CX25" s="30">
        <v>0</v>
      </c>
      <c r="CY25" s="30">
        <f t="shared" si="23"/>
        <v>3651944.569648141</v>
      </c>
      <c r="CZ25" s="30">
        <f t="shared" si="56"/>
        <v>2594119.9614802185</v>
      </c>
      <c r="DA25" s="30">
        <f t="shared" si="57"/>
        <v>6246064.53112836</v>
      </c>
      <c r="DB25" s="33">
        <f t="shared" si="24"/>
        <v>48230454.659956224</v>
      </c>
      <c r="DC25" s="43">
        <f t="shared" si="58"/>
        <v>78372814.111846983</v>
      </c>
      <c r="DD25" s="30">
        <v>0</v>
      </c>
      <c r="DE25" s="30">
        <f t="shared" si="70"/>
        <v>0</v>
      </c>
      <c r="DF25" s="30">
        <f t="shared" si="59"/>
        <v>3134912.5644738795</v>
      </c>
      <c r="DG25" s="30">
        <f t="shared" si="60"/>
        <v>3134912.5644738795</v>
      </c>
      <c r="DH25" s="33">
        <f t="shared" si="26"/>
        <v>78372814.111846983</v>
      </c>
      <c r="DI25" s="30">
        <f t="shared" si="27"/>
        <v>3651944.569648141</v>
      </c>
      <c r="DJ25" s="30">
        <f t="shared" si="28"/>
        <v>5729032.5259540975</v>
      </c>
      <c r="DK25" s="33">
        <f t="shared" si="29"/>
        <v>9380977.0956022404</v>
      </c>
      <c r="DM25" s="3">
        <f>Inputs!$A19</f>
        <v>46934</v>
      </c>
      <c r="DN25" s="13" cm="1">
        <f t="array" ref="DN25">INDEX(INDEX(projectData,0,DM$1),_xlfn.XMATCH(DM25,projectInfo,0))</f>
        <v>53675764.705882356</v>
      </c>
      <c r="DS25">
        <v>9.9972222222222218</v>
      </c>
      <c r="DT25">
        <v>1</v>
      </c>
      <c r="DU25">
        <v>16</v>
      </c>
      <c r="DV25" s="38">
        <v>50221</v>
      </c>
      <c r="DW25" s="43">
        <f t="shared" si="61"/>
        <v>130593434.59695998</v>
      </c>
      <c r="DX25" s="30">
        <v>0</v>
      </c>
      <c r="DY25" s="30">
        <f t="shared" si="30"/>
        <v>8204586.0745805502</v>
      </c>
      <c r="DZ25" s="30">
        <f t="shared" si="62"/>
        <v>6529671.7298479993</v>
      </c>
      <c r="EA25" s="30">
        <f t="shared" si="63"/>
        <v>14734257.804428549</v>
      </c>
      <c r="EB25" s="33">
        <f t="shared" si="31"/>
        <v>122388848.52237943</v>
      </c>
      <c r="EC25" s="43">
        <f t="shared" si="64"/>
        <v>180983343.83648863</v>
      </c>
      <c r="ED25" s="30">
        <v>0</v>
      </c>
      <c r="EE25" s="30">
        <f t="shared" si="71"/>
        <v>0</v>
      </c>
      <c r="EF25" s="30">
        <f t="shared" si="65"/>
        <v>7239333.7534595458</v>
      </c>
      <c r="EG25" s="30">
        <f t="shared" si="66"/>
        <v>7239333.7534595458</v>
      </c>
      <c r="EH25" s="33">
        <f t="shared" si="33"/>
        <v>180983343.83648863</v>
      </c>
      <c r="EI25" s="30">
        <f t="shared" si="34"/>
        <v>8204586.0745805502</v>
      </c>
      <c r="EJ25" s="30">
        <f t="shared" si="35"/>
        <v>13769005.483307544</v>
      </c>
      <c r="EK25" s="33">
        <f t="shared" si="36"/>
        <v>21973591.557888094</v>
      </c>
    </row>
    <row r="26" spans="1:141" x14ac:dyDescent="0.25">
      <c r="C26" s="38">
        <v>50586</v>
      </c>
      <c r="D26" s="43">
        <f t="shared" si="37"/>
        <v>0</v>
      </c>
      <c r="E26" s="30">
        <f t="shared" si="37"/>
        <v>15922498.02970135</v>
      </c>
      <c r="F26" s="30">
        <f t="shared" si="37"/>
        <v>10125940.495838519</v>
      </c>
      <c r="G26" s="33">
        <f t="shared" si="37"/>
        <v>26048438.525539868</v>
      </c>
      <c r="H26" s="43">
        <f t="shared" si="37"/>
        <v>0</v>
      </c>
      <c r="I26" s="30">
        <f t="shared" si="37"/>
        <v>1047828.9995926179</v>
      </c>
      <c r="J26" s="30">
        <f t="shared" si="37"/>
        <v>13251216.608042853</v>
      </c>
      <c r="K26" s="33">
        <f t="shared" si="37"/>
        <v>14299045.607635472</v>
      </c>
      <c r="M26" s="3">
        <f>Inputs!$A20</f>
        <v>47299</v>
      </c>
      <c r="N26" s="13" cm="1">
        <f t="array" ref="N26">INDEX(INDEX(projectData,0,M$1),_xlfn.XMATCH(M26,projectInfo,0))</f>
        <v>0</v>
      </c>
      <c r="S26">
        <v>15.580555555555556</v>
      </c>
      <c r="T26">
        <v>1</v>
      </c>
      <c r="U26">
        <v>17</v>
      </c>
      <c r="V26" s="38">
        <v>50586</v>
      </c>
      <c r="W26" s="43">
        <f t="shared" si="38"/>
        <v>20637435.095100001</v>
      </c>
      <c r="X26" s="30">
        <f>IFERROR(VLOOKUP(V26,Inputs!$A$13:$B$23,2,0),0)*$X$5</f>
        <v>0</v>
      </c>
      <c r="Y26" s="30">
        <v>0</v>
      </c>
      <c r="Z26" s="30">
        <v>0</v>
      </c>
      <c r="AA26" s="30">
        <f t="shared" si="39"/>
        <v>0</v>
      </c>
      <c r="AB26" s="33">
        <f t="shared" si="3"/>
        <v>20637435.095100001</v>
      </c>
      <c r="AC26" s="43">
        <f t="shared" si="40"/>
        <v>9484619.8932361118</v>
      </c>
      <c r="AD26" s="30">
        <f>IFERROR(VLOOKUP(C26,Inputs!$A$13:$B$23,2,0),0)*'PV &amp; WIFIA New'!$AD$5</f>
        <v>0</v>
      </c>
      <c r="AE26" s="30">
        <f t="shared" si="67"/>
        <v>1047828.9995926179</v>
      </c>
      <c r="AF26" s="30">
        <f t="shared" si="41"/>
        <v>331961.69626326393</v>
      </c>
      <c r="AG26" s="30">
        <f t="shared" si="42"/>
        <v>1379790.6958558818</v>
      </c>
      <c r="AH26" s="33">
        <f t="shared" si="5"/>
        <v>8436790.8936434947</v>
      </c>
      <c r="AI26" s="30">
        <f t="shared" si="6"/>
        <v>1047828.9995926179</v>
      </c>
      <c r="AJ26" s="30">
        <f t="shared" si="7"/>
        <v>331961.69626326393</v>
      </c>
      <c r="AK26" s="33">
        <f t="shared" si="8"/>
        <v>1379790.6958558818</v>
      </c>
      <c r="AM26" s="3">
        <f>Inputs!$A20</f>
        <v>47299</v>
      </c>
      <c r="AN26" s="13" cm="1">
        <f t="array" ref="AN26">INDEX(INDEX(projectData,0,AM$1),_xlfn.XMATCH(AM26,projectInfo,0))</f>
        <v>0</v>
      </c>
      <c r="AS26">
        <v>14.997222222222222</v>
      </c>
      <c r="AT26">
        <v>1</v>
      </c>
      <c r="AU26">
        <v>17</v>
      </c>
      <c r="AV26" s="38">
        <v>50586</v>
      </c>
      <c r="AW26" s="43">
        <f t="shared" si="43"/>
        <v>7324931.9763336061</v>
      </c>
      <c r="AX26" s="30">
        <v>0</v>
      </c>
      <c r="AY26" s="30">
        <f t="shared" si="9"/>
        <v>899646.81546384364</v>
      </c>
      <c r="AZ26" s="30">
        <f t="shared" si="44"/>
        <v>366246.59881668031</v>
      </c>
      <c r="BA26" s="30">
        <f t="shared" si="45"/>
        <v>1265893.414280524</v>
      </c>
      <c r="BB26" s="33">
        <f t="shared" si="10"/>
        <v>6425285.1608697623</v>
      </c>
      <c r="BC26" s="43">
        <f t="shared" si="46"/>
        <v>15701280.311955389</v>
      </c>
      <c r="BD26" s="30">
        <v>0</v>
      </c>
      <c r="BE26" s="30">
        <f t="shared" si="68"/>
        <v>0</v>
      </c>
      <c r="BF26" s="30">
        <f t="shared" si="47"/>
        <v>628051.21247821557</v>
      </c>
      <c r="BG26" s="30">
        <f t="shared" si="48"/>
        <v>628051.21247821557</v>
      </c>
      <c r="BH26" s="33">
        <f t="shared" si="12"/>
        <v>15701280.311955389</v>
      </c>
      <c r="BI26" s="30">
        <f t="shared" si="13"/>
        <v>899646.81546384364</v>
      </c>
      <c r="BJ26" s="30">
        <f t="shared" si="14"/>
        <v>994297.81129489583</v>
      </c>
      <c r="BK26" s="33">
        <f t="shared" si="15"/>
        <v>1893944.6267587396</v>
      </c>
      <c r="BM26" s="3">
        <f>Inputs!$A20</f>
        <v>47299</v>
      </c>
      <c r="BN26" s="13" cm="1">
        <f t="array" ref="BN26">INDEX(INDEX(projectData,0,BM$1),_xlfn.XMATCH(BM26,projectInfo,0))</f>
        <v>8005666.6666666642</v>
      </c>
      <c r="BS26">
        <v>13.997222222222222</v>
      </c>
      <c r="BT26">
        <v>1</v>
      </c>
      <c r="BU26">
        <v>17</v>
      </c>
      <c r="BV26" s="38">
        <v>50586</v>
      </c>
      <c r="BW26" s="43">
        <f t="shared" si="49"/>
        <v>24574574.758101113</v>
      </c>
      <c r="BX26" s="30">
        <v>0</v>
      </c>
      <c r="BY26" s="30">
        <f t="shared" si="16"/>
        <v>2573494.0377973812</v>
      </c>
      <c r="BZ26" s="30">
        <f t="shared" si="50"/>
        <v>1228728.7379050558</v>
      </c>
      <c r="CA26" s="30">
        <f t="shared" si="51"/>
        <v>3802222.7757024369</v>
      </c>
      <c r="CB26" s="33">
        <f t="shared" si="17"/>
        <v>22001080.720303733</v>
      </c>
      <c r="CC26" s="43">
        <f t="shared" si="52"/>
        <v>47923934.534198709</v>
      </c>
      <c r="CD26" s="30">
        <v>0</v>
      </c>
      <c r="CE26" s="30">
        <f t="shared" si="69"/>
        <v>0</v>
      </c>
      <c r="CF26" s="30">
        <f t="shared" si="53"/>
        <v>1916957.3813679484</v>
      </c>
      <c r="CG26" s="30">
        <f t="shared" si="54"/>
        <v>1916957.3813679484</v>
      </c>
      <c r="CH26" s="33">
        <f t="shared" si="19"/>
        <v>47923934.534198709</v>
      </c>
      <c r="CI26" s="30">
        <f t="shared" si="20"/>
        <v>2573494.0377973812</v>
      </c>
      <c r="CJ26" s="30">
        <f t="shared" si="21"/>
        <v>3145686.1192730041</v>
      </c>
      <c r="CK26" s="33">
        <f t="shared" si="22"/>
        <v>5719180.1570703853</v>
      </c>
      <c r="CM26" s="3">
        <f>Inputs!$A20</f>
        <v>47299</v>
      </c>
      <c r="CN26" s="13" cm="1">
        <f t="array" ref="CN26">INDEX(INDEX(projectData,0,CM$1),_xlfn.XMATCH(CM26,projectInfo,0))</f>
        <v>8692107.6500000004</v>
      </c>
      <c r="CS26">
        <v>12.997222222222222</v>
      </c>
      <c r="CT26">
        <v>1</v>
      </c>
      <c r="CU26">
        <v>17</v>
      </c>
      <c r="CV26" s="38">
        <v>50586</v>
      </c>
      <c r="CW26" s="43">
        <f t="shared" si="55"/>
        <v>48230454.659956224</v>
      </c>
      <c r="CX26" s="30">
        <v>0</v>
      </c>
      <c r="CY26" s="30">
        <f t="shared" si="23"/>
        <v>3834541.7981305481</v>
      </c>
      <c r="CZ26" s="30">
        <f t="shared" si="56"/>
        <v>2411522.7329978114</v>
      </c>
      <c r="DA26" s="30">
        <f t="shared" si="57"/>
        <v>6246064.53112836</v>
      </c>
      <c r="DB26" s="33">
        <f t="shared" si="24"/>
        <v>44395912.861825675</v>
      </c>
      <c r="DC26" s="43">
        <f t="shared" si="58"/>
        <v>78372814.111846983</v>
      </c>
      <c r="DD26" s="30">
        <v>0</v>
      </c>
      <c r="DE26" s="30">
        <f t="shared" si="70"/>
        <v>0</v>
      </c>
      <c r="DF26" s="30">
        <f t="shared" si="59"/>
        <v>3134912.5644738795</v>
      </c>
      <c r="DG26" s="30">
        <f t="shared" si="60"/>
        <v>3134912.5644738795</v>
      </c>
      <c r="DH26" s="33">
        <f t="shared" si="26"/>
        <v>78372814.111846983</v>
      </c>
      <c r="DI26" s="30">
        <f t="shared" si="27"/>
        <v>3834541.7981305481</v>
      </c>
      <c r="DJ26" s="30">
        <f t="shared" si="28"/>
        <v>5546435.2974716909</v>
      </c>
      <c r="DK26" s="33">
        <f t="shared" si="29"/>
        <v>9380977.0956022404</v>
      </c>
      <c r="DM26" s="3">
        <f>Inputs!$A20</f>
        <v>47299</v>
      </c>
      <c r="DN26" s="13" cm="1">
        <f t="array" ref="DN26">INDEX(INDEX(projectData,0,DM$1),_xlfn.XMATCH(DM26,projectInfo,0))</f>
        <v>77661219.251336902</v>
      </c>
      <c r="DS26">
        <v>10.997222222222222</v>
      </c>
      <c r="DT26">
        <v>1</v>
      </c>
      <c r="DU26">
        <v>17</v>
      </c>
      <c r="DV26" s="38">
        <v>50586</v>
      </c>
      <c r="DW26" s="43">
        <f t="shared" si="61"/>
        <v>122388848.52237943</v>
      </c>
      <c r="DX26" s="30">
        <v>0</v>
      </c>
      <c r="DY26" s="30">
        <f t="shared" si="30"/>
        <v>8614815.3783095777</v>
      </c>
      <c r="DZ26" s="30">
        <f t="shared" si="62"/>
        <v>6119442.4261189718</v>
      </c>
      <c r="EA26" s="30">
        <f t="shared" si="63"/>
        <v>14734257.804428549</v>
      </c>
      <c r="EB26" s="33">
        <f t="shared" si="31"/>
        <v>113774033.14406985</v>
      </c>
      <c r="EC26" s="43">
        <f t="shared" si="64"/>
        <v>180983343.83648863</v>
      </c>
      <c r="ED26" s="30">
        <v>0</v>
      </c>
      <c r="EE26" s="30">
        <f t="shared" si="71"/>
        <v>0</v>
      </c>
      <c r="EF26" s="30">
        <f t="shared" si="65"/>
        <v>7239333.7534595458</v>
      </c>
      <c r="EG26" s="30">
        <f t="shared" si="66"/>
        <v>7239333.7534595458</v>
      </c>
      <c r="EH26" s="33">
        <f t="shared" si="33"/>
        <v>180983343.83648863</v>
      </c>
      <c r="EI26" s="30">
        <f t="shared" si="34"/>
        <v>8614815.3783095777</v>
      </c>
      <c r="EJ26" s="30">
        <f t="shared" si="35"/>
        <v>13358776.179578517</v>
      </c>
      <c r="EK26" s="33">
        <f t="shared" si="36"/>
        <v>21973591.557888094</v>
      </c>
    </row>
    <row r="27" spans="1:141" x14ac:dyDescent="0.25">
      <c r="C27" s="38">
        <v>50951</v>
      </c>
      <c r="D27" s="43">
        <f t="shared" ref="D27:K42" si="72">SUMIFS($V27:$GG27,$V$4:$GG$4,D$4,$V$8:$GG$8,D$8)</f>
        <v>0</v>
      </c>
      <c r="E27" s="30">
        <f t="shared" si="72"/>
        <v>16718622.931186419</v>
      </c>
      <c r="F27" s="30">
        <f t="shared" si="72"/>
        <v>9329815.5943534523</v>
      </c>
      <c r="G27" s="33">
        <f t="shared" si="72"/>
        <v>26048438.525539871</v>
      </c>
      <c r="H27" s="43">
        <f t="shared" si="72"/>
        <v>0</v>
      </c>
      <c r="I27" s="30">
        <f t="shared" si="72"/>
        <v>1084503.0145783594</v>
      </c>
      <c r="J27" s="30">
        <f t="shared" si="72"/>
        <v>13214542.593057111</v>
      </c>
      <c r="K27" s="33">
        <f t="shared" si="72"/>
        <v>14299045.607635472</v>
      </c>
      <c r="M27" s="3">
        <f>Inputs!$A21</f>
        <v>47664</v>
      </c>
      <c r="N27" s="13" cm="1">
        <f t="array" ref="N27">INDEX(INDEX(projectData,0,M$1),_xlfn.XMATCH(M27,projectInfo,0))</f>
        <v>0</v>
      </c>
      <c r="S27">
        <v>16.580555555555556</v>
      </c>
      <c r="T27">
        <v>1</v>
      </c>
      <c r="U27">
        <v>18</v>
      </c>
      <c r="V27" s="38">
        <v>50951</v>
      </c>
      <c r="W27" s="43">
        <f t="shared" si="38"/>
        <v>20637435.095100001</v>
      </c>
      <c r="X27" s="30">
        <f>IFERROR(VLOOKUP(V27,Inputs!$A$13:$B$23,2,0),0)*$X$5</f>
        <v>0</v>
      </c>
      <c r="Y27" s="30">
        <v>0</v>
      </c>
      <c r="Z27" s="30">
        <v>0</v>
      </c>
      <c r="AA27" s="30">
        <f t="shared" si="39"/>
        <v>0</v>
      </c>
      <c r="AB27" s="33">
        <f t="shared" si="3"/>
        <v>20637435.095100001</v>
      </c>
      <c r="AC27" s="43">
        <f t="shared" si="40"/>
        <v>8436790.8936434947</v>
      </c>
      <c r="AD27" s="30">
        <f>IFERROR(VLOOKUP(C27,Inputs!$A$13:$B$23,2,0),0)*'PV &amp; WIFIA New'!$AD$5</f>
        <v>0</v>
      </c>
      <c r="AE27" s="30">
        <f t="shared" si="67"/>
        <v>1084503.0145783594</v>
      </c>
      <c r="AF27" s="30">
        <f t="shared" si="41"/>
        <v>295287.68127752235</v>
      </c>
      <c r="AG27" s="30">
        <f t="shared" si="42"/>
        <v>1379790.6958558818</v>
      </c>
      <c r="AH27" s="33">
        <f t="shared" si="5"/>
        <v>7352287.8790651355</v>
      </c>
      <c r="AI27" s="30">
        <f t="shared" si="6"/>
        <v>1084503.0145783594</v>
      </c>
      <c r="AJ27" s="30">
        <f t="shared" si="7"/>
        <v>295287.68127752235</v>
      </c>
      <c r="AK27" s="33">
        <f t="shared" si="8"/>
        <v>1379790.6958558818</v>
      </c>
      <c r="AM27" s="3">
        <f>Inputs!$A21</f>
        <v>47664</v>
      </c>
      <c r="AN27" s="13" cm="1">
        <f t="array" ref="AN27">INDEX(INDEX(projectData,0,AM$1),_xlfn.XMATCH(AM27,projectInfo,0))</f>
        <v>0</v>
      </c>
      <c r="AS27">
        <v>15.997222222222222</v>
      </c>
      <c r="AT27">
        <v>1</v>
      </c>
      <c r="AU27">
        <v>18</v>
      </c>
      <c r="AV27" s="38">
        <v>50951</v>
      </c>
      <c r="AW27" s="43">
        <f t="shared" si="43"/>
        <v>6425285.1608697623</v>
      </c>
      <c r="AX27" s="30">
        <v>0</v>
      </c>
      <c r="AY27" s="30">
        <f t="shared" si="9"/>
        <v>944629.15623703587</v>
      </c>
      <c r="AZ27" s="30">
        <f t="shared" si="44"/>
        <v>321264.25804348814</v>
      </c>
      <c r="BA27" s="30">
        <f t="shared" si="45"/>
        <v>1265893.414280524</v>
      </c>
      <c r="BB27" s="33">
        <f t="shared" si="10"/>
        <v>5480656.0046327263</v>
      </c>
      <c r="BC27" s="43">
        <f t="shared" si="46"/>
        <v>15701280.311955389</v>
      </c>
      <c r="BD27" s="30">
        <v>0</v>
      </c>
      <c r="BE27" s="30">
        <f t="shared" si="68"/>
        <v>0</v>
      </c>
      <c r="BF27" s="30">
        <f t="shared" si="47"/>
        <v>628051.21247821557</v>
      </c>
      <c r="BG27" s="30">
        <f t="shared" si="48"/>
        <v>628051.21247821557</v>
      </c>
      <c r="BH27" s="33">
        <f t="shared" si="12"/>
        <v>15701280.311955389</v>
      </c>
      <c r="BI27" s="30">
        <f t="shared" si="13"/>
        <v>944629.15623703587</v>
      </c>
      <c r="BJ27" s="30">
        <f t="shared" si="14"/>
        <v>949315.47052170371</v>
      </c>
      <c r="BK27" s="33">
        <f t="shared" si="15"/>
        <v>1893944.6267587396</v>
      </c>
      <c r="BM27" s="3">
        <f>Inputs!$A21</f>
        <v>47664</v>
      </c>
      <c r="BN27" s="13" cm="1">
        <f t="array" ref="BN27">INDEX(INDEX(projectData,0,BM$1),_xlfn.XMATCH(BM27,projectInfo,0))</f>
        <v>0</v>
      </c>
      <c r="BS27">
        <v>14.997222222222222</v>
      </c>
      <c r="BT27">
        <v>1</v>
      </c>
      <c r="BU27">
        <v>18</v>
      </c>
      <c r="BV27" s="38">
        <v>50951</v>
      </c>
      <c r="BW27" s="43">
        <f t="shared" si="49"/>
        <v>22001080.720303733</v>
      </c>
      <c r="BX27" s="30">
        <v>0</v>
      </c>
      <c r="BY27" s="30">
        <f t="shared" si="16"/>
        <v>2702168.73968725</v>
      </c>
      <c r="BZ27" s="30">
        <f t="shared" si="50"/>
        <v>1100054.0360151867</v>
      </c>
      <c r="CA27" s="30">
        <f t="shared" si="51"/>
        <v>3802222.7757024365</v>
      </c>
      <c r="CB27" s="33">
        <f t="shared" si="17"/>
        <v>19298911.980616484</v>
      </c>
      <c r="CC27" s="43">
        <f t="shared" si="52"/>
        <v>47923934.534198709</v>
      </c>
      <c r="CD27" s="30">
        <v>0</v>
      </c>
      <c r="CE27" s="30">
        <f t="shared" si="69"/>
        <v>0</v>
      </c>
      <c r="CF27" s="30">
        <f t="shared" si="53"/>
        <v>1916957.3813679484</v>
      </c>
      <c r="CG27" s="30">
        <f t="shared" si="54"/>
        <v>1916957.3813679484</v>
      </c>
      <c r="CH27" s="33">
        <f t="shared" si="19"/>
        <v>47923934.534198709</v>
      </c>
      <c r="CI27" s="30">
        <f t="shared" si="20"/>
        <v>2702168.73968725</v>
      </c>
      <c r="CJ27" s="30">
        <f t="shared" si="21"/>
        <v>3017011.4173831353</v>
      </c>
      <c r="CK27" s="33">
        <f t="shared" si="22"/>
        <v>5719180.1570703853</v>
      </c>
      <c r="CM27" s="3">
        <f>Inputs!$A21</f>
        <v>47664</v>
      </c>
      <c r="CN27" s="13" cm="1">
        <f t="array" ref="CN27">INDEX(INDEX(projectData,0,CM$1),_xlfn.XMATCH(CM27,projectInfo,0))</f>
        <v>0</v>
      </c>
      <c r="CS27">
        <v>13.997222222222222</v>
      </c>
      <c r="CT27">
        <v>1</v>
      </c>
      <c r="CU27">
        <v>18</v>
      </c>
      <c r="CV27" s="38">
        <v>50951</v>
      </c>
      <c r="CW27" s="43">
        <f t="shared" si="55"/>
        <v>44395912.861825675</v>
      </c>
      <c r="CX27" s="30">
        <v>0</v>
      </c>
      <c r="CY27" s="30">
        <f t="shared" si="23"/>
        <v>4026268.8880370753</v>
      </c>
      <c r="CZ27" s="30">
        <f t="shared" si="56"/>
        <v>2219795.6430912837</v>
      </c>
      <c r="DA27" s="30">
        <f t="shared" si="57"/>
        <v>6246064.531128359</v>
      </c>
      <c r="DB27" s="33">
        <f t="shared" si="24"/>
        <v>40369643.973788597</v>
      </c>
      <c r="DC27" s="43">
        <f t="shared" si="58"/>
        <v>78372814.111846983</v>
      </c>
      <c r="DD27" s="30">
        <v>0</v>
      </c>
      <c r="DE27" s="30">
        <f t="shared" si="70"/>
        <v>0</v>
      </c>
      <c r="DF27" s="30">
        <f t="shared" si="59"/>
        <v>3134912.5644738795</v>
      </c>
      <c r="DG27" s="30">
        <f t="shared" si="60"/>
        <v>3134912.5644738795</v>
      </c>
      <c r="DH27" s="33">
        <f t="shared" si="26"/>
        <v>78372814.111846983</v>
      </c>
      <c r="DI27" s="30">
        <f t="shared" si="27"/>
        <v>4026268.8880370753</v>
      </c>
      <c r="DJ27" s="30">
        <f t="shared" si="28"/>
        <v>5354708.2075651633</v>
      </c>
      <c r="DK27" s="33">
        <f t="shared" si="29"/>
        <v>9380977.0956022386</v>
      </c>
      <c r="DM27" s="3">
        <f>Inputs!$A21</f>
        <v>47664</v>
      </c>
      <c r="DN27" s="13" cm="1">
        <f t="array" ref="DN27">INDEX(INDEX(projectData,0,DM$1),_xlfn.XMATCH(DM27,projectInfo,0))</f>
        <v>101646673.79679143</v>
      </c>
      <c r="DS27">
        <v>11.997222222222222</v>
      </c>
      <c r="DT27">
        <v>1</v>
      </c>
      <c r="DU27">
        <v>18</v>
      </c>
      <c r="DV27" s="38">
        <v>50951</v>
      </c>
      <c r="DW27" s="43">
        <f t="shared" si="61"/>
        <v>113774033.14406985</v>
      </c>
      <c r="DX27" s="30">
        <v>0</v>
      </c>
      <c r="DY27" s="30">
        <f t="shared" si="30"/>
        <v>9045556.1472250577</v>
      </c>
      <c r="DZ27" s="30">
        <f t="shared" si="62"/>
        <v>5688701.6572034927</v>
      </c>
      <c r="EA27" s="30">
        <f t="shared" si="63"/>
        <v>14734257.804428551</v>
      </c>
      <c r="EB27" s="33">
        <f t="shared" si="31"/>
        <v>104728476.9968448</v>
      </c>
      <c r="EC27" s="43">
        <f t="shared" si="64"/>
        <v>180983343.83648863</v>
      </c>
      <c r="ED27" s="30">
        <v>0</v>
      </c>
      <c r="EE27" s="30">
        <f t="shared" si="71"/>
        <v>0</v>
      </c>
      <c r="EF27" s="30">
        <f t="shared" si="65"/>
        <v>7239333.7534595458</v>
      </c>
      <c r="EG27" s="30">
        <f t="shared" si="66"/>
        <v>7239333.7534595458</v>
      </c>
      <c r="EH27" s="33">
        <f t="shared" si="33"/>
        <v>180983343.83648863</v>
      </c>
      <c r="EI27" s="30">
        <f t="shared" si="34"/>
        <v>9045556.1472250577</v>
      </c>
      <c r="EJ27" s="30">
        <f t="shared" si="35"/>
        <v>12928035.410663038</v>
      </c>
      <c r="EK27" s="33">
        <f t="shared" si="36"/>
        <v>21973591.557888098</v>
      </c>
    </row>
    <row r="28" spans="1:141" x14ac:dyDescent="0.25">
      <c r="C28" s="38">
        <v>51317</v>
      </c>
      <c r="D28" s="43">
        <f t="shared" si="72"/>
        <v>0</v>
      </c>
      <c r="E28" s="30">
        <f t="shared" si="72"/>
        <v>17554554.077745743</v>
      </c>
      <c r="F28" s="30">
        <f t="shared" si="72"/>
        <v>8493884.4477941319</v>
      </c>
      <c r="G28" s="33">
        <f t="shared" si="72"/>
        <v>26048438.525539875</v>
      </c>
      <c r="H28" s="43">
        <f t="shared" si="72"/>
        <v>0</v>
      </c>
      <c r="I28" s="30">
        <f t="shared" si="72"/>
        <v>1122460.620088602</v>
      </c>
      <c r="J28" s="30">
        <f t="shared" si="72"/>
        <v>13176584.987546869</v>
      </c>
      <c r="K28" s="33">
        <f t="shared" si="72"/>
        <v>14299045.607635472</v>
      </c>
      <c r="S28">
        <v>17.580555555555556</v>
      </c>
      <c r="T28">
        <v>1</v>
      </c>
      <c r="U28">
        <v>19</v>
      </c>
      <c r="V28" s="38">
        <v>51317</v>
      </c>
      <c r="W28" s="43">
        <f t="shared" si="38"/>
        <v>20637435.095100001</v>
      </c>
      <c r="X28" s="30">
        <f>IFERROR(VLOOKUP(V28,Inputs!$A$13:$B$23,2,0),0)*$X$5</f>
        <v>0</v>
      </c>
      <c r="Y28" s="30">
        <v>0</v>
      </c>
      <c r="Z28" s="30">
        <v>0</v>
      </c>
      <c r="AA28" s="30">
        <f t="shared" si="39"/>
        <v>0</v>
      </c>
      <c r="AB28" s="33">
        <f t="shared" si="3"/>
        <v>20637435.095100001</v>
      </c>
      <c r="AC28" s="43">
        <f t="shared" si="40"/>
        <v>7352287.8790651355</v>
      </c>
      <c r="AD28" s="30">
        <f>IFERROR(VLOOKUP(C28,Inputs!$A$13:$B$23,2,0),0)*'PV &amp; WIFIA New'!$AD$5</f>
        <v>0</v>
      </c>
      <c r="AE28" s="30">
        <f t="shared" si="67"/>
        <v>1122460.620088602</v>
      </c>
      <c r="AF28" s="30">
        <f t="shared" si="41"/>
        <v>257330.07576727978</v>
      </c>
      <c r="AG28" s="30">
        <f t="shared" si="42"/>
        <v>1379790.6958558818</v>
      </c>
      <c r="AH28" s="33">
        <f t="shared" si="5"/>
        <v>6229827.258976534</v>
      </c>
      <c r="AI28" s="30">
        <f t="shared" si="6"/>
        <v>1122460.620088602</v>
      </c>
      <c r="AJ28" s="30">
        <f t="shared" si="7"/>
        <v>257330.07576727978</v>
      </c>
      <c r="AK28" s="33">
        <f t="shared" si="8"/>
        <v>1379790.6958558818</v>
      </c>
      <c r="AM28" s="3"/>
      <c r="AS28">
        <v>16.997222222222224</v>
      </c>
      <c r="AT28">
        <v>1</v>
      </c>
      <c r="AU28">
        <v>19</v>
      </c>
      <c r="AV28" s="38">
        <v>51317</v>
      </c>
      <c r="AW28" s="43">
        <f t="shared" si="43"/>
        <v>5480656.0046327263</v>
      </c>
      <c r="AX28" s="30">
        <v>0</v>
      </c>
      <c r="AY28" s="30">
        <f t="shared" si="9"/>
        <v>991860.61404888763</v>
      </c>
      <c r="AZ28" s="30">
        <f t="shared" si="44"/>
        <v>274032.80023163633</v>
      </c>
      <c r="BA28" s="30">
        <f t="shared" si="45"/>
        <v>1265893.414280524</v>
      </c>
      <c r="BB28" s="33">
        <f t="shared" si="10"/>
        <v>4488795.3905838383</v>
      </c>
      <c r="BC28" s="43">
        <f t="shared" si="46"/>
        <v>15701280.311955389</v>
      </c>
      <c r="BD28" s="30">
        <v>0</v>
      </c>
      <c r="BE28" s="30">
        <f t="shared" si="68"/>
        <v>0</v>
      </c>
      <c r="BF28" s="30">
        <f t="shared" si="47"/>
        <v>628051.21247821557</v>
      </c>
      <c r="BG28" s="30">
        <f t="shared" si="48"/>
        <v>628051.21247821557</v>
      </c>
      <c r="BH28" s="33">
        <f t="shared" si="12"/>
        <v>15701280.311955389</v>
      </c>
      <c r="BI28" s="30">
        <f t="shared" si="13"/>
        <v>991860.61404888763</v>
      </c>
      <c r="BJ28" s="30">
        <f t="shared" si="14"/>
        <v>902084.01270985184</v>
      </c>
      <c r="BK28" s="33">
        <f t="shared" si="15"/>
        <v>1893944.6267587396</v>
      </c>
      <c r="BM28" s="3"/>
      <c r="BS28">
        <v>15.997222222222222</v>
      </c>
      <c r="BT28">
        <v>1</v>
      </c>
      <c r="BU28">
        <v>19</v>
      </c>
      <c r="BV28" s="38">
        <v>51317</v>
      </c>
      <c r="BW28" s="43">
        <f t="shared" si="49"/>
        <v>19298911.980616484</v>
      </c>
      <c r="BX28" s="30">
        <v>0</v>
      </c>
      <c r="BY28" s="30">
        <f t="shared" si="16"/>
        <v>2837277.176671613</v>
      </c>
      <c r="BZ28" s="30">
        <f t="shared" si="50"/>
        <v>964945.59903082426</v>
      </c>
      <c r="CA28" s="30">
        <f t="shared" si="51"/>
        <v>3802222.7757024374</v>
      </c>
      <c r="CB28" s="33">
        <f t="shared" si="17"/>
        <v>16461634.803944871</v>
      </c>
      <c r="CC28" s="43">
        <f t="shared" si="52"/>
        <v>47923934.534198709</v>
      </c>
      <c r="CD28" s="30">
        <v>0</v>
      </c>
      <c r="CE28" s="30">
        <f t="shared" si="69"/>
        <v>0</v>
      </c>
      <c r="CF28" s="30">
        <f t="shared" si="53"/>
        <v>1916957.3813679484</v>
      </c>
      <c r="CG28" s="30">
        <f t="shared" si="54"/>
        <v>1916957.3813679484</v>
      </c>
      <c r="CH28" s="33">
        <f t="shared" si="19"/>
        <v>47923934.534198709</v>
      </c>
      <c r="CI28" s="30">
        <f t="shared" si="20"/>
        <v>2837277.176671613</v>
      </c>
      <c r="CJ28" s="30">
        <f t="shared" si="21"/>
        <v>2881902.9803987728</v>
      </c>
      <c r="CK28" s="33">
        <f t="shared" si="22"/>
        <v>5719180.1570703853</v>
      </c>
      <c r="CM28" s="3"/>
      <c r="CS28">
        <v>14.997222222222222</v>
      </c>
      <c r="CT28">
        <v>1</v>
      </c>
      <c r="CU28">
        <v>19</v>
      </c>
      <c r="CV28" s="38">
        <v>51317</v>
      </c>
      <c r="CW28" s="43">
        <f t="shared" si="55"/>
        <v>40369643.973788597</v>
      </c>
      <c r="CX28" s="30">
        <v>0</v>
      </c>
      <c r="CY28" s="30">
        <f t="shared" si="23"/>
        <v>4227582.3324389299</v>
      </c>
      <c r="CZ28" s="30">
        <f t="shared" si="56"/>
        <v>2018482.19868943</v>
      </c>
      <c r="DA28" s="30">
        <f t="shared" si="57"/>
        <v>6246064.53112836</v>
      </c>
      <c r="DB28" s="33">
        <f t="shared" si="24"/>
        <v>36142061.641349666</v>
      </c>
      <c r="DC28" s="43">
        <f t="shared" si="58"/>
        <v>78372814.111846983</v>
      </c>
      <c r="DD28" s="30">
        <v>0</v>
      </c>
      <c r="DE28" s="30">
        <f t="shared" si="70"/>
        <v>0</v>
      </c>
      <c r="DF28" s="30">
        <f t="shared" si="59"/>
        <v>3134912.5644738795</v>
      </c>
      <c r="DG28" s="30">
        <f t="shared" si="60"/>
        <v>3134912.5644738795</v>
      </c>
      <c r="DH28" s="33">
        <f t="shared" si="26"/>
        <v>78372814.111846983</v>
      </c>
      <c r="DI28" s="30">
        <f t="shared" si="27"/>
        <v>4227582.3324389299</v>
      </c>
      <c r="DJ28" s="30">
        <f t="shared" si="28"/>
        <v>5153394.7631633095</v>
      </c>
      <c r="DK28" s="33">
        <f t="shared" si="29"/>
        <v>9380977.0956022404</v>
      </c>
      <c r="DM28" s="3">
        <f>Inputs!$A22</f>
        <v>48029</v>
      </c>
      <c r="DN28" s="13" cm="1">
        <f t="array" ref="DN28">INDEX(INDEX(projectData,0,DM$1),_xlfn.XMATCH(DM28,projectInfo,0))</f>
        <v>83754752.228164017</v>
      </c>
      <c r="DS28">
        <v>12.997222222222222</v>
      </c>
      <c r="DT28">
        <v>1</v>
      </c>
      <c r="DU28">
        <v>19</v>
      </c>
      <c r="DV28" s="38">
        <v>51317</v>
      </c>
      <c r="DW28" s="43">
        <f t="shared" si="61"/>
        <v>104728476.9968448</v>
      </c>
      <c r="DX28" s="30">
        <v>0</v>
      </c>
      <c r="DY28" s="30">
        <f t="shared" si="30"/>
        <v>9497833.9545863103</v>
      </c>
      <c r="DZ28" s="30">
        <f t="shared" si="62"/>
        <v>5236423.8498422401</v>
      </c>
      <c r="EA28" s="30">
        <f t="shared" si="63"/>
        <v>14734257.804428551</v>
      </c>
      <c r="EB28" s="33">
        <f t="shared" si="31"/>
        <v>95230643.042258486</v>
      </c>
      <c r="EC28" s="43">
        <f t="shared" si="64"/>
        <v>180983343.83648863</v>
      </c>
      <c r="ED28" s="30">
        <v>0</v>
      </c>
      <c r="EE28" s="30">
        <f t="shared" si="71"/>
        <v>0</v>
      </c>
      <c r="EF28" s="30">
        <f t="shared" si="65"/>
        <v>7239333.7534595458</v>
      </c>
      <c r="EG28" s="30">
        <f t="shared" si="66"/>
        <v>7239333.7534595458</v>
      </c>
      <c r="EH28" s="33">
        <f t="shared" si="33"/>
        <v>180983343.83648863</v>
      </c>
      <c r="EI28" s="30">
        <f t="shared" si="34"/>
        <v>9497833.9545863103</v>
      </c>
      <c r="EJ28" s="30">
        <f t="shared" si="35"/>
        <v>12475757.603301786</v>
      </c>
      <c r="EK28" s="33">
        <f t="shared" si="36"/>
        <v>21973591.557888098</v>
      </c>
    </row>
    <row r="29" spans="1:141" x14ac:dyDescent="0.25">
      <c r="C29" s="38">
        <v>51682</v>
      </c>
      <c r="D29" s="43">
        <f t="shared" si="72"/>
        <v>0</v>
      </c>
      <c r="E29" s="30">
        <f t="shared" si="72"/>
        <v>18432281.781633027</v>
      </c>
      <c r="F29" s="30">
        <f t="shared" si="72"/>
        <v>7616156.7439068435</v>
      </c>
      <c r="G29" s="33">
        <f t="shared" si="72"/>
        <v>26048438.525539868</v>
      </c>
      <c r="H29" s="43">
        <f t="shared" si="72"/>
        <v>0</v>
      </c>
      <c r="I29" s="30">
        <f t="shared" si="72"/>
        <v>1161746.741791703</v>
      </c>
      <c r="J29" s="30">
        <f t="shared" si="72"/>
        <v>13137298.865843769</v>
      </c>
      <c r="K29" s="33">
        <f t="shared" si="72"/>
        <v>14299045.607635472</v>
      </c>
      <c r="S29">
        <v>18.580555555555556</v>
      </c>
      <c r="T29">
        <v>1</v>
      </c>
      <c r="U29">
        <v>20</v>
      </c>
      <c r="V29" s="38">
        <v>51682</v>
      </c>
      <c r="W29" s="43">
        <f t="shared" si="38"/>
        <v>20637435.095100001</v>
      </c>
      <c r="X29" s="30">
        <f>IFERROR(VLOOKUP(V29,Inputs!$A$13:$B$23,2,0),0)*$X$5</f>
        <v>0</v>
      </c>
      <c r="Y29" s="30">
        <v>0</v>
      </c>
      <c r="Z29" s="30">
        <v>0</v>
      </c>
      <c r="AA29" s="30">
        <f t="shared" si="39"/>
        <v>0</v>
      </c>
      <c r="AB29" s="33">
        <f t="shared" si="3"/>
        <v>20637435.095100001</v>
      </c>
      <c r="AC29" s="43">
        <f t="shared" si="40"/>
        <v>6229827.258976534</v>
      </c>
      <c r="AD29" s="30">
        <f>IFERROR(VLOOKUP(C29,Inputs!$A$13:$B$23,2,0),0)*'PV &amp; WIFIA New'!$AD$5</f>
        <v>0</v>
      </c>
      <c r="AE29" s="30">
        <f t="shared" si="67"/>
        <v>1161746.741791703</v>
      </c>
      <c r="AF29" s="30">
        <f t="shared" si="41"/>
        <v>218043.95406417872</v>
      </c>
      <c r="AG29" s="30">
        <f t="shared" si="42"/>
        <v>1379790.6958558818</v>
      </c>
      <c r="AH29" s="33">
        <f t="shared" si="5"/>
        <v>5068080.5171848312</v>
      </c>
      <c r="AI29" s="30">
        <f t="shared" si="6"/>
        <v>1161746.741791703</v>
      </c>
      <c r="AJ29" s="30">
        <f t="shared" si="7"/>
        <v>218043.95406417872</v>
      </c>
      <c r="AK29" s="33">
        <f t="shared" si="8"/>
        <v>1379790.6958558818</v>
      </c>
      <c r="AM29" s="3"/>
      <c r="AS29">
        <v>17.997222222222224</v>
      </c>
      <c r="AT29">
        <v>1</v>
      </c>
      <c r="AU29">
        <v>20</v>
      </c>
      <c r="AV29" s="38">
        <v>51682</v>
      </c>
      <c r="AW29" s="43">
        <f t="shared" si="43"/>
        <v>4488795.3905838383</v>
      </c>
      <c r="AX29" s="30">
        <v>0</v>
      </c>
      <c r="AY29" s="30">
        <f t="shared" si="9"/>
        <v>1041453.644751332</v>
      </c>
      <c r="AZ29" s="30">
        <f t="shared" si="44"/>
        <v>224439.76952919192</v>
      </c>
      <c r="BA29" s="30">
        <f t="shared" si="45"/>
        <v>1265893.414280524</v>
      </c>
      <c r="BB29" s="33">
        <f t="shared" si="10"/>
        <v>3447341.7458325066</v>
      </c>
      <c r="BC29" s="43">
        <f t="shared" si="46"/>
        <v>15701280.311955389</v>
      </c>
      <c r="BD29" s="30">
        <v>0</v>
      </c>
      <c r="BE29" s="30">
        <f t="shared" si="68"/>
        <v>0</v>
      </c>
      <c r="BF29" s="30">
        <f t="shared" si="47"/>
        <v>628051.21247821557</v>
      </c>
      <c r="BG29" s="30">
        <f t="shared" si="48"/>
        <v>628051.21247821557</v>
      </c>
      <c r="BH29" s="33">
        <f t="shared" si="12"/>
        <v>15701280.311955389</v>
      </c>
      <c r="BI29" s="30">
        <f t="shared" si="13"/>
        <v>1041453.644751332</v>
      </c>
      <c r="BJ29" s="30">
        <f t="shared" si="14"/>
        <v>852490.98200740747</v>
      </c>
      <c r="BK29" s="33">
        <f t="shared" si="15"/>
        <v>1893944.6267587396</v>
      </c>
      <c r="BM29" s="3"/>
      <c r="BS29">
        <v>16.997222222222224</v>
      </c>
      <c r="BT29">
        <v>1</v>
      </c>
      <c r="BU29">
        <v>20</v>
      </c>
      <c r="BV29" s="38">
        <v>51682</v>
      </c>
      <c r="BW29" s="43">
        <f t="shared" si="49"/>
        <v>16461634.803944871</v>
      </c>
      <c r="BX29" s="30">
        <v>0</v>
      </c>
      <c r="BY29" s="30">
        <f t="shared" si="16"/>
        <v>2979141.0355051933</v>
      </c>
      <c r="BZ29" s="30">
        <f t="shared" si="50"/>
        <v>823081.74019724363</v>
      </c>
      <c r="CA29" s="30">
        <f t="shared" si="51"/>
        <v>3802222.7757024369</v>
      </c>
      <c r="CB29" s="33">
        <f t="shared" si="17"/>
        <v>13482493.768439677</v>
      </c>
      <c r="CC29" s="43">
        <f t="shared" si="52"/>
        <v>47923934.534198709</v>
      </c>
      <c r="CD29" s="30">
        <v>0</v>
      </c>
      <c r="CE29" s="30">
        <f t="shared" si="69"/>
        <v>0</v>
      </c>
      <c r="CF29" s="30">
        <f t="shared" si="53"/>
        <v>1916957.3813679484</v>
      </c>
      <c r="CG29" s="30">
        <f t="shared" si="54"/>
        <v>1916957.3813679484</v>
      </c>
      <c r="CH29" s="33">
        <f t="shared" si="19"/>
        <v>47923934.534198709</v>
      </c>
      <c r="CI29" s="30">
        <f t="shared" si="20"/>
        <v>2979141.0355051933</v>
      </c>
      <c r="CJ29" s="30">
        <f t="shared" si="21"/>
        <v>2740039.121565192</v>
      </c>
      <c r="CK29" s="33">
        <f t="shared" si="22"/>
        <v>5719180.1570703853</v>
      </c>
      <c r="CM29" s="3"/>
      <c r="CS29">
        <v>15.997222222222222</v>
      </c>
      <c r="CT29">
        <v>1</v>
      </c>
      <c r="CU29">
        <v>20</v>
      </c>
      <c r="CV29" s="38">
        <v>51682</v>
      </c>
      <c r="CW29" s="43">
        <f t="shared" si="55"/>
        <v>36142061.641349666</v>
      </c>
      <c r="CX29" s="30">
        <v>0</v>
      </c>
      <c r="CY29" s="30">
        <f t="shared" si="23"/>
        <v>4438961.4490608759</v>
      </c>
      <c r="CZ29" s="30">
        <f t="shared" si="56"/>
        <v>1807103.0820674833</v>
      </c>
      <c r="DA29" s="30">
        <f t="shared" si="57"/>
        <v>6246064.531128359</v>
      </c>
      <c r="DB29" s="33">
        <f t="shared" si="24"/>
        <v>31703100.19228879</v>
      </c>
      <c r="DC29" s="43">
        <f t="shared" si="58"/>
        <v>78372814.111846983</v>
      </c>
      <c r="DD29" s="30">
        <v>0</v>
      </c>
      <c r="DE29" s="30">
        <f t="shared" si="70"/>
        <v>0</v>
      </c>
      <c r="DF29" s="30">
        <f t="shared" si="59"/>
        <v>3134912.5644738795</v>
      </c>
      <c r="DG29" s="30">
        <f t="shared" si="60"/>
        <v>3134912.5644738795</v>
      </c>
      <c r="DH29" s="33">
        <f t="shared" si="26"/>
        <v>78372814.111846983</v>
      </c>
      <c r="DI29" s="30">
        <f t="shared" si="27"/>
        <v>4438961.4490608759</v>
      </c>
      <c r="DJ29" s="30">
        <f t="shared" si="28"/>
        <v>4942015.6465413626</v>
      </c>
      <c r="DK29" s="33">
        <f t="shared" si="29"/>
        <v>9380977.0956022386</v>
      </c>
      <c r="DM29" s="3">
        <f>Inputs!$A23</f>
        <v>48395</v>
      </c>
      <c r="DN29" s="13" cm="1">
        <f t="array" ref="DN29">INDEX(INDEX(projectData,0,DM$1),_xlfn.XMATCH(DM29,projectInfo,0))</f>
        <v>11992727.272727277</v>
      </c>
      <c r="DS29">
        <v>13.997222222222222</v>
      </c>
      <c r="DT29">
        <v>1</v>
      </c>
      <c r="DU29">
        <v>20</v>
      </c>
      <c r="DV29" s="38">
        <v>51682</v>
      </c>
      <c r="DW29" s="43">
        <f t="shared" si="61"/>
        <v>95230643.042258486</v>
      </c>
      <c r="DX29" s="30">
        <v>0</v>
      </c>
      <c r="DY29" s="30">
        <f t="shared" si="30"/>
        <v>9972725.6523156241</v>
      </c>
      <c r="DZ29" s="30">
        <f t="shared" si="62"/>
        <v>4761532.1521129245</v>
      </c>
      <c r="EA29" s="30">
        <f t="shared" si="63"/>
        <v>14734257.804428548</v>
      </c>
      <c r="EB29" s="33">
        <f t="shared" si="31"/>
        <v>85257917.389942855</v>
      </c>
      <c r="EC29" s="43">
        <f t="shared" si="64"/>
        <v>180983343.83648863</v>
      </c>
      <c r="ED29" s="30">
        <v>0</v>
      </c>
      <c r="EE29" s="30">
        <f t="shared" si="71"/>
        <v>0</v>
      </c>
      <c r="EF29" s="30">
        <f t="shared" si="65"/>
        <v>7239333.7534595458</v>
      </c>
      <c r="EG29" s="30">
        <f t="shared" si="66"/>
        <v>7239333.7534595458</v>
      </c>
      <c r="EH29" s="33">
        <f t="shared" si="33"/>
        <v>180983343.83648863</v>
      </c>
      <c r="EI29" s="30">
        <f t="shared" si="34"/>
        <v>9972725.6523156241</v>
      </c>
      <c r="EJ29" s="30">
        <f t="shared" si="35"/>
        <v>12000865.90557247</v>
      </c>
      <c r="EK29" s="33">
        <f t="shared" si="36"/>
        <v>21973591.557888094</v>
      </c>
    </row>
    <row r="30" spans="1:141" x14ac:dyDescent="0.25">
      <c r="C30" s="38">
        <v>52047</v>
      </c>
      <c r="D30" s="43">
        <f t="shared" si="72"/>
        <v>0</v>
      </c>
      <c r="E30" s="30">
        <f t="shared" si="72"/>
        <v>19353895.870714676</v>
      </c>
      <c r="F30" s="30">
        <f t="shared" si="72"/>
        <v>6694542.6548251919</v>
      </c>
      <c r="G30" s="33">
        <f t="shared" si="72"/>
        <v>26048438.525539868</v>
      </c>
      <c r="H30" s="43">
        <f t="shared" si="72"/>
        <v>0</v>
      </c>
      <c r="I30" s="30">
        <f t="shared" si="72"/>
        <v>1202407.8777544126</v>
      </c>
      <c r="J30" s="30">
        <f t="shared" si="72"/>
        <v>13096637.729881059</v>
      </c>
      <c r="K30" s="33">
        <f t="shared" si="72"/>
        <v>14299045.607635472</v>
      </c>
      <c r="S30">
        <v>19.580555555555556</v>
      </c>
      <c r="T30">
        <v>1</v>
      </c>
      <c r="U30">
        <v>21</v>
      </c>
      <c r="V30" s="38">
        <v>52047</v>
      </c>
      <c r="W30" s="43">
        <f t="shared" si="38"/>
        <v>20637435.095100001</v>
      </c>
      <c r="X30" s="30">
        <f>IFERROR(VLOOKUP(V30,Inputs!$A$13:$B$23,2,0),0)*$X$5</f>
        <v>0</v>
      </c>
      <c r="Y30" s="30">
        <v>0</v>
      </c>
      <c r="Z30" s="30">
        <v>0</v>
      </c>
      <c r="AA30" s="30">
        <f t="shared" si="39"/>
        <v>0</v>
      </c>
      <c r="AB30" s="33">
        <f t="shared" si="3"/>
        <v>20637435.095100001</v>
      </c>
      <c r="AC30" s="43">
        <f t="shared" si="40"/>
        <v>5068080.5171848312</v>
      </c>
      <c r="AD30" s="30">
        <f>IFERROR(VLOOKUP(C30,Inputs!$A$13:$B$23,2,0),0)*'PV &amp; WIFIA New'!$AD$5</f>
        <v>0</v>
      </c>
      <c r="AE30" s="30">
        <f t="shared" si="67"/>
        <v>1202407.8777544126</v>
      </c>
      <c r="AF30" s="30">
        <f t="shared" si="41"/>
        <v>177382.81810146911</v>
      </c>
      <c r="AG30" s="30">
        <f t="shared" si="42"/>
        <v>1379790.6958558818</v>
      </c>
      <c r="AH30" s="33">
        <f t="shared" si="5"/>
        <v>3865672.6394304186</v>
      </c>
      <c r="AI30" s="30">
        <f t="shared" si="6"/>
        <v>1202407.8777544126</v>
      </c>
      <c r="AJ30" s="30">
        <f t="shared" si="7"/>
        <v>177382.81810146911</v>
      </c>
      <c r="AK30" s="33">
        <f t="shared" si="8"/>
        <v>1379790.6958558818</v>
      </c>
      <c r="AM30" s="3"/>
      <c r="AS30">
        <v>18.997222222222224</v>
      </c>
      <c r="AT30">
        <v>1</v>
      </c>
      <c r="AU30">
        <v>21</v>
      </c>
      <c r="AV30" s="38">
        <v>52047</v>
      </c>
      <c r="AW30" s="43">
        <f t="shared" si="43"/>
        <v>3447341.7458325066</v>
      </c>
      <c r="AX30" s="30">
        <v>0</v>
      </c>
      <c r="AY30" s="30">
        <f t="shared" si="9"/>
        <v>1093526.3269888987</v>
      </c>
      <c r="AZ30" s="30">
        <f t="shared" si="44"/>
        <v>172367.08729162533</v>
      </c>
      <c r="BA30" s="30">
        <f t="shared" si="45"/>
        <v>1265893.414280524</v>
      </c>
      <c r="BB30" s="33">
        <f t="shared" si="10"/>
        <v>2353815.4188436079</v>
      </c>
      <c r="BC30" s="43">
        <f t="shared" si="46"/>
        <v>15701280.311955389</v>
      </c>
      <c r="BD30" s="30">
        <v>0</v>
      </c>
      <c r="BE30" s="30">
        <f t="shared" si="68"/>
        <v>0</v>
      </c>
      <c r="BF30" s="30">
        <f t="shared" si="47"/>
        <v>628051.21247821557</v>
      </c>
      <c r="BG30" s="30">
        <f t="shared" si="48"/>
        <v>628051.21247821557</v>
      </c>
      <c r="BH30" s="33">
        <f t="shared" si="12"/>
        <v>15701280.311955389</v>
      </c>
      <c r="BI30" s="30">
        <f t="shared" si="13"/>
        <v>1093526.3269888987</v>
      </c>
      <c r="BJ30" s="30">
        <f t="shared" si="14"/>
        <v>800418.2997698409</v>
      </c>
      <c r="BK30" s="33">
        <f t="shared" si="15"/>
        <v>1893944.6267587396</v>
      </c>
      <c r="BM30" s="3"/>
      <c r="BS30">
        <v>17.997222222222224</v>
      </c>
      <c r="BT30">
        <v>1</v>
      </c>
      <c r="BU30">
        <v>21</v>
      </c>
      <c r="BV30" s="38">
        <v>52047</v>
      </c>
      <c r="BW30" s="43">
        <f t="shared" si="49"/>
        <v>13482493.768439677</v>
      </c>
      <c r="BX30" s="30">
        <v>0</v>
      </c>
      <c r="BY30" s="30">
        <f t="shared" si="16"/>
        <v>3128098.0872804532</v>
      </c>
      <c r="BZ30" s="30">
        <f t="shared" si="50"/>
        <v>674124.68842198385</v>
      </c>
      <c r="CA30" s="30">
        <f t="shared" si="51"/>
        <v>3802222.7757024369</v>
      </c>
      <c r="CB30" s="33">
        <f t="shared" si="17"/>
        <v>10354395.681159224</v>
      </c>
      <c r="CC30" s="43">
        <f t="shared" si="52"/>
        <v>47923934.534198709</v>
      </c>
      <c r="CD30" s="30">
        <v>0</v>
      </c>
      <c r="CE30" s="30">
        <f t="shared" si="69"/>
        <v>0</v>
      </c>
      <c r="CF30" s="30">
        <f t="shared" si="53"/>
        <v>1916957.3813679484</v>
      </c>
      <c r="CG30" s="30">
        <f t="shared" si="54"/>
        <v>1916957.3813679484</v>
      </c>
      <c r="CH30" s="33">
        <f t="shared" si="19"/>
        <v>47923934.534198709</v>
      </c>
      <c r="CI30" s="30">
        <f t="shared" si="20"/>
        <v>3128098.0872804532</v>
      </c>
      <c r="CJ30" s="30">
        <f t="shared" si="21"/>
        <v>2591082.0697899321</v>
      </c>
      <c r="CK30" s="33">
        <f t="shared" si="22"/>
        <v>5719180.1570703853</v>
      </c>
      <c r="CM30" s="3"/>
      <c r="CS30">
        <v>16.997222222222224</v>
      </c>
      <c r="CT30">
        <v>1</v>
      </c>
      <c r="CU30">
        <v>21</v>
      </c>
      <c r="CV30" s="38">
        <v>52047</v>
      </c>
      <c r="CW30" s="43">
        <f t="shared" si="55"/>
        <v>31703100.19228879</v>
      </c>
      <c r="CX30" s="30">
        <v>0</v>
      </c>
      <c r="CY30" s="30">
        <f t="shared" si="23"/>
        <v>4660909.5215139193</v>
      </c>
      <c r="CZ30" s="30">
        <f t="shared" si="56"/>
        <v>1585155.0096144397</v>
      </c>
      <c r="DA30" s="30">
        <f t="shared" si="57"/>
        <v>6246064.531128359</v>
      </c>
      <c r="DB30" s="33">
        <f t="shared" si="24"/>
        <v>27042190.67077487</v>
      </c>
      <c r="DC30" s="43">
        <f t="shared" si="58"/>
        <v>78372814.111846983</v>
      </c>
      <c r="DD30" s="30">
        <v>0</v>
      </c>
      <c r="DE30" s="30">
        <f t="shared" si="70"/>
        <v>0</v>
      </c>
      <c r="DF30" s="30">
        <f t="shared" si="59"/>
        <v>3134912.5644738795</v>
      </c>
      <c r="DG30" s="30">
        <f t="shared" si="60"/>
        <v>3134912.5644738795</v>
      </c>
      <c r="DH30" s="33">
        <f t="shared" si="26"/>
        <v>78372814.111846983</v>
      </c>
      <c r="DI30" s="30">
        <f t="shared" si="27"/>
        <v>4660909.5215139193</v>
      </c>
      <c r="DJ30" s="30">
        <f t="shared" si="28"/>
        <v>4720067.5740883192</v>
      </c>
      <c r="DK30" s="33">
        <f t="shared" si="29"/>
        <v>9380977.0956022386</v>
      </c>
      <c r="DM30" s="3"/>
      <c r="DS30">
        <v>14.997222222222222</v>
      </c>
      <c r="DT30">
        <v>1</v>
      </c>
      <c r="DU30">
        <v>21</v>
      </c>
      <c r="DV30" s="38">
        <v>52047</v>
      </c>
      <c r="DW30" s="43">
        <f t="shared" si="61"/>
        <v>85257917.389942855</v>
      </c>
      <c r="DX30" s="30">
        <v>0</v>
      </c>
      <c r="DY30" s="30">
        <f t="shared" si="30"/>
        <v>10471361.934931405</v>
      </c>
      <c r="DZ30" s="30">
        <f t="shared" si="62"/>
        <v>4262895.8694971427</v>
      </c>
      <c r="EA30" s="30">
        <f t="shared" si="63"/>
        <v>14734257.804428548</v>
      </c>
      <c r="EB30" s="33">
        <f t="shared" si="31"/>
        <v>74786555.455011457</v>
      </c>
      <c r="EC30" s="43">
        <f t="shared" si="64"/>
        <v>180983343.83648863</v>
      </c>
      <c r="ED30" s="30">
        <v>0</v>
      </c>
      <c r="EE30" s="30">
        <f t="shared" si="71"/>
        <v>0</v>
      </c>
      <c r="EF30" s="30">
        <f t="shared" si="65"/>
        <v>7239333.7534595458</v>
      </c>
      <c r="EG30" s="30">
        <f t="shared" si="66"/>
        <v>7239333.7534595458</v>
      </c>
      <c r="EH30" s="33">
        <f t="shared" si="33"/>
        <v>180983343.83648863</v>
      </c>
      <c r="EI30" s="30">
        <f t="shared" si="34"/>
        <v>10471361.934931405</v>
      </c>
      <c r="EJ30" s="30">
        <f t="shared" si="35"/>
        <v>11502229.622956689</v>
      </c>
      <c r="EK30" s="33">
        <f t="shared" si="36"/>
        <v>21973591.557888094</v>
      </c>
    </row>
    <row r="31" spans="1:141" x14ac:dyDescent="0.25">
      <c r="C31" s="38">
        <v>52412</v>
      </c>
      <c r="D31" s="43">
        <f t="shared" si="72"/>
        <v>0</v>
      </c>
      <c r="E31" s="30">
        <f t="shared" si="72"/>
        <v>20321590.664250411</v>
      </c>
      <c r="F31" s="30">
        <f t="shared" si="72"/>
        <v>5726847.8612894583</v>
      </c>
      <c r="G31" s="33">
        <f t="shared" si="72"/>
        <v>26048438.525539868</v>
      </c>
      <c r="H31" s="43">
        <f t="shared" si="72"/>
        <v>0</v>
      </c>
      <c r="I31" s="30">
        <f t="shared" si="72"/>
        <v>1244492.1534758171</v>
      </c>
      <c r="J31" s="30">
        <f t="shared" si="72"/>
        <v>13054553.454159655</v>
      </c>
      <c r="K31" s="33">
        <f t="shared" si="72"/>
        <v>14299045.607635472</v>
      </c>
      <c r="S31">
        <v>20.580555555555556</v>
      </c>
      <c r="T31">
        <v>1</v>
      </c>
      <c r="U31">
        <v>22</v>
      </c>
      <c r="V31" s="38">
        <v>52412</v>
      </c>
      <c r="W31" s="43">
        <f t="shared" si="38"/>
        <v>20637435.095100001</v>
      </c>
      <c r="X31" s="30">
        <f>IFERROR(VLOOKUP(V31,Inputs!$A$13:$B$23,2,0),0)*$X$5</f>
        <v>0</v>
      </c>
      <c r="Y31" s="30">
        <v>0</v>
      </c>
      <c r="Z31" s="30">
        <v>0</v>
      </c>
      <c r="AA31" s="30">
        <f t="shared" si="39"/>
        <v>0</v>
      </c>
      <c r="AB31" s="33">
        <f t="shared" si="3"/>
        <v>20637435.095100001</v>
      </c>
      <c r="AC31" s="43">
        <f t="shared" si="40"/>
        <v>3865672.6394304186</v>
      </c>
      <c r="AD31" s="30">
        <f>IFERROR(VLOOKUP(C31,Inputs!$A$13:$B$23,2,0),0)*'PV &amp; WIFIA New'!$AD$5</f>
        <v>0</v>
      </c>
      <c r="AE31" s="30">
        <f t="shared" si="67"/>
        <v>1244492.1534758171</v>
      </c>
      <c r="AF31" s="30">
        <f t="shared" si="41"/>
        <v>135298.54238006467</v>
      </c>
      <c r="AG31" s="30">
        <f t="shared" si="42"/>
        <v>1379790.6958558818</v>
      </c>
      <c r="AH31" s="33">
        <f t="shared" si="5"/>
        <v>2621180.4859546013</v>
      </c>
      <c r="AI31" s="30">
        <f t="shared" si="6"/>
        <v>1244492.1534758171</v>
      </c>
      <c r="AJ31" s="30">
        <f t="shared" si="7"/>
        <v>135298.54238006467</v>
      </c>
      <c r="AK31" s="33">
        <f t="shared" si="8"/>
        <v>1379790.6958558818</v>
      </c>
      <c r="AM31" s="3"/>
      <c r="AS31">
        <v>19.997222222222224</v>
      </c>
      <c r="AT31">
        <v>1</v>
      </c>
      <c r="AU31">
        <v>22</v>
      </c>
      <c r="AV31" s="38">
        <v>52412</v>
      </c>
      <c r="AW31" s="43">
        <f t="shared" si="43"/>
        <v>2353815.4188436079</v>
      </c>
      <c r="AX31" s="30">
        <v>0</v>
      </c>
      <c r="AY31" s="30">
        <f t="shared" si="9"/>
        <v>1148202.6433383436</v>
      </c>
      <c r="AZ31" s="30">
        <f t="shared" si="44"/>
        <v>117690.7709421804</v>
      </c>
      <c r="BA31" s="30">
        <f t="shared" si="45"/>
        <v>1265893.414280524</v>
      </c>
      <c r="BB31" s="33">
        <f t="shared" si="10"/>
        <v>1205612.7755052643</v>
      </c>
      <c r="BC31" s="43">
        <f t="shared" si="46"/>
        <v>15701280.311955389</v>
      </c>
      <c r="BD31" s="30">
        <v>0</v>
      </c>
      <c r="BE31" s="30">
        <f t="shared" si="68"/>
        <v>0</v>
      </c>
      <c r="BF31" s="30">
        <f t="shared" si="47"/>
        <v>628051.21247821557</v>
      </c>
      <c r="BG31" s="30">
        <f t="shared" si="48"/>
        <v>628051.21247821557</v>
      </c>
      <c r="BH31" s="33">
        <f t="shared" si="12"/>
        <v>15701280.311955389</v>
      </c>
      <c r="BI31" s="30">
        <f t="shared" si="13"/>
        <v>1148202.6433383436</v>
      </c>
      <c r="BJ31" s="30">
        <f t="shared" si="14"/>
        <v>745741.98342039599</v>
      </c>
      <c r="BK31" s="33">
        <f t="shared" si="15"/>
        <v>1893944.6267587396</v>
      </c>
      <c r="BM31" s="3"/>
      <c r="BS31">
        <v>18.997222222222224</v>
      </c>
      <c r="BT31">
        <v>1</v>
      </c>
      <c r="BU31">
        <v>22</v>
      </c>
      <c r="BV31" s="38">
        <v>52412</v>
      </c>
      <c r="BW31" s="43">
        <f t="shared" si="49"/>
        <v>10354395.681159224</v>
      </c>
      <c r="BX31" s="30">
        <v>0</v>
      </c>
      <c r="BY31" s="30">
        <f t="shared" si="16"/>
        <v>3284502.9916444756</v>
      </c>
      <c r="BZ31" s="30">
        <f t="shared" si="50"/>
        <v>517719.78405796125</v>
      </c>
      <c r="CA31" s="30">
        <f t="shared" si="51"/>
        <v>3802222.7757024369</v>
      </c>
      <c r="CB31" s="33">
        <f t="shared" si="17"/>
        <v>7069892.6895147488</v>
      </c>
      <c r="CC31" s="43">
        <f t="shared" si="52"/>
        <v>47923934.534198709</v>
      </c>
      <c r="CD31" s="30">
        <v>0</v>
      </c>
      <c r="CE31" s="30">
        <f t="shared" si="69"/>
        <v>0</v>
      </c>
      <c r="CF31" s="30">
        <f t="shared" si="53"/>
        <v>1916957.3813679484</v>
      </c>
      <c r="CG31" s="30">
        <f t="shared" si="54"/>
        <v>1916957.3813679484</v>
      </c>
      <c r="CH31" s="33">
        <f t="shared" si="19"/>
        <v>47923934.534198709</v>
      </c>
      <c r="CI31" s="30">
        <f t="shared" si="20"/>
        <v>3284502.9916444756</v>
      </c>
      <c r="CJ31" s="30">
        <f t="shared" si="21"/>
        <v>2434677.1654259097</v>
      </c>
      <c r="CK31" s="33">
        <f t="shared" si="22"/>
        <v>5719180.1570703853</v>
      </c>
      <c r="CM31" s="3"/>
      <c r="CS31">
        <v>17.997222222222224</v>
      </c>
      <c r="CT31">
        <v>1</v>
      </c>
      <c r="CU31">
        <v>22</v>
      </c>
      <c r="CV31" s="38">
        <v>52412</v>
      </c>
      <c r="CW31" s="43">
        <f t="shared" si="55"/>
        <v>27042190.67077487</v>
      </c>
      <c r="CX31" s="30">
        <v>0</v>
      </c>
      <c r="CY31" s="30">
        <f t="shared" si="23"/>
        <v>4893954.9975896161</v>
      </c>
      <c r="CZ31" s="30">
        <f t="shared" si="56"/>
        <v>1352109.5335387436</v>
      </c>
      <c r="DA31" s="30">
        <f t="shared" si="57"/>
        <v>6246064.53112836</v>
      </c>
      <c r="DB31" s="33">
        <f t="shared" si="24"/>
        <v>22148235.673185252</v>
      </c>
      <c r="DC31" s="43">
        <f t="shared" si="58"/>
        <v>78372814.111846983</v>
      </c>
      <c r="DD31" s="30">
        <v>0</v>
      </c>
      <c r="DE31" s="30">
        <f t="shared" si="70"/>
        <v>0</v>
      </c>
      <c r="DF31" s="30">
        <f t="shared" si="59"/>
        <v>3134912.5644738795</v>
      </c>
      <c r="DG31" s="30">
        <f t="shared" si="60"/>
        <v>3134912.5644738795</v>
      </c>
      <c r="DH31" s="33">
        <f t="shared" si="26"/>
        <v>78372814.111846983</v>
      </c>
      <c r="DI31" s="30">
        <f t="shared" si="27"/>
        <v>4893954.9975896161</v>
      </c>
      <c r="DJ31" s="30">
        <f t="shared" si="28"/>
        <v>4487022.0980126234</v>
      </c>
      <c r="DK31" s="33">
        <f t="shared" si="29"/>
        <v>9380977.0956022404</v>
      </c>
      <c r="DM31" s="3"/>
      <c r="DS31">
        <v>15.997222222222222</v>
      </c>
      <c r="DT31">
        <v>1</v>
      </c>
      <c r="DU31">
        <v>22</v>
      </c>
      <c r="DV31" s="38">
        <v>52412</v>
      </c>
      <c r="DW31" s="43">
        <f t="shared" si="61"/>
        <v>74786555.455011457</v>
      </c>
      <c r="DX31" s="30">
        <v>0</v>
      </c>
      <c r="DY31" s="30">
        <f t="shared" si="30"/>
        <v>10994930.031677976</v>
      </c>
      <c r="DZ31" s="30">
        <f t="shared" si="62"/>
        <v>3739327.7727505732</v>
      </c>
      <c r="EA31" s="30">
        <f t="shared" si="63"/>
        <v>14734257.804428549</v>
      </c>
      <c r="EB31" s="33">
        <f t="shared" si="31"/>
        <v>63791625.423333481</v>
      </c>
      <c r="EC31" s="43">
        <f t="shared" si="64"/>
        <v>180983343.83648863</v>
      </c>
      <c r="ED31" s="30">
        <v>0</v>
      </c>
      <c r="EE31" s="30">
        <f t="shared" si="71"/>
        <v>0</v>
      </c>
      <c r="EF31" s="30">
        <f t="shared" si="65"/>
        <v>7239333.7534595458</v>
      </c>
      <c r="EG31" s="30">
        <f t="shared" si="66"/>
        <v>7239333.7534595458</v>
      </c>
      <c r="EH31" s="33">
        <f t="shared" si="33"/>
        <v>180983343.83648863</v>
      </c>
      <c r="EI31" s="30">
        <f t="shared" si="34"/>
        <v>10994930.031677976</v>
      </c>
      <c r="EJ31" s="30">
        <f t="shared" si="35"/>
        <v>10978661.526210118</v>
      </c>
      <c r="EK31" s="33">
        <f t="shared" si="36"/>
        <v>21973591.557888094</v>
      </c>
    </row>
    <row r="32" spans="1:141" x14ac:dyDescent="0.25">
      <c r="C32" s="38">
        <v>52778</v>
      </c>
      <c r="D32" s="43">
        <f t="shared" si="72"/>
        <v>0</v>
      </c>
      <c r="E32" s="30">
        <f t="shared" si="72"/>
        <v>21337670.197462935</v>
      </c>
      <c r="F32" s="30">
        <f t="shared" si="72"/>
        <v>4710768.3280769382</v>
      </c>
      <c r="G32" s="33">
        <f t="shared" si="72"/>
        <v>26048438.525539871</v>
      </c>
      <c r="H32" s="43">
        <f t="shared" si="72"/>
        <v>0</v>
      </c>
      <c r="I32" s="30">
        <f t="shared" si="72"/>
        <v>1288049.3788474707</v>
      </c>
      <c r="J32" s="30">
        <f t="shared" si="72"/>
        <v>13010996.228788</v>
      </c>
      <c r="K32" s="33">
        <f t="shared" si="72"/>
        <v>14299045.607635472</v>
      </c>
      <c r="S32">
        <v>21.580555555555556</v>
      </c>
      <c r="T32">
        <v>1</v>
      </c>
      <c r="U32">
        <v>23</v>
      </c>
      <c r="V32" s="38">
        <v>52778</v>
      </c>
      <c r="W32" s="43">
        <f t="shared" si="38"/>
        <v>20637435.095100001</v>
      </c>
      <c r="X32" s="30">
        <f>IFERROR(VLOOKUP(V32,Inputs!$A$13:$B$23,2,0),0)*$X$5</f>
        <v>0</v>
      </c>
      <c r="Y32" s="30">
        <v>0</v>
      </c>
      <c r="Z32" s="30">
        <v>0</v>
      </c>
      <c r="AA32" s="30">
        <f t="shared" si="39"/>
        <v>0</v>
      </c>
      <c r="AB32" s="33">
        <f t="shared" si="3"/>
        <v>20637435.095100001</v>
      </c>
      <c r="AC32" s="43">
        <f t="shared" si="40"/>
        <v>2621180.4859546013</v>
      </c>
      <c r="AD32" s="30">
        <f>IFERROR(VLOOKUP(C32,Inputs!$A$13:$B$23,2,0),0)*'PV &amp; WIFIA New'!$AD$5</f>
        <v>0</v>
      </c>
      <c r="AE32" s="30">
        <f t="shared" si="67"/>
        <v>1288049.3788474707</v>
      </c>
      <c r="AF32" s="30">
        <f t="shared" si="41"/>
        <v>91741.317008411061</v>
      </c>
      <c r="AG32" s="30">
        <f t="shared" si="42"/>
        <v>1379790.6958558818</v>
      </c>
      <c r="AH32" s="33">
        <f t="shared" si="5"/>
        <v>1333131.1071071306</v>
      </c>
      <c r="AI32" s="30">
        <f t="shared" si="6"/>
        <v>1288049.3788474707</v>
      </c>
      <c r="AJ32" s="30">
        <f t="shared" si="7"/>
        <v>91741.317008411061</v>
      </c>
      <c r="AK32" s="33">
        <f t="shared" si="8"/>
        <v>1379790.6958558818</v>
      </c>
      <c r="AM32" s="3"/>
      <c r="AS32">
        <v>20.997222222222224</v>
      </c>
      <c r="AT32">
        <v>1</v>
      </c>
      <c r="AU32">
        <v>23</v>
      </c>
      <c r="AV32" s="38">
        <v>52778</v>
      </c>
      <c r="AW32" s="43">
        <f t="shared" si="43"/>
        <v>1205612.7755052643</v>
      </c>
      <c r="AX32" s="30">
        <v>0</v>
      </c>
      <c r="AY32" s="30">
        <f t="shared" si="9"/>
        <v>1205612.7755052606</v>
      </c>
      <c r="AZ32" s="30">
        <f t="shared" si="44"/>
        <v>60280.638775263214</v>
      </c>
      <c r="BA32" s="30">
        <f t="shared" si="45"/>
        <v>1265893.4142805238</v>
      </c>
      <c r="BB32" s="33">
        <f t="shared" si="10"/>
        <v>3.7252902984619141E-9</v>
      </c>
      <c r="BC32" s="43">
        <f t="shared" si="46"/>
        <v>15701280.311955389</v>
      </c>
      <c r="BD32" s="30">
        <v>0</v>
      </c>
      <c r="BE32" s="30">
        <f t="shared" si="68"/>
        <v>0</v>
      </c>
      <c r="BF32" s="30">
        <f t="shared" si="47"/>
        <v>628051.21247821557</v>
      </c>
      <c r="BG32" s="30">
        <f t="shared" si="48"/>
        <v>628051.21247821557</v>
      </c>
      <c r="BH32" s="33">
        <f t="shared" si="12"/>
        <v>15701280.311955389</v>
      </c>
      <c r="BI32" s="30">
        <f t="shared" si="13"/>
        <v>1205612.7755052606</v>
      </c>
      <c r="BJ32" s="30">
        <f t="shared" si="14"/>
        <v>688331.85125347879</v>
      </c>
      <c r="BK32" s="33">
        <f t="shared" si="15"/>
        <v>1893944.6267587394</v>
      </c>
      <c r="BM32" s="3"/>
      <c r="BS32">
        <v>19.997222222222224</v>
      </c>
      <c r="BT32">
        <v>1</v>
      </c>
      <c r="BU32">
        <v>23</v>
      </c>
      <c r="BV32" s="38">
        <v>52778</v>
      </c>
      <c r="BW32" s="43">
        <f t="shared" si="49"/>
        <v>7069892.6895147488</v>
      </c>
      <c r="BX32" s="30">
        <v>0</v>
      </c>
      <c r="BY32" s="30">
        <f t="shared" si="16"/>
        <v>3448728.1412266996</v>
      </c>
      <c r="BZ32" s="30">
        <f t="shared" si="50"/>
        <v>353494.63447573746</v>
      </c>
      <c r="CA32" s="30">
        <f t="shared" si="51"/>
        <v>3802222.7757024369</v>
      </c>
      <c r="CB32" s="33">
        <f t="shared" si="17"/>
        <v>3621164.5482880492</v>
      </c>
      <c r="CC32" s="43">
        <f t="shared" si="52"/>
        <v>47923934.534198709</v>
      </c>
      <c r="CD32" s="30">
        <v>0</v>
      </c>
      <c r="CE32" s="30">
        <f t="shared" si="69"/>
        <v>0</v>
      </c>
      <c r="CF32" s="30">
        <f t="shared" si="53"/>
        <v>1916957.3813679484</v>
      </c>
      <c r="CG32" s="30">
        <f t="shared" si="54"/>
        <v>1916957.3813679484</v>
      </c>
      <c r="CH32" s="33">
        <f t="shared" si="19"/>
        <v>47923934.534198709</v>
      </c>
      <c r="CI32" s="30">
        <f t="shared" si="20"/>
        <v>3448728.1412266996</v>
      </c>
      <c r="CJ32" s="30">
        <f t="shared" si="21"/>
        <v>2270452.0158436857</v>
      </c>
      <c r="CK32" s="33">
        <f t="shared" si="22"/>
        <v>5719180.1570703853</v>
      </c>
      <c r="CM32" s="3"/>
      <c r="CS32">
        <v>18.997222222222224</v>
      </c>
      <c r="CT32">
        <v>1</v>
      </c>
      <c r="CU32">
        <v>23</v>
      </c>
      <c r="CV32" s="38">
        <v>52778</v>
      </c>
      <c r="CW32" s="43">
        <f t="shared" si="55"/>
        <v>22148235.673185252</v>
      </c>
      <c r="CX32" s="30">
        <v>0</v>
      </c>
      <c r="CY32" s="30">
        <f t="shared" si="23"/>
        <v>5138652.7474690974</v>
      </c>
      <c r="CZ32" s="30">
        <f t="shared" si="56"/>
        <v>1107411.7836592626</v>
      </c>
      <c r="DA32" s="30">
        <f t="shared" si="57"/>
        <v>6246064.53112836</v>
      </c>
      <c r="DB32" s="33">
        <f t="shared" si="24"/>
        <v>17009582.925716154</v>
      </c>
      <c r="DC32" s="43">
        <f t="shared" si="58"/>
        <v>78372814.111846983</v>
      </c>
      <c r="DD32" s="30">
        <v>0</v>
      </c>
      <c r="DE32" s="30">
        <f t="shared" si="70"/>
        <v>0</v>
      </c>
      <c r="DF32" s="30">
        <f t="shared" si="59"/>
        <v>3134912.5644738795</v>
      </c>
      <c r="DG32" s="30">
        <f t="shared" si="60"/>
        <v>3134912.5644738795</v>
      </c>
      <c r="DH32" s="33">
        <f t="shared" si="26"/>
        <v>78372814.111846983</v>
      </c>
      <c r="DI32" s="30">
        <f t="shared" si="27"/>
        <v>5138652.7474690974</v>
      </c>
      <c r="DJ32" s="30">
        <f t="shared" si="28"/>
        <v>4242324.3481331421</v>
      </c>
      <c r="DK32" s="33">
        <f t="shared" si="29"/>
        <v>9380977.0956022404</v>
      </c>
      <c r="DM32" s="3"/>
      <c r="DS32">
        <v>16.997222222222224</v>
      </c>
      <c r="DT32">
        <v>1</v>
      </c>
      <c r="DU32">
        <v>23</v>
      </c>
      <c r="DV32" s="38">
        <v>52778</v>
      </c>
      <c r="DW32" s="43">
        <f t="shared" si="61"/>
        <v>63791625.423333481</v>
      </c>
      <c r="DX32" s="30">
        <v>0</v>
      </c>
      <c r="DY32" s="30">
        <f t="shared" si="30"/>
        <v>11544676.533261877</v>
      </c>
      <c r="DZ32" s="30">
        <f t="shared" si="62"/>
        <v>3189581.2711666743</v>
      </c>
      <c r="EA32" s="30">
        <f t="shared" si="63"/>
        <v>14734257.804428551</v>
      </c>
      <c r="EB32" s="33">
        <f t="shared" si="31"/>
        <v>52246948.890071601</v>
      </c>
      <c r="EC32" s="43">
        <f t="shared" si="64"/>
        <v>180983343.83648863</v>
      </c>
      <c r="ED32" s="30">
        <v>0</v>
      </c>
      <c r="EE32" s="30">
        <f t="shared" si="71"/>
        <v>0</v>
      </c>
      <c r="EF32" s="30">
        <f t="shared" si="65"/>
        <v>7239333.7534595458</v>
      </c>
      <c r="EG32" s="30">
        <f t="shared" si="66"/>
        <v>7239333.7534595458</v>
      </c>
      <c r="EH32" s="33">
        <f t="shared" si="33"/>
        <v>180983343.83648863</v>
      </c>
      <c r="EI32" s="30">
        <f t="shared" si="34"/>
        <v>11544676.533261877</v>
      </c>
      <c r="EJ32" s="30">
        <f t="shared" si="35"/>
        <v>10428915.02462622</v>
      </c>
      <c r="EK32" s="33">
        <f t="shared" si="36"/>
        <v>21973591.557888098</v>
      </c>
    </row>
    <row r="33" spans="3:141" x14ac:dyDescent="0.25">
      <c r="C33" s="38">
        <v>53143</v>
      </c>
      <c r="D33" s="43">
        <f t="shared" si="72"/>
        <v>0</v>
      </c>
      <c r="E33" s="30">
        <f t="shared" si="72"/>
        <v>21138660.293055557</v>
      </c>
      <c r="F33" s="30">
        <f t="shared" si="72"/>
        <v>3643884.8182037906</v>
      </c>
      <c r="G33" s="33">
        <f t="shared" si="72"/>
        <v>24782545.111259349</v>
      </c>
      <c r="H33" s="43">
        <f t="shared" si="72"/>
        <v>0</v>
      </c>
      <c r="I33" s="30">
        <f t="shared" si="72"/>
        <v>2146851.0484097484</v>
      </c>
      <c r="J33" s="30">
        <f t="shared" si="72"/>
        <v>12965914.500528339</v>
      </c>
      <c r="K33" s="33">
        <f t="shared" si="72"/>
        <v>15112765.548938088</v>
      </c>
      <c r="S33">
        <v>22.580555555555556</v>
      </c>
      <c r="T33">
        <v>1</v>
      </c>
      <c r="U33">
        <v>24</v>
      </c>
      <c r="V33" s="38">
        <v>53143</v>
      </c>
      <c r="W33" s="43">
        <f t="shared" si="38"/>
        <v>20637435.095100001</v>
      </c>
      <c r="X33" s="30">
        <f>IFERROR(VLOOKUP(V33,Inputs!$A$13:$B$23,2,0),0)*$X$5</f>
        <v>0</v>
      </c>
      <c r="Y33" s="30">
        <v>0</v>
      </c>
      <c r="Z33" s="30">
        <v>0</v>
      </c>
      <c r="AA33" s="30">
        <f t="shared" si="39"/>
        <v>0</v>
      </c>
      <c r="AB33" s="33">
        <f t="shared" si="3"/>
        <v>20637435.095100001</v>
      </c>
      <c r="AC33" s="43">
        <f t="shared" si="40"/>
        <v>1333131.1071071306</v>
      </c>
      <c r="AD33" s="30">
        <f>IFERROR(VLOOKUP(C33,Inputs!$A$13:$B$23,2,0),0)*'PV &amp; WIFIA New'!$AD$5</f>
        <v>0</v>
      </c>
      <c r="AE33" s="30">
        <f t="shared" si="67"/>
        <v>1333131.1071071322</v>
      </c>
      <c r="AF33" s="30">
        <f t="shared" si="41"/>
        <v>46659.588748749571</v>
      </c>
      <c r="AG33" s="30">
        <f t="shared" si="42"/>
        <v>1379790.6958558818</v>
      </c>
      <c r="AH33" s="33">
        <f t="shared" si="5"/>
        <v>0</v>
      </c>
      <c r="AI33" s="30">
        <f t="shared" si="6"/>
        <v>1333131.1071071322</v>
      </c>
      <c r="AJ33" s="30">
        <f t="shared" si="7"/>
        <v>46659.588748749571</v>
      </c>
      <c r="AK33" s="33">
        <f t="shared" si="8"/>
        <v>1379790.6958558818</v>
      </c>
      <c r="AM33" s="3"/>
      <c r="AS33">
        <v>21.997222222222224</v>
      </c>
      <c r="AT33">
        <v>1</v>
      </c>
      <c r="AU33">
        <v>24</v>
      </c>
      <c r="AV33" s="38">
        <v>53143</v>
      </c>
      <c r="AW33" s="43">
        <f t="shared" si="43"/>
        <v>3.7252902984619141E-9</v>
      </c>
      <c r="AX33" s="30">
        <v>0</v>
      </c>
      <c r="AY33" s="30">
        <f t="shared" si="9"/>
        <v>0</v>
      </c>
      <c r="AZ33" s="30">
        <f t="shared" si="44"/>
        <v>1.8626451492309571E-10</v>
      </c>
      <c r="BA33" s="30">
        <f t="shared" si="45"/>
        <v>1.8626451492309571E-10</v>
      </c>
      <c r="BB33" s="33">
        <f t="shared" si="10"/>
        <v>3.7252902984619141E-9</v>
      </c>
      <c r="BC33" s="43">
        <f t="shared" si="46"/>
        <v>15701280.311955389</v>
      </c>
      <c r="BD33" s="30">
        <v>0</v>
      </c>
      <c r="BE33" s="30">
        <f t="shared" si="68"/>
        <v>813719.94130261627</v>
      </c>
      <c r="BF33" s="30">
        <f t="shared" si="47"/>
        <v>628051.21247821557</v>
      </c>
      <c r="BG33" s="30">
        <f t="shared" si="48"/>
        <v>1441771.153780832</v>
      </c>
      <c r="BH33" s="33">
        <f t="shared" si="12"/>
        <v>14887560.370652772</v>
      </c>
      <c r="BI33" s="30">
        <f t="shared" si="13"/>
        <v>813719.94130261627</v>
      </c>
      <c r="BJ33" s="30">
        <f t="shared" si="14"/>
        <v>628051.21247821581</v>
      </c>
      <c r="BK33" s="33">
        <f t="shared" si="15"/>
        <v>1441771.1537808322</v>
      </c>
      <c r="BM33" s="3"/>
      <c r="BS33">
        <v>20.997222222222224</v>
      </c>
      <c r="BT33">
        <v>1</v>
      </c>
      <c r="BU33">
        <v>24</v>
      </c>
      <c r="BV33" s="38">
        <v>53143</v>
      </c>
      <c r="BW33" s="43">
        <f t="shared" si="49"/>
        <v>3621164.5482880492</v>
      </c>
      <c r="BX33" s="30">
        <v>0</v>
      </c>
      <c r="BY33" s="30">
        <f t="shared" si="16"/>
        <v>3621164.5482880347</v>
      </c>
      <c r="BZ33" s="30">
        <f t="shared" si="50"/>
        <v>181058.22741440247</v>
      </c>
      <c r="CA33" s="30">
        <f t="shared" si="51"/>
        <v>3802222.7757024374</v>
      </c>
      <c r="CB33" s="33">
        <f t="shared" si="17"/>
        <v>1.4435499906539917E-8</v>
      </c>
      <c r="CC33" s="43">
        <f t="shared" si="52"/>
        <v>47923934.534198709</v>
      </c>
      <c r="CD33" s="30">
        <v>0</v>
      </c>
      <c r="CE33" s="30">
        <f t="shared" si="69"/>
        <v>0</v>
      </c>
      <c r="CF33" s="30">
        <f t="shared" si="53"/>
        <v>1916957.3813679484</v>
      </c>
      <c r="CG33" s="30">
        <f t="shared" si="54"/>
        <v>1916957.3813679484</v>
      </c>
      <c r="CH33" s="33">
        <f t="shared" si="19"/>
        <v>47923934.534198709</v>
      </c>
      <c r="CI33" s="30">
        <f t="shared" si="20"/>
        <v>3621164.5482880347</v>
      </c>
      <c r="CJ33" s="30">
        <f t="shared" si="21"/>
        <v>2098015.608782351</v>
      </c>
      <c r="CK33" s="33">
        <f t="shared" si="22"/>
        <v>5719180.1570703853</v>
      </c>
      <c r="CM33" s="3"/>
      <c r="CS33">
        <v>19.997222222222224</v>
      </c>
      <c r="CT33">
        <v>1</v>
      </c>
      <c r="CU33">
        <v>24</v>
      </c>
      <c r="CV33" s="38">
        <v>53143</v>
      </c>
      <c r="CW33" s="43">
        <f t="shared" si="55"/>
        <v>17009582.925716154</v>
      </c>
      <c r="CX33" s="30">
        <v>0</v>
      </c>
      <c r="CY33" s="30">
        <f t="shared" si="23"/>
        <v>5395585.3848425522</v>
      </c>
      <c r="CZ33" s="30">
        <f t="shared" si="56"/>
        <v>850479.14628580771</v>
      </c>
      <c r="DA33" s="30">
        <f t="shared" si="57"/>
        <v>6246064.53112836</v>
      </c>
      <c r="DB33" s="33">
        <f t="shared" si="24"/>
        <v>11613997.540873602</v>
      </c>
      <c r="DC33" s="43">
        <f t="shared" si="58"/>
        <v>78372814.111846983</v>
      </c>
      <c r="DD33" s="30">
        <v>0</v>
      </c>
      <c r="DE33" s="30">
        <f t="shared" si="70"/>
        <v>0</v>
      </c>
      <c r="DF33" s="30">
        <f t="shared" si="59"/>
        <v>3134912.5644738795</v>
      </c>
      <c r="DG33" s="30">
        <f t="shared" si="60"/>
        <v>3134912.5644738795</v>
      </c>
      <c r="DH33" s="33">
        <f t="shared" si="26"/>
        <v>78372814.111846983</v>
      </c>
      <c r="DI33" s="30">
        <f t="shared" si="27"/>
        <v>5395585.3848425522</v>
      </c>
      <c r="DJ33" s="30">
        <f t="shared" si="28"/>
        <v>3985391.7107596872</v>
      </c>
      <c r="DK33" s="33">
        <f t="shared" si="29"/>
        <v>9380977.0956022404</v>
      </c>
      <c r="DM33" s="3"/>
      <c r="DS33">
        <v>17.997222222222224</v>
      </c>
      <c r="DT33">
        <v>1</v>
      </c>
      <c r="DU33">
        <v>24</v>
      </c>
      <c r="DV33" s="38">
        <v>53143</v>
      </c>
      <c r="DW33" s="43">
        <f t="shared" si="61"/>
        <v>52246948.890071601</v>
      </c>
      <c r="DX33" s="30">
        <v>0</v>
      </c>
      <c r="DY33" s="30">
        <f t="shared" si="30"/>
        <v>12121910.35992497</v>
      </c>
      <c r="DZ33" s="30">
        <f t="shared" si="62"/>
        <v>2612347.4445035802</v>
      </c>
      <c r="EA33" s="30">
        <f t="shared" si="63"/>
        <v>14734257.804428551</v>
      </c>
      <c r="EB33" s="33">
        <f t="shared" si="31"/>
        <v>40125038.530146629</v>
      </c>
      <c r="EC33" s="43">
        <f t="shared" si="64"/>
        <v>180983343.83648863</v>
      </c>
      <c r="ED33" s="30">
        <v>0</v>
      </c>
      <c r="EE33" s="30">
        <f t="shared" si="71"/>
        <v>0</v>
      </c>
      <c r="EF33" s="30">
        <f t="shared" si="65"/>
        <v>7239333.7534595458</v>
      </c>
      <c r="EG33" s="30">
        <f t="shared" si="66"/>
        <v>7239333.7534595458</v>
      </c>
      <c r="EH33" s="33">
        <f t="shared" si="33"/>
        <v>180983343.83648863</v>
      </c>
      <c r="EI33" s="30">
        <f t="shared" si="34"/>
        <v>12121910.35992497</v>
      </c>
      <c r="EJ33" s="30">
        <f t="shared" si="35"/>
        <v>9851681.197963126</v>
      </c>
      <c r="EK33" s="33">
        <f t="shared" si="36"/>
        <v>21973591.557888098</v>
      </c>
    </row>
    <row r="34" spans="3:141" x14ac:dyDescent="0.25">
      <c r="C34" s="38">
        <v>53508</v>
      </c>
      <c r="D34" s="43">
        <f t="shared" si="72"/>
        <v>0</v>
      </c>
      <c r="E34" s="30">
        <f t="shared" si="72"/>
        <v>18393370.532005899</v>
      </c>
      <c r="F34" s="30">
        <f t="shared" si="72"/>
        <v>2586951.8035510127</v>
      </c>
      <c r="G34" s="33">
        <f t="shared" si="72"/>
        <v>20980322.335556909</v>
      </c>
      <c r="H34" s="43">
        <f t="shared" si="72"/>
        <v>0</v>
      </c>
      <c r="I34" s="30">
        <f t="shared" si="72"/>
        <v>3325861.370776278</v>
      </c>
      <c r="J34" s="30">
        <f t="shared" si="72"/>
        <v>12886706.114127483</v>
      </c>
      <c r="K34" s="33">
        <f t="shared" si="72"/>
        <v>16212567.484903764</v>
      </c>
      <c r="S34">
        <v>23.580555555555556</v>
      </c>
      <c r="T34">
        <v>1</v>
      </c>
      <c r="U34">
        <v>25</v>
      </c>
      <c r="V34" s="38">
        <v>53508</v>
      </c>
      <c r="W34" s="43">
        <f t="shared" si="38"/>
        <v>20637435.095100001</v>
      </c>
      <c r="X34" s="30">
        <f>IFERROR(VLOOKUP(V34,Inputs!$A$13:$B$23,2,0),0)*$X$5</f>
        <v>0</v>
      </c>
      <c r="Y34" s="30">
        <v>0</v>
      </c>
      <c r="Z34" s="30">
        <v>0</v>
      </c>
      <c r="AA34" s="30">
        <f t="shared" si="39"/>
        <v>0</v>
      </c>
      <c r="AB34" s="33">
        <f t="shared" si="3"/>
        <v>20637435.095100001</v>
      </c>
      <c r="AC34" s="43">
        <f t="shared" si="40"/>
        <v>0</v>
      </c>
      <c r="AD34" s="30">
        <f>IFERROR(VLOOKUP(C34,Inputs!$A$13:$B$23,2,0),0)*'PV &amp; WIFIA New'!$AD$5</f>
        <v>0</v>
      </c>
      <c r="AE34" s="30">
        <f t="shared" si="67"/>
        <v>0</v>
      </c>
      <c r="AF34" s="30">
        <f t="shared" si="41"/>
        <v>0</v>
      </c>
      <c r="AG34" s="30">
        <f t="shared" si="42"/>
        <v>0</v>
      </c>
      <c r="AH34" s="33">
        <f t="shared" si="5"/>
        <v>0</v>
      </c>
      <c r="AI34" s="30">
        <f t="shared" si="6"/>
        <v>0</v>
      </c>
      <c r="AJ34" s="30">
        <f t="shared" si="7"/>
        <v>0</v>
      </c>
      <c r="AK34" s="33">
        <f t="shared" si="8"/>
        <v>0</v>
      </c>
      <c r="AM34" s="3"/>
      <c r="AS34">
        <v>22.997222222222224</v>
      </c>
      <c r="AT34">
        <v>1</v>
      </c>
      <c r="AU34">
        <v>25</v>
      </c>
      <c r="AV34" s="38">
        <v>53508</v>
      </c>
      <c r="AW34" s="43">
        <f t="shared" si="43"/>
        <v>3.7252902984619141E-9</v>
      </c>
      <c r="AX34" s="30">
        <v>0</v>
      </c>
      <c r="AY34" s="30">
        <f t="shared" si="9"/>
        <v>0</v>
      </c>
      <c r="AZ34" s="30">
        <f t="shared" si="44"/>
        <v>1.8626451492309571E-10</v>
      </c>
      <c r="BA34" s="30">
        <f t="shared" si="45"/>
        <v>1.8626451492309571E-10</v>
      </c>
      <c r="BB34" s="33">
        <f t="shared" si="10"/>
        <v>3.7252902984619141E-9</v>
      </c>
      <c r="BC34" s="43">
        <f t="shared" si="46"/>
        <v>14887560.370652772</v>
      </c>
      <c r="BD34" s="30">
        <v>0</v>
      </c>
      <c r="BE34" s="30">
        <f t="shared" si="68"/>
        <v>842200.13924820779</v>
      </c>
      <c r="BF34" s="30">
        <f t="shared" si="47"/>
        <v>595502.41482611094</v>
      </c>
      <c r="BG34" s="30">
        <f t="shared" si="48"/>
        <v>1437702.5540743186</v>
      </c>
      <c r="BH34" s="33">
        <f t="shared" si="12"/>
        <v>14045360.231404565</v>
      </c>
      <c r="BI34" s="30">
        <f t="shared" si="13"/>
        <v>842200.13924820779</v>
      </c>
      <c r="BJ34" s="30">
        <f t="shared" si="14"/>
        <v>595502.41482611117</v>
      </c>
      <c r="BK34" s="33">
        <f t="shared" si="15"/>
        <v>1437702.5540743188</v>
      </c>
      <c r="BM34" s="3"/>
      <c r="BS34">
        <v>21.997222222222224</v>
      </c>
      <c r="BT34">
        <v>1</v>
      </c>
      <c r="BU34">
        <v>25</v>
      </c>
      <c r="BV34" s="38">
        <v>53508</v>
      </c>
      <c r="BW34" s="43">
        <f t="shared" si="49"/>
        <v>1.4435499906539917E-8</v>
      </c>
      <c r="BX34" s="30">
        <v>0</v>
      </c>
      <c r="BY34" s="30">
        <f t="shared" si="16"/>
        <v>0</v>
      </c>
      <c r="BZ34" s="30">
        <f t="shared" si="50"/>
        <v>7.2177499532699587E-10</v>
      </c>
      <c r="CA34" s="30">
        <f t="shared" si="51"/>
        <v>7.2177499532699587E-10</v>
      </c>
      <c r="CB34" s="33">
        <f t="shared" si="17"/>
        <v>1.4435499906539917E-8</v>
      </c>
      <c r="CC34" s="43">
        <f t="shared" si="52"/>
        <v>47923934.534198709</v>
      </c>
      <c r="CD34" s="30">
        <v>0</v>
      </c>
      <c r="CE34" s="30">
        <f t="shared" si="69"/>
        <v>2483661.2315280703</v>
      </c>
      <c r="CF34" s="30">
        <f t="shared" si="53"/>
        <v>1916957.3813679484</v>
      </c>
      <c r="CG34" s="30">
        <f t="shared" si="54"/>
        <v>4400618.6128960187</v>
      </c>
      <c r="CH34" s="33">
        <f t="shared" si="19"/>
        <v>45440273.302670635</v>
      </c>
      <c r="CI34" s="30">
        <f t="shared" si="20"/>
        <v>2483661.2315280703</v>
      </c>
      <c r="CJ34" s="30">
        <f t="shared" si="21"/>
        <v>1916957.3813679491</v>
      </c>
      <c r="CK34" s="33">
        <f t="shared" si="22"/>
        <v>4400618.6128960196</v>
      </c>
      <c r="CM34" s="3"/>
      <c r="CS34">
        <v>20.997222222222224</v>
      </c>
      <c r="CT34">
        <v>1</v>
      </c>
      <c r="CU34">
        <v>25</v>
      </c>
      <c r="CV34" s="38">
        <v>53508</v>
      </c>
      <c r="CW34" s="43">
        <f t="shared" si="55"/>
        <v>11613997.540873602</v>
      </c>
      <c r="CX34" s="30">
        <v>0</v>
      </c>
      <c r="CY34" s="30">
        <f t="shared" si="23"/>
        <v>5665364.6540846787</v>
      </c>
      <c r="CZ34" s="30">
        <f t="shared" si="56"/>
        <v>580699.87704368017</v>
      </c>
      <c r="DA34" s="30">
        <f t="shared" si="57"/>
        <v>6246064.531128359</v>
      </c>
      <c r="DB34" s="33">
        <f t="shared" si="24"/>
        <v>5948632.8867889233</v>
      </c>
      <c r="DC34" s="43">
        <f t="shared" si="58"/>
        <v>78372814.111846983</v>
      </c>
      <c r="DD34" s="30">
        <v>0</v>
      </c>
      <c r="DE34" s="30">
        <f t="shared" si="70"/>
        <v>0</v>
      </c>
      <c r="DF34" s="30">
        <f t="shared" si="59"/>
        <v>3134912.5644738795</v>
      </c>
      <c r="DG34" s="30">
        <f t="shared" si="60"/>
        <v>3134912.5644738795</v>
      </c>
      <c r="DH34" s="33">
        <f t="shared" si="26"/>
        <v>78372814.111846983</v>
      </c>
      <c r="DI34" s="30">
        <f t="shared" si="27"/>
        <v>5665364.6540846787</v>
      </c>
      <c r="DJ34" s="30">
        <f t="shared" si="28"/>
        <v>3715612.4415175598</v>
      </c>
      <c r="DK34" s="33">
        <f t="shared" si="29"/>
        <v>9380977.0956022386</v>
      </c>
      <c r="DM34" s="3"/>
      <c r="DS34">
        <v>18.997222222222224</v>
      </c>
      <c r="DT34">
        <v>1</v>
      </c>
      <c r="DU34">
        <v>25</v>
      </c>
      <c r="DV34" s="38">
        <v>53508</v>
      </c>
      <c r="DW34" s="43">
        <f t="shared" si="61"/>
        <v>40125038.530146629</v>
      </c>
      <c r="DX34" s="30">
        <v>0</v>
      </c>
      <c r="DY34" s="30">
        <f t="shared" si="30"/>
        <v>12728005.877921218</v>
      </c>
      <c r="DZ34" s="30">
        <f t="shared" si="62"/>
        <v>2006251.9265073314</v>
      </c>
      <c r="EA34" s="30">
        <f t="shared" si="63"/>
        <v>14734257.804428549</v>
      </c>
      <c r="EB34" s="33">
        <f t="shared" si="31"/>
        <v>27397032.652225412</v>
      </c>
      <c r="EC34" s="43">
        <f t="shared" si="64"/>
        <v>180983343.83648863</v>
      </c>
      <c r="ED34" s="30">
        <v>0</v>
      </c>
      <c r="EE34" s="30">
        <f t="shared" si="71"/>
        <v>0</v>
      </c>
      <c r="EF34" s="30">
        <f t="shared" si="65"/>
        <v>7239333.7534595458</v>
      </c>
      <c r="EG34" s="30">
        <f t="shared" si="66"/>
        <v>7239333.7534595458</v>
      </c>
      <c r="EH34" s="33">
        <f t="shared" si="33"/>
        <v>180983343.83648863</v>
      </c>
      <c r="EI34" s="30">
        <f t="shared" si="34"/>
        <v>12728005.877921218</v>
      </c>
      <c r="EJ34" s="30">
        <f t="shared" si="35"/>
        <v>9245585.6799668781</v>
      </c>
      <c r="EK34" s="33">
        <f t="shared" si="36"/>
        <v>21973591.557888094</v>
      </c>
    </row>
    <row r="35" spans="3:141" x14ac:dyDescent="0.25">
      <c r="C35" s="38">
        <v>53873</v>
      </c>
      <c r="D35" s="43">
        <f t="shared" si="72"/>
        <v>0</v>
      </c>
      <c r="E35" s="30">
        <f t="shared" si="72"/>
        <v>19313039.058606192</v>
      </c>
      <c r="F35" s="30">
        <f t="shared" si="72"/>
        <v>1667283.2769507179</v>
      </c>
      <c r="G35" s="33">
        <f t="shared" si="72"/>
        <v>20980322.335556909</v>
      </c>
      <c r="H35" s="43">
        <f t="shared" si="72"/>
        <v>0</v>
      </c>
      <c r="I35" s="30">
        <f t="shared" si="72"/>
        <v>3442266.518753448</v>
      </c>
      <c r="J35" s="30">
        <f t="shared" si="72"/>
        <v>12753671.659296434</v>
      </c>
      <c r="K35" s="33">
        <f t="shared" si="72"/>
        <v>16195938.178049881</v>
      </c>
      <c r="S35">
        <v>24.580555555555556</v>
      </c>
      <c r="T35">
        <v>1</v>
      </c>
      <c r="U35">
        <v>26</v>
      </c>
      <c r="V35" s="38">
        <v>53873</v>
      </c>
      <c r="W35" s="43">
        <f t="shared" si="38"/>
        <v>20637435.095100001</v>
      </c>
      <c r="X35" s="30">
        <f>IFERROR(VLOOKUP(V35,Inputs!$A$13:$B$23,2,0),0)*$X$5</f>
        <v>0</v>
      </c>
      <c r="Y35" s="30">
        <v>0</v>
      </c>
      <c r="Z35" s="30">
        <v>0</v>
      </c>
      <c r="AA35" s="30">
        <f t="shared" si="39"/>
        <v>0</v>
      </c>
      <c r="AB35" s="33">
        <f t="shared" si="3"/>
        <v>20637435.095100001</v>
      </c>
      <c r="AC35" s="43">
        <f t="shared" si="40"/>
        <v>0</v>
      </c>
      <c r="AD35" s="30">
        <f>IFERROR(VLOOKUP(C35,Inputs!$A$13:$B$23,2,0),0)*'PV &amp; WIFIA New'!$AD$5</f>
        <v>0</v>
      </c>
      <c r="AE35" s="30">
        <f t="shared" si="67"/>
        <v>0</v>
      </c>
      <c r="AF35" s="30">
        <f t="shared" si="41"/>
        <v>0</v>
      </c>
      <c r="AG35" s="30">
        <f t="shared" si="42"/>
        <v>0</v>
      </c>
      <c r="AH35" s="33">
        <f t="shared" si="5"/>
        <v>0</v>
      </c>
      <c r="AI35" s="30">
        <f t="shared" si="6"/>
        <v>0</v>
      </c>
      <c r="AJ35" s="30">
        <f t="shared" si="7"/>
        <v>0</v>
      </c>
      <c r="AK35" s="33">
        <f t="shared" si="8"/>
        <v>0</v>
      </c>
      <c r="AM35" s="3"/>
      <c r="AS35">
        <v>23.997222222222224</v>
      </c>
      <c r="AT35">
        <v>1</v>
      </c>
      <c r="AU35">
        <v>26</v>
      </c>
      <c r="AV35" s="38">
        <v>53873</v>
      </c>
      <c r="AW35" s="43">
        <f t="shared" si="43"/>
        <v>3.7252902984619141E-9</v>
      </c>
      <c r="AX35" s="30">
        <v>0</v>
      </c>
      <c r="AY35" s="30">
        <f t="shared" si="9"/>
        <v>0</v>
      </c>
      <c r="AZ35" s="30">
        <f t="shared" si="44"/>
        <v>1.8626451492309571E-10</v>
      </c>
      <c r="BA35" s="30">
        <f t="shared" si="45"/>
        <v>1.8626451492309571E-10</v>
      </c>
      <c r="BB35" s="33">
        <f t="shared" si="10"/>
        <v>3.7252902984619141E-9</v>
      </c>
      <c r="BC35" s="43">
        <f t="shared" si="46"/>
        <v>14045360.231404565</v>
      </c>
      <c r="BD35" s="30">
        <v>0</v>
      </c>
      <c r="BE35" s="30">
        <f t="shared" si="68"/>
        <v>871677.14412189508</v>
      </c>
      <c r="BF35" s="30">
        <f t="shared" si="47"/>
        <v>561814.40925618261</v>
      </c>
      <c r="BG35" s="30">
        <f t="shared" si="48"/>
        <v>1433491.5533780777</v>
      </c>
      <c r="BH35" s="33">
        <f t="shared" si="12"/>
        <v>13173683.087282671</v>
      </c>
      <c r="BI35" s="30">
        <f t="shared" si="13"/>
        <v>871677.14412189508</v>
      </c>
      <c r="BJ35" s="30">
        <f t="shared" si="14"/>
        <v>561814.40925618284</v>
      </c>
      <c r="BK35" s="33">
        <f t="shared" si="15"/>
        <v>1433491.5533780779</v>
      </c>
      <c r="BM35" s="3"/>
      <c r="BS35">
        <v>22.997222222222224</v>
      </c>
      <c r="BT35">
        <v>1</v>
      </c>
      <c r="BU35">
        <v>26</v>
      </c>
      <c r="BV35" s="38">
        <v>53873</v>
      </c>
      <c r="BW35" s="43">
        <f t="shared" si="49"/>
        <v>1.4435499906539917E-8</v>
      </c>
      <c r="BX35" s="30">
        <v>0</v>
      </c>
      <c r="BY35" s="30">
        <f t="shared" si="16"/>
        <v>0</v>
      </c>
      <c r="BZ35" s="30">
        <f t="shared" si="50"/>
        <v>7.2177499532699587E-10</v>
      </c>
      <c r="CA35" s="30">
        <f t="shared" si="51"/>
        <v>7.2177499532699587E-10</v>
      </c>
      <c r="CB35" s="33">
        <f t="shared" si="17"/>
        <v>1.4435499906539917E-8</v>
      </c>
      <c r="CC35" s="43">
        <f t="shared" si="52"/>
        <v>45440273.302670635</v>
      </c>
      <c r="CD35" s="30">
        <v>0</v>
      </c>
      <c r="CE35" s="30">
        <f t="shared" si="69"/>
        <v>2570589.374631553</v>
      </c>
      <c r="CF35" s="30">
        <f t="shared" si="53"/>
        <v>1817610.9321068255</v>
      </c>
      <c r="CG35" s="30">
        <f t="shared" si="54"/>
        <v>4388200.3067383785</v>
      </c>
      <c r="CH35" s="33">
        <f t="shared" si="19"/>
        <v>42869683.928039081</v>
      </c>
      <c r="CI35" s="30">
        <f t="shared" si="20"/>
        <v>2570589.374631553</v>
      </c>
      <c r="CJ35" s="30">
        <f t="shared" si="21"/>
        <v>1817610.9321068262</v>
      </c>
      <c r="CK35" s="33">
        <f t="shared" si="22"/>
        <v>4388200.3067383794</v>
      </c>
      <c r="CM35" s="3"/>
      <c r="CS35">
        <v>21.997222222222224</v>
      </c>
      <c r="CT35">
        <v>1</v>
      </c>
      <c r="CU35">
        <v>26</v>
      </c>
      <c r="CV35" s="38">
        <v>53873</v>
      </c>
      <c r="CW35" s="43">
        <f t="shared" si="55"/>
        <v>5948632.8867889233</v>
      </c>
      <c r="CX35" s="30">
        <v>0</v>
      </c>
      <c r="CY35" s="30">
        <f t="shared" si="23"/>
        <v>5948632.886788913</v>
      </c>
      <c r="CZ35" s="30">
        <f t="shared" si="56"/>
        <v>297431.64433944615</v>
      </c>
      <c r="DA35" s="30">
        <f t="shared" si="57"/>
        <v>6246064.531128359</v>
      </c>
      <c r="DB35" s="33">
        <f t="shared" si="24"/>
        <v>1.0244548320770264E-8</v>
      </c>
      <c r="DC35" s="43">
        <f t="shared" si="58"/>
        <v>78372814.111846983</v>
      </c>
      <c r="DD35" s="30">
        <v>0</v>
      </c>
      <c r="DE35" s="30">
        <f t="shared" si="70"/>
        <v>0</v>
      </c>
      <c r="DF35" s="30">
        <f t="shared" si="59"/>
        <v>3134912.5644738795</v>
      </c>
      <c r="DG35" s="30">
        <f t="shared" si="60"/>
        <v>3134912.5644738795</v>
      </c>
      <c r="DH35" s="33">
        <f t="shared" si="26"/>
        <v>78372814.111846983</v>
      </c>
      <c r="DI35" s="30">
        <f t="shared" si="27"/>
        <v>5948632.886788913</v>
      </c>
      <c r="DJ35" s="30">
        <f t="shared" si="28"/>
        <v>3432344.2088133255</v>
      </c>
      <c r="DK35" s="33">
        <f t="shared" si="29"/>
        <v>9380977.0956022386</v>
      </c>
      <c r="DM35" s="3"/>
      <c r="DS35">
        <v>19.997222222222224</v>
      </c>
      <c r="DT35">
        <v>1</v>
      </c>
      <c r="DU35">
        <v>26</v>
      </c>
      <c r="DV35" s="38">
        <v>53873</v>
      </c>
      <c r="DW35" s="43">
        <f t="shared" si="61"/>
        <v>27397032.652225412</v>
      </c>
      <c r="DX35" s="30">
        <v>0</v>
      </c>
      <c r="DY35" s="30">
        <f t="shared" si="30"/>
        <v>13364406.17181728</v>
      </c>
      <c r="DZ35" s="30">
        <f t="shared" si="62"/>
        <v>1369851.6326112708</v>
      </c>
      <c r="EA35" s="30">
        <f t="shared" si="63"/>
        <v>14734257.804428551</v>
      </c>
      <c r="EB35" s="33">
        <f t="shared" si="31"/>
        <v>14032626.480408132</v>
      </c>
      <c r="EC35" s="43">
        <f t="shared" si="64"/>
        <v>180983343.83648863</v>
      </c>
      <c r="ED35" s="30">
        <v>0</v>
      </c>
      <c r="EE35" s="30">
        <f t="shared" si="71"/>
        <v>0</v>
      </c>
      <c r="EF35" s="30">
        <f t="shared" si="65"/>
        <v>7239333.7534595458</v>
      </c>
      <c r="EG35" s="30">
        <f t="shared" si="66"/>
        <v>7239333.7534595458</v>
      </c>
      <c r="EH35" s="33">
        <f t="shared" si="33"/>
        <v>180983343.83648863</v>
      </c>
      <c r="EI35" s="30">
        <f t="shared" si="34"/>
        <v>13364406.17181728</v>
      </c>
      <c r="EJ35" s="30">
        <f t="shared" si="35"/>
        <v>8609185.3860708158</v>
      </c>
      <c r="EK35" s="33">
        <f t="shared" si="36"/>
        <v>21973591.557888098</v>
      </c>
    </row>
    <row r="36" spans="3:141" x14ac:dyDescent="0.25">
      <c r="C36" s="38">
        <v>54239</v>
      </c>
      <c r="D36" s="43">
        <f t="shared" si="72"/>
        <v>0</v>
      </c>
      <c r="E36" s="30">
        <f t="shared" si="72"/>
        <v>14032626.480408145</v>
      </c>
      <c r="F36" s="30">
        <f t="shared" si="72"/>
        <v>701631.32402040809</v>
      </c>
      <c r="G36" s="33">
        <f t="shared" si="72"/>
        <v>14734257.804428553</v>
      </c>
      <c r="H36" s="43">
        <f t="shared" si="72"/>
        <v>0</v>
      </c>
      <c r="I36" s="30">
        <f t="shared" si="72"/>
        <v>7624422.3746674936</v>
      </c>
      <c r="J36" s="30">
        <f t="shared" si="72"/>
        <v>12615980.998546295</v>
      </c>
      <c r="K36" s="33">
        <f t="shared" si="72"/>
        <v>20240403.37321379</v>
      </c>
      <c r="S36">
        <v>25.580555555555556</v>
      </c>
      <c r="T36">
        <v>1</v>
      </c>
      <c r="U36">
        <v>27</v>
      </c>
      <c r="V36" s="38">
        <v>54239</v>
      </c>
      <c r="W36" s="43">
        <f t="shared" si="38"/>
        <v>20637435.095100001</v>
      </c>
      <c r="X36" s="30">
        <f>IFERROR(VLOOKUP(V36,Inputs!$A$13:$B$23,2,0),0)*$X$5</f>
        <v>0</v>
      </c>
      <c r="Y36" s="30">
        <v>0</v>
      </c>
      <c r="Z36" s="30">
        <v>0</v>
      </c>
      <c r="AA36" s="30">
        <f t="shared" si="39"/>
        <v>0</v>
      </c>
      <c r="AB36" s="33">
        <f t="shared" si="3"/>
        <v>20637435.095100001</v>
      </c>
      <c r="AC36" s="43">
        <f t="shared" si="40"/>
        <v>0</v>
      </c>
      <c r="AD36" s="30">
        <f>IFERROR(VLOOKUP(C36,Inputs!$A$13:$B$23,2,0),0)*'PV &amp; WIFIA New'!$AD$5</f>
        <v>0</v>
      </c>
      <c r="AE36" s="30">
        <f t="shared" si="67"/>
        <v>0</v>
      </c>
      <c r="AF36" s="30">
        <f t="shared" si="41"/>
        <v>0</v>
      </c>
      <c r="AG36" s="30">
        <f t="shared" si="42"/>
        <v>0</v>
      </c>
      <c r="AH36" s="33">
        <f t="shared" si="5"/>
        <v>0</v>
      </c>
      <c r="AI36" s="30">
        <f t="shared" si="6"/>
        <v>0</v>
      </c>
      <c r="AJ36" s="30">
        <f t="shared" si="7"/>
        <v>0</v>
      </c>
      <c r="AK36" s="33">
        <f t="shared" si="8"/>
        <v>0</v>
      </c>
      <c r="AM36" s="3"/>
      <c r="AS36">
        <v>24.997222222222224</v>
      </c>
      <c r="AT36">
        <v>1</v>
      </c>
      <c r="AU36">
        <v>27</v>
      </c>
      <c r="AV36" s="38">
        <v>54239</v>
      </c>
      <c r="AW36" s="43">
        <f t="shared" si="43"/>
        <v>3.7252902984619141E-9</v>
      </c>
      <c r="AX36" s="30">
        <v>0</v>
      </c>
      <c r="AY36" s="30">
        <f t="shared" si="9"/>
        <v>0</v>
      </c>
      <c r="AZ36" s="30">
        <f t="shared" si="44"/>
        <v>1.8626451492309571E-10</v>
      </c>
      <c r="BA36" s="30">
        <f t="shared" si="45"/>
        <v>1.8626451492309571E-10</v>
      </c>
      <c r="BB36" s="33">
        <f t="shared" si="10"/>
        <v>3.7252902984619141E-9</v>
      </c>
      <c r="BC36" s="43">
        <f t="shared" si="46"/>
        <v>13173683.087282671</v>
      </c>
      <c r="BD36" s="30">
        <v>0</v>
      </c>
      <c r="BE36" s="30">
        <f t="shared" si="68"/>
        <v>902185.84416616126</v>
      </c>
      <c r="BF36" s="30">
        <f t="shared" si="47"/>
        <v>526947.32349130686</v>
      </c>
      <c r="BG36" s="30">
        <f t="shared" si="48"/>
        <v>1429133.167657468</v>
      </c>
      <c r="BH36" s="33">
        <f t="shared" si="12"/>
        <v>12271497.243116509</v>
      </c>
      <c r="BI36" s="30">
        <f t="shared" si="13"/>
        <v>902185.84416616126</v>
      </c>
      <c r="BJ36" s="30">
        <f t="shared" si="14"/>
        <v>526947.32349130709</v>
      </c>
      <c r="BK36" s="33">
        <f t="shared" si="15"/>
        <v>1429133.1676574682</v>
      </c>
      <c r="BM36" s="3"/>
      <c r="BS36">
        <v>23.997222222222224</v>
      </c>
      <c r="BT36">
        <v>1</v>
      </c>
      <c r="BU36">
        <v>27</v>
      </c>
      <c r="BV36" s="38">
        <v>54239</v>
      </c>
      <c r="BW36" s="43">
        <f t="shared" si="49"/>
        <v>1.4435499906539917E-8</v>
      </c>
      <c r="BX36" s="30">
        <v>0</v>
      </c>
      <c r="BY36" s="30">
        <f t="shared" si="16"/>
        <v>0</v>
      </c>
      <c r="BZ36" s="30">
        <f t="shared" si="50"/>
        <v>7.2177499532699587E-10</v>
      </c>
      <c r="CA36" s="30">
        <f t="shared" si="51"/>
        <v>7.2177499532699587E-10</v>
      </c>
      <c r="CB36" s="33">
        <f t="shared" si="17"/>
        <v>1.4435499906539917E-8</v>
      </c>
      <c r="CC36" s="43">
        <f t="shared" si="52"/>
        <v>42869683.928039081</v>
      </c>
      <c r="CD36" s="30">
        <v>0</v>
      </c>
      <c r="CE36" s="30">
        <f t="shared" si="69"/>
        <v>2660560.0027436572</v>
      </c>
      <c r="CF36" s="30">
        <f t="shared" si="53"/>
        <v>1714787.3571215633</v>
      </c>
      <c r="CG36" s="30">
        <f t="shared" si="54"/>
        <v>4375347.3598652203</v>
      </c>
      <c r="CH36" s="33">
        <f t="shared" si="19"/>
        <v>40209123.925295427</v>
      </c>
      <c r="CI36" s="30">
        <f t="shared" si="20"/>
        <v>2660560.0027436572</v>
      </c>
      <c r="CJ36" s="30">
        <f t="shared" si="21"/>
        <v>1714787.357121564</v>
      </c>
      <c r="CK36" s="33">
        <f t="shared" si="22"/>
        <v>4375347.3598652212</v>
      </c>
      <c r="CM36" s="3"/>
      <c r="CS36">
        <v>22.997222222222224</v>
      </c>
      <c r="CT36">
        <v>1</v>
      </c>
      <c r="CU36">
        <v>27</v>
      </c>
      <c r="CV36" s="38">
        <v>54239</v>
      </c>
      <c r="CW36" s="43">
        <f t="shared" si="55"/>
        <v>1.0244548320770264E-8</v>
      </c>
      <c r="CX36" s="30">
        <v>0</v>
      </c>
      <c r="CY36" s="30">
        <f t="shared" si="23"/>
        <v>0</v>
      </c>
      <c r="CZ36" s="30">
        <f t="shared" si="56"/>
        <v>5.1222741603851322E-10</v>
      </c>
      <c r="DA36" s="30">
        <f t="shared" si="57"/>
        <v>5.1222741603851322E-10</v>
      </c>
      <c r="DB36" s="33">
        <f t="shared" si="24"/>
        <v>1.0244548320770264E-8</v>
      </c>
      <c r="DC36" s="43">
        <f t="shared" si="58"/>
        <v>78372814.111846983</v>
      </c>
      <c r="DD36" s="30">
        <v>0</v>
      </c>
      <c r="DE36" s="30">
        <f t="shared" si="70"/>
        <v>4061676.5277576749</v>
      </c>
      <c r="DF36" s="30">
        <f t="shared" si="59"/>
        <v>3134912.5644738795</v>
      </c>
      <c r="DG36" s="30">
        <f t="shared" si="60"/>
        <v>7196589.0922315549</v>
      </c>
      <c r="DH36" s="33">
        <f t="shared" si="26"/>
        <v>74311137.584089309</v>
      </c>
      <c r="DI36" s="30">
        <f t="shared" si="27"/>
        <v>4061676.5277576749</v>
      </c>
      <c r="DJ36" s="30">
        <f t="shared" si="28"/>
        <v>3134912.56447388</v>
      </c>
      <c r="DK36" s="33">
        <f t="shared" si="29"/>
        <v>7196589.0922315558</v>
      </c>
      <c r="DM36" s="3"/>
      <c r="DS36">
        <v>20.997222222222224</v>
      </c>
      <c r="DT36">
        <v>1</v>
      </c>
      <c r="DU36">
        <v>27</v>
      </c>
      <c r="DV36" s="38">
        <v>54239</v>
      </c>
      <c r="DW36" s="43">
        <f t="shared" si="61"/>
        <v>14032626.480408132</v>
      </c>
      <c r="DX36" s="30">
        <v>0</v>
      </c>
      <c r="DY36" s="30">
        <f t="shared" si="30"/>
        <v>14032626.480408145</v>
      </c>
      <c r="DZ36" s="30">
        <f t="shared" si="62"/>
        <v>701631.3240204067</v>
      </c>
      <c r="EA36" s="30">
        <f t="shared" si="63"/>
        <v>14734257.804428551</v>
      </c>
      <c r="EB36" s="33">
        <f t="shared" si="31"/>
        <v>0</v>
      </c>
      <c r="EC36" s="43">
        <f t="shared" si="64"/>
        <v>180983343.83648863</v>
      </c>
      <c r="ED36" s="30">
        <v>0</v>
      </c>
      <c r="EE36" s="30">
        <f t="shared" si="71"/>
        <v>0</v>
      </c>
      <c r="EF36" s="30">
        <f t="shared" si="65"/>
        <v>7239333.7534595458</v>
      </c>
      <c r="EG36" s="30">
        <f t="shared" si="66"/>
        <v>7239333.7534595458</v>
      </c>
      <c r="EH36" s="33">
        <f t="shared" si="33"/>
        <v>180983343.83648863</v>
      </c>
      <c r="EI36" s="30">
        <f t="shared" si="34"/>
        <v>14032626.480408145</v>
      </c>
      <c r="EJ36" s="30">
        <f t="shared" si="35"/>
        <v>7940965.0774799529</v>
      </c>
      <c r="EK36" s="33">
        <f t="shared" si="36"/>
        <v>21973591.557888098</v>
      </c>
    </row>
    <row r="37" spans="3:141" x14ac:dyDescent="0.25">
      <c r="C37" s="38">
        <v>54604</v>
      </c>
      <c r="D37" s="43">
        <f t="shared" si="72"/>
        <v>0</v>
      </c>
      <c r="E37" s="30">
        <f t="shared" si="72"/>
        <v>0</v>
      </c>
      <c r="F37" s="30">
        <f t="shared" si="72"/>
        <v>1.4202669262886049E-9</v>
      </c>
      <c r="G37" s="33">
        <f t="shared" si="72"/>
        <v>1.4202669262886049E-9</v>
      </c>
      <c r="H37" s="43">
        <f t="shared" si="72"/>
        <v>0</v>
      </c>
      <c r="I37" s="30">
        <f t="shared" si="72"/>
        <v>17270751.506203469</v>
      </c>
      <c r="J37" s="30">
        <f t="shared" si="72"/>
        <v>12311004.103559595</v>
      </c>
      <c r="K37" s="33">
        <f t="shared" si="72"/>
        <v>29581755.609763063</v>
      </c>
      <c r="S37">
        <v>26.580555555555556</v>
      </c>
      <c r="T37">
        <v>1</v>
      </c>
      <c r="U37">
        <v>28</v>
      </c>
      <c r="V37" s="38">
        <v>54604</v>
      </c>
      <c r="W37" s="43">
        <f t="shared" si="38"/>
        <v>20637435.095100001</v>
      </c>
      <c r="X37" s="30">
        <f>IFERROR(VLOOKUP(V37,Inputs!$A$13:$B$23,2,0),0)*$X$5</f>
        <v>0</v>
      </c>
      <c r="Y37" s="30">
        <v>0</v>
      </c>
      <c r="Z37" s="30">
        <v>0</v>
      </c>
      <c r="AA37" s="30">
        <f t="shared" si="39"/>
        <v>0</v>
      </c>
      <c r="AB37" s="33">
        <f t="shared" si="3"/>
        <v>20637435.095100001</v>
      </c>
      <c r="AC37" s="43">
        <f t="shared" si="40"/>
        <v>0</v>
      </c>
      <c r="AD37" s="30">
        <f>IFERROR(VLOOKUP(C37,Inputs!$A$13:$B$23,2,0),0)*'PV &amp; WIFIA New'!$AD$5</f>
        <v>0</v>
      </c>
      <c r="AE37" s="30">
        <f t="shared" si="67"/>
        <v>0</v>
      </c>
      <c r="AF37" s="30">
        <f t="shared" si="41"/>
        <v>0</v>
      </c>
      <c r="AG37" s="30">
        <f t="shared" si="42"/>
        <v>0</v>
      </c>
      <c r="AH37" s="33">
        <f t="shared" si="5"/>
        <v>0</v>
      </c>
      <c r="AI37" s="30">
        <f t="shared" si="6"/>
        <v>0</v>
      </c>
      <c r="AJ37" s="30">
        <f t="shared" si="7"/>
        <v>0</v>
      </c>
      <c r="AK37" s="33">
        <f t="shared" si="8"/>
        <v>0</v>
      </c>
      <c r="AM37" s="3"/>
      <c r="AS37">
        <v>25.997222222222224</v>
      </c>
      <c r="AT37">
        <v>1</v>
      </c>
      <c r="AU37">
        <v>28</v>
      </c>
      <c r="AV37" s="38">
        <v>54604</v>
      </c>
      <c r="AW37" s="43">
        <f t="shared" si="43"/>
        <v>3.7252902984619141E-9</v>
      </c>
      <c r="AX37" s="30">
        <v>0</v>
      </c>
      <c r="AY37" s="30">
        <f t="shared" si="9"/>
        <v>0</v>
      </c>
      <c r="AZ37" s="30">
        <f t="shared" si="44"/>
        <v>1.8626451492309571E-10</v>
      </c>
      <c r="BA37" s="30">
        <f t="shared" si="45"/>
        <v>1.8626451492309571E-10</v>
      </c>
      <c r="BB37" s="33">
        <f t="shared" si="10"/>
        <v>3.7252902984619141E-9</v>
      </c>
      <c r="BC37" s="43">
        <f t="shared" si="46"/>
        <v>12271497.243116509</v>
      </c>
      <c r="BD37" s="30">
        <v>0</v>
      </c>
      <c r="BE37" s="30">
        <f t="shared" si="68"/>
        <v>933762.34871197701</v>
      </c>
      <c r="BF37" s="30">
        <f t="shared" si="47"/>
        <v>490859.88972466037</v>
      </c>
      <c r="BG37" s="30">
        <f t="shared" si="48"/>
        <v>1424622.2384366374</v>
      </c>
      <c r="BH37" s="33">
        <f t="shared" si="12"/>
        <v>11337734.894404532</v>
      </c>
      <c r="BI37" s="30">
        <f t="shared" si="13"/>
        <v>933762.34871197701</v>
      </c>
      <c r="BJ37" s="30">
        <f t="shared" si="14"/>
        <v>490859.88972466055</v>
      </c>
      <c r="BK37" s="33">
        <f t="shared" si="15"/>
        <v>1424622.2384366377</v>
      </c>
      <c r="BM37" s="3"/>
      <c r="BS37">
        <v>24.997222222222224</v>
      </c>
      <c r="BT37">
        <v>1</v>
      </c>
      <c r="BU37">
        <v>28</v>
      </c>
      <c r="BV37" s="38">
        <v>54604</v>
      </c>
      <c r="BW37" s="43">
        <f t="shared" si="49"/>
        <v>1.4435499906539917E-8</v>
      </c>
      <c r="BX37" s="30">
        <v>0</v>
      </c>
      <c r="BY37" s="30">
        <f t="shared" si="16"/>
        <v>0</v>
      </c>
      <c r="BZ37" s="30">
        <f t="shared" si="50"/>
        <v>7.2177499532699587E-10</v>
      </c>
      <c r="CA37" s="30">
        <f t="shared" si="51"/>
        <v>7.2177499532699587E-10</v>
      </c>
      <c r="CB37" s="33">
        <f t="shared" si="17"/>
        <v>1.4435499906539917E-8</v>
      </c>
      <c r="CC37" s="43">
        <f t="shared" si="52"/>
        <v>40209123.925295427</v>
      </c>
      <c r="CD37" s="30">
        <v>0</v>
      </c>
      <c r="CE37" s="30">
        <f t="shared" si="69"/>
        <v>2753679.602839685</v>
      </c>
      <c r="CF37" s="30">
        <f t="shared" si="53"/>
        <v>1608364.957011817</v>
      </c>
      <c r="CG37" s="30">
        <f t="shared" si="54"/>
        <v>4362044.5598515021</v>
      </c>
      <c r="CH37" s="33">
        <f t="shared" si="19"/>
        <v>37455444.322455741</v>
      </c>
      <c r="CI37" s="30">
        <f t="shared" si="20"/>
        <v>2753679.602839685</v>
      </c>
      <c r="CJ37" s="30">
        <f t="shared" si="21"/>
        <v>1608364.9570118177</v>
      </c>
      <c r="CK37" s="33">
        <f t="shared" si="22"/>
        <v>4362044.559851503</v>
      </c>
      <c r="CM37" s="3"/>
      <c r="CS37">
        <v>23.997222222222224</v>
      </c>
      <c r="CT37">
        <v>1</v>
      </c>
      <c r="CU37">
        <v>28</v>
      </c>
      <c r="CV37" s="38">
        <v>54604</v>
      </c>
      <c r="CW37" s="43">
        <f t="shared" si="55"/>
        <v>1.0244548320770264E-8</v>
      </c>
      <c r="CX37" s="30">
        <v>0</v>
      </c>
      <c r="CY37" s="30">
        <f t="shared" si="23"/>
        <v>0</v>
      </c>
      <c r="CZ37" s="30">
        <f t="shared" si="56"/>
        <v>5.1222741603851322E-10</v>
      </c>
      <c r="DA37" s="30">
        <f t="shared" si="57"/>
        <v>5.1222741603851322E-10</v>
      </c>
      <c r="DB37" s="33">
        <f t="shared" si="24"/>
        <v>1.0244548320770264E-8</v>
      </c>
      <c r="DC37" s="43">
        <f t="shared" si="58"/>
        <v>74311137.584089309</v>
      </c>
      <c r="DD37" s="30">
        <v>0</v>
      </c>
      <c r="DE37" s="30">
        <f t="shared" si="70"/>
        <v>4203835.2062291931</v>
      </c>
      <c r="DF37" s="30">
        <f t="shared" si="59"/>
        <v>2972445.5033635725</v>
      </c>
      <c r="DG37" s="30">
        <f t="shared" si="60"/>
        <v>7176280.7095927652</v>
      </c>
      <c r="DH37" s="33">
        <f t="shared" si="26"/>
        <v>70107302.377860114</v>
      </c>
      <c r="DI37" s="30">
        <f t="shared" si="27"/>
        <v>4203835.2062291931</v>
      </c>
      <c r="DJ37" s="30">
        <f t="shared" si="28"/>
        <v>2972445.503363573</v>
      </c>
      <c r="DK37" s="33">
        <f t="shared" si="29"/>
        <v>7176280.7095927661</v>
      </c>
      <c r="DM37" s="3"/>
      <c r="DS37">
        <v>21.997222222222224</v>
      </c>
      <c r="DT37">
        <v>1</v>
      </c>
      <c r="DU37">
        <v>28</v>
      </c>
      <c r="DV37" s="38">
        <v>54604</v>
      </c>
      <c r="DW37" s="43">
        <f t="shared" si="61"/>
        <v>0</v>
      </c>
      <c r="DX37" s="30">
        <v>0</v>
      </c>
      <c r="DY37" s="30">
        <f t="shared" si="30"/>
        <v>0</v>
      </c>
      <c r="DZ37" s="30">
        <f t="shared" si="62"/>
        <v>0</v>
      </c>
      <c r="EA37" s="30">
        <f t="shared" si="63"/>
        <v>0</v>
      </c>
      <c r="EB37" s="33">
        <f t="shared" si="31"/>
        <v>0</v>
      </c>
      <c r="EC37" s="43">
        <f t="shared" si="64"/>
        <v>180983343.83648863</v>
      </c>
      <c r="ED37" s="30">
        <v>0</v>
      </c>
      <c r="EE37" s="30">
        <f t="shared" si="71"/>
        <v>9379474.348422613</v>
      </c>
      <c r="EF37" s="30">
        <f t="shared" si="65"/>
        <v>7239333.7534595458</v>
      </c>
      <c r="EG37" s="30">
        <f t="shared" si="66"/>
        <v>16618808.10188216</v>
      </c>
      <c r="EH37" s="33">
        <f t="shared" si="33"/>
        <v>171603869.48806602</v>
      </c>
      <c r="EI37" s="30">
        <f t="shared" si="34"/>
        <v>9379474.348422613</v>
      </c>
      <c r="EJ37" s="30">
        <f t="shared" si="35"/>
        <v>7239333.7534595458</v>
      </c>
      <c r="EK37" s="33">
        <f t="shared" si="36"/>
        <v>16618808.10188216</v>
      </c>
    </row>
    <row r="38" spans="3:141" x14ac:dyDescent="0.25">
      <c r="C38" s="38">
        <v>54969</v>
      </c>
      <c r="D38" s="43">
        <f t="shared" si="72"/>
        <v>0</v>
      </c>
      <c r="E38" s="30">
        <f t="shared" si="72"/>
        <v>0</v>
      </c>
      <c r="F38" s="30">
        <f t="shared" si="72"/>
        <v>1.4202669262886049E-9</v>
      </c>
      <c r="G38" s="33">
        <f t="shared" si="72"/>
        <v>1.4202669262886049E-9</v>
      </c>
      <c r="H38" s="43">
        <f t="shared" si="72"/>
        <v>0</v>
      </c>
      <c r="I38" s="30">
        <f t="shared" si="72"/>
        <v>17875227.808920592</v>
      </c>
      <c r="J38" s="30">
        <f t="shared" si="72"/>
        <v>11620174.043311456</v>
      </c>
      <c r="K38" s="33">
        <f t="shared" si="72"/>
        <v>29495401.852232046</v>
      </c>
      <c r="S38">
        <v>27.580555555555556</v>
      </c>
      <c r="T38">
        <v>1</v>
      </c>
      <c r="U38">
        <v>29</v>
      </c>
      <c r="V38" s="38">
        <v>54969</v>
      </c>
      <c r="W38" s="43">
        <f t="shared" si="38"/>
        <v>20637435.095100001</v>
      </c>
      <c r="X38" s="30">
        <f>IFERROR(VLOOKUP(V38,Inputs!$A$13:$B$23,2,0),0)*$X$5</f>
        <v>0</v>
      </c>
      <c r="Y38" s="30">
        <v>0</v>
      </c>
      <c r="Z38" s="30">
        <v>0</v>
      </c>
      <c r="AA38" s="30">
        <f t="shared" si="39"/>
        <v>0</v>
      </c>
      <c r="AB38" s="33">
        <f t="shared" si="3"/>
        <v>20637435.095100001</v>
      </c>
      <c r="AC38" s="43">
        <f t="shared" si="40"/>
        <v>0</v>
      </c>
      <c r="AD38" s="30">
        <f>IFERROR(VLOOKUP(C38,Inputs!$A$13:$B$23,2,0),0)*'PV &amp; WIFIA New'!$AD$5</f>
        <v>0</v>
      </c>
      <c r="AE38" s="30">
        <f t="shared" si="67"/>
        <v>0</v>
      </c>
      <c r="AF38" s="30">
        <f t="shared" si="41"/>
        <v>0</v>
      </c>
      <c r="AG38" s="30">
        <f t="shared" si="42"/>
        <v>0</v>
      </c>
      <c r="AH38" s="33">
        <f t="shared" si="5"/>
        <v>0</v>
      </c>
      <c r="AI38" s="30">
        <f t="shared" si="6"/>
        <v>0</v>
      </c>
      <c r="AJ38" s="30">
        <f t="shared" si="7"/>
        <v>0</v>
      </c>
      <c r="AK38" s="33">
        <f t="shared" si="8"/>
        <v>0</v>
      </c>
      <c r="AM38" s="3"/>
      <c r="AS38">
        <v>26.997222222222224</v>
      </c>
      <c r="AT38">
        <v>1</v>
      </c>
      <c r="AU38">
        <v>29</v>
      </c>
      <c r="AV38" s="38">
        <v>54969</v>
      </c>
      <c r="AW38" s="43">
        <f t="shared" si="43"/>
        <v>3.7252902984619141E-9</v>
      </c>
      <c r="AX38" s="30">
        <v>0</v>
      </c>
      <c r="AY38" s="30">
        <f t="shared" si="9"/>
        <v>0</v>
      </c>
      <c r="AZ38" s="30">
        <f t="shared" si="44"/>
        <v>1.8626451492309571E-10</v>
      </c>
      <c r="BA38" s="30">
        <f t="shared" si="45"/>
        <v>1.8626451492309571E-10</v>
      </c>
      <c r="BB38" s="33">
        <f t="shared" si="10"/>
        <v>3.7252902984619141E-9</v>
      </c>
      <c r="BC38" s="43">
        <f t="shared" si="46"/>
        <v>11337734.894404532</v>
      </c>
      <c r="BD38" s="30">
        <v>0</v>
      </c>
      <c r="BE38" s="30">
        <f t="shared" si="68"/>
        <v>966444.03091689618</v>
      </c>
      <c r="BF38" s="30">
        <f t="shared" si="47"/>
        <v>453509.39577618131</v>
      </c>
      <c r="BG38" s="30">
        <f t="shared" si="48"/>
        <v>1419953.4266930774</v>
      </c>
      <c r="BH38" s="33">
        <f t="shared" si="12"/>
        <v>10371290.863487637</v>
      </c>
      <c r="BI38" s="30">
        <f t="shared" si="13"/>
        <v>966444.03091689618</v>
      </c>
      <c r="BJ38" s="30">
        <f t="shared" si="14"/>
        <v>453509.39577618148</v>
      </c>
      <c r="BK38" s="33">
        <f t="shared" si="15"/>
        <v>1419953.4266930777</v>
      </c>
      <c r="BM38" s="3"/>
      <c r="BS38">
        <v>25.997222222222224</v>
      </c>
      <c r="BT38">
        <v>1</v>
      </c>
      <c r="BU38">
        <v>29</v>
      </c>
      <c r="BV38" s="38">
        <v>54969</v>
      </c>
      <c r="BW38" s="43">
        <f t="shared" si="49"/>
        <v>1.4435499906539917E-8</v>
      </c>
      <c r="BX38" s="30">
        <v>0</v>
      </c>
      <c r="BY38" s="30">
        <f t="shared" si="16"/>
        <v>0</v>
      </c>
      <c r="BZ38" s="30">
        <f t="shared" si="50"/>
        <v>7.2177499532699587E-10</v>
      </c>
      <c r="CA38" s="30">
        <f t="shared" si="51"/>
        <v>7.2177499532699587E-10</v>
      </c>
      <c r="CB38" s="33">
        <f t="shared" si="17"/>
        <v>1.4435499906539917E-8</v>
      </c>
      <c r="CC38" s="43">
        <f t="shared" si="52"/>
        <v>37455444.322455741</v>
      </c>
      <c r="CD38" s="30">
        <v>0</v>
      </c>
      <c r="CE38" s="30">
        <f t="shared" si="69"/>
        <v>2850058.3889390742</v>
      </c>
      <c r="CF38" s="30">
        <f t="shared" si="53"/>
        <v>1498217.7728982298</v>
      </c>
      <c r="CG38" s="30">
        <f t="shared" si="54"/>
        <v>4348276.161837304</v>
      </c>
      <c r="CH38" s="33">
        <f t="shared" si="19"/>
        <v>34605385.933516666</v>
      </c>
      <c r="CI38" s="30">
        <f t="shared" si="20"/>
        <v>2850058.3889390742</v>
      </c>
      <c r="CJ38" s="30">
        <f t="shared" si="21"/>
        <v>1498217.7728982305</v>
      </c>
      <c r="CK38" s="33">
        <f t="shared" si="22"/>
        <v>4348276.1618373049</v>
      </c>
      <c r="CM38" s="3"/>
      <c r="CS38">
        <v>24.997222222222224</v>
      </c>
      <c r="CT38">
        <v>1</v>
      </c>
      <c r="CU38">
        <v>29</v>
      </c>
      <c r="CV38" s="38">
        <v>54969</v>
      </c>
      <c r="CW38" s="43">
        <f t="shared" si="55"/>
        <v>1.0244548320770264E-8</v>
      </c>
      <c r="CX38" s="30">
        <v>0</v>
      </c>
      <c r="CY38" s="30">
        <f t="shared" si="23"/>
        <v>0</v>
      </c>
      <c r="CZ38" s="30">
        <f t="shared" si="56"/>
        <v>5.1222741603851322E-10</v>
      </c>
      <c r="DA38" s="30">
        <f t="shared" si="57"/>
        <v>5.1222741603851322E-10</v>
      </c>
      <c r="DB38" s="33">
        <f t="shared" si="24"/>
        <v>1.0244548320770264E-8</v>
      </c>
      <c r="DC38" s="43">
        <f t="shared" si="58"/>
        <v>70107302.377860114</v>
      </c>
      <c r="DD38" s="30">
        <v>0</v>
      </c>
      <c r="DE38" s="30">
        <f t="shared" si="70"/>
        <v>4350969.4384472156</v>
      </c>
      <c r="DF38" s="30">
        <f t="shared" si="59"/>
        <v>2804292.0951144048</v>
      </c>
      <c r="DG38" s="30">
        <f t="shared" si="60"/>
        <v>7155261.5335616209</v>
      </c>
      <c r="DH38" s="33">
        <f t="shared" si="26"/>
        <v>65756332.939412899</v>
      </c>
      <c r="DI38" s="30">
        <f t="shared" si="27"/>
        <v>4350969.4384472156</v>
      </c>
      <c r="DJ38" s="30">
        <f t="shared" si="28"/>
        <v>2804292.0951144053</v>
      </c>
      <c r="DK38" s="33">
        <f t="shared" si="29"/>
        <v>7155261.5335616218</v>
      </c>
      <c r="DM38" s="3"/>
      <c r="DS38">
        <v>22.997222222222224</v>
      </c>
      <c r="DT38">
        <v>1</v>
      </c>
      <c r="DU38">
        <v>29</v>
      </c>
      <c r="DV38" s="38">
        <v>54969</v>
      </c>
      <c r="DW38" s="43">
        <f t="shared" si="61"/>
        <v>0</v>
      </c>
      <c r="DX38" s="30">
        <v>0</v>
      </c>
      <c r="DY38" s="30">
        <f t="shared" si="30"/>
        <v>0</v>
      </c>
      <c r="DZ38" s="30">
        <f t="shared" si="62"/>
        <v>0</v>
      </c>
      <c r="EA38" s="30">
        <f t="shared" si="63"/>
        <v>0</v>
      </c>
      <c r="EB38" s="33">
        <f t="shared" si="31"/>
        <v>0</v>
      </c>
      <c r="EC38" s="43">
        <f t="shared" si="64"/>
        <v>171603869.48806602</v>
      </c>
      <c r="ED38" s="30">
        <v>0</v>
      </c>
      <c r="EE38" s="30">
        <f t="shared" si="71"/>
        <v>9707755.9506174065</v>
      </c>
      <c r="EF38" s="30">
        <f t="shared" si="65"/>
        <v>6864154.7795226406</v>
      </c>
      <c r="EG38" s="30">
        <f t="shared" si="66"/>
        <v>16571910.730140047</v>
      </c>
      <c r="EH38" s="33">
        <f t="shared" si="33"/>
        <v>161896113.53744861</v>
      </c>
      <c r="EI38" s="30">
        <f t="shared" si="34"/>
        <v>9707755.9506174065</v>
      </c>
      <c r="EJ38" s="30">
        <f t="shared" si="35"/>
        <v>6864154.7795226406</v>
      </c>
      <c r="EK38" s="33">
        <f t="shared" si="36"/>
        <v>16571910.730140047</v>
      </c>
    </row>
    <row r="39" spans="3:141" x14ac:dyDescent="0.25">
      <c r="C39" s="38">
        <v>55334</v>
      </c>
      <c r="D39" s="43">
        <f t="shared" si="72"/>
        <v>0</v>
      </c>
      <c r="E39" s="30">
        <f t="shared" si="72"/>
        <v>0</v>
      </c>
      <c r="F39" s="30">
        <f t="shared" si="72"/>
        <v>1.4202669262886049E-9</v>
      </c>
      <c r="G39" s="33">
        <f t="shared" si="72"/>
        <v>1.4202669262886049E-9</v>
      </c>
      <c r="H39" s="43">
        <f t="shared" si="72"/>
        <v>0</v>
      </c>
      <c r="I39" s="30">
        <f t="shared" si="72"/>
        <v>18500860.78223281</v>
      </c>
      <c r="J39" s="30">
        <f t="shared" si="72"/>
        <v>10905164.930954633</v>
      </c>
      <c r="K39" s="33">
        <f t="shared" si="72"/>
        <v>29406025.713187445</v>
      </c>
      <c r="S39">
        <v>28.580555555555556</v>
      </c>
      <c r="T39">
        <v>1</v>
      </c>
      <c r="U39">
        <v>30</v>
      </c>
      <c r="V39" s="38">
        <v>55334</v>
      </c>
      <c r="W39" s="43">
        <f t="shared" si="38"/>
        <v>20637435.095100001</v>
      </c>
      <c r="X39" s="30">
        <f>IFERROR(VLOOKUP(V39,Inputs!$A$13:$B$23,2,0),0)*$X$5</f>
        <v>0</v>
      </c>
      <c r="Y39" s="30">
        <v>0</v>
      </c>
      <c r="Z39" s="30">
        <v>0</v>
      </c>
      <c r="AA39" s="30">
        <f t="shared" si="39"/>
        <v>0</v>
      </c>
      <c r="AB39" s="33">
        <f t="shared" si="3"/>
        <v>20637435.095100001</v>
      </c>
      <c r="AC39" s="43">
        <f t="shared" si="40"/>
        <v>0</v>
      </c>
      <c r="AD39" s="30">
        <f>IFERROR(VLOOKUP(C39,Inputs!$A$13:$B$23,2,0),0)*'PV &amp; WIFIA New'!$AD$5</f>
        <v>0</v>
      </c>
      <c r="AE39" s="30">
        <f t="shared" si="67"/>
        <v>0</v>
      </c>
      <c r="AF39" s="30">
        <f t="shared" si="41"/>
        <v>0</v>
      </c>
      <c r="AG39" s="30">
        <f t="shared" si="42"/>
        <v>0</v>
      </c>
      <c r="AH39" s="33">
        <f t="shared" si="5"/>
        <v>0</v>
      </c>
      <c r="AI39" s="30">
        <f t="shared" si="6"/>
        <v>0</v>
      </c>
      <c r="AJ39" s="30">
        <f t="shared" si="7"/>
        <v>0</v>
      </c>
      <c r="AK39" s="33">
        <f t="shared" si="8"/>
        <v>0</v>
      </c>
      <c r="AM39" s="3"/>
      <c r="AS39">
        <v>27.997222222222224</v>
      </c>
      <c r="AT39">
        <v>1</v>
      </c>
      <c r="AU39">
        <v>30</v>
      </c>
      <c r="AV39" s="38">
        <v>55334</v>
      </c>
      <c r="AW39" s="43">
        <f t="shared" si="43"/>
        <v>3.7252902984619141E-9</v>
      </c>
      <c r="AX39" s="30">
        <v>0</v>
      </c>
      <c r="AY39" s="30">
        <f t="shared" si="9"/>
        <v>0</v>
      </c>
      <c r="AZ39" s="30">
        <f t="shared" si="44"/>
        <v>1.8626451492309571E-10</v>
      </c>
      <c r="BA39" s="30">
        <f t="shared" si="45"/>
        <v>1.8626451492309571E-10</v>
      </c>
      <c r="BB39" s="33">
        <f t="shared" si="10"/>
        <v>3.7252902984619141E-9</v>
      </c>
      <c r="BC39" s="43">
        <f t="shared" si="46"/>
        <v>10371290.863487637</v>
      </c>
      <c r="BD39" s="30">
        <v>0</v>
      </c>
      <c r="BE39" s="30">
        <f t="shared" si="68"/>
        <v>1000269.5719989876</v>
      </c>
      <c r="BF39" s="30">
        <f t="shared" si="47"/>
        <v>414851.63453950547</v>
      </c>
      <c r="BG39" s="30">
        <f t="shared" si="48"/>
        <v>1415121.206538493</v>
      </c>
      <c r="BH39" s="33">
        <f t="shared" si="12"/>
        <v>9371021.2914886493</v>
      </c>
      <c r="BI39" s="30">
        <f t="shared" si="13"/>
        <v>1000269.5719989876</v>
      </c>
      <c r="BJ39" s="30">
        <f t="shared" si="14"/>
        <v>414851.63453950564</v>
      </c>
      <c r="BK39" s="33">
        <f t="shared" si="15"/>
        <v>1415121.2065384933</v>
      </c>
      <c r="BM39" s="3"/>
      <c r="BS39">
        <v>26.997222222222224</v>
      </c>
      <c r="BT39">
        <v>1</v>
      </c>
      <c r="BU39">
        <v>30</v>
      </c>
      <c r="BV39" s="38">
        <v>55334</v>
      </c>
      <c r="BW39" s="43">
        <f t="shared" si="49"/>
        <v>1.4435499906539917E-8</v>
      </c>
      <c r="BX39" s="30">
        <v>0</v>
      </c>
      <c r="BY39" s="30">
        <f t="shared" si="16"/>
        <v>0</v>
      </c>
      <c r="BZ39" s="30">
        <f t="shared" si="50"/>
        <v>7.2177499532699587E-10</v>
      </c>
      <c r="CA39" s="30">
        <f t="shared" si="51"/>
        <v>7.2177499532699587E-10</v>
      </c>
      <c r="CB39" s="33">
        <f t="shared" si="17"/>
        <v>1.4435499906539917E-8</v>
      </c>
      <c r="CC39" s="43">
        <f t="shared" si="52"/>
        <v>34605385.933516666</v>
      </c>
      <c r="CD39" s="30">
        <v>0</v>
      </c>
      <c r="CE39" s="30">
        <f t="shared" si="69"/>
        <v>2949810.4325519418</v>
      </c>
      <c r="CF39" s="30">
        <f t="shared" si="53"/>
        <v>1384215.4373406668</v>
      </c>
      <c r="CG39" s="30">
        <f t="shared" si="54"/>
        <v>4334025.8698926084</v>
      </c>
      <c r="CH39" s="33">
        <f t="shared" si="19"/>
        <v>31655575.500964724</v>
      </c>
      <c r="CI39" s="30">
        <f t="shared" si="20"/>
        <v>2949810.4325519418</v>
      </c>
      <c r="CJ39" s="30">
        <f t="shared" si="21"/>
        <v>1384215.4373406675</v>
      </c>
      <c r="CK39" s="33">
        <f t="shared" si="22"/>
        <v>4334025.8698926093</v>
      </c>
      <c r="CM39" s="3"/>
      <c r="CS39">
        <v>25.997222222222224</v>
      </c>
      <c r="CT39">
        <v>1</v>
      </c>
      <c r="CU39">
        <v>30</v>
      </c>
      <c r="CV39" s="38">
        <v>55334</v>
      </c>
      <c r="CW39" s="43">
        <f t="shared" si="55"/>
        <v>1.0244548320770264E-8</v>
      </c>
      <c r="CX39" s="30">
        <v>0</v>
      </c>
      <c r="CY39" s="30">
        <f t="shared" si="23"/>
        <v>0</v>
      </c>
      <c r="CZ39" s="30">
        <f t="shared" si="56"/>
        <v>5.1222741603851322E-10</v>
      </c>
      <c r="DA39" s="30">
        <f t="shared" si="57"/>
        <v>5.1222741603851322E-10</v>
      </c>
      <c r="DB39" s="33">
        <f t="shared" si="24"/>
        <v>1.0244548320770264E-8</v>
      </c>
      <c r="DC39" s="43">
        <f t="shared" si="58"/>
        <v>65756332.939412899</v>
      </c>
      <c r="DD39" s="30">
        <v>0</v>
      </c>
      <c r="DE39" s="30">
        <f t="shared" si="70"/>
        <v>4503253.3687928673</v>
      </c>
      <c r="DF39" s="30">
        <f t="shared" si="59"/>
        <v>2630253.317576516</v>
      </c>
      <c r="DG39" s="30">
        <f t="shared" si="60"/>
        <v>7133506.6863693837</v>
      </c>
      <c r="DH39" s="33">
        <f t="shared" si="26"/>
        <v>61253079.57062003</v>
      </c>
      <c r="DI39" s="30">
        <f t="shared" si="27"/>
        <v>4503253.3687928673</v>
      </c>
      <c r="DJ39" s="30">
        <f t="shared" si="28"/>
        <v>2630253.3175765164</v>
      </c>
      <c r="DK39" s="33">
        <f t="shared" si="29"/>
        <v>7133506.6863693846</v>
      </c>
      <c r="DM39" s="3"/>
      <c r="DS39">
        <v>23.997222222222224</v>
      </c>
      <c r="DT39">
        <v>1</v>
      </c>
      <c r="DU39">
        <v>30</v>
      </c>
      <c r="DV39" s="38">
        <v>55334</v>
      </c>
      <c r="DW39" s="43">
        <f t="shared" si="61"/>
        <v>0</v>
      </c>
      <c r="DX39" s="30">
        <v>0</v>
      </c>
      <c r="DY39" s="30">
        <f t="shared" si="30"/>
        <v>0</v>
      </c>
      <c r="DZ39" s="30">
        <f t="shared" si="62"/>
        <v>0</v>
      </c>
      <c r="EA39" s="30">
        <f t="shared" si="63"/>
        <v>0</v>
      </c>
      <c r="EB39" s="33">
        <f t="shared" si="31"/>
        <v>0</v>
      </c>
      <c r="EC39" s="43">
        <f t="shared" si="64"/>
        <v>161896113.53744861</v>
      </c>
      <c r="ED39" s="30">
        <v>0</v>
      </c>
      <c r="EE39" s="30">
        <f t="shared" si="71"/>
        <v>10047527.408889014</v>
      </c>
      <c r="EF39" s="30">
        <f t="shared" si="65"/>
        <v>6475844.5414979449</v>
      </c>
      <c r="EG39" s="30">
        <f t="shared" si="66"/>
        <v>16523371.95038696</v>
      </c>
      <c r="EH39" s="33">
        <f t="shared" si="33"/>
        <v>151848586.12855959</v>
      </c>
      <c r="EI39" s="30">
        <f t="shared" si="34"/>
        <v>10047527.408889014</v>
      </c>
      <c r="EJ39" s="30">
        <f t="shared" si="35"/>
        <v>6475844.5414979449</v>
      </c>
      <c r="EK39" s="33">
        <f t="shared" si="36"/>
        <v>16523371.95038696</v>
      </c>
    </row>
    <row r="40" spans="3:141" x14ac:dyDescent="0.25">
      <c r="C40" s="38">
        <v>55700</v>
      </c>
      <c r="D40" s="43">
        <f t="shared" si="72"/>
        <v>0</v>
      </c>
      <c r="E40" s="30">
        <f t="shared" si="72"/>
        <v>0</v>
      </c>
      <c r="F40" s="30">
        <f t="shared" si="72"/>
        <v>1.4202669262886049E-9</v>
      </c>
      <c r="G40" s="33">
        <f t="shared" si="72"/>
        <v>1.4202669262886049E-9</v>
      </c>
      <c r="H40" s="43">
        <f t="shared" si="72"/>
        <v>0</v>
      </c>
      <c r="I40" s="30">
        <f t="shared" si="72"/>
        <v>19148390.909610961</v>
      </c>
      <c r="J40" s="30">
        <f t="shared" si="72"/>
        <v>10165130.49966532</v>
      </c>
      <c r="K40" s="33">
        <f t="shared" si="72"/>
        <v>29313521.409276284</v>
      </c>
      <c r="S40">
        <v>29.580555555555556</v>
      </c>
      <c r="T40">
        <v>1</v>
      </c>
      <c r="U40">
        <v>31</v>
      </c>
      <c r="V40" s="38">
        <v>55700</v>
      </c>
      <c r="W40" s="43">
        <f t="shared" si="38"/>
        <v>20637435.095100001</v>
      </c>
      <c r="X40" s="30">
        <f>IFERROR(VLOOKUP(V40,Inputs!$A$13:$B$23,2,0),0)*$X$5</f>
        <v>0</v>
      </c>
      <c r="Y40" s="30">
        <v>0</v>
      </c>
      <c r="Z40" s="30">
        <v>0</v>
      </c>
      <c r="AA40" s="30">
        <f t="shared" si="39"/>
        <v>0</v>
      </c>
      <c r="AB40" s="33">
        <f t="shared" si="3"/>
        <v>20637435.095100001</v>
      </c>
      <c r="AC40" s="43">
        <f t="shared" si="40"/>
        <v>0</v>
      </c>
      <c r="AD40" s="30">
        <f>IFERROR(VLOOKUP(C40,Inputs!$A$13:$B$23,2,0),0)*'PV &amp; WIFIA New'!$AD$5</f>
        <v>0</v>
      </c>
      <c r="AE40" s="30">
        <f t="shared" si="67"/>
        <v>0</v>
      </c>
      <c r="AF40" s="30">
        <f t="shared" si="41"/>
        <v>0</v>
      </c>
      <c r="AG40" s="30">
        <f t="shared" si="42"/>
        <v>0</v>
      </c>
      <c r="AH40" s="33">
        <f t="shared" si="5"/>
        <v>0</v>
      </c>
      <c r="AI40" s="30">
        <f t="shared" si="6"/>
        <v>0</v>
      </c>
      <c r="AJ40" s="30">
        <f t="shared" si="7"/>
        <v>0</v>
      </c>
      <c r="AK40" s="33">
        <f t="shared" si="8"/>
        <v>0</v>
      </c>
      <c r="AM40" s="3"/>
      <c r="AS40">
        <v>28.997222222222224</v>
      </c>
      <c r="AT40">
        <v>1</v>
      </c>
      <c r="AU40">
        <v>31</v>
      </c>
      <c r="AV40" s="38">
        <v>55700</v>
      </c>
      <c r="AW40" s="43">
        <f t="shared" si="43"/>
        <v>3.7252902984619141E-9</v>
      </c>
      <c r="AX40" s="30">
        <v>0</v>
      </c>
      <c r="AY40" s="30">
        <f t="shared" si="9"/>
        <v>0</v>
      </c>
      <c r="AZ40" s="30">
        <f t="shared" si="44"/>
        <v>1.8626451492309571E-10</v>
      </c>
      <c r="BA40" s="30">
        <f t="shared" si="45"/>
        <v>1.8626451492309571E-10</v>
      </c>
      <c r="BB40" s="33">
        <f t="shared" si="10"/>
        <v>3.7252902984619141E-9</v>
      </c>
      <c r="BC40" s="43">
        <f t="shared" si="46"/>
        <v>9371021.2914886493</v>
      </c>
      <c r="BD40" s="30">
        <v>0</v>
      </c>
      <c r="BE40" s="30">
        <f t="shared" si="68"/>
        <v>1035279.0070189522</v>
      </c>
      <c r="BF40" s="30">
        <f t="shared" si="47"/>
        <v>374840.85165954597</v>
      </c>
      <c r="BG40" s="30">
        <f t="shared" si="48"/>
        <v>1410119.8586784981</v>
      </c>
      <c r="BH40" s="33">
        <f t="shared" si="12"/>
        <v>8335742.2844696976</v>
      </c>
      <c r="BI40" s="30">
        <f t="shared" si="13"/>
        <v>1035279.0070189522</v>
      </c>
      <c r="BJ40" s="30">
        <f t="shared" si="14"/>
        <v>374840.85165954614</v>
      </c>
      <c r="BK40" s="33">
        <f t="shared" si="15"/>
        <v>1410119.8586784983</v>
      </c>
      <c r="BM40" s="3"/>
      <c r="BS40">
        <v>27.997222222222224</v>
      </c>
      <c r="BT40">
        <v>1</v>
      </c>
      <c r="BU40">
        <v>31</v>
      </c>
      <c r="BV40" s="38">
        <v>55700</v>
      </c>
      <c r="BW40" s="43">
        <f t="shared" si="49"/>
        <v>1.4435499906539917E-8</v>
      </c>
      <c r="BX40" s="30">
        <v>0</v>
      </c>
      <c r="BY40" s="30">
        <f t="shared" si="16"/>
        <v>0</v>
      </c>
      <c r="BZ40" s="30">
        <f t="shared" si="50"/>
        <v>7.2177499532699587E-10</v>
      </c>
      <c r="CA40" s="30">
        <f t="shared" si="51"/>
        <v>7.2177499532699587E-10</v>
      </c>
      <c r="CB40" s="33">
        <f t="shared" si="17"/>
        <v>1.4435499906539917E-8</v>
      </c>
      <c r="CC40" s="43">
        <f t="shared" si="52"/>
        <v>31655575.500964724</v>
      </c>
      <c r="CD40" s="30">
        <v>0</v>
      </c>
      <c r="CE40" s="30">
        <f t="shared" si="69"/>
        <v>3053053.7976912595</v>
      </c>
      <c r="CF40" s="30">
        <f t="shared" si="53"/>
        <v>1266223.0200385889</v>
      </c>
      <c r="CG40" s="30">
        <f t="shared" si="54"/>
        <v>4319276.8177298484</v>
      </c>
      <c r="CH40" s="33">
        <f t="shared" si="19"/>
        <v>28602521.703273464</v>
      </c>
      <c r="CI40" s="30">
        <f t="shared" si="20"/>
        <v>3053053.7976912595</v>
      </c>
      <c r="CJ40" s="30">
        <f t="shared" si="21"/>
        <v>1266223.0200385896</v>
      </c>
      <c r="CK40" s="33">
        <f t="shared" si="22"/>
        <v>4319276.8177298494</v>
      </c>
      <c r="CM40" s="3"/>
      <c r="CS40">
        <v>26.997222222222224</v>
      </c>
      <c r="CT40">
        <v>1</v>
      </c>
      <c r="CU40">
        <v>31</v>
      </c>
      <c r="CV40" s="38">
        <v>55700</v>
      </c>
      <c r="CW40" s="43">
        <f t="shared" si="55"/>
        <v>1.0244548320770264E-8</v>
      </c>
      <c r="CX40" s="30">
        <v>0</v>
      </c>
      <c r="CY40" s="30">
        <f t="shared" si="23"/>
        <v>0</v>
      </c>
      <c r="CZ40" s="30">
        <f t="shared" si="56"/>
        <v>5.1222741603851322E-10</v>
      </c>
      <c r="DA40" s="30">
        <f t="shared" si="57"/>
        <v>5.1222741603851322E-10</v>
      </c>
      <c r="DB40" s="33">
        <f t="shared" si="24"/>
        <v>1.0244548320770264E-8</v>
      </c>
      <c r="DC40" s="43">
        <f t="shared" si="58"/>
        <v>61253079.57062003</v>
      </c>
      <c r="DD40" s="30">
        <v>0</v>
      </c>
      <c r="DE40" s="30">
        <f t="shared" si="70"/>
        <v>4660867.2367006186</v>
      </c>
      <c r="DF40" s="30">
        <f t="shared" si="59"/>
        <v>2450123.1828248012</v>
      </c>
      <c r="DG40" s="30">
        <f t="shared" si="60"/>
        <v>7110990.4195254203</v>
      </c>
      <c r="DH40" s="33">
        <f t="shared" si="26"/>
        <v>56592212.333919413</v>
      </c>
      <c r="DI40" s="30">
        <f t="shared" si="27"/>
        <v>4660867.2367006186</v>
      </c>
      <c r="DJ40" s="30">
        <f t="shared" si="28"/>
        <v>2450123.1828248017</v>
      </c>
      <c r="DK40" s="33">
        <f t="shared" si="29"/>
        <v>7110990.4195254212</v>
      </c>
      <c r="DM40" s="3"/>
      <c r="DS40">
        <v>24.997222222222224</v>
      </c>
      <c r="DT40">
        <v>1</v>
      </c>
      <c r="DU40">
        <v>31</v>
      </c>
      <c r="DV40" s="38">
        <v>55700</v>
      </c>
      <c r="DW40" s="43">
        <f t="shared" si="61"/>
        <v>0</v>
      </c>
      <c r="DX40" s="30">
        <v>0</v>
      </c>
      <c r="DY40" s="30">
        <f t="shared" si="30"/>
        <v>0</v>
      </c>
      <c r="DZ40" s="30">
        <f t="shared" si="62"/>
        <v>0</v>
      </c>
      <c r="EA40" s="30">
        <f t="shared" si="63"/>
        <v>0</v>
      </c>
      <c r="EB40" s="33">
        <f t="shared" si="31"/>
        <v>0</v>
      </c>
      <c r="EC40" s="43">
        <f t="shared" si="64"/>
        <v>151848586.12855959</v>
      </c>
      <c r="ED40" s="30">
        <v>0</v>
      </c>
      <c r="EE40" s="30">
        <f t="shared" si="71"/>
        <v>10399190.868200131</v>
      </c>
      <c r="EF40" s="30">
        <f t="shared" si="65"/>
        <v>6073943.4451423837</v>
      </c>
      <c r="EG40" s="30">
        <f t="shared" si="66"/>
        <v>16473134.313342515</v>
      </c>
      <c r="EH40" s="33">
        <f t="shared" si="33"/>
        <v>141449395.26035947</v>
      </c>
      <c r="EI40" s="30">
        <f t="shared" si="34"/>
        <v>10399190.868200131</v>
      </c>
      <c r="EJ40" s="30">
        <f t="shared" si="35"/>
        <v>6073943.4451423837</v>
      </c>
      <c r="EK40" s="33">
        <f t="shared" si="36"/>
        <v>16473134.313342515</v>
      </c>
    </row>
    <row r="41" spans="3:141" x14ac:dyDescent="0.25">
      <c r="C41" s="38">
        <v>56065</v>
      </c>
      <c r="D41" s="43">
        <f t="shared" si="72"/>
        <v>0</v>
      </c>
      <c r="E41" s="30">
        <f t="shared" si="72"/>
        <v>0</v>
      </c>
      <c r="F41" s="30">
        <f t="shared" si="72"/>
        <v>1.4202669262886049E-9</v>
      </c>
      <c r="G41" s="33">
        <f t="shared" si="72"/>
        <v>1.4202669262886049E-9</v>
      </c>
      <c r="H41" s="43">
        <f t="shared" si="72"/>
        <v>0</v>
      </c>
      <c r="I41" s="30">
        <f t="shared" si="72"/>
        <v>19818584.591447346</v>
      </c>
      <c r="J41" s="30">
        <f t="shared" si="72"/>
        <v>9399194.8632808812</v>
      </c>
      <c r="K41" s="33">
        <f t="shared" si="72"/>
        <v>29217779.454728227</v>
      </c>
      <c r="S41">
        <v>30.580555555555556</v>
      </c>
      <c r="T41">
        <v>1</v>
      </c>
      <c r="U41">
        <v>32</v>
      </c>
      <c r="V41" s="38">
        <v>56065</v>
      </c>
      <c r="W41" s="43">
        <f t="shared" si="38"/>
        <v>20637435.095100001</v>
      </c>
      <c r="X41" s="30">
        <f>IFERROR(VLOOKUP(V41,Inputs!$A$13:$B$23,2,0),0)*$X$5</f>
        <v>0</v>
      </c>
      <c r="Y41" s="30">
        <v>0</v>
      </c>
      <c r="Z41" s="30">
        <v>0</v>
      </c>
      <c r="AA41" s="30">
        <f t="shared" si="39"/>
        <v>0</v>
      </c>
      <c r="AB41" s="33">
        <f t="shared" si="3"/>
        <v>20637435.095100001</v>
      </c>
      <c r="AC41" s="43">
        <f t="shared" si="40"/>
        <v>0</v>
      </c>
      <c r="AD41" s="30">
        <f>IFERROR(VLOOKUP(C41,Inputs!$A$13:$B$23,2,0),0)*'PV &amp; WIFIA New'!$AD$5</f>
        <v>0</v>
      </c>
      <c r="AE41" s="30">
        <f t="shared" si="67"/>
        <v>0</v>
      </c>
      <c r="AF41" s="30">
        <f t="shared" si="41"/>
        <v>0</v>
      </c>
      <c r="AG41" s="30">
        <f t="shared" si="42"/>
        <v>0</v>
      </c>
      <c r="AH41" s="33">
        <f t="shared" si="5"/>
        <v>0</v>
      </c>
      <c r="AI41" s="30">
        <f t="shared" si="6"/>
        <v>0</v>
      </c>
      <c r="AJ41" s="30">
        <f t="shared" si="7"/>
        <v>0</v>
      </c>
      <c r="AK41" s="33">
        <f t="shared" si="8"/>
        <v>0</v>
      </c>
      <c r="AM41" s="3"/>
      <c r="AS41">
        <v>29.997222222222224</v>
      </c>
      <c r="AT41">
        <v>1</v>
      </c>
      <c r="AU41">
        <v>32</v>
      </c>
      <c r="AV41" s="38">
        <v>56065</v>
      </c>
      <c r="AW41" s="43">
        <f t="shared" si="43"/>
        <v>3.7252902984619141E-9</v>
      </c>
      <c r="AX41" s="30">
        <v>0</v>
      </c>
      <c r="AY41" s="30">
        <f t="shared" si="9"/>
        <v>0</v>
      </c>
      <c r="AZ41" s="30">
        <f t="shared" si="44"/>
        <v>1.8626451492309571E-10</v>
      </c>
      <c r="BA41" s="30">
        <f t="shared" si="45"/>
        <v>1.8626451492309571E-10</v>
      </c>
      <c r="BB41" s="33">
        <f t="shared" si="10"/>
        <v>3.7252902984619141E-9</v>
      </c>
      <c r="BC41" s="43">
        <f t="shared" si="46"/>
        <v>8335742.2844696976</v>
      </c>
      <c r="BD41" s="30">
        <v>0</v>
      </c>
      <c r="BE41" s="30">
        <f t="shared" si="68"/>
        <v>1071513.7722646154</v>
      </c>
      <c r="BF41" s="30">
        <f t="shared" si="47"/>
        <v>333429.69137878792</v>
      </c>
      <c r="BG41" s="30">
        <f t="shared" si="48"/>
        <v>1404943.4636434033</v>
      </c>
      <c r="BH41" s="33">
        <f t="shared" si="12"/>
        <v>7264228.512205082</v>
      </c>
      <c r="BI41" s="30">
        <f t="shared" si="13"/>
        <v>1071513.7722646154</v>
      </c>
      <c r="BJ41" s="30">
        <f t="shared" si="14"/>
        <v>333429.69137878809</v>
      </c>
      <c r="BK41" s="33">
        <f t="shared" si="15"/>
        <v>1404943.4636434035</v>
      </c>
      <c r="BM41" s="3"/>
      <c r="BS41">
        <v>28.997222222222224</v>
      </c>
      <c r="BT41">
        <v>1</v>
      </c>
      <c r="BU41">
        <v>32</v>
      </c>
      <c r="BV41" s="38">
        <v>56065</v>
      </c>
      <c r="BW41" s="43">
        <f t="shared" si="49"/>
        <v>1.4435499906539917E-8</v>
      </c>
      <c r="BX41" s="30">
        <v>0</v>
      </c>
      <c r="BY41" s="30">
        <f t="shared" si="16"/>
        <v>0</v>
      </c>
      <c r="BZ41" s="30">
        <f t="shared" si="50"/>
        <v>7.2177499532699587E-10</v>
      </c>
      <c r="CA41" s="30">
        <f t="shared" si="51"/>
        <v>7.2177499532699587E-10</v>
      </c>
      <c r="CB41" s="33">
        <f t="shared" si="17"/>
        <v>1.4435499906539917E-8</v>
      </c>
      <c r="CC41" s="43">
        <f t="shared" si="52"/>
        <v>28602521.703273464</v>
      </c>
      <c r="CD41" s="30">
        <v>0</v>
      </c>
      <c r="CE41" s="30">
        <f t="shared" si="69"/>
        <v>3159910.6806104537</v>
      </c>
      <c r="CF41" s="30">
        <f t="shared" si="53"/>
        <v>1144100.8681309386</v>
      </c>
      <c r="CG41" s="30">
        <f t="shared" si="54"/>
        <v>4304011.5487413928</v>
      </c>
      <c r="CH41" s="33">
        <f t="shared" si="19"/>
        <v>25442611.022663012</v>
      </c>
      <c r="CI41" s="30">
        <f t="shared" si="20"/>
        <v>3159910.6806104537</v>
      </c>
      <c r="CJ41" s="30">
        <f t="shared" si="21"/>
        <v>1144100.8681309393</v>
      </c>
      <c r="CK41" s="33">
        <f t="shared" si="22"/>
        <v>4304011.5487413937</v>
      </c>
      <c r="CM41" s="3"/>
      <c r="CS41">
        <v>27.997222222222224</v>
      </c>
      <c r="CT41">
        <v>1</v>
      </c>
      <c r="CU41">
        <v>32</v>
      </c>
      <c r="CV41" s="38">
        <v>56065</v>
      </c>
      <c r="CW41" s="43">
        <f t="shared" si="55"/>
        <v>1.0244548320770264E-8</v>
      </c>
      <c r="CX41" s="30">
        <v>0</v>
      </c>
      <c r="CY41" s="30">
        <f t="shared" si="23"/>
        <v>0</v>
      </c>
      <c r="CZ41" s="30">
        <f t="shared" si="56"/>
        <v>5.1222741603851322E-10</v>
      </c>
      <c r="DA41" s="30">
        <f t="shared" si="57"/>
        <v>5.1222741603851322E-10</v>
      </c>
      <c r="DB41" s="33">
        <f t="shared" si="24"/>
        <v>1.0244548320770264E-8</v>
      </c>
      <c r="DC41" s="43">
        <f t="shared" si="58"/>
        <v>56592212.333919413</v>
      </c>
      <c r="DD41" s="30">
        <v>0</v>
      </c>
      <c r="DE41" s="30">
        <f t="shared" si="70"/>
        <v>4823997.5899851397</v>
      </c>
      <c r="DF41" s="30">
        <f t="shared" si="59"/>
        <v>2263688.4933567764</v>
      </c>
      <c r="DG41" s="30">
        <f t="shared" si="60"/>
        <v>7087686.0833419161</v>
      </c>
      <c r="DH41" s="33">
        <f t="shared" si="26"/>
        <v>51768214.743934274</v>
      </c>
      <c r="DI41" s="30">
        <f t="shared" si="27"/>
        <v>4823997.5899851397</v>
      </c>
      <c r="DJ41" s="30">
        <f t="shared" si="28"/>
        <v>2263688.4933567769</v>
      </c>
      <c r="DK41" s="33">
        <f t="shared" si="29"/>
        <v>7087686.083341917</v>
      </c>
      <c r="DM41" s="3"/>
      <c r="DS41">
        <v>25.997222222222224</v>
      </c>
      <c r="DT41">
        <v>1</v>
      </c>
      <c r="DU41">
        <v>32</v>
      </c>
      <c r="DV41" s="38">
        <v>56065</v>
      </c>
      <c r="DW41" s="43">
        <f t="shared" si="61"/>
        <v>0</v>
      </c>
      <c r="DX41" s="30">
        <v>0</v>
      </c>
      <c r="DY41" s="30">
        <f t="shared" si="30"/>
        <v>0</v>
      </c>
      <c r="DZ41" s="30">
        <f t="shared" si="62"/>
        <v>0</v>
      </c>
      <c r="EA41" s="30">
        <f t="shared" si="63"/>
        <v>0</v>
      </c>
      <c r="EB41" s="33">
        <f t="shared" si="31"/>
        <v>0</v>
      </c>
      <c r="EC41" s="43">
        <f t="shared" si="64"/>
        <v>141449395.26035947</v>
      </c>
      <c r="ED41" s="30">
        <v>0</v>
      </c>
      <c r="EE41" s="30">
        <f t="shared" si="71"/>
        <v>10763162.548587136</v>
      </c>
      <c r="EF41" s="30">
        <f t="shared" si="65"/>
        <v>5657975.8104143785</v>
      </c>
      <c r="EG41" s="30">
        <f t="shared" si="66"/>
        <v>16421138.359001514</v>
      </c>
      <c r="EH41" s="33">
        <f t="shared" si="33"/>
        <v>130686232.71177232</v>
      </c>
      <c r="EI41" s="30">
        <f t="shared" si="34"/>
        <v>10763162.548587136</v>
      </c>
      <c r="EJ41" s="30">
        <f t="shared" si="35"/>
        <v>5657975.8104143785</v>
      </c>
      <c r="EK41" s="33">
        <f t="shared" si="36"/>
        <v>16421138.359001514</v>
      </c>
    </row>
    <row r="42" spans="3:141" x14ac:dyDescent="0.25">
      <c r="C42" s="38">
        <v>56430</v>
      </c>
      <c r="D42" s="43">
        <f t="shared" si="72"/>
        <v>0</v>
      </c>
      <c r="E42" s="30">
        <f t="shared" si="72"/>
        <v>0</v>
      </c>
      <c r="F42" s="30">
        <f t="shared" si="72"/>
        <v>1.4202669262886049E-9</v>
      </c>
      <c r="G42" s="33">
        <f t="shared" si="72"/>
        <v>1.4202669262886049E-9</v>
      </c>
      <c r="H42" s="43">
        <f t="shared" si="72"/>
        <v>0</v>
      </c>
      <c r="I42" s="30">
        <f t="shared" si="72"/>
        <v>20512235.052148003</v>
      </c>
      <c r="J42" s="30">
        <f t="shared" si="72"/>
        <v>8606451.4796229862</v>
      </c>
      <c r="K42" s="33">
        <f t="shared" si="72"/>
        <v>29118686.531770989</v>
      </c>
      <c r="S42">
        <v>31.580555555555556</v>
      </c>
      <c r="T42">
        <v>1</v>
      </c>
      <c r="U42">
        <v>33</v>
      </c>
      <c r="V42" s="38">
        <v>56430</v>
      </c>
      <c r="W42" s="43">
        <f t="shared" si="38"/>
        <v>20637435.095100001</v>
      </c>
      <c r="X42" s="30">
        <f>IFERROR(VLOOKUP(V42,Inputs!$A$13:$B$23,2,0),0)*$X$5</f>
        <v>0</v>
      </c>
      <c r="Y42" s="30">
        <v>0</v>
      </c>
      <c r="Z42" s="30">
        <v>0</v>
      </c>
      <c r="AA42" s="30">
        <f t="shared" si="39"/>
        <v>0</v>
      </c>
      <c r="AB42" s="33">
        <f t="shared" si="3"/>
        <v>20637435.095100001</v>
      </c>
      <c r="AC42" s="43">
        <f t="shared" si="40"/>
        <v>0</v>
      </c>
      <c r="AD42" s="30">
        <f>IFERROR(VLOOKUP(C42,Inputs!$A$13:$B$23,2,0),0)*'PV &amp; WIFIA New'!$AD$5</f>
        <v>0</v>
      </c>
      <c r="AE42" s="30">
        <f t="shared" si="67"/>
        <v>0</v>
      </c>
      <c r="AF42" s="30">
        <f t="shared" si="41"/>
        <v>0</v>
      </c>
      <c r="AG42" s="30">
        <f t="shared" si="42"/>
        <v>0</v>
      </c>
      <c r="AH42" s="33">
        <f t="shared" si="5"/>
        <v>0</v>
      </c>
      <c r="AI42" s="30">
        <f t="shared" si="6"/>
        <v>0</v>
      </c>
      <c r="AJ42" s="30">
        <f t="shared" si="7"/>
        <v>0</v>
      </c>
      <c r="AK42" s="33">
        <f t="shared" si="8"/>
        <v>0</v>
      </c>
      <c r="AM42" s="3"/>
      <c r="AS42">
        <v>30.997222222222224</v>
      </c>
      <c r="AT42">
        <v>1</v>
      </c>
      <c r="AU42">
        <v>33</v>
      </c>
      <c r="AV42" s="38">
        <v>56430</v>
      </c>
      <c r="AW42" s="43">
        <f t="shared" si="43"/>
        <v>3.7252902984619141E-9</v>
      </c>
      <c r="AX42" s="30">
        <v>0</v>
      </c>
      <c r="AY42" s="30">
        <f t="shared" si="9"/>
        <v>0</v>
      </c>
      <c r="AZ42" s="30">
        <f t="shared" si="44"/>
        <v>1.8626451492309571E-10</v>
      </c>
      <c r="BA42" s="30">
        <f t="shared" si="45"/>
        <v>1.8626451492309571E-10</v>
      </c>
      <c r="BB42" s="33">
        <f t="shared" si="10"/>
        <v>3.7252902984619141E-9</v>
      </c>
      <c r="BC42" s="43">
        <f t="shared" si="46"/>
        <v>7264228.512205082</v>
      </c>
      <c r="BD42" s="30">
        <v>0</v>
      </c>
      <c r="BE42" s="30">
        <f t="shared" si="68"/>
        <v>1109016.7542938769</v>
      </c>
      <c r="BF42" s="30">
        <f t="shared" si="47"/>
        <v>290569.14048820327</v>
      </c>
      <c r="BG42" s="30">
        <f t="shared" si="48"/>
        <v>1399585.8947820803</v>
      </c>
      <c r="BH42" s="33">
        <f t="shared" si="12"/>
        <v>6155211.7579112053</v>
      </c>
      <c r="BI42" s="30">
        <f t="shared" si="13"/>
        <v>1109016.7542938769</v>
      </c>
      <c r="BJ42" s="30">
        <f t="shared" si="14"/>
        <v>290569.14048820344</v>
      </c>
      <c r="BK42" s="33">
        <f t="shared" si="15"/>
        <v>1399585.8947820805</v>
      </c>
      <c r="BM42" s="3"/>
      <c r="BS42">
        <v>29.997222222222224</v>
      </c>
      <c r="BT42">
        <v>1</v>
      </c>
      <c r="BU42">
        <v>33</v>
      </c>
      <c r="BV42" s="38">
        <v>56430</v>
      </c>
      <c r="BW42" s="43">
        <f t="shared" si="49"/>
        <v>1.4435499906539917E-8</v>
      </c>
      <c r="BX42" s="30">
        <v>0</v>
      </c>
      <c r="BY42" s="30">
        <f t="shared" si="16"/>
        <v>0</v>
      </c>
      <c r="BZ42" s="30">
        <f t="shared" si="50"/>
        <v>7.2177499532699587E-10</v>
      </c>
      <c r="CA42" s="30">
        <f t="shared" si="51"/>
        <v>7.2177499532699587E-10</v>
      </c>
      <c r="CB42" s="33">
        <f t="shared" si="17"/>
        <v>1.4435499906539917E-8</v>
      </c>
      <c r="CC42" s="43">
        <f t="shared" si="52"/>
        <v>25442611.022663012</v>
      </c>
      <c r="CD42" s="30">
        <v>0</v>
      </c>
      <c r="CE42" s="30">
        <f t="shared" si="69"/>
        <v>3270507.5544318198</v>
      </c>
      <c r="CF42" s="30">
        <f t="shared" si="53"/>
        <v>1017704.4409065205</v>
      </c>
      <c r="CG42" s="30">
        <f t="shared" si="54"/>
        <v>4288211.9953383403</v>
      </c>
      <c r="CH42" s="33">
        <f t="shared" si="19"/>
        <v>22172103.468231194</v>
      </c>
      <c r="CI42" s="30">
        <f t="shared" si="20"/>
        <v>3270507.5544318198</v>
      </c>
      <c r="CJ42" s="30">
        <f t="shared" si="21"/>
        <v>1017704.4409065212</v>
      </c>
      <c r="CK42" s="33">
        <f t="shared" si="22"/>
        <v>4288211.9953383412</v>
      </c>
      <c r="CM42" s="3"/>
      <c r="CS42">
        <v>28.997222222222224</v>
      </c>
      <c r="CT42">
        <v>1</v>
      </c>
      <c r="CU42">
        <v>33</v>
      </c>
      <c r="CV42" s="38">
        <v>56430</v>
      </c>
      <c r="CW42" s="43">
        <f t="shared" si="55"/>
        <v>1.0244548320770264E-8</v>
      </c>
      <c r="CX42" s="30">
        <v>0</v>
      </c>
      <c r="CY42" s="30">
        <f t="shared" si="23"/>
        <v>0</v>
      </c>
      <c r="CZ42" s="30">
        <f t="shared" si="56"/>
        <v>5.1222741603851322E-10</v>
      </c>
      <c r="DA42" s="30">
        <f t="shared" si="57"/>
        <v>5.1222741603851322E-10</v>
      </c>
      <c r="DB42" s="33">
        <f t="shared" si="24"/>
        <v>1.0244548320770264E-8</v>
      </c>
      <c r="DC42" s="43">
        <f t="shared" si="58"/>
        <v>51768214.743934274</v>
      </c>
      <c r="DD42" s="30">
        <v>0</v>
      </c>
      <c r="DE42" s="30">
        <f t="shared" si="70"/>
        <v>4992837.5056346199</v>
      </c>
      <c r="DF42" s="30">
        <f t="shared" si="59"/>
        <v>2070728.589757371</v>
      </c>
      <c r="DG42" s="30">
        <f t="shared" si="60"/>
        <v>7063566.0953919906</v>
      </c>
      <c r="DH42" s="33">
        <f t="shared" si="26"/>
        <v>46775377.238299653</v>
      </c>
      <c r="DI42" s="30">
        <f t="shared" si="27"/>
        <v>4992837.5056346199</v>
      </c>
      <c r="DJ42" s="30">
        <f t="shared" si="28"/>
        <v>2070728.5897573715</v>
      </c>
      <c r="DK42" s="33">
        <f t="shared" si="29"/>
        <v>7063566.0953919915</v>
      </c>
      <c r="DM42" s="3"/>
      <c r="DS42">
        <v>26.997222222222224</v>
      </c>
      <c r="DT42">
        <v>1</v>
      </c>
      <c r="DU42">
        <v>33</v>
      </c>
      <c r="DV42" s="38">
        <v>56430</v>
      </c>
      <c r="DW42" s="43">
        <f t="shared" si="61"/>
        <v>0</v>
      </c>
      <c r="DX42" s="30">
        <v>0</v>
      </c>
      <c r="DY42" s="30">
        <f t="shared" si="30"/>
        <v>0</v>
      </c>
      <c r="DZ42" s="30">
        <f t="shared" si="62"/>
        <v>0</v>
      </c>
      <c r="EA42" s="30">
        <f t="shared" si="63"/>
        <v>0</v>
      </c>
      <c r="EB42" s="33">
        <f t="shared" si="31"/>
        <v>0</v>
      </c>
      <c r="EC42" s="43">
        <f t="shared" si="64"/>
        <v>130686232.71177232</v>
      </c>
      <c r="ED42" s="30">
        <v>0</v>
      </c>
      <c r="EE42" s="30">
        <f t="shared" si="71"/>
        <v>11139873.237787686</v>
      </c>
      <c r="EF42" s="30">
        <f t="shared" si="65"/>
        <v>5227449.3084708927</v>
      </c>
      <c r="EG42" s="30">
        <f t="shared" si="66"/>
        <v>16367322.54625858</v>
      </c>
      <c r="EH42" s="33">
        <f t="shared" si="33"/>
        <v>119546359.47398463</v>
      </c>
      <c r="EI42" s="30">
        <f t="shared" si="34"/>
        <v>11139873.237787686</v>
      </c>
      <c r="EJ42" s="30">
        <f t="shared" si="35"/>
        <v>5227449.3084708927</v>
      </c>
      <c r="EK42" s="33">
        <f t="shared" si="36"/>
        <v>16367322.54625858</v>
      </c>
    </row>
    <row r="43" spans="3:141" x14ac:dyDescent="0.25">
      <c r="C43" s="38">
        <v>56795</v>
      </c>
      <c r="D43" s="43">
        <f t="shared" ref="D43:K54" si="73">SUMIFS($V43:$GG43,$V$4:$GG$4,D$4,$V$8:$GG$8,D$8)</f>
        <v>0</v>
      </c>
      <c r="E43" s="30">
        <f t="shared" si="73"/>
        <v>0</v>
      </c>
      <c r="F43" s="30">
        <f t="shared" si="73"/>
        <v>1.4202669262886049E-9</v>
      </c>
      <c r="G43" s="33">
        <f t="shared" si="73"/>
        <v>1.4202669262886049E-9</v>
      </c>
      <c r="H43" s="43">
        <f t="shared" si="73"/>
        <v>0</v>
      </c>
      <c r="I43" s="30">
        <f t="shared" si="73"/>
        <v>21230163.278973185</v>
      </c>
      <c r="J43" s="30">
        <f t="shared" si="73"/>
        <v>7785962.0775370672</v>
      </c>
      <c r="K43" s="33">
        <f t="shared" si="73"/>
        <v>29016125.356510252</v>
      </c>
      <c r="S43">
        <v>32.580555555555556</v>
      </c>
      <c r="T43">
        <v>1</v>
      </c>
      <c r="U43">
        <v>34</v>
      </c>
      <c r="V43" s="38">
        <v>56795</v>
      </c>
      <c r="W43" s="43">
        <f t="shared" si="38"/>
        <v>20637435.095100001</v>
      </c>
      <c r="X43" s="30">
        <f>IFERROR(VLOOKUP(V43,Inputs!$A$13:$B$23,2,0),0)*$X$5</f>
        <v>0</v>
      </c>
      <c r="Y43" s="30">
        <v>0</v>
      </c>
      <c r="Z43" s="30">
        <v>0</v>
      </c>
      <c r="AA43" s="30">
        <f t="shared" si="39"/>
        <v>0</v>
      </c>
      <c r="AB43" s="33">
        <f t="shared" si="3"/>
        <v>20637435.095100001</v>
      </c>
      <c r="AC43" s="43">
        <f t="shared" si="40"/>
        <v>0</v>
      </c>
      <c r="AD43" s="30">
        <f>IFERROR(VLOOKUP(C43,Inputs!$A$13:$B$23,2,0),0)*'PV &amp; WIFIA New'!$AD$5</f>
        <v>0</v>
      </c>
      <c r="AE43" s="30">
        <f t="shared" si="67"/>
        <v>0</v>
      </c>
      <c r="AF43" s="30">
        <f t="shared" si="41"/>
        <v>0</v>
      </c>
      <c r="AG43" s="30">
        <f t="shared" si="42"/>
        <v>0</v>
      </c>
      <c r="AH43" s="33">
        <f t="shared" si="5"/>
        <v>0</v>
      </c>
      <c r="AI43" s="30">
        <f t="shared" si="6"/>
        <v>0</v>
      </c>
      <c r="AJ43" s="30">
        <f t="shared" si="7"/>
        <v>0</v>
      </c>
      <c r="AK43" s="33">
        <f t="shared" si="8"/>
        <v>0</v>
      </c>
      <c r="AM43" s="3"/>
      <c r="AS43">
        <v>31.997222222222224</v>
      </c>
      <c r="AT43">
        <v>1</v>
      </c>
      <c r="AU43">
        <v>34</v>
      </c>
      <c r="AV43" s="38">
        <v>56795</v>
      </c>
      <c r="AW43" s="43">
        <f t="shared" si="43"/>
        <v>3.7252902984619141E-9</v>
      </c>
      <c r="AX43" s="30">
        <v>0</v>
      </c>
      <c r="AY43" s="30">
        <f t="shared" si="9"/>
        <v>0</v>
      </c>
      <c r="AZ43" s="30">
        <f t="shared" si="44"/>
        <v>1.8626451492309571E-10</v>
      </c>
      <c r="BA43" s="30">
        <f t="shared" si="45"/>
        <v>1.8626451492309571E-10</v>
      </c>
      <c r="BB43" s="33">
        <f t="shared" si="10"/>
        <v>3.7252902984619141E-9</v>
      </c>
      <c r="BC43" s="43">
        <f t="shared" si="46"/>
        <v>6155211.7579112053</v>
      </c>
      <c r="BD43" s="30">
        <v>0</v>
      </c>
      <c r="BE43" s="30">
        <f t="shared" si="68"/>
        <v>1147832.3406941625</v>
      </c>
      <c r="BF43" s="30">
        <f t="shared" si="47"/>
        <v>246208.47031644822</v>
      </c>
      <c r="BG43" s="30">
        <f t="shared" si="48"/>
        <v>1394040.8110106108</v>
      </c>
      <c r="BH43" s="33">
        <f t="shared" si="12"/>
        <v>5007379.4172170423</v>
      </c>
      <c r="BI43" s="30">
        <f t="shared" si="13"/>
        <v>1147832.3406941625</v>
      </c>
      <c r="BJ43" s="30">
        <f t="shared" si="14"/>
        <v>246208.47031644839</v>
      </c>
      <c r="BK43" s="33">
        <f t="shared" si="15"/>
        <v>1394040.811010611</v>
      </c>
      <c r="BM43" s="3"/>
      <c r="BS43">
        <v>30.997222222222224</v>
      </c>
      <c r="BT43">
        <v>1</v>
      </c>
      <c r="BU43">
        <v>34</v>
      </c>
      <c r="BV43" s="38">
        <v>56795</v>
      </c>
      <c r="BW43" s="43">
        <f t="shared" si="49"/>
        <v>1.4435499906539917E-8</v>
      </c>
      <c r="BX43" s="30">
        <v>0</v>
      </c>
      <c r="BY43" s="30">
        <f t="shared" si="16"/>
        <v>0</v>
      </c>
      <c r="BZ43" s="30">
        <f t="shared" si="50"/>
        <v>7.2177499532699587E-10</v>
      </c>
      <c r="CA43" s="30">
        <f t="shared" si="51"/>
        <v>7.2177499532699587E-10</v>
      </c>
      <c r="CB43" s="33">
        <f t="shared" si="17"/>
        <v>1.4435499906539917E-8</v>
      </c>
      <c r="CC43" s="43">
        <f t="shared" si="52"/>
        <v>22172103.468231194</v>
      </c>
      <c r="CD43" s="30">
        <v>0</v>
      </c>
      <c r="CE43" s="30">
        <f t="shared" si="69"/>
        <v>3384975.3188369335</v>
      </c>
      <c r="CF43" s="30">
        <f t="shared" si="53"/>
        <v>886884.13872924773</v>
      </c>
      <c r="CG43" s="30">
        <f t="shared" si="54"/>
        <v>4271859.4575661812</v>
      </c>
      <c r="CH43" s="33">
        <f t="shared" si="19"/>
        <v>18787128.149394259</v>
      </c>
      <c r="CI43" s="30">
        <f t="shared" si="20"/>
        <v>3384975.3188369335</v>
      </c>
      <c r="CJ43" s="30">
        <f t="shared" si="21"/>
        <v>886884.13872924843</v>
      </c>
      <c r="CK43" s="33">
        <f t="shared" si="22"/>
        <v>4271859.4575661821</v>
      </c>
      <c r="CM43" s="3"/>
      <c r="CS43">
        <v>29.997222222222224</v>
      </c>
      <c r="CT43">
        <v>1</v>
      </c>
      <c r="CU43">
        <v>34</v>
      </c>
      <c r="CV43" s="38">
        <v>56795</v>
      </c>
      <c r="CW43" s="43">
        <f t="shared" si="55"/>
        <v>1.0244548320770264E-8</v>
      </c>
      <c r="CX43" s="30">
        <v>0</v>
      </c>
      <c r="CY43" s="30">
        <f t="shared" si="23"/>
        <v>0</v>
      </c>
      <c r="CZ43" s="30">
        <f t="shared" si="56"/>
        <v>5.1222741603851322E-10</v>
      </c>
      <c r="DA43" s="30">
        <f t="shared" si="57"/>
        <v>5.1222741603851322E-10</v>
      </c>
      <c r="DB43" s="33">
        <f t="shared" si="24"/>
        <v>1.0244548320770264E-8</v>
      </c>
      <c r="DC43" s="43">
        <f t="shared" si="58"/>
        <v>46775377.238299653</v>
      </c>
      <c r="DD43" s="30">
        <v>0</v>
      </c>
      <c r="DE43" s="30">
        <f t="shared" si="70"/>
        <v>5167586.8183318321</v>
      </c>
      <c r="DF43" s="30">
        <f t="shared" si="59"/>
        <v>1871015.089531986</v>
      </c>
      <c r="DG43" s="30">
        <f t="shared" si="60"/>
        <v>7038601.9078638181</v>
      </c>
      <c r="DH43" s="33">
        <f t="shared" si="26"/>
        <v>41607790.419967823</v>
      </c>
      <c r="DI43" s="30">
        <f t="shared" si="27"/>
        <v>5167586.8183318321</v>
      </c>
      <c r="DJ43" s="30">
        <f t="shared" si="28"/>
        <v>1871015.0895319865</v>
      </c>
      <c r="DK43" s="33">
        <f t="shared" si="29"/>
        <v>7038601.907863819</v>
      </c>
      <c r="DM43" s="3"/>
      <c r="DS43">
        <v>27.997222222222224</v>
      </c>
      <c r="DT43">
        <v>1</v>
      </c>
      <c r="DU43">
        <v>34</v>
      </c>
      <c r="DV43" s="38">
        <v>56795</v>
      </c>
      <c r="DW43" s="43">
        <f t="shared" si="61"/>
        <v>0</v>
      </c>
      <c r="DX43" s="30">
        <v>0</v>
      </c>
      <c r="DY43" s="30">
        <f t="shared" si="30"/>
        <v>0</v>
      </c>
      <c r="DZ43" s="30">
        <f t="shared" si="62"/>
        <v>0</v>
      </c>
      <c r="EA43" s="30">
        <f t="shared" si="63"/>
        <v>0</v>
      </c>
      <c r="EB43" s="33">
        <f t="shared" si="31"/>
        <v>0</v>
      </c>
      <c r="EC43" s="43">
        <f t="shared" si="64"/>
        <v>119546359.47398463</v>
      </c>
      <c r="ED43" s="30">
        <v>0</v>
      </c>
      <c r="EE43" s="30">
        <f t="shared" si="71"/>
        <v>11529768.801110255</v>
      </c>
      <c r="EF43" s="30">
        <f t="shared" si="65"/>
        <v>4781854.3789593857</v>
      </c>
      <c r="EG43" s="30">
        <f t="shared" si="66"/>
        <v>16311623.18006964</v>
      </c>
      <c r="EH43" s="33">
        <f t="shared" si="33"/>
        <v>108016590.67287438</v>
      </c>
      <c r="EI43" s="30">
        <f t="shared" si="34"/>
        <v>11529768.801110255</v>
      </c>
      <c r="EJ43" s="30">
        <f t="shared" si="35"/>
        <v>4781854.3789593857</v>
      </c>
      <c r="EK43" s="33">
        <f t="shared" si="36"/>
        <v>16311623.18006964</v>
      </c>
    </row>
    <row r="44" spans="3:141" x14ac:dyDescent="0.25">
      <c r="C44" s="38">
        <v>57161</v>
      </c>
      <c r="D44" s="43">
        <f t="shared" si="73"/>
        <v>0</v>
      </c>
      <c r="E44" s="30">
        <f t="shared" si="73"/>
        <v>0</v>
      </c>
      <c r="F44" s="30">
        <f t="shared" si="73"/>
        <v>1.4202669262886049E-9</v>
      </c>
      <c r="G44" s="33">
        <f t="shared" si="73"/>
        <v>1.4202669262886049E-9</v>
      </c>
      <c r="H44" s="43">
        <f t="shared" si="73"/>
        <v>0</v>
      </c>
      <c r="I44" s="30">
        <f t="shared" si="73"/>
        <v>21973218.993737243</v>
      </c>
      <c r="J44" s="30">
        <f t="shared" si="73"/>
        <v>6936755.5463781403</v>
      </c>
      <c r="K44" s="33">
        <f t="shared" si="73"/>
        <v>28909974.540115386</v>
      </c>
      <c r="S44">
        <v>33.580555555555556</v>
      </c>
      <c r="T44">
        <v>1</v>
      </c>
      <c r="U44">
        <v>35</v>
      </c>
      <c r="V44" s="38">
        <v>57161</v>
      </c>
      <c r="W44" s="43">
        <f t="shared" si="38"/>
        <v>20637435.095100001</v>
      </c>
      <c r="X44" s="30">
        <f>IFERROR(VLOOKUP(V44,Inputs!$A$13:$B$23,2,0),0)*$X$5</f>
        <v>0</v>
      </c>
      <c r="Y44" s="30">
        <v>0</v>
      </c>
      <c r="Z44" s="30">
        <v>0</v>
      </c>
      <c r="AA44" s="30">
        <f t="shared" si="39"/>
        <v>0</v>
      </c>
      <c r="AB44" s="33">
        <f t="shared" si="3"/>
        <v>20637435.095100001</v>
      </c>
      <c r="AC44" s="43">
        <f t="shared" si="40"/>
        <v>0</v>
      </c>
      <c r="AD44" s="30">
        <f>IFERROR(VLOOKUP(C44,Inputs!$A$13:$B$23,2,0),0)*'PV &amp; WIFIA New'!$AD$5</f>
        <v>0</v>
      </c>
      <c r="AE44" s="30">
        <f t="shared" si="67"/>
        <v>0</v>
      </c>
      <c r="AF44" s="30">
        <f t="shared" si="41"/>
        <v>0</v>
      </c>
      <c r="AG44" s="30">
        <f t="shared" si="42"/>
        <v>0</v>
      </c>
      <c r="AH44" s="33">
        <f t="shared" si="5"/>
        <v>0</v>
      </c>
      <c r="AI44" s="30">
        <f t="shared" si="6"/>
        <v>0</v>
      </c>
      <c r="AJ44" s="30">
        <f t="shared" si="7"/>
        <v>0</v>
      </c>
      <c r="AK44" s="33">
        <f t="shared" si="8"/>
        <v>0</v>
      </c>
      <c r="AM44" s="3"/>
      <c r="AS44">
        <v>32.99722222222222</v>
      </c>
      <c r="AT44">
        <v>1</v>
      </c>
      <c r="AU44">
        <v>35</v>
      </c>
      <c r="AV44" s="38">
        <v>57161</v>
      </c>
      <c r="AW44" s="43">
        <f t="shared" si="43"/>
        <v>3.7252902984619141E-9</v>
      </c>
      <c r="AX44" s="30">
        <v>0</v>
      </c>
      <c r="AY44" s="30">
        <f t="shared" si="9"/>
        <v>0</v>
      </c>
      <c r="AZ44" s="30">
        <f t="shared" si="44"/>
        <v>1.8626451492309571E-10</v>
      </c>
      <c r="BA44" s="30">
        <f t="shared" si="45"/>
        <v>1.8626451492309571E-10</v>
      </c>
      <c r="BB44" s="33">
        <f t="shared" si="10"/>
        <v>3.7252902984619141E-9</v>
      </c>
      <c r="BC44" s="43">
        <f t="shared" si="46"/>
        <v>5007379.4172170423</v>
      </c>
      <c r="BD44" s="30">
        <v>0</v>
      </c>
      <c r="BE44" s="30">
        <f t="shared" si="68"/>
        <v>1188006.4726184583</v>
      </c>
      <c r="BF44" s="30">
        <f t="shared" si="47"/>
        <v>200295.17668868171</v>
      </c>
      <c r="BG44" s="30">
        <f t="shared" si="48"/>
        <v>1388301.6493071401</v>
      </c>
      <c r="BH44" s="33">
        <f t="shared" si="12"/>
        <v>3819372.944598584</v>
      </c>
      <c r="BI44" s="30">
        <f t="shared" si="13"/>
        <v>1188006.4726184583</v>
      </c>
      <c r="BJ44" s="30">
        <f t="shared" si="14"/>
        <v>200295.17668868188</v>
      </c>
      <c r="BK44" s="33">
        <f t="shared" si="15"/>
        <v>1388301.6493071404</v>
      </c>
      <c r="BM44" s="3"/>
      <c r="BS44">
        <v>31.997222222222224</v>
      </c>
      <c r="BT44">
        <v>1</v>
      </c>
      <c r="BU44">
        <v>35</v>
      </c>
      <c r="BV44" s="38">
        <v>57161</v>
      </c>
      <c r="BW44" s="43">
        <f t="shared" si="49"/>
        <v>1.4435499906539917E-8</v>
      </c>
      <c r="BX44" s="30">
        <v>0</v>
      </c>
      <c r="BY44" s="30">
        <f t="shared" si="16"/>
        <v>0</v>
      </c>
      <c r="BZ44" s="30">
        <f t="shared" si="50"/>
        <v>7.2177499532699587E-10</v>
      </c>
      <c r="CA44" s="30">
        <f t="shared" si="51"/>
        <v>7.2177499532699587E-10</v>
      </c>
      <c r="CB44" s="33">
        <f t="shared" si="17"/>
        <v>1.4435499906539917E-8</v>
      </c>
      <c r="CC44" s="43">
        <f t="shared" si="52"/>
        <v>18787128.149394259</v>
      </c>
      <c r="CD44" s="30">
        <v>0</v>
      </c>
      <c r="CE44" s="30">
        <f t="shared" si="69"/>
        <v>3503449.4549962259</v>
      </c>
      <c r="CF44" s="30">
        <f t="shared" si="53"/>
        <v>751485.12597577041</v>
      </c>
      <c r="CG44" s="30">
        <f t="shared" si="54"/>
        <v>4254934.5809719963</v>
      </c>
      <c r="CH44" s="33">
        <f t="shared" si="19"/>
        <v>15283678.694398033</v>
      </c>
      <c r="CI44" s="30">
        <f t="shared" si="20"/>
        <v>3503449.4549962259</v>
      </c>
      <c r="CJ44" s="30">
        <f t="shared" si="21"/>
        <v>751485.12597577111</v>
      </c>
      <c r="CK44" s="33">
        <f t="shared" si="22"/>
        <v>4254934.5809719972</v>
      </c>
      <c r="CM44" s="3"/>
      <c r="CS44">
        <v>30.997222222222224</v>
      </c>
      <c r="CT44">
        <v>1</v>
      </c>
      <c r="CU44">
        <v>35</v>
      </c>
      <c r="CV44" s="38">
        <v>57161</v>
      </c>
      <c r="CW44" s="43">
        <f t="shared" si="55"/>
        <v>1.0244548320770264E-8</v>
      </c>
      <c r="CX44" s="30">
        <v>0</v>
      </c>
      <c r="CY44" s="30">
        <f t="shared" si="23"/>
        <v>0</v>
      </c>
      <c r="CZ44" s="30">
        <f t="shared" si="56"/>
        <v>5.1222741603851322E-10</v>
      </c>
      <c r="DA44" s="30">
        <f t="shared" si="57"/>
        <v>5.1222741603851322E-10</v>
      </c>
      <c r="DB44" s="33">
        <f t="shared" si="24"/>
        <v>1.0244548320770264E-8</v>
      </c>
      <c r="DC44" s="43">
        <f t="shared" si="58"/>
        <v>41607790.419967823</v>
      </c>
      <c r="DD44" s="30">
        <v>0</v>
      </c>
      <c r="DE44" s="30">
        <f t="shared" si="70"/>
        <v>5348452.356973446</v>
      </c>
      <c r="DF44" s="30">
        <f t="shared" si="59"/>
        <v>1664311.6167987129</v>
      </c>
      <c r="DG44" s="30">
        <f t="shared" si="60"/>
        <v>7012763.9737721588</v>
      </c>
      <c r="DH44" s="33">
        <f t="shared" si="26"/>
        <v>36259338.062994376</v>
      </c>
      <c r="DI44" s="30">
        <f t="shared" si="27"/>
        <v>5348452.356973446</v>
      </c>
      <c r="DJ44" s="30">
        <f t="shared" si="28"/>
        <v>1664311.6167987133</v>
      </c>
      <c r="DK44" s="33">
        <f t="shared" si="29"/>
        <v>7012763.9737721598</v>
      </c>
      <c r="DM44" s="3"/>
      <c r="DS44">
        <v>28.997222222222224</v>
      </c>
      <c r="DT44">
        <v>1</v>
      </c>
      <c r="DU44">
        <v>35</v>
      </c>
      <c r="DV44" s="38">
        <v>57161</v>
      </c>
      <c r="DW44" s="43">
        <f t="shared" si="61"/>
        <v>0</v>
      </c>
      <c r="DX44" s="30">
        <v>0</v>
      </c>
      <c r="DY44" s="30">
        <f t="shared" si="30"/>
        <v>0</v>
      </c>
      <c r="DZ44" s="30">
        <f t="shared" si="62"/>
        <v>0</v>
      </c>
      <c r="EA44" s="30">
        <f t="shared" si="63"/>
        <v>0</v>
      </c>
      <c r="EB44" s="33">
        <f t="shared" si="31"/>
        <v>0</v>
      </c>
      <c r="EC44" s="43">
        <f t="shared" si="64"/>
        <v>108016590.67287438</v>
      </c>
      <c r="ED44" s="30">
        <v>0</v>
      </c>
      <c r="EE44" s="30">
        <f t="shared" si="71"/>
        <v>11933310.709149113</v>
      </c>
      <c r="EF44" s="30">
        <f t="shared" si="65"/>
        <v>4320663.6269149752</v>
      </c>
      <c r="EG44" s="30">
        <f t="shared" si="66"/>
        <v>16253974.336064089</v>
      </c>
      <c r="EH44" s="33">
        <f t="shared" si="33"/>
        <v>96083279.963725269</v>
      </c>
      <c r="EI44" s="30">
        <f t="shared" si="34"/>
        <v>11933310.709149113</v>
      </c>
      <c r="EJ44" s="30">
        <f t="shared" si="35"/>
        <v>4320663.6269149752</v>
      </c>
      <c r="EK44" s="33">
        <f t="shared" si="36"/>
        <v>16253974.336064089</v>
      </c>
    </row>
    <row r="45" spans="3:141" x14ac:dyDescent="0.25">
      <c r="C45" s="38">
        <v>57526</v>
      </c>
      <c r="D45" s="43">
        <f t="shared" si="73"/>
        <v>0</v>
      </c>
      <c r="E45" s="30">
        <f t="shared" si="73"/>
        <v>0</v>
      </c>
      <c r="F45" s="30">
        <f t="shared" si="73"/>
        <v>1.4202669262886049E-9</v>
      </c>
      <c r="G45" s="33">
        <f t="shared" si="73"/>
        <v>1.4202669262886049E-9</v>
      </c>
      <c r="H45" s="43">
        <f t="shared" si="73"/>
        <v>0</v>
      </c>
      <c r="I45" s="30">
        <f t="shared" si="73"/>
        <v>22742281.658518046</v>
      </c>
      <c r="J45" s="30">
        <f t="shared" si="73"/>
        <v>6057826.7866286505</v>
      </c>
      <c r="K45" s="33">
        <f t="shared" si="73"/>
        <v>28800108.445146695</v>
      </c>
      <c r="S45">
        <v>34.580555555555556</v>
      </c>
      <c r="T45">
        <v>1</v>
      </c>
      <c r="U45">
        <v>36</v>
      </c>
      <c r="V45" s="38">
        <v>57526</v>
      </c>
      <c r="W45" s="43">
        <f t="shared" si="38"/>
        <v>20637435.095100001</v>
      </c>
      <c r="X45" s="30">
        <f>IFERROR(VLOOKUP(V45,Inputs!$A$13:$B$23,2,0),0)*$X$5</f>
        <v>0</v>
      </c>
      <c r="Y45" s="30">
        <v>0</v>
      </c>
      <c r="Z45" s="30">
        <v>0</v>
      </c>
      <c r="AA45" s="30">
        <f t="shared" si="39"/>
        <v>0</v>
      </c>
      <c r="AB45" s="33">
        <f t="shared" si="3"/>
        <v>20637435.095100001</v>
      </c>
      <c r="AC45" s="43">
        <f t="shared" si="40"/>
        <v>0</v>
      </c>
      <c r="AD45" s="30">
        <f>IFERROR(VLOOKUP(C45,Inputs!$A$13:$B$23,2,0),0)*'PV &amp; WIFIA New'!$AD$5</f>
        <v>0</v>
      </c>
      <c r="AE45" s="30">
        <f t="shared" si="67"/>
        <v>0</v>
      </c>
      <c r="AF45" s="30">
        <f t="shared" si="41"/>
        <v>0</v>
      </c>
      <c r="AG45" s="30">
        <f t="shared" si="42"/>
        <v>0</v>
      </c>
      <c r="AH45" s="33">
        <f t="shared" si="5"/>
        <v>0</v>
      </c>
      <c r="AI45" s="30">
        <f t="shared" si="6"/>
        <v>0</v>
      </c>
      <c r="AJ45" s="30">
        <f t="shared" si="7"/>
        <v>0</v>
      </c>
      <c r="AK45" s="33">
        <f t="shared" si="8"/>
        <v>0</v>
      </c>
      <c r="AM45" s="3"/>
      <c r="AS45">
        <v>33.99722222222222</v>
      </c>
      <c r="AT45">
        <v>1</v>
      </c>
      <c r="AU45">
        <v>36</v>
      </c>
      <c r="AV45" s="38">
        <v>57526</v>
      </c>
      <c r="AW45" s="43">
        <f t="shared" si="43"/>
        <v>3.7252902984619141E-9</v>
      </c>
      <c r="AX45" s="30">
        <v>0</v>
      </c>
      <c r="AY45" s="30">
        <f t="shared" si="9"/>
        <v>0</v>
      </c>
      <c r="AZ45" s="30">
        <f t="shared" si="44"/>
        <v>1.8626451492309571E-10</v>
      </c>
      <c r="BA45" s="30">
        <f t="shared" si="45"/>
        <v>1.8626451492309571E-10</v>
      </c>
      <c r="BB45" s="33">
        <f t="shared" si="10"/>
        <v>3.7252902984619141E-9</v>
      </c>
      <c r="BC45" s="43">
        <f t="shared" si="46"/>
        <v>3819372.944598584</v>
      </c>
      <c r="BD45" s="30">
        <v>0</v>
      </c>
      <c r="BE45" s="30">
        <f t="shared" si="68"/>
        <v>1229586.6991601044</v>
      </c>
      <c r="BF45" s="30">
        <f t="shared" si="47"/>
        <v>152774.91778394335</v>
      </c>
      <c r="BG45" s="30">
        <f t="shared" si="48"/>
        <v>1382361.6169440476</v>
      </c>
      <c r="BH45" s="33">
        <f t="shared" si="12"/>
        <v>2589786.2454384798</v>
      </c>
      <c r="BI45" s="30">
        <f t="shared" si="13"/>
        <v>1229586.6991601044</v>
      </c>
      <c r="BJ45" s="30">
        <f t="shared" si="14"/>
        <v>152774.91778394353</v>
      </c>
      <c r="BK45" s="33">
        <f t="shared" si="15"/>
        <v>1382361.6169440479</v>
      </c>
      <c r="BM45" s="3"/>
      <c r="BS45">
        <v>32.99722222222222</v>
      </c>
      <c r="BT45">
        <v>1</v>
      </c>
      <c r="BU45">
        <v>36</v>
      </c>
      <c r="BV45" s="38">
        <v>57526</v>
      </c>
      <c r="BW45" s="43">
        <f t="shared" si="49"/>
        <v>1.4435499906539917E-8</v>
      </c>
      <c r="BX45" s="30">
        <v>0</v>
      </c>
      <c r="BY45" s="30">
        <f t="shared" si="16"/>
        <v>0</v>
      </c>
      <c r="BZ45" s="30">
        <f t="shared" si="50"/>
        <v>7.2177499532699587E-10</v>
      </c>
      <c r="CA45" s="30">
        <f t="shared" si="51"/>
        <v>7.2177499532699587E-10</v>
      </c>
      <c r="CB45" s="33">
        <f t="shared" si="17"/>
        <v>1.4435499906539917E-8</v>
      </c>
      <c r="CC45" s="43">
        <f t="shared" si="52"/>
        <v>15283678.694398033</v>
      </c>
      <c r="CD45" s="30">
        <v>0</v>
      </c>
      <c r="CE45" s="30">
        <f t="shared" si="69"/>
        <v>3626070.1859210939</v>
      </c>
      <c r="CF45" s="30">
        <f t="shared" si="53"/>
        <v>611347.14777592127</v>
      </c>
      <c r="CG45" s="30">
        <f t="shared" si="54"/>
        <v>4237417.3336970154</v>
      </c>
      <c r="CH45" s="33">
        <f t="shared" si="19"/>
        <v>11657608.508476939</v>
      </c>
      <c r="CI45" s="30">
        <f t="shared" si="20"/>
        <v>3626070.1859210939</v>
      </c>
      <c r="CJ45" s="30">
        <f t="shared" si="21"/>
        <v>611347.14777592197</v>
      </c>
      <c r="CK45" s="33">
        <f t="shared" si="22"/>
        <v>4237417.3336970164</v>
      </c>
      <c r="CM45" s="3"/>
      <c r="CS45">
        <v>31.997222222222224</v>
      </c>
      <c r="CT45">
        <v>1</v>
      </c>
      <c r="CU45">
        <v>36</v>
      </c>
      <c r="CV45" s="38">
        <v>57526</v>
      </c>
      <c r="CW45" s="43">
        <f t="shared" si="55"/>
        <v>1.0244548320770264E-8</v>
      </c>
      <c r="CX45" s="30">
        <v>0</v>
      </c>
      <c r="CY45" s="30">
        <f t="shared" si="23"/>
        <v>0</v>
      </c>
      <c r="CZ45" s="30">
        <f t="shared" si="56"/>
        <v>5.1222741603851322E-10</v>
      </c>
      <c r="DA45" s="30">
        <f t="shared" si="57"/>
        <v>5.1222741603851322E-10</v>
      </c>
      <c r="DB45" s="33">
        <f t="shared" si="24"/>
        <v>1.0244548320770264E-8</v>
      </c>
      <c r="DC45" s="43">
        <f t="shared" si="58"/>
        <v>36259338.062994376</v>
      </c>
      <c r="DD45" s="30">
        <v>0</v>
      </c>
      <c r="DE45" s="30">
        <f t="shared" si="70"/>
        <v>5535648.1894675158</v>
      </c>
      <c r="DF45" s="30">
        <f t="shared" si="59"/>
        <v>1450373.522519775</v>
      </c>
      <c r="DG45" s="30">
        <f t="shared" si="60"/>
        <v>6986021.7119872905</v>
      </c>
      <c r="DH45" s="33">
        <f t="shared" si="26"/>
        <v>30723689.87352686</v>
      </c>
      <c r="DI45" s="30">
        <f t="shared" si="27"/>
        <v>5535648.1894675158</v>
      </c>
      <c r="DJ45" s="30">
        <f t="shared" si="28"/>
        <v>1450373.5225197754</v>
      </c>
      <c r="DK45" s="33">
        <f t="shared" si="29"/>
        <v>6986021.7119872915</v>
      </c>
      <c r="DM45" s="3"/>
      <c r="DS45">
        <v>29.997222222222224</v>
      </c>
      <c r="DT45">
        <v>1</v>
      </c>
      <c r="DU45">
        <v>36</v>
      </c>
      <c r="DV45" s="38">
        <v>57526</v>
      </c>
      <c r="DW45" s="43">
        <f t="shared" si="61"/>
        <v>0</v>
      </c>
      <c r="DX45" s="30">
        <v>0</v>
      </c>
      <c r="DY45" s="30">
        <f t="shared" si="30"/>
        <v>0</v>
      </c>
      <c r="DZ45" s="30">
        <f t="shared" si="62"/>
        <v>0</v>
      </c>
      <c r="EA45" s="30">
        <f t="shared" si="63"/>
        <v>0</v>
      </c>
      <c r="EB45" s="33">
        <f t="shared" si="31"/>
        <v>0</v>
      </c>
      <c r="EC45" s="43">
        <f t="shared" si="64"/>
        <v>96083279.963725269</v>
      </c>
      <c r="ED45" s="30">
        <v>0</v>
      </c>
      <c r="EE45" s="30">
        <f t="shared" si="71"/>
        <v>12350976.583969332</v>
      </c>
      <c r="EF45" s="30">
        <f t="shared" si="65"/>
        <v>3843331.1985490108</v>
      </c>
      <c r="EG45" s="30">
        <f t="shared" si="66"/>
        <v>16194307.782518342</v>
      </c>
      <c r="EH45" s="33">
        <f t="shared" si="33"/>
        <v>83732303.379755944</v>
      </c>
      <c r="EI45" s="30">
        <f t="shared" si="34"/>
        <v>12350976.583969332</v>
      </c>
      <c r="EJ45" s="30">
        <f t="shared" si="35"/>
        <v>3843331.1985490108</v>
      </c>
      <c r="EK45" s="33">
        <f t="shared" si="36"/>
        <v>16194307.782518342</v>
      </c>
    </row>
    <row r="46" spans="3:141" x14ac:dyDescent="0.25">
      <c r="C46" s="38">
        <v>57891</v>
      </c>
      <c r="D46" s="43">
        <f t="shared" si="73"/>
        <v>0</v>
      </c>
      <c r="E46" s="30">
        <f t="shared" si="73"/>
        <v>0</v>
      </c>
      <c r="F46" s="30">
        <f t="shared" si="73"/>
        <v>1.4202669262886049E-9</v>
      </c>
      <c r="G46" s="33">
        <f t="shared" si="73"/>
        <v>1.4202669262886049E-9</v>
      </c>
      <c r="H46" s="43">
        <f t="shared" si="73"/>
        <v>0</v>
      </c>
      <c r="I46" s="30">
        <f t="shared" si="73"/>
        <v>23538261.51656618</v>
      </c>
      <c r="J46" s="30">
        <f t="shared" si="73"/>
        <v>5148135.5202879291</v>
      </c>
      <c r="K46" s="33">
        <f t="shared" si="73"/>
        <v>28686397.036854107</v>
      </c>
      <c r="S46">
        <v>35.580555555555556</v>
      </c>
      <c r="T46">
        <v>1</v>
      </c>
      <c r="U46">
        <v>37</v>
      </c>
      <c r="V46" s="38">
        <v>57891</v>
      </c>
      <c r="W46" s="43">
        <f t="shared" si="38"/>
        <v>20637435.095100001</v>
      </c>
      <c r="X46" s="30">
        <f>IFERROR(VLOOKUP(V46,Inputs!$A$13:$B$23,2,0),0)*$X$5</f>
        <v>0</v>
      </c>
      <c r="Y46" s="30">
        <v>0</v>
      </c>
      <c r="Z46" s="30">
        <v>0</v>
      </c>
      <c r="AA46" s="30">
        <f t="shared" si="39"/>
        <v>0</v>
      </c>
      <c r="AB46" s="33">
        <f t="shared" si="3"/>
        <v>20637435.095100001</v>
      </c>
      <c r="AC46" s="43">
        <f t="shared" si="40"/>
        <v>0</v>
      </c>
      <c r="AD46" s="30">
        <f>IFERROR(VLOOKUP(C46,Inputs!$A$13:$B$23,2,0),0)*'PV &amp; WIFIA New'!$AD$5</f>
        <v>0</v>
      </c>
      <c r="AE46" s="30">
        <f t="shared" si="67"/>
        <v>0</v>
      </c>
      <c r="AF46" s="30">
        <f t="shared" si="41"/>
        <v>0</v>
      </c>
      <c r="AG46" s="30">
        <f t="shared" si="42"/>
        <v>0</v>
      </c>
      <c r="AH46" s="33">
        <f t="shared" si="5"/>
        <v>0</v>
      </c>
      <c r="AI46" s="30">
        <f t="shared" si="6"/>
        <v>0</v>
      </c>
      <c r="AJ46" s="30">
        <f t="shared" si="7"/>
        <v>0</v>
      </c>
      <c r="AK46" s="33">
        <f t="shared" si="8"/>
        <v>0</v>
      </c>
      <c r="AM46" s="3"/>
      <c r="AS46">
        <v>34.99722222222222</v>
      </c>
      <c r="AT46">
        <v>1</v>
      </c>
      <c r="AU46">
        <v>37</v>
      </c>
      <c r="AV46" s="38">
        <v>57891</v>
      </c>
      <c r="AW46" s="43">
        <f t="shared" si="43"/>
        <v>3.7252902984619141E-9</v>
      </c>
      <c r="AX46" s="30">
        <v>0</v>
      </c>
      <c r="AY46" s="30">
        <f t="shared" si="9"/>
        <v>0</v>
      </c>
      <c r="AZ46" s="30">
        <f t="shared" si="44"/>
        <v>1.8626451492309571E-10</v>
      </c>
      <c r="BA46" s="30">
        <f t="shared" si="45"/>
        <v>1.8626451492309571E-10</v>
      </c>
      <c r="BB46" s="33">
        <f t="shared" si="10"/>
        <v>3.7252902984619141E-9</v>
      </c>
      <c r="BC46" s="43">
        <f t="shared" si="46"/>
        <v>2589786.2454384798</v>
      </c>
      <c r="BD46" s="30">
        <v>0</v>
      </c>
      <c r="BE46" s="30">
        <f t="shared" si="68"/>
        <v>1272622.233630708</v>
      </c>
      <c r="BF46" s="30">
        <f t="shared" si="47"/>
        <v>103591.44981753919</v>
      </c>
      <c r="BG46" s="30">
        <f t="shared" si="48"/>
        <v>1376213.6834482471</v>
      </c>
      <c r="BH46" s="33">
        <f t="shared" si="12"/>
        <v>1317164.0118077719</v>
      </c>
      <c r="BI46" s="30">
        <f t="shared" si="13"/>
        <v>1272622.233630708</v>
      </c>
      <c r="BJ46" s="30">
        <f t="shared" si="14"/>
        <v>103591.44981753938</v>
      </c>
      <c r="BK46" s="33">
        <f t="shared" si="15"/>
        <v>1376213.6834482474</v>
      </c>
      <c r="BM46" s="3"/>
      <c r="BS46">
        <v>33.99722222222222</v>
      </c>
      <c r="BT46">
        <v>1</v>
      </c>
      <c r="BU46">
        <v>37</v>
      </c>
      <c r="BV46" s="38">
        <v>57891</v>
      </c>
      <c r="BW46" s="43">
        <f t="shared" si="49"/>
        <v>1.4435499906539917E-8</v>
      </c>
      <c r="BX46" s="30">
        <v>0</v>
      </c>
      <c r="BY46" s="30">
        <f t="shared" si="16"/>
        <v>0</v>
      </c>
      <c r="BZ46" s="30">
        <f t="shared" si="50"/>
        <v>7.2177499532699587E-10</v>
      </c>
      <c r="CA46" s="30">
        <f t="shared" si="51"/>
        <v>7.2177499532699587E-10</v>
      </c>
      <c r="CB46" s="33">
        <f t="shared" si="17"/>
        <v>1.4435499906539917E-8</v>
      </c>
      <c r="CC46" s="43">
        <f t="shared" si="52"/>
        <v>11657608.508476939</v>
      </c>
      <c r="CD46" s="30">
        <v>0</v>
      </c>
      <c r="CE46" s="30">
        <f t="shared" si="69"/>
        <v>3752982.642428332</v>
      </c>
      <c r="CF46" s="30">
        <f t="shared" si="53"/>
        <v>466304.34033907758</v>
      </c>
      <c r="CG46" s="30">
        <f t="shared" si="54"/>
        <v>4219286.9827674096</v>
      </c>
      <c r="CH46" s="33">
        <f t="shared" si="19"/>
        <v>7904625.866048607</v>
      </c>
      <c r="CI46" s="30">
        <f t="shared" si="20"/>
        <v>3752982.642428332</v>
      </c>
      <c r="CJ46" s="30">
        <f t="shared" si="21"/>
        <v>466304.34033907828</v>
      </c>
      <c r="CK46" s="33">
        <f t="shared" si="22"/>
        <v>4219286.9827674106</v>
      </c>
      <c r="CM46" s="3"/>
      <c r="CS46">
        <v>32.99722222222222</v>
      </c>
      <c r="CT46">
        <v>1</v>
      </c>
      <c r="CU46">
        <v>37</v>
      </c>
      <c r="CV46" s="38">
        <v>57891</v>
      </c>
      <c r="CW46" s="43">
        <f t="shared" si="55"/>
        <v>1.0244548320770264E-8</v>
      </c>
      <c r="CX46" s="30">
        <v>0</v>
      </c>
      <c r="CY46" s="30">
        <f t="shared" si="23"/>
        <v>0</v>
      </c>
      <c r="CZ46" s="30">
        <f t="shared" si="56"/>
        <v>5.1222741603851322E-10</v>
      </c>
      <c r="DA46" s="30">
        <f t="shared" si="57"/>
        <v>5.1222741603851322E-10</v>
      </c>
      <c r="DB46" s="33">
        <f t="shared" si="24"/>
        <v>1.0244548320770264E-8</v>
      </c>
      <c r="DC46" s="43">
        <f t="shared" si="58"/>
        <v>30723689.87352686</v>
      </c>
      <c r="DD46" s="30">
        <v>0</v>
      </c>
      <c r="DE46" s="30">
        <f t="shared" si="70"/>
        <v>5729395.8760988796</v>
      </c>
      <c r="DF46" s="30">
        <f t="shared" si="59"/>
        <v>1228947.5949410745</v>
      </c>
      <c r="DG46" s="30">
        <f t="shared" si="60"/>
        <v>6958343.4710399546</v>
      </c>
      <c r="DH46" s="33">
        <f t="shared" si="26"/>
        <v>24994293.997427981</v>
      </c>
      <c r="DI46" s="30">
        <f t="shared" si="27"/>
        <v>5729395.8760988796</v>
      </c>
      <c r="DJ46" s="30">
        <f t="shared" si="28"/>
        <v>1228947.594941075</v>
      </c>
      <c r="DK46" s="33">
        <f t="shared" si="29"/>
        <v>6958343.4710399555</v>
      </c>
      <c r="DM46" s="3"/>
      <c r="DS46">
        <v>30.997222222222224</v>
      </c>
      <c r="DT46">
        <v>1</v>
      </c>
      <c r="DU46">
        <v>37</v>
      </c>
      <c r="DV46" s="38">
        <v>57891</v>
      </c>
      <c r="DW46" s="43">
        <f t="shared" si="61"/>
        <v>0</v>
      </c>
      <c r="DX46" s="30">
        <v>0</v>
      </c>
      <c r="DY46" s="30">
        <f t="shared" si="30"/>
        <v>0</v>
      </c>
      <c r="DZ46" s="30">
        <f t="shared" si="62"/>
        <v>0</v>
      </c>
      <c r="EA46" s="30">
        <f t="shared" si="63"/>
        <v>0</v>
      </c>
      <c r="EB46" s="33">
        <f t="shared" si="31"/>
        <v>0</v>
      </c>
      <c r="EC46" s="43">
        <f t="shared" si="64"/>
        <v>83732303.379755944</v>
      </c>
      <c r="ED46" s="30">
        <v>0</v>
      </c>
      <c r="EE46" s="30">
        <f t="shared" si="71"/>
        <v>12783260.764408259</v>
      </c>
      <c r="EF46" s="30">
        <f t="shared" si="65"/>
        <v>3349292.1351902378</v>
      </c>
      <c r="EG46" s="30">
        <f t="shared" si="66"/>
        <v>16132552.899598496</v>
      </c>
      <c r="EH46" s="33">
        <f t="shared" si="33"/>
        <v>70949042.615347683</v>
      </c>
      <c r="EI46" s="30">
        <f t="shared" si="34"/>
        <v>12783260.764408259</v>
      </c>
      <c r="EJ46" s="30">
        <f t="shared" si="35"/>
        <v>3349292.1351902378</v>
      </c>
      <c r="EK46" s="33">
        <f t="shared" si="36"/>
        <v>16132552.899598496</v>
      </c>
    </row>
    <row r="47" spans="3:141" x14ac:dyDescent="0.25">
      <c r="C47" s="38">
        <v>58256</v>
      </c>
      <c r="D47" s="43">
        <f t="shared" si="73"/>
        <v>0</v>
      </c>
      <c r="E47" s="30">
        <f t="shared" si="73"/>
        <v>0</v>
      </c>
      <c r="F47" s="30">
        <f t="shared" si="73"/>
        <v>1.4202669262886049E-9</v>
      </c>
      <c r="G47" s="33">
        <f t="shared" si="73"/>
        <v>1.4202669262886049E-9</v>
      </c>
      <c r="H47" s="43">
        <f t="shared" si="73"/>
        <v>0</v>
      </c>
      <c r="I47" s="30">
        <f t="shared" si="73"/>
        <v>24362100.669645995</v>
      </c>
      <c r="J47" s="30">
        <f t="shared" si="73"/>
        <v>4206605.059625282</v>
      </c>
      <c r="K47" s="33">
        <f t="shared" si="73"/>
        <v>28568705.729271278</v>
      </c>
      <c r="S47">
        <v>36.580555555555556</v>
      </c>
      <c r="T47">
        <v>1</v>
      </c>
      <c r="U47">
        <v>38</v>
      </c>
      <c r="V47" s="38">
        <v>58256</v>
      </c>
      <c r="W47" s="43">
        <f t="shared" si="38"/>
        <v>20637435.095100001</v>
      </c>
      <c r="X47" s="30">
        <f>IFERROR(VLOOKUP(V47,Inputs!$A$13:$B$23,2,0),0)*$X$5</f>
        <v>0</v>
      </c>
      <c r="Y47" s="30">
        <v>0</v>
      </c>
      <c r="Z47" s="30">
        <v>0</v>
      </c>
      <c r="AA47" s="30">
        <f t="shared" si="39"/>
        <v>0</v>
      </c>
      <c r="AB47" s="33">
        <f t="shared" si="3"/>
        <v>20637435.095100001</v>
      </c>
      <c r="AC47" s="43">
        <f t="shared" si="40"/>
        <v>0</v>
      </c>
      <c r="AD47" s="30">
        <f>IFERROR(VLOOKUP(C47,Inputs!$A$13:$B$23,2,0),0)*'PV &amp; WIFIA New'!$AD$5</f>
        <v>0</v>
      </c>
      <c r="AE47" s="30">
        <f t="shared" si="67"/>
        <v>0</v>
      </c>
      <c r="AF47" s="30">
        <f t="shared" si="41"/>
        <v>0</v>
      </c>
      <c r="AG47" s="30">
        <f t="shared" si="42"/>
        <v>0</v>
      </c>
      <c r="AH47" s="33">
        <f t="shared" si="5"/>
        <v>0</v>
      </c>
      <c r="AI47" s="30">
        <f t="shared" si="6"/>
        <v>0</v>
      </c>
      <c r="AJ47" s="30">
        <f t="shared" si="7"/>
        <v>0</v>
      </c>
      <c r="AK47" s="33">
        <f t="shared" si="8"/>
        <v>0</v>
      </c>
      <c r="AM47" s="3"/>
      <c r="AS47">
        <v>35.99722222222222</v>
      </c>
      <c r="AT47">
        <v>1</v>
      </c>
      <c r="AU47">
        <v>38</v>
      </c>
      <c r="AV47" s="38">
        <v>58256</v>
      </c>
      <c r="AW47" s="43">
        <f t="shared" si="43"/>
        <v>3.7252902984619141E-9</v>
      </c>
      <c r="AX47" s="30">
        <v>0</v>
      </c>
      <c r="AY47" s="30">
        <f t="shared" si="9"/>
        <v>0</v>
      </c>
      <c r="AZ47" s="30">
        <f t="shared" si="44"/>
        <v>1.8626451492309571E-10</v>
      </c>
      <c r="BA47" s="30">
        <f t="shared" si="45"/>
        <v>1.8626451492309571E-10</v>
      </c>
      <c r="BB47" s="33">
        <f t="shared" si="10"/>
        <v>3.7252902984619141E-9</v>
      </c>
      <c r="BC47" s="43">
        <f t="shared" si="46"/>
        <v>1317164.0118077719</v>
      </c>
      <c r="BD47" s="30">
        <v>0</v>
      </c>
      <c r="BE47" s="30">
        <f t="shared" si="68"/>
        <v>1317164.0118077828</v>
      </c>
      <c r="BF47" s="30">
        <f t="shared" si="47"/>
        <v>52686.560472310877</v>
      </c>
      <c r="BG47" s="30">
        <f t="shared" si="48"/>
        <v>1369850.5722800938</v>
      </c>
      <c r="BH47" s="33">
        <f t="shared" si="12"/>
        <v>-1.0943040251731873E-8</v>
      </c>
      <c r="BI47" s="30">
        <f t="shared" si="13"/>
        <v>1317164.0118077828</v>
      </c>
      <c r="BJ47" s="30">
        <f t="shared" si="14"/>
        <v>52686.560472311066</v>
      </c>
      <c r="BK47" s="33">
        <f t="shared" si="15"/>
        <v>1369850.572280094</v>
      </c>
      <c r="BM47" s="3"/>
      <c r="BS47">
        <v>34.99722222222222</v>
      </c>
      <c r="BT47">
        <v>1</v>
      </c>
      <c r="BU47">
        <v>38</v>
      </c>
      <c r="BV47" s="38">
        <v>58256</v>
      </c>
      <c r="BW47" s="43">
        <f t="shared" si="49"/>
        <v>1.4435499906539917E-8</v>
      </c>
      <c r="BX47" s="30">
        <v>0</v>
      </c>
      <c r="BY47" s="30">
        <f t="shared" si="16"/>
        <v>0</v>
      </c>
      <c r="BZ47" s="30">
        <f t="shared" si="50"/>
        <v>7.2177499532699587E-10</v>
      </c>
      <c r="CA47" s="30">
        <f t="shared" si="51"/>
        <v>7.2177499532699587E-10</v>
      </c>
      <c r="CB47" s="33">
        <f t="shared" si="17"/>
        <v>1.4435499906539917E-8</v>
      </c>
      <c r="CC47" s="43">
        <f t="shared" si="52"/>
        <v>7904625.866048607</v>
      </c>
      <c r="CD47" s="30">
        <v>0</v>
      </c>
      <c r="CE47" s="30">
        <f t="shared" si="69"/>
        <v>3884337.0349133238</v>
      </c>
      <c r="CF47" s="30">
        <f t="shared" si="53"/>
        <v>316185.03464194428</v>
      </c>
      <c r="CG47" s="30">
        <f t="shared" si="54"/>
        <v>4200522.0695552677</v>
      </c>
      <c r="CH47" s="33">
        <f t="shared" si="19"/>
        <v>4020288.8311352832</v>
      </c>
      <c r="CI47" s="30">
        <f t="shared" si="20"/>
        <v>3884337.0349133238</v>
      </c>
      <c r="CJ47" s="30">
        <f t="shared" si="21"/>
        <v>316185.03464194498</v>
      </c>
      <c r="CK47" s="33">
        <f t="shared" si="22"/>
        <v>4200522.0695552686</v>
      </c>
      <c r="CM47" s="3"/>
      <c r="CS47">
        <v>33.99722222222222</v>
      </c>
      <c r="CT47">
        <v>1</v>
      </c>
      <c r="CU47">
        <v>38</v>
      </c>
      <c r="CV47" s="38">
        <v>58256</v>
      </c>
      <c r="CW47" s="43">
        <f t="shared" si="55"/>
        <v>1.0244548320770264E-8</v>
      </c>
      <c r="CX47" s="30">
        <v>0</v>
      </c>
      <c r="CY47" s="30">
        <f t="shared" si="23"/>
        <v>0</v>
      </c>
      <c r="CZ47" s="30">
        <f t="shared" si="56"/>
        <v>5.1222741603851322E-10</v>
      </c>
      <c r="DA47" s="30">
        <f t="shared" si="57"/>
        <v>5.1222741603851322E-10</v>
      </c>
      <c r="DB47" s="33">
        <f t="shared" si="24"/>
        <v>1.0244548320770264E-8</v>
      </c>
      <c r="DC47" s="43">
        <f t="shared" si="58"/>
        <v>24994293.997427981</v>
      </c>
      <c r="DD47" s="30">
        <v>0</v>
      </c>
      <c r="DE47" s="30">
        <f t="shared" si="70"/>
        <v>5929924.7317623403</v>
      </c>
      <c r="DF47" s="30">
        <f t="shared" si="59"/>
        <v>999771.75989711925</v>
      </c>
      <c r="DG47" s="30">
        <f t="shared" si="60"/>
        <v>6929696.4916594597</v>
      </c>
      <c r="DH47" s="33">
        <f t="shared" si="26"/>
        <v>19064369.265665643</v>
      </c>
      <c r="DI47" s="30">
        <f t="shared" si="27"/>
        <v>5929924.7317623403</v>
      </c>
      <c r="DJ47" s="30">
        <f t="shared" si="28"/>
        <v>999771.75989711971</v>
      </c>
      <c r="DK47" s="33">
        <f t="shared" si="29"/>
        <v>6929696.4916594606</v>
      </c>
      <c r="DM47" s="3"/>
      <c r="DS47">
        <v>31.997222222222224</v>
      </c>
      <c r="DT47">
        <v>1</v>
      </c>
      <c r="DU47">
        <v>38</v>
      </c>
      <c r="DV47" s="38">
        <v>58256</v>
      </c>
      <c r="DW47" s="43">
        <f t="shared" si="61"/>
        <v>0</v>
      </c>
      <c r="DX47" s="30">
        <v>0</v>
      </c>
      <c r="DY47" s="30">
        <f t="shared" si="30"/>
        <v>0</v>
      </c>
      <c r="DZ47" s="30">
        <f t="shared" si="62"/>
        <v>0</v>
      </c>
      <c r="EA47" s="30">
        <f t="shared" si="63"/>
        <v>0</v>
      </c>
      <c r="EB47" s="33">
        <f t="shared" si="31"/>
        <v>0</v>
      </c>
      <c r="EC47" s="43">
        <f t="shared" si="64"/>
        <v>70949042.615347683</v>
      </c>
      <c r="ED47" s="30">
        <v>0</v>
      </c>
      <c r="EE47" s="30">
        <f t="shared" si="71"/>
        <v>13230674.891162548</v>
      </c>
      <c r="EF47" s="30">
        <f t="shared" si="65"/>
        <v>2837961.7046139073</v>
      </c>
      <c r="EG47" s="30">
        <f t="shared" si="66"/>
        <v>16068636.595776455</v>
      </c>
      <c r="EH47" s="33">
        <f t="shared" si="33"/>
        <v>57718367.724185139</v>
      </c>
      <c r="EI47" s="30">
        <f t="shared" si="34"/>
        <v>13230674.891162548</v>
      </c>
      <c r="EJ47" s="30">
        <f t="shared" si="35"/>
        <v>2837961.7046139073</v>
      </c>
      <c r="EK47" s="33">
        <f t="shared" si="36"/>
        <v>16068636.595776455</v>
      </c>
    </row>
    <row r="48" spans="3:141" x14ac:dyDescent="0.25">
      <c r="C48" s="38">
        <v>58622</v>
      </c>
      <c r="D48" s="43">
        <f t="shared" si="73"/>
        <v>0</v>
      </c>
      <c r="E48" s="30">
        <f t="shared" si="73"/>
        <v>0</v>
      </c>
      <c r="F48" s="30">
        <f t="shared" si="73"/>
        <v>1.4202669262886049E-9</v>
      </c>
      <c r="G48" s="33">
        <f t="shared" si="73"/>
        <v>1.4202669262886049E-9</v>
      </c>
      <c r="H48" s="43">
        <f t="shared" si="73"/>
        <v>0</v>
      </c>
      <c r="I48" s="30">
        <f t="shared" si="73"/>
        <v>23851509.440862551</v>
      </c>
      <c r="J48" s="30">
        <f t="shared" si="73"/>
        <v>3232121.0328394426</v>
      </c>
      <c r="K48" s="33">
        <f t="shared" si="73"/>
        <v>27083630.473701991</v>
      </c>
      <c r="S48">
        <v>37.580555555555556</v>
      </c>
      <c r="T48">
        <v>1</v>
      </c>
      <c r="U48">
        <v>39</v>
      </c>
      <c r="V48" s="38">
        <v>58622</v>
      </c>
      <c r="W48" s="43">
        <f t="shared" si="38"/>
        <v>20637435.095100001</v>
      </c>
      <c r="X48" s="30">
        <f>IFERROR(VLOOKUP(V48,Inputs!$A$13:$B$23,2,0),0)*$X$5</f>
        <v>0</v>
      </c>
      <c r="Y48" s="30">
        <v>0</v>
      </c>
      <c r="Z48" s="30">
        <v>0</v>
      </c>
      <c r="AA48" s="30">
        <f t="shared" si="39"/>
        <v>0</v>
      </c>
      <c r="AB48" s="33">
        <f t="shared" si="3"/>
        <v>20637435.095100001</v>
      </c>
      <c r="AC48" s="43">
        <f t="shared" si="40"/>
        <v>0</v>
      </c>
      <c r="AD48" s="30">
        <f>IFERROR(VLOOKUP(C48,Inputs!$A$13:$B$23,2,0),0)*'PV &amp; WIFIA New'!$AD$5</f>
        <v>0</v>
      </c>
      <c r="AE48" s="30">
        <f t="shared" si="67"/>
        <v>0</v>
      </c>
      <c r="AF48" s="30">
        <f t="shared" si="41"/>
        <v>0</v>
      </c>
      <c r="AG48" s="30">
        <f t="shared" si="42"/>
        <v>0</v>
      </c>
      <c r="AH48" s="33">
        <f t="shared" si="5"/>
        <v>0</v>
      </c>
      <c r="AI48" s="30">
        <f t="shared" si="6"/>
        <v>0</v>
      </c>
      <c r="AJ48" s="30">
        <f t="shared" si="7"/>
        <v>0</v>
      </c>
      <c r="AK48" s="33">
        <f t="shared" si="8"/>
        <v>0</v>
      </c>
      <c r="AM48" s="3"/>
      <c r="AS48">
        <v>36.99722222222222</v>
      </c>
      <c r="AT48">
        <v>1</v>
      </c>
      <c r="AU48">
        <v>39</v>
      </c>
      <c r="AV48" s="38">
        <v>58622</v>
      </c>
      <c r="AW48" s="43">
        <f t="shared" si="43"/>
        <v>3.7252902984619141E-9</v>
      </c>
      <c r="AX48" s="30">
        <v>0</v>
      </c>
      <c r="AY48" s="30">
        <f t="shared" si="9"/>
        <v>0</v>
      </c>
      <c r="AZ48" s="30">
        <f t="shared" si="44"/>
        <v>1.8626451492309571E-10</v>
      </c>
      <c r="BA48" s="30">
        <f t="shared" si="45"/>
        <v>1.8626451492309571E-10</v>
      </c>
      <c r="BB48" s="33">
        <f t="shared" si="10"/>
        <v>3.7252902984619141E-9</v>
      </c>
      <c r="BC48" s="43">
        <f t="shared" si="46"/>
        <v>-1.0943040251731873E-8</v>
      </c>
      <c r="BD48" s="30">
        <v>0</v>
      </c>
      <c r="BE48" s="30">
        <f t="shared" si="68"/>
        <v>0</v>
      </c>
      <c r="BF48" s="30">
        <f t="shared" si="47"/>
        <v>-4.3772161006927493E-10</v>
      </c>
      <c r="BG48" s="30">
        <f t="shared" si="48"/>
        <v>-4.3772161006927493E-10</v>
      </c>
      <c r="BH48" s="33">
        <f t="shared" si="12"/>
        <v>-1.0943040251731873E-8</v>
      </c>
      <c r="BI48" s="30">
        <f t="shared" si="13"/>
        <v>0</v>
      </c>
      <c r="BJ48" s="30">
        <f t="shared" si="14"/>
        <v>-2.5145709514617922E-10</v>
      </c>
      <c r="BK48" s="33">
        <f t="shared" si="15"/>
        <v>-2.5145709514617922E-10</v>
      </c>
      <c r="BM48" s="3"/>
      <c r="BS48">
        <v>35.99722222222222</v>
      </c>
      <c r="BT48">
        <v>1</v>
      </c>
      <c r="BU48">
        <v>39</v>
      </c>
      <c r="BV48" s="38">
        <v>58622</v>
      </c>
      <c r="BW48" s="43">
        <f t="shared" si="49"/>
        <v>1.4435499906539917E-8</v>
      </c>
      <c r="BX48" s="30">
        <v>0</v>
      </c>
      <c r="BY48" s="30">
        <f t="shared" si="16"/>
        <v>0</v>
      </c>
      <c r="BZ48" s="30">
        <f t="shared" si="50"/>
        <v>7.2177499532699587E-10</v>
      </c>
      <c r="CA48" s="30">
        <f t="shared" si="51"/>
        <v>7.2177499532699587E-10</v>
      </c>
      <c r="CB48" s="33">
        <f t="shared" si="17"/>
        <v>1.4435499906539917E-8</v>
      </c>
      <c r="CC48" s="43">
        <f t="shared" si="52"/>
        <v>4020288.8311352832</v>
      </c>
      <c r="CD48" s="30">
        <v>0</v>
      </c>
      <c r="CE48" s="30">
        <f t="shared" si="69"/>
        <v>4020288.8311352902</v>
      </c>
      <c r="CF48" s="30">
        <f t="shared" si="53"/>
        <v>160811.55324541134</v>
      </c>
      <c r="CG48" s="30">
        <f t="shared" si="54"/>
        <v>4181100.3843807015</v>
      </c>
      <c r="CH48" s="33">
        <f t="shared" si="19"/>
        <v>-6.9849193096160889E-9</v>
      </c>
      <c r="CI48" s="30">
        <f t="shared" si="20"/>
        <v>4020288.8311352902</v>
      </c>
      <c r="CJ48" s="30">
        <f t="shared" si="21"/>
        <v>160811.55324541207</v>
      </c>
      <c r="CK48" s="33">
        <f t="shared" si="22"/>
        <v>4181100.3843807024</v>
      </c>
      <c r="CM48" s="3"/>
      <c r="CS48">
        <v>34.99722222222222</v>
      </c>
      <c r="CT48">
        <v>1</v>
      </c>
      <c r="CU48">
        <v>39</v>
      </c>
      <c r="CV48" s="38">
        <v>58622</v>
      </c>
      <c r="CW48" s="43">
        <f t="shared" si="55"/>
        <v>1.0244548320770264E-8</v>
      </c>
      <c r="CX48" s="30">
        <v>0</v>
      </c>
      <c r="CY48" s="30">
        <f t="shared" si="23"/>
        <v>0</v>
      </c>
      <c r="CZ48" s="30">
        <f t="shared" si="56"/>
        <v>5.1222741603851322E-10</v>
      </c>
      <c r="DA48" s="30">
        <f t="shared" si="57"/>
        <v>5.1222741603851322E-10</v>
      </c>
      <c r="DB48" s="33">
        <f t="shared" si="24"/>
        <v>1.0244548320770264E-8</v>
      </c>
      <c r="DC48" s="43">
        <f t="shared" si="58"/>
        <v>19064369.265665643</v>
      </c>
      <c r="DD48" s="30">
        <v>0</v>
      </c>
      <c r="DE48" s="30">
        <f t="shared" si="70"/>
        <v>6137472.097374022</v>
      </c>
      <c r="DF48" s="30">
        <f t="shared" si="59"/>
        <v>762574.77062662574</v>
      </c>
      <c r="DG48" s="30">
        <f t="shared" si="60"/>
        <v>6900046.868000648</v>
      </c>
      <c r="DH48" s="33">
        <f t="shared" si="26"/>
        <v>12926897.168291621</v>
      </c>
      <c r="DI48" s="30">
        <f t="shared" si="27"/>
        <v>6137472.097374022</v>
      </c>
      <c r="DJ48" s="30">
        <f t="shared" si="28"/>
        <v>762574.77062662621</v>
      </c>
      <c r="DK48" s="33">
        <f t="shared" si="29"/>
        <v>6900046.8680006489</v>
      </c>
      <c r="DM48" s="3"/>
      <c r="DS48">
        <v>32.99722222222222</v>
      </c>
      <c r="DT48">
        <v>1</v>
      </c>
      <c r="DU48">
        <v>39</v>
      </c>
      <c r="DV48" s="38">
        <v>58622</v>
      </c>
      <c r="DW48" s="43">
        <f t="shared" si="61"/>
        <v>0</v>
      </c>
      <c r="DX48" s="30">
        <v>0</v>
      </c>
      <c r="DY48" s="30">
        <f t="shared" si="30"/>
        <v>0</v>
      </c>
      <c r="DZ48" s="30">
        <f t="shared" si="62"/>
        <v>0</v>
      </c>
      <c r="EA48" s="30">
        <f t="shared" si="63"/>
        <v>0</v>
      </c>
      <c r="EB48" s="33">
        <f t="shared" si="31"/>
        <v>0</v>
      </c>
      <c r="EC48" s="43">
        <f t="shared" si="64"/>
        <v>57718367.724185139</v>
      </c>
      <c r="ED48" s="30">
        <v>0</v>
      </c>
      <c r="EE48" s="30">
        <f t="shared" si="71"/>
        <v>13693748.512353238</v>
      </c>
      <c r="EF48" s="30">
        <f t="shared" si="65"/>
        <v>2308734.7089674058</v>
      </c>
      <c r="EG48" s="30">
        <f t="shared" si="66"/>
        <v>16002483.221320644</v>
      </c>
      <c r="EH48" s="33">
        <f t="shared" si="33"/>
        <v>44024619.211831897</v>
      </c>
      <c r="EI48" s="30">
        <f t="shared" si="34"/>
        <v>13693748.512353238</v>
      </c>
      <c r="EJ48" s="30">
        <f t="shared" si="35"/>
        <v>2308734.7089674058</v>
      </c>
      <c r="EK48" s="33">
        <f t="shared" si="36"/>
        <v>16002483.221320644</v>
      </c>
    </row>
    <row r="49" spans="3:141" x14ac:dyDescent="0.25">
      <c r="C49" s="38">
        <v>58987</v>
      </c>
      <c r="D49" s="43">
        <f t="shared" si="73"/>
        <v>0</v>
      </c>
      <c r="E49" s="30">
        <f t="shared" si="73"/>
        <v>0</v>
      </c>
      <c r="F49" s="30">
        <f t="shared" si="73"/>
        <v>1.4202669262886049E-9</v>
      </c>
      <c r="G49" s="33">
        <f t="shared" si="73"/>
        <v>1.4202669262886049E-9</v>
      </c>
      <c r="H49" s="43">
        <f t="shared" si="73"/>
        <v>0</v>
      </c>
      <c r="I49" s="30">
        <f t="shared" si="73"/>
        <v>20525313.331067711</v>
      </c>
      <c r="J49" s="30">
        <f t="shared" si="73"/>
        <v>2278060.6552049401</v>
      </c>
      <c r="K49" s="33">
        <f t="shared" si="73"/>
        <v>22803373.986272652</v>
      </c>
      <c r="S49">
        <v>38.580555555555556</v>
      </c>
      <c r="T49">
        <v>1</v>
      </c>
      <c r="U49">
        <v>40</v>
      </c>
      <c r="V49" s="38">
        <v>58987</v>
      </c>
      <c r="W49" s="43">
        <f t="shared" si="38"/>
        <v>20637435.095100001</v>
      </c>
      <c r="X49" s="30">
        <f>IFERROR(VLOOKUP(V49,Inputs!$A$13:$B$23,2,0),0)*$X$5</f>
        <v>0</v>
      </c>
      <c r="Y49" s="30">
        <v>0</v>
      </c>
      <c r="Z49" s="30">
        <v>0</v>
      </c>
      <c r="AA49" s="30">
        <f t="shared" si="39"/>
        <v>0</v>
      </c>
      <c r="AB49" s="33">
        <f t="shared" si="3"/>
        <v>20637435.095100001</v>
      </c>
      <c r="AC49" s="43">
        <f t="shared" si="40"/>
        <v>0</v>
      </c>
      <c r="AD49" s="30">
        <f>IFERROR(VLOOKUP(C49,Inputs!$A$13:$B$23,2,0),0)*'PV &amp; WIFIA New'!$AD$5</f>
        <v>0</v>
      </c>
      <c r="AE49" s="30">
        <f t="shared" si="67"/>
        <v>0</v>
      </c>
      <c r="AF49" s="30">
        <f t="shared" si="41"/>
        <v>0</v>
      </c>
      <c r="AG49" s="30">
        <f t="shared" si="42"/>
        <v>0</v>
      </c>
      <c r="AH49" s="33">
        <f t="shared" si="5"/>
        <v>0</v>
      </c>
      <c r="AI49" s="30">
        <f t="shared" si="6"/>
        <v>0</v>
      </c>
      <c r="AJ49" s="30">
        <f t="shared" si="7"/>
        <v>0</v>
      </c>
      <c r="AK49" s="33">
        <f t="shared" si="8"/>
        <v>0</v>
      </c>
      <c r="AM49" s="3"/>
      <c r="AS49">
        <v>37.99722222222222</v>
      </c>
      <c r="AT49">
        <v>1</v>
      </c>
      <c r="AU49">
        <v>40</v>
      </c>
      <c r="AV49" s="38">
        <v>58987</v>
      </c>
      <c r="AW49" s="43">
        <f t="shared" si="43"/>
        <v>3.7252902984619141E-9</v>
      </c>
      <c r="AX49" s="30">
        <v>0</v>
      </c>
      <c r="AY49" s="30">
        <f t="shared" si="9"/>
        <v>0</v>
      </c>
      <c r="AZ49" s="30">
        <f t="shared" si="44"/>
        <v>1.8626451492309571E-10</v>
      </c>
      <c r="BA49" s="30">
        <f t="shared" si="45"/>
        <v>1.8626451492309571E-10</v>
      </c>
      <c r="BB49" s="33">
        <f t="shared" si="10"/>
        <v>3.7252902984619141E-9</v>
      </c>
      <c r="BC49" s="43">
        <f t="shared" si="46"/>
        <v>-1.0943040251731873E-8</v>
      </c>
      <c r="BD49" s="30">
        <v>0</v>
      </c>
      <c r="BE49" s="30">
        <f t="shared" si="68"/>
        <v>0</v>
      </c>
      <c r="BF49" s="30">
        <f t="shared" si="47"/>
        <v>-4.3772161006927493E-10</v>
      </c>
      <c r="BG49" s="30">
        <f t="shared" si="48"/>
        <v>-4.3772161006927493E-10</v>
      </c>
      <c r="BH49" s="33">
        <f t="shared" si="12"/>
        <v>-1.0943040251731873E-8</v>
      </c>
      <c r="BI49" s="30">
        <f t="shared" si="13"/>
        <v>0</v>
      </c>
      <c r="BJ49" s="30">
        <f t="shared" si="14"/>
        <v>-2.5145709514617922E-10</v>
      </c>
      <c r="BK49" s="33">
        <f t="shared" si="15"/>
        <v>-2.5145709514617922E-10</v>
      </c>
      <c r="BM49" s="3"/>
      <c r="BS49">
        <v>36.99722222222222</v>
      </c>
      <c r="BT49">
        <v>1</v>
      </c>
      <c r="BU49">
        <v>40</v>
      </c>
      <c r="BV49" s="38">
        <v>58987</v>
      </c>
      <c r="BW49" s="43">
        <f t="shared" si="49"/>
        <v>1.4435499906539917E-8</v>
      </c>
      <c r="BX49" s="30">
        <v>0</v>
      </c>
      <c r="BY49" s="30">
        <f t="shared" si="16"/>
        <v>0</v>
      </c>
      <c r="BZ49" s="30">
        <f t="shared" si="50"/>
        <v>7.2177499532699587E-10</v>
      </c>
      <c r="CA49" s="30">
        <f t="shared" si="51"/>
        <v>7.2177499532699587E-10</v>
      </c>
      <c r="CB49" s="33">
        <f t="shared" si="17"/>
        <v>1.4435499906539917E-8</v>
      </c>
      <c r="CC49" s="43">
        <f t="shared" si="52"/>
        <v>-6.9849193096160889E-9</v>
      </c>
      <c r="CD49" s="30">
        <v>0</v>
      </c>
      <c r="CE49" s="30">
        <f t="shared" si="69"/>
        <v>0</v>
      </c>
      <c r="CF49" s="30">
        <f t="shared" si="53"/>
        <v>-2.7939677238464354E-10</v>
      </c>
      <c r="CG49" s="30">
        <f t="shared" si="54"/>
        <v>-2.7939677238464354E-10</v>
      </c>
      <c r="CH49" s="33">
        <f t="shared" si="19"/>
        <v>-6.9849193096160889E-9</v>
      </c>
      <c r="CI49" s="30">
        <f t="shared" si="20"/>
        <v>0</v>
      </c>
      <c r="CJ49" s="30">
        <f t="shared" si="21"/>
        <v>4.4237822294235233E-10</v>
      </c>
      <c r="CK49" s="33">
        <f t="shared" si="22"/>
        <v>4.4237822294235233E-10</v>
      </c>
      <c r="CM49" s="3"/>
      <c r="CS49">
        <v>35.99722222222222</v>
      </c>
      <c r="CT49">
        <v>1</v>
      </c>
      <c r="CU49">
        <v>40</v>
      </c>
      <c r="CV49" s="38">
        <v>58987</v>
      </c>
      <c r="CW49" s="43">
        <f t="shared" si="55"/>
        <v>1.0244548320770264E-8</v>
      </c>
      <c r="CX49" s="30">
        <v>0</v>
      </c>
      <c r="CY49" s="30">
        <f t="shared" si="23"/>
        <v>0</v>
      </c>
      <c r="CZ49" s="30">
        <f t="shared" si="56"/>
        <v>5.1222741603851322E-10</v>
      </c>
      <c r="DA49" s="30">
        <f t="shared" si="57"/>
        <v>5.1222741603851322E-10</v>
      </c>
      <c r="DB49" s="33">
        <f t="shared" si="24"/>
        <v>1.0244548320770264E-8</v>
      </c>
      <c r="DC49" s="43">
        <f t="shared" si="58"/>
        <v>12926897.168291621</v>
      </c>
      <c r="DD49" s="30">
        <v>0</v>
      </c>
      <c r="DE49" s="30">
        <f t="shared" si="70"/>
        <v>6352283.6207821127</v>
      </c>
      <c r="DF49" s="30">
        <f t="shared" si="59"/>
        <v>517075.88673166482</v>
      </c>
      <c r="DG49" s="30">
        <f t="shared" si="60"/>
        <v>6869359.5075137774</v>
      </c>
      <c r="DH49" s="33">
        <f t="shared" si="26"/>
        <v>6574613.5475095082</v>
      </c>
      <c r="DI49" s="30">
        <f t="shared" si="27"/>
        <v>6352283.6207821127</v>
      </c>
      <c r="DJ49" s="30">
        <f t="shared" si="28"/>
        <v>517075.88673166535</v>
      </c>
      <c r="DK49" s="33">
        <f t="shared" si="29"/>
        <v>6869359.5075137783</v>
      </c>
      <c r="DM49" s="3"/>
      <c r="DS49">
        <v>33.99722222222222</v>
      </c>
      <c r="DT49">
        <v>1</v>
      </c>
      <c r="DU49">
        <v>40</v>
      </c>
      <c r="DV49" s="38">
        <v>58987</v>
      </c>
      <c r="DW49" s="43">
        <f t="shared" si="61"/>
        <v>0</v>
      </c>
      <c r="DX49" s="30">
        <v>0</v>
      </c>
      <c r="DY49" s="30">
        <f t="shared" si="30"/>
        <v>0</v>
      </c>
      <c r="DZ49" s="30">
        <f t="shared" si="62"/>
        <v>0</v>
      </c>
      <c r="EA49" s="30">
        <f t="shared" si="63"/>
        <v>0</v>
      </c>
      <c r="EB49" s="33">
        <f t="shared" si="31"/>
        <v>0</v>
      </c>
      <c r="EC49" s="43">
        <f t="shared" si="64"/>
        <v>44024619.211831897</v>
      </c>
      <c r="ED49" s="30">
        <v>0</v>
      </c>
      <c r="EE49" s="30">
        <f t="shared" si="71"/>
        <v>14173029.7102856</v>
      </c>
      <c r="EF49" s="30">
        <f t="shared" si="65"/>
        <v>1760984.7684732759</v>
      </c>
      <c r="EG49" s="30">
        <f t="shared" si="66"/>
        <v>15934014.478758875</v>
      </c>
      <c r="EH49" s="33">
        <f t="shared" si="33"/>
        <v>29851589.501546297</v>
      </c>
      <c r="EI49" s="30">
        <f t="shared" si="34"/>
        <v>14173029.7102856</v>
      </c>
      <c r="EJ49" s="30">
        <f t="shared" si="35"/>
        <v>1760984.7684732759</v>
      </c>
      <c r="EK49" s="33">
        <f t="shared" si="36"/>
        <v>15934014.478758875</v>
      </c>
    </row>
    <row r="50" spans="3:141" x14ac:dyDescent="0.25">
      <c r="C50" s="38">
        <v>59352</v>
      </c>
      <c r="D50" s="43">
        <f t="shared" si="73"/>
        <v>0</v>
      </c>
      <c r="E50" s="30">
        <f t="shared" si="73"/>
        <v>0</v>
      </c>
      <c r="F50" s="30">
        <f t="shared" si="73"/>
        <v>1.4202669262886049E-9</v>
      </c>
      <c r="G50" s="33">
        <f t="shared" si="73"/>
        <v>1.4202669262886049E-9</v>
      </c>
      <c r="H50" s="43">
        <f t="shared" si="73"/>
        <v>0</v>
      </c>
      <c r="I50" s="30">
        <f t="shared" si="73"/>
        <v>21243699.297655083</v>
      </c>
      <c r="J50" s="30">
        <f t="shared" si="73"/>
        <v>1457048.1219622316</v>
      </c>
      <c r="K50" s="33">
        <f t="shared" si="73"/>
        <v>22700747.419617314</v>
      </c>
      <c r="S50">
        <v>39.580555555555556</v>
      </c>
      <c r="T50">
        <v>1</v>
      </c>
      <c r="U50">
        <v>41</v>
      </c>
      <c r="V50" s="38">
        <v>59352</v>
      </c>
      <c r="W50" s="43">
        <f t="shared" si="38"/>
        <v>20637435.095100001</v>
      </c>
      <c r="X50" s="30">
        <f>IFERROR(VLOOKUP(V50,Inputs!$A$13:$B$23,2,0),0)*$X$5</f>
        <v>0</v>
      </c>
      <c r="Y50" s="30">
        <v>0</v>
      </c>
      <c r="Z50" s="30">
        <v>0</v>
      </c>
      <c r="AA50" s="30">
        <f t="shared" si="39"/>
        <v>0</v>
      </c>
      <c r="AB50" s="33">
        <f t="shared" si="3"/>
        <v>20637435.095100001</v>
      </c>
      <c r="AC50" s="43">
        <f t="shared" si="40"/>
        <v>0</v>
      </c>
      <c r="AD50" s="30">
        <f>IFERROR(VLOOKUP(C50,Inputs!$A$13:$B$23,2,0),0)*'PV &amp; WIFIA New'!$AD$5</f>
        <v>0</v>
      </c>
      <c r="AE50" s="30">
        <f t="shared" si="67"/>
        <v>0</v>
      </c>
      <c r="AF50" s="30">
        <f t="shared" si="41"/>
        <v>0</v>
      </c>
      <c r="AG50" s="30">
        <f t="shared" si="42"/>
        <v>0</v>
      </c>
      <c r="AH50" s="33">
        <f t="shared" si="5"/>
        <v>0</v>
      </c>
      <c r="AI50" s="30">
        <f t="shared" si="6"/>
        <v>0</v>
      </c>
      <c r="AJ50" s="30">
        <f t="shared" si="7"/>
        <v>0</v>
      </c>
      <c r="AK50" s="33">
        <f t="shared" si="8"/>
        <v>0</v>
      </c>
      <c r="AM50" s="3"/>
      <c r="AS50">
        <v>38.99722222222222</v>
      </c>
      <c r="AT50">
        <v>1</v>
      </c>
      <c r="AU50">
        <v>41</v>
      </c>
      <c r="AV50" s="38">
        <v>59352</v>
      </c>
      <c r="AW50" s="43">
        <f t="shared" si="43"/>
        <v>3.7252902984619141E-9</v>
      </c>
      <c r="AX50" s="30">
        <v>0</v>
      </c>
      <c r="AY50" s="30">
        <f t="shared" si="9"/>
        <v>0</v>
      </c>
      <c r="AZ50" s="30">
        <f t="shared" si="44"/>
        <v>1.8626451492309571E-10</v>
      </c>
      <c r="BA50" s="30">
        <f t="shared" si="45"/>
        <v>1.8626451492309571E-10</v>
      </c>
      <c r="BB50" s="33">
        <f t="shared" si="10"/>
        <v>3.7252902984619141E-9</v>
      </c>
      <c r="BC50" s="43">
        <f t="shared" si="46"/>
        <v>-1.0943040251731873E-8</v>
      </c>
      <c r="BD50" s="30">
        <v>0</v>
      </c>
      <c r="BE50" s="30">
        <f t="shared" si="68"/>
        <v>0</v>
      </c>
      <c r="BF50" s="30">
        <f t="shared" si="47"/>
        <v>-4.3772161006927493E-10</v>
      </c>
      <c r="BG50" s="30">
        <f t="shared" si="48"/>
        <v>-4.3772161006927493E-10</v>
      </c>
      <c r="BH50" s="33">
        <f t="shared" si="12"/>
        <v>-1.0943040251731873E-8</v>
      </c>
      <c r="BI50" s="30">
        <f t="shared" si="13"/>
        <v>0</v>
      </c>
      <c r="BJ50" s="30">
        <f t="shared" si="14"/>
        <v>-2.5145709514617922E-10</v>
      </c>
      <c r="BK50" s="33">
        <f t="shared" si="15"/>
        <v>-2.5145709514617922E-10</v>
      </c>
      <c r="BM50" s="3"/>
      <c r="BS50">
        <v>37.99722222222222</v>
      </c>
      <c r="BT50">
        <v>1</v>
      </c>
      <c r="BU50">
        <v>41</v>
      </c>
      <c r="BV50" s="38">
        <v>59352</v>
      </c>
      <c r="BW50" s="43">
        <f t="shared" si="49"/>
        <v>1.4435499906539917E-8</v>
      </c>
      <c r="BX50" s="30">
        <v>0</v>
      </c>
      <c r="BY50" s="30">
        <f t="shared" si="16"/>
        <v>0</v>
      </c>
      <c r="BZ50" s="30">
        <f t="shared" si="50"/>
        <v>7.2177499532699587E-10</v>
      </c>
      <c r="CA50" s="30">
        <f t="shared" si="51"/>
        <v>7.2177499532699587E-10</v>
      </c>
      <c r="CB50" s="33">
        <f t="shared" si="17"/>
        <v>1.4435499906539917E-8</v>
      </c>
      <c r="CC50" s="43">
        <f t="shared" si="52"/>
        <v>-6.9849193096160889E-9</v>
      </c>
      <c r="CD50" s="30">
        <v>0</v>
      </c>
      <c r="CE50" s="30">
        <f t="shared" si="69"/>
        <v>0</v>
      </c>
      <c r="CF50" s="30">
        <f t="shared" si="53"/>
        <v>-2.7939677238464354E-10</v>
      </c>
      <c r="CG50" s="30">
        <f t="shared" si="54"/>
        <v>-2.7939677238464354E-10</v>
      </c>
      <c r="CH50" s="33">
        <f t="shared" si="19"/>
        <v>-6.9849193096160889E-9</v>
      </c>
      <c r="CI50" s="30">
        <f t="shared" si="20"/>
        <v>0</v>
      </c>
      <c r="CJ50" s="30">
        <f t="shared" si="21"/>
        <v>4.4237822294235233E-10</v>
      </c>
      <c r="CK50" s="33">
        <f t="shared" si="22"/>
        <v>4.4237822294235233E-10</v>
      </c>
      <c r="CM50" s="3"/>
      <c r="CS50">
        <v>36.99722222222222</v>
      </c>
      <c r="CT50">
        <v>1</v>
      </c>
      <c r="CU50">
        <v>41</v>
      </c>
      <c r="CV50" s="38">
        <v>59352</v>
      </c>
      <c r="CW50" s="43">
        <f t="shared" si="55"/>
        <v>1.0244548320770264E-8</v>
      </c>
      <c r="CX50" s="30">
        <v>0</v>
      </c>
      <c r="CY50" s="30">
        <f t="shared" si="23"/>
        <v>0</v>
      </c>
      <c r="CZ50" s="30">
        <f t="shared" si="56"/>
        <v>5.1222741603851322E-10</v>
      </c>
      <c r="DA50" s="30">
        <f t="shared" si="57"/>
        <v>5.1222741603851322E-10</v>
      </c>
      <c r="DB50" s="33">
        <f t="shared" si="24"/>
        <v>1.0244548320770264E-8</v>
      </c>
      <c r="DC50" s="43">
        <f t="shared" si="58"/>
        <v>6574613.5475095082</v>
      </c>
      <c r="DD50" s="30">
        <v>0</v>
      </c>
      <c r="DE50" s="30">
        <f t="shared" si="70"/>
        <v>6574613.5475094868</v>
      </c>
      <c r="DF50" s="30">
        <f t="shared" si="59"/>
        <v>262984.54190038034</v>
      </c>
      <c r="DG50" s="30">
        <f t="shared" si="60"/>
        <v>6837598.0894098673</v>
      </c>
      <c r="DH50" s="33">
        <f t="shared" si="26"/>
        <v>2.1420419216156006E-8</v>
      </c>
      <c r="DI50" s="30">
        <f t="shared" si="27"/>
        <v>6574613.5475094868</v>
      </c>
      <c r="DJ50" s="30">
        <f t="shared" si="28"/>
        <v>262984.54190038086</v>
      </c>
      <c r="DK50" s="33">
        <f t="shared" si="29"/>
        <v>6837598.0894098682</v>
      </c>
      <c r="DM50" s="3"/>
      <c r="DS50">
        <v>34.99722222222222</v>
      </c>
      <c r="DT50">
        <v>1</v>
      </c>
      <c r="DU50">
        <v>41</v>
      </c>
      <c r="DV50" s="38">
        <v>59352</v>
      </c>
      <c r="DW50" s="43">
        <f t="shared" si="61"/>
        <v>0</v>
      </c>
      <c r="DX50" s="30">
        <v>0</v>
      </c>
      <c r="DY50" s="30">
        <f t="shared" si="30"/>
        <v>0</v>
      </c>
      <c r="DZ50" s="30">
        <f t="shared" si="62"/>
        <v>0</v>
      </c>
      <c r="EA50" s="30">
        <f t="shared" si="63"/>
        <v>0</v>
      </c>
      <c r="EB50" s="33">
        <f t="shared" si="31"/>
        <v>0</v>
      </c>
      <c r="EC50" s="43">
        <f t="shared" si="64"/>
        <v>29851589.501546297</v>
      </c>
      <c r="ED50" s="30">
        <v>0</v>
      </c>
      <c r="EE50" s="30">
        <f t="shared" si="71"/>
        <v>14669085.750145596</v>
      </c>
      <c r="EF50" s="30">
        <f t="shared" si="65"/>
        <v>1194063.580061852</v>
      </c>
      <c r="EG50" s="30">
        <f t="shared" si="66"/>
        <v>15863149.330207448</v>
      </c>
      <c r="EH50" s="33">
        <f t="shared" si="33"/>
        <v>15182503.751400702</v>
      </c>
      <c r="EI50" s="30">
        <f t="shared" si="34"/>
        <v>14669085.750145596</v>
      </c>
      <c r="EJ50" s="30">
        <f t="shared" si="35"/>
        <v>1194063.580061852</v>
      </c>
      <c r="EK50" s="33">
        <f t="shared" si="36"/>
        <v>15863149.330207448</v>
      </c>
    </row>
    <row r="51" spans="3:141" x14ac:dyDescent="0.25">
      <c r="C51" s="38">
        <v>59717</v>
      </c>
      <c r="D51" s="43">
        <f t="shared" si="73"/>
        <v>0</v>
      </c>
      <c r="E51" s="30">
        <f t="shared" si="73"/>
        <v>0</v>
      </c>
      <c r="F51" s="30">
        <f t="shared" si="73"/>
        <v>1.4202669262886049E-9</v>
      </c>
      <c r="G51" s="33">
        <f t="shared" si="73"/>
        <v>1.4202669262886049E-9</v>
      </c>
      <c r="H51" s="43">
        <f t="shared" si="73"/>
        <v>0</v>
      </c>
      <c r="I51" s="30">
        <f t="shared" si="73"/>
        <v>15182503.751400692</v>
      </c>
      <c r="J51" s="30">
        <f t="shared" si="73"/>
        <v>607300.15005602816</v>
      </c>
      <c r="K51" s="33">
        <f t="shared" si="73"/>
        <v>15789803.901456721</v>
      </c>
      <c r="S51">
        <v>40.580555555555556</v>
      </c>
      <c r="T51">
        <v>1</v>
      </c>
      <c r="U51">
        <v>42</v>
      </c>
      <c r="V51" s="38">
        <v>59717</v>
      </c>
      <c r="W51" s="43">
        <f t="shared" si="38"/>
        <v>20637435.095100001</v>
      </c>
      <c r="X51" s="30">
        <f>IFERROR(VLOOKUP(V51,Inputs!$A$13:$B$23,2,0),0)*$X$5</f>
        <v>0</v>
      </c>
      <c r="Y51" s="30">
        <v>0</v>
      </c>
      <c r="Z51" s="30">
        <v>0</v>
      </c>
      <c r="AA51" s="30">
        <f t="shared" si="39"/>
        <v>0</v>
      </c>
      <c r="AB51" s="33">
        <f t="shared" si="3"/>
        <v>20637435.095100001</v>
      </c>
      <c r="AC51" s="43">
        <f t="shared" si="40"/>
        <v>0</v>
      </c>
      <c r="AD51" s="30">
        <f>IFERROR(VLOOKUP(C51,Inputs!$A$13:$B$23,2,0),0)*'PV &amp; WIFIA New'!$AD$5</f>
        <v>0</v>
      </c>
      <c r="AE51" s="30">
        <f t="shared" si="67"/>
        <v>0</v>
      </c>
      <c r="AF51" s="30">
        <f t="shared" si="41"/>
        <v>0</v>
      </c>
      <c r="AG51" s="30">
        <f t="shared" si="42"/>
        <v>0</v>
      </c>
      <c r="AH51" s="33">
        <f t="shared" si="5"/>
        <v>0</v>
      </c>
      <c r="AI51" s="30">
        <f t="shared" si="6"/>
        <v>0</v>
      </c>
      <c r="AJ51" s="30">
        <f t="shared" si="7"/>
        <v>0</v>
      </c>
      <c r="AK51" s="33">
        <f t="shared" si="8"/>
        <v>0</v>
      </c>
      <c r="AM51" s="3"/>
      <c r="AS51">
        <v>39.99722222222222</v>
      </c>
      <c r="AT51">
        <v>1</v>
      </c>
      <c r="AU51">
        <v>42</v>
      </c>
      <c r="AV51" s="38">
        <v>59717</v>
      </c>
      <c r="AW51" s="43">
        <f t="shared" si="43"/>
        <v>3.7252902984619141E-9</v>
      </c>
      <c r="AX51" s="30">
        <v>0</v>
      </c>
      <c r="AY51" s="30">
        <f t="shared" si="9"/>
        <v>0</v>
      </c>
      <c r="AZ51" s="30">
        <f t="shared" si="44"/>
        <v>1.8626451492309571E-10</v>
      </c>
      <c r="BA51" s="30">
        <f t="shared" si="45"/>
        <v>1.8626451492309571E-10</v>
      </c>
      <c r="BB51" s="33">
        <f t="shared" si="10"/>
        <v>3.7252902984619141E-9</v>
      </c>
      <c r="BC51" s="43">
        <f t="shared" si="46"/>
        <v>-1.0943040251731873E-8</v>
      </c>
      <c r="BD51" s="30">
        <v>0</v>
      </c>
      <c r="BE51" s="30">
        <f t="shared" si="68"/>
        <v>0</v>
      </c>
      <c r="BF51" s="30">
        <f t="shared" si="47"/>
        <v>-4.3772161006927493E-10</v>
      </c>
      <c r="BG51" s="30">
        <f t="shared" si="48"/>
        <v>-4.3772161006927493E-10</v>
      </c>
      <c r="BH51" s="33">
        <f t="shared" si="12"/>
        <v>-1.0943040251731873E-8</v>
      </c>
      <c r="BI51" s="30">
        <f t="shared" si="13"/>
        <v>0</v>
      </c>
      <c r="BJ51" s="30">
        <f t="shared" si="14"/>
        <v>-2.5145709514617922E-10</v>
      </c>
      <c r="BK51" s="33">
        <f t="shared" si="15"/>
        <v>-2.5145709514617922E-10</v>
      </c>
      <c r="BM51" s="3"/>
      <c r="BS51">
        <v>38.99722222222222</v>
      </c>
      <c r="BT51">
        <v>1</v>
      </c>
      <c r="BU51">
        <v>42</v>
      </c>
      <c r="BV51" s="38">
        <v>59717</v>
      </c>
      <c r="BW51" s="43">
        <f t="shared" si="49"/>
        <v>1.4435499906539917E-8</v>
      </c>
      <c r="BX51" s="30">
        <v>0</v>
      </c>
      <c r="BY51" s="30">
        <f t="shared" si="16"/>
        <v>0</v>
      </c>
      <c r="BZ51" s="30">
        <f t="shared" si="50"/>
        <v>7.2177499532699587E-10</v>
      </c>
      <c r="CA51" s="30">
        <f t="shared" si="51"/>
        <v>7.2177499532699587E-10</v>
      </c>
      <c r="CB51" s="33">
        <f t="shared" si="17"/>
        <v>1.4435499906539917E-8</v>
      </c>
      <c r="CC51" s="43">
        <f t="shared" si="52"/>
        <v>-6.9849193096160889E-9</v>
      </c>
      <c r="CD51" s="30">
        <v>0</v>
      </c>
      <c r="CE51" s="30">
        <f t="shared" si="69"/>
        <v>0</v>
      </c>
      <c r="CF51" s="30">
        <f t="shared" si="53"/>
        <v>-2.7939677238464354E-10</v>
      </c>
      <c r="CG51" s="30">
        <f t="shared" si="54"/>
        <v>-2.7939677238464354E-10</v>
      </c>
      <c r="CH51" s="33">
        <f t="shared" si="19"/>
        <v>-6.9849193096160889E-9</v>
      </c>
      <c r="CI51" s="30">
        <f t="shared" si="20"/>
        <v>0</v>
      </c>
      <c r="CJ51" s="30">
        <f t="shared" si="21"/>
        <v>4.4237822294235233E-10</v>
      </c>
      <c r="CK51" s="33">
        <f t="shared" si="22"/>
        <v>4.4237822294235233E-10</v>
      </c>
      <c r="CM51" s="3"/>
      <c r="CS51">
        <v>37.99722222222222</v>
      </c>
      <c r="CT51">
        <v>1</v>
      </c>
      <c r="CU51">
        <v>42</v>
      </c>
      <c r="CV51" s="38">
        <v>59717</v>
      </c>
      <c r="CW51" s="43">
        <f t="shared" si="55"/>
        <v>1.0244548320770264E-8</v>
      </c>
      <c r="CX51" s="30">
        <v>0</v>
      </c>
      <c r="CY51" s="30">
        <f t="shared" si="23"/>
        <v>0</v>
      </c>
      <c r="CZ51" s="30">
        <f t="shared" si="56"/>
        <v>5.1222741603851322E-10</v>
      </c>
      <c r="DA51" s="30">
        <f t="shared" si="57"/>
        <v>5.1222741603851322E-10</v>
      </c>
      <c r="DB51" s="33">
        <f t="shared" si="24"/>
        <v>1.0244548320770264E-8</v>
      </c>
      <c r="DC51" s="43">
        <f t="shared" si="58"/>
        <v>2.1420419216156006E-8</v>
      </c>
      <c r="DD51" s="30">
        <v>0</v>
      </c>
      <c r="DE51" s="30">
        <f t="shared" si="70"/>
        <v>0</v>
      </c>
      <c r="DF51" s="30">
        <f t="shared" si="59"/>
        <v>8.5681676864624027E-10</v>
      </c>
      <c r="DG51" s="30">
        <f t="shared" si="60"/>
        <v>8.5681676864624027E-10</v>
      </c>
      <c r="DH51" s="33">
        <f t="shared" si="26"/>
        <v>2.1420419216156006E-8</v>
      </c>
      <c r="DI51" s="30">
        <f t="shared" si="27"/>
        <v>0</v>
      </c>
      <c r="DJ51" s="30">
        <f t="shared" si="28"/>
        <v>1.3690441846847536E-9</v>
      </c>
      <c r="DK51" s="33">
        <f t="shared" si="29"/>
        <v>1.3690441846847536E-9</v>
      </c>
      <c r="DM51" s="3"/>
      <c r="DS51">
        <v>35.99722222222222</v>
      </c>
      <c r="DT51">
        <v>1</v>
      </c>
      <c r="DU51">
        <v>42</v>
      </c>
      <c r="DV51" s="38">
        <v>59717</v>
      </c>
      <c r="DW51" s="43">
        <f t="shared" si="61"/>
        <v>0</v>
      </c>
      <c r="DX51" s="30">
        <v>0</v>
      </c>
      <c r="DY51" s="30">
        <f t="shared" si="30"/>
        <v>0</v>
      </c>
      <c r="DZ51" s="30">
        <f t="shared" si="62"/>
        <v>0</v>
      </c>
      <c r="EA51" s="30">
        <f t="shared" si="63"/>
        <v>0</v>
      </c>
      <c r="EB51" s="33">
        <f t="shared" si="31"/>
        <v>0</v>
      </c>
      <c r="EC51" s="43">
        <f t="shared" si="64"/>
        <v>15182503.751400702</v>
      </c>
      <c r="ED51" s="30">
        <v>0</v>
      </c>
      <c r="EE51" s="30">
        <f t="shared" si="71"/>
        <v>15182503.751400692</v>
      </c>
      <c r="EF51" s="30">
        <f t="shared" si="65"/>
        <v>607300.15005602804</v>
      </c>
      <c r="EG51" s="30">
        <f t="shared" si="66"/>
        <v>15789803.901456721</v>
      </c>
      <c r="EH51" s="33">
        <f t="shared" si="33"/>
        <v>0</v>
      </c>
      <c r="EI51" s="30">
        <f t="shared" si="34"/>
        <v>15182503.751400692</v>
      </c>
      <c r="EJ51" s="30">
        <f t="shared" si="35"/>
        <v>607300.15005602804</v>
      </c>
      <c r="EK51" s="33">
        <f t="shared" si="36"/>
        <v>15789803.901456721</v>
      </c>
    </row>
    <row r="52" spans="3:141" x14ac:dyDescent="0.25">
      <c r="C52" s="38">
        <v>60083</v>
      </c>
      <c r="D52" s="43">
        <f t="shared" si="73"/>
        <v>0</v>
      </c>
      <c r="E52" s="30">
        <f t="shared" si="73"/>
        <v>0</v>
      </c>
      <c r="F52" s="30">
        <f t="shared" si="73"/>
        <v>1.4202669262886049E-9</v>
      </c>
      <c r="G52" s="33">
        <f t="shared" si="73"/>
        <v>1.4202669262886049E-9</v>
      </c>
      <c r="H52" s="43">
        <f t="shared" si="73"/>
        <v>0</v>
      </c>
      <c r="I52" s="30">
        <f t="shared" si="73"/>
        <v>0</v>
      </c>
      <c r="J52" s="30">
        <f t="shared" si="73"/>
        <v>1.396983861923218E-10</v>
      </c>
      <c r="K52" s="33">
        <f t="shared" si="73"/>
        <v>1.396983861923218E-10</v>
      </c>
      <c r="S52">
        <v>41.580555555555556</v>
      </c>
      <c r="T52">
        <v>1</v>
      </c>
      <c r="U52">
        <v>43</v>
      </c>
      <c r="V52" s="38">
        <v>60083</v>
      </c>
      <c r="W52" s="43">
        <f t="shared" si="38"/>
        <v>20637435.095100001</v>
      </c>
      <c r="X52" s="30">
        <f>IFERROR(VLOOKUP(V52,Inputs!$A$13:$B$23,2,0),0)*$X$5</f>
        <v>0</v>
      </c>
      <c r="Y52" s="30">
        <v>0</v>
      </c>
      <c r="Z52" s="30">
        <v>0</v>
      </c>
      <c r="AA52" s="30">
        <f t="shared" si="39"/>
        <v>0</v>
      </c>
      <c r="AB52" s="33">
        <f t="shared" si="3"/>
        <v>20637435.095100001</v>
      </c>
      <c r="AC52" s="43">
        <f t="shared" si="40"/>
        <v>0</v>
      </c>
      <c r="AD52" s="30">
        <f>IFERROR(VLOOKUP(C52,Inputs!$A$13:$B$23,2,0),0)*'PV &amp; WIFIA New'!$AD$5</f>
        <v>0</v>
      </c>
      <c r="AE52" s="30">
        <f t="shared" si="67"/>
        <v>0</v>
      </c>
      <c r="AF52" s="30">
        <f t="shared" si="41"/>
        <v>0</v>
      </c>
      <c r="AG52" s="30">
        <f t="shared" si="42"/>
        <v>0</v>
      </c>
      <c r="AH52" s="33">
        <f t="shared" si="5"/>
        <v>0</v>
      </c>
      <c r="AI52" s="30">
        <f t="shared" si="6"/>
        <v>0</v>
      </c>
      <c r="AJ52" s="30">
        <f t="shared" si="7"/>
        <v>0</v>
      </c>
      <c r="AK52" s="33">
        <f t="shared" si="8"/>
        <v>0</v>
      </c>
      <c r="AM52" s="3"/>
      <c r="AS52">
        <v>40.99722222222222</v>
      </c>
      <c r="AT52">
        <v>1</v>
      </c>
      <c r="AU52">
        <v>43</v>
      </c>
      <c r="AV52" s="38">
        <v>60083</v>
      </c>
      <c r="AW52" s="43">
        <f t="shared" si="43"/>
        <v>3.7252902984619141E-9</v>
      </c>
      <c r="AX52" s="30">
        <v>0</v>
      </c>
      <c r="AY52" s="30">
        <f t="shared" si="9"/>
        <v>0</v>
      </c>
      <c r="AZ52" s="30">
        <f t="shared" si="44"/>
        <v>1.8626451492309571E-10</v>
      </c>
      <c r="BA52" s="30">
        <f t="shared" si="45"/>
        <v>1.8626451492309571E-10</v>
      </c>
      <c r="BB52" s="33">
        <f t="shared" si="10"/>
        <v>3.7252902984619141E-9</v>
      </c>
      <c r="BC52" s="43">
        <f t="shared" si="46"/>
        <v>-1.0943040251731873E-8</v>
      </c>
      <c r="BD52" s="30">
        <v>0</v>
      </c>
      <c r="BE52" s="30">
        <f t="shared" si="68"/>
        <v>0</v>
      </c>
      <c r="BF52" s="30">
        <f t="shared" si="47"/>
        <v>-4.3772161006927493E-10</v>
      </c>
      <c r="BG52" s="30">
        <f t="shared" si="48"/>
        <v>-4.3772161006927493E-10</v>
      </c>
      <c r="BH52" s="33">
        <f t="shared" si="12"/>
        <v>-1.0943040251731873E-8</v>
      </c>
      <c r="BI52" s="30">
        <f t="shared" si="13"/>
        <v>0</v>
      </c>
      <c r="BJ52" s="30">
        <f t="shared" si="14"/>
        <v>-2.5145709514617922E-10</v>
      </c>
      <c r="BK52" s="33">
        <f t="shared" si="15"/>
        <v>-2.5145709514617922E-10</v>
      </c>
      <c r="BM52" s="3"/>
      <c r="BS52">
        <v>39.99722222222222</v>
      </c>
      <c r="BT52">
        <v>1</v>
      </c>
      <c r="BU52">
        <v>43</v>
      </c>
      <c r="BV52" s="38">
        <v>60083</v>
      </c>
      <c r="BW52" s="43">
        <f t="shared" si="49"/>
        <v>1.4435499906539917E-8</v>
      </c>
      <c r="BX52" s="30">
        <v>0</v>
      </c>
      <c r="BY52" s="30">
        <f t="shared" si="16"/>
        <v>0</v>
      </c>
      <c r="BZ52" s="30">
        <f t="shared" si="50"/>
        <v>7.2177499532699587E-10</v>
      </c>
      <c r="CA52" s="30">
        <f t="shared" si="51"/>
        <v>7.2177499532699587E-10</v>
      </c>
      <c r="CB52" s="33">
        <f t="shared" si="17"/>
        <v>1.4435499906539917E-8</v>
      </c>
      <c r="CC52" s="43">
        <f t="shared" si="52"/>
        <v>-6.9849193096160889E-9</v>
      </c>
      <c r="CD52" s="30">
        <v>0</v>
      </c>
      <c r="CE52" s="30">
        <f t="shared" si="69"/>
        <v>0</v>
      </c>
      <c r="CF52" s="30">
        <f t="shared" si="53"/>
        <v>-2.7939677238464354E-10</v>
      </c>
      <c r="CG52" s="30">
        <f t="shared" si="54"/>
        <v>-2.7939677238464354E-10</v>
      </c>
      <c r="CH52" s="33">
        <f t="shared" si="19"/>
        <v>-6.9849193096160889E-9</v>
      </c>
      <c r="CI52" s="30">
        <f t="shared" si="20"/>
        <v>0</v>
      </c>
      <c r="CJ52" s="30">
        <f t="shared" si="21"/>
        <v>4.4237822294235233E-10</v>
      </c>
      <c r="CK52" s="33">
        <f t="shared" si="22"/>
        <v>4.4237822294235233E-10</v>
      </c>
      <c r="CM52" s="3"/>
      <c r="CS52">
        <v>38.99722222222222</v>
      </c>
      <c r="CT52">
        <v>1</v>
      </c>
      <c r="CU52">
        <v>43</v>
      </c>
      <c r="CV52" s="38">
        <v>60083</v>
      </c>
      <c r="CW52" s="43">
        <f t="shared" si="55"/>
        <v>1.0244548320770264E-8</v>
      </c>
      <c r="CX52" s="30">
        <v>0</v>
      </c>
      <c r="CY52" s="30">
        <f t="shared" si="23"/>
        <v>0</v>
      </c>
      <c r="CZ52" s="30">
        <f t="shared" si="56"/>
        <v>5.1222741603851322E-10</v>
      </c>
      <c r="DA52" s="30">
        <f t="shared" si="57"/>
        <v>5.1222741603851322E-10</v>
      </c>
      <c r="DB52" s="33">
        <f t="shared" si="24"/>
        <v>1.0244548320770264E-8</v>
      </c>
      <c r="DC52" s="43">
        <f t="shared" si="58"/>
        <v>2.1420419216156006E-8</v>
      </c>
      <c r="DD52" s="30">
        <v>0</v>
      </c>
      <c r="DE52" s="30">
        <f t="shared" si="70"/>
        <v>0</v>
      </c>
      <c r="DF52" s="30">
        <f t="shared" si="59"/>
        <v>8.5681676864624027E-10</v>
      </c>
      <c r="DG52" s="30">
        <f t="shared" si="60"/>
        <v>8.5681676864624027E-10</v>
      </c>
      <c r="DH52" s="33">
        <f t="shared" si="26"/>
        <v>2.1420419216156006E-8</v>
      </c>
      <c r="DI52" s="30">
        <f t="shared" si="27"/>
        <v>0</v>
      </c>
      <c r="DJ52" s="30">
        <f t="shared" si="28"/>
        <v>1.3690441846847536E-9</v>
      </c>
      <c r="DK52" s="33">
        <f t="shared" si="29"/>
        <v>1.3690441846847536E-9</v>
      </c>
      <c r="DM52" s="3"/>
      <c r="DS52">
        <v>36.99722222222222</v>
      </c>
      <c r="DT52">
        <v>1</v>
      </c>
      <c r="DU52">
        <v>43</v>
      </c>
      <c r="DV52" s="38">
        <v>60083</v>
      </c>
      <c r="DW52" s="43">
        <f t="shared" si="61"/>
        <v>0</v>
      </c>
      <c r="DX52" s="30">
        <v>0</v>
      </c>
      <c r="DY52" s="30">
        <f t="shared" si="30"/>
        <v>0</v>
      </c>
      <c r="DZ52" s="30">
        <f t="shared" si="62"/>
        <v>0</v>
      </c>
      <c r="EA52" s="30">
        <f t="shared" si="63"/>
        <v>0</v>
      </c>
      <c r="EB52" s="33">
        <f t="shared" si="31"/>
        <v>0</v>
      </c>
      <c r="EC52" s="43">
        <f t="shared" si="64"/>
        <v>0</v>
      </c>
      <c r="ED52" s="30">
        <v>0</v>
      </c>
      <c r="EE52" s="30">
        <f t="shared" si="71"/>
        <v>0</v>
      </c>
      <c r="EF52" s="30">
        <f t="shared" si="65"/>
        <v>0</v>
      </c>
      <c r="EG52" s="30">
        <f t="shared" si="66"/>
        <v>0</v>
      </c>
      <c r="EH52" s="33">
        <f t="shared" si="33"/>
        <v>0</v>
      </c>
      <c r="EI52" s="30">
        <f t="shared" si="34"/>
        <v>0</v>
      </c>
      <c r="EJ52" s="30">
        <f t="shared" si="35"/>
        <v>0</v>
      </c>
      <c r="EK52" s="33">
        <f t="shared" si="36"/>
        <v>0</v>
      </c>
    </row>
    <row r="53" spans="3:141" x14ac:dyDescent="0.25">
      <c r="C53" s="38">
        <v>60448</v>
      </c>
      <c r="D53" s="43">
        <f t="shared" si="73"/>
        <v>0</v>
      </c>
      <c r="E53" s="30">
        <f t="shared" si="73"/>
        <v>0</v>
      </c>
      <c r="F53" s="30">
        <f t="shared" si="73"/>
        <v>1.4202669262886049E-9</v>
      </c>
      <c r="G53" s="33">
        <f t="shared" si="73"/>
        <v>1.4202669262886049E-9</v>
      </c>
      <c r="H53" s="43">
        <f t="shared" si="73"/>
        <v>0</v>
      </c>
      <c r="I53" s="30">
        <f t="shared" si="73"/>
        <v>0</v>
      </c>
      <c r="J53" s="30">
        <f t="shared" si="73"/>
        <v>1.396983861923218E-10</v>
      </c>
      <c r="K53" s="33">
        <f t="shared" si="73"/>
        <v>1.396983861923218E-10</v>
      </c>
      <c r="S53">
        <v>42.580555555555556</v>
      </c>
      <c r="T53">
        <v>1</v>
      </c>
      <c r="U53">
        <v>44</v>
      </c>
      <c r="V53" s="38">
        <v>60448</v>
      </c>
      <c r="W53" s="43">
        <f t="shared" si="38"/>
        <v>20637435.095100001</v>
      </c>
      <c r="X53" s="30">
        <f>IFERROR(VLOOKUP(V53,Inputs!$A$13:$B$23,2,0),0)*$X$5</f>
        <v>0</v>
      </c>
      <c r="Y53" s="30">
        <v>0</v>
      </c>
      <c r="Z53" s="30">
        <v>0</v>
      </c>
      <c r="AA53" s="30">
        <f t="shared" si="39"/>
        <v>0</v>
      </c>
      <c r="AB53" s="33">
        <f t="shared" si="3"/>
        <v>20637435.095100001</v>
      </c>
      <c r="AC53" s="43">
        <f t="shared" si="40"/>
        <v>0</v>
      </c>
      <c r="AD53" s="30">
        <f>IFERROR(VLOOKUP(C53,Inputs!$A$13:$B$23,2,0),0)*'PV &amp; WIFIA New'!$AD$5</f>
        <v>0</v>
      </c>
      <c r="AE53" s="30">
        <f t="shared" si="67"/>
        <v>0</v>
      </c>
      <c r="AF53" s="30">
        <f t="shared" si="41"/>
        <v>0</v>
      </c>
      <c r="AG53" s="30">
        <f t="shared" si="42"/>
        <v>0</v>
      </c>
      <c r="AH53" s="33">
        <f t="shared" si="5"/>
        <v>0</v>
      </c>
      <c r="AI53" s="30">
        <f t="shared" si="6"/>
        <v>0</v>
      </c>
      <c r="AJ53" s="30">
        <f t="shared" si="7"/>
        <v>0</v>
      </c>
      <c r="AK53" s="33">
        <f t="shared" si="8"/>
        <v>0</v>
      </c>
      <c r="AM53" s="3"/>
      <c r="AS53">
        <v>41.99722222222222</v>
      </c>
      <c r="AT53">
        <v>1</v>
      </c>
      <c r="AU53">
        <v>44</v>
      </c>
      <c r="AV53" s="38">
        <v>60448</v>
      </c>
      <c r="AW53" s="43">
        <f t="shared" si="43"/>
        <v>3.7252902984619141E-9</v>
      </c>
      <c r="AX53" s="30">
        <v>0</v>
      </c>
      <c r="AY53" s="30">
        <f t="shared" si="9"/>
        <v>0</v>
      </c>
      <c r="AZ53" s="30">
        <f t="shared" si="44"/>
        <v>1.8626451492309571E-10</v>
      </c>
      <c r="BA53" s="30">
        <f t="shared" si="45"/>
        <v>1.8626451492309571E-10</v>
      </c>
      <c r="BB53" s="33">
        <f t="shared" si="10"/>
        <v>3.7252902984619141E-9</v>
      </c>
      <c r="BC53" s="43">
        <f t="shared" si="46"/>
        <v>-1.0943040251731873E-8</v>
      </c>
      <c r="BD53" s="30">
        <v>0</v>
      </c>
      <c r="BE53" s="30">
        <f t="shared" si="68"/>
        <v>0</v>
      </c>
      <c r="BF53" s="30">
        <f t="shared" si="47"/>
        <v>-4.3772161006927493E-10</v>
      </c>
      <c r="BG53" s="30">
        <f t="shared" si="48"/>
        <v>-4.3772161006927493E-10</v>
      </c>
      <c r="BH53" s="33">
        <f t="shared" si="12"/>
        <v>-1.0943040251731873E-8</v>
      </c>
      <c r="BI53" s="30">
        <f t="shared" si="13"/>
        <v>0</v>
      </c>
      <c r="BJ53" s="30">
        <f t="shared" si="14"/>
        <v>-2.5145709514617922E-10</v>
      </c>
      <c r="BK53" s="33">
        <f t="shared" si="15"/>
        <v>-2.5145709514617922E-10</v>
      </c>
      <c r="BM53" s="3"/>
      <c r="BS53">
        <v>40.99722222222222</v>
      </c>
      <c r="BT53">
        <v>1</v>
      </c>
      <c r="BU53">
        <v>44</v>
      </c>
      <c r="BV53" s="38">
        <v>60448</v>
      </c>
      <c r="BW53" s="43">
        <f t="shared" si="49"/>
        <v>1.4435499906539917E-8</v>
      </c>
      <c r="BX53" s="30">
        <v>0</v>
      </c>
      <c r="BY53" s="30">
        <f t="shared" si="16"/>
        <v>0</v>
      </c>
      <c r="BZ53" s="30">
        <f t="shared" si="50"/>
        <v>7.2177499532699587E-10</v>
      </c>
      <c r="CA53" s="30">
        <f t="shared" si="51"/>
        <v>7.2177499532699587E-10</v>
      </c>
      <c r="CB53" s="33">
        <f t="shared" si="17"/>
        <v>1.4435499906539917E-8</v>
      </c>
      <c r="CC53" s="43">
        <f t="shared" si="52"/>
        <v>-6.9849193096160889E-9</v>
      </c>
      <c r="CD53" s="30">
        <v>0</v>
      </c>
      <c r="CE53" s="30">
        <f t="shared" si="69"/>
        <v>0</v>
      </c>
      <c r="CF53" s="30">
        <f t="shared" si="53"/>
        <v>-2.7939677238464354E-10</v>
      </c>
      <c r="CG53" s="30">
        <f t="shared" si="54"/>
        <v>-2.7939677238464354E-10</v>
      </c>
      <c r="CH53" s="33">
        <f t="shared" si="19"/>
        <v>-6.9849193096160889E-9</v>
      </c>
      <c r="CI53" s="30">
        <f t="shared" si="20"/>
        <v>0</v>
      </c>
      <c r="CJ53" s="30">
        <f t="shared" si="21"/>
        <v>4.4237822294235233E-10</v>
      </c>
      <c r="CK53" s="33">
        <f t="shared" si="22"/>
        <v>4.4237822294235233E-10</v>
      </c>
      <c r="CM53" s="3"/>
      <c r="CS53">
        <v>39.99722222222222</v>
      </c>
      <c r="CT53">
        <v>1</v>
      </c>
      <c r="CU53">
        <v>44</v>
      </c>
      <c r="CV53" s="38">
        <v>60448</v>
      </c>
      <c r="CW53" s="43">
        <f t="shared" si="55"/>
        <v>1.0244548320770264E-8</v>
      </c>
      <c r="CX53" s="30">
        <v>0</v>
      </c>
      <c r="CY53" s="30">
        <f t="shared" si="23"/>
        <v>0</v>
      </c>
      <c r="CZ53" s="30">
        <f t="shared" si="56"/>
        <v>5.1222741603851322E-10</v>
      </c>
      <c r="DA53" s="30">
        <f t="shared" si="57"/>
        <v>5.1222741603851322E-10</v>
      </c>
      <c r="DB53" s="33">
        <f t="shared" si="24"/>
        <v>1.0244548320770264E-8</v>
      </c>
      <c r="DC53" s="43">
        <f t="shared" si="58"/>
        <v>2.1420419216156006E-8</v>
      </c>
      <c r="DD53" s="30">
        <v>0</v>
      </c>
      <c r="DE53" s="30">
        <f t="shared" si="70"/>
        <v>0</v>
      </c>
      <c r="DF53" s="30">
        <f t="shared" si="59"/>
        <v>8.5681676864624027E-10</v>
      </c>
      <c r="DG53" s="30">
        <f t="shared" si="60"/>
        <v>8.5681676864624027E-10</v>
      </c>
      <c r="DH53" s="33">
        <f t="shared" si="26"/>
        <v>2.1420419216156006E-8</v>
      </c>
      <c r="DI53" s="30">
        <f t="shared" si="27"/>
        <v>0</v>
      </c>
      <c r="DJ53" s="30">
        <f t="shared" si="28"/>
        <v>1.3690441846847536E-9</v>
      </c>
      <c r="DK53" s="33">
        <f t="shared" si="29"/>
        <v>1.3690441846847536E-9</v>
      </c>
      <c r="DM53" s="3"/>
      <c r="DS53">
        <v>37.99722222222222</v>
      </c>
      <c r="DT53">
        <v>1</v>
      </c>
      <c r="DU53">
        <v>44</v>
      </c>
      <c r="DV53" s="38">
        <v>60448</v>
      </c>
      <c r="DW53" s="43">
        <f t="shared" si="61"/>
        <v>0</v>
      </c>
      <c r="DX53" s="30">
        <v>0</v>
      </c>
      <c r="DY53" s="30">
        <f t="shared" si="30"/>
        <v>0</v>
      </c>
      <c r="DZ53" s="30">
        <f t="shared" si="62"/>
        <v>0</v>
      </c>
      <c r="EA53" s="30">
        <f t="shared" si="63"/>
        <v>0</v>
      </c>
      <c r="EB53" s="33">
        <f t="shared" si="31"/>
        <v>0</v>
      </c>
      <c r="EC53" s="43">
        <f t="shared" si="64"/>
        <v>0</v>
      </c>
      <c r="ED53" s="30">
        <v>0</v>
      </c>
      <c r="EE53" s="30">
        <f t="shared" si="71"/>
        <v>0</v>
      </c>
      <c r="EF53" s="30">
        <f t="shared" si="65"/>
        <v>0</v>
      </c>
      <c r="EG53" s="30">
        <f t="shared" si="66"/>
        <v>0</v>
      </c>
      <c r="EH53" s="33">
        <f t="shared" si="33"/>
        <v>0</v>
      </c>
      <c r="EI53" s="30">
        <f t="shared" si="34"/>
        <v>0</v>
      </c>
      <c r="EJ53" s="30">
        <f t="shared" si="35"/>
        <v>0</v>
      </c>
      <c r="EK53" s="33">
        <f t="shared" si="36"/>
        <v>0</v>
      </c>
    </row>
    <row r="54" spans="3:141" ht="15.75" thickBot="1" x14ac:dyDescent="0.3">
      <c r="C54" s="39">
        <v>60813</v>
      </c>
      <c r="D54" s="44">
        <f t="shared" si="73"/>
        <v>0</v>
      </c>
      <c r="E54" s="34">
        <f t="shared" si="73"/>
        <v>0</v>
      </c>
      <c r="F54" s="34">
        <f t="shared" si="73"/>
        <v>0</v>
      </c>
      <c r="G54" s="35">
        <f t="shared" si="73"/>
        <v>0</v>
      </c>
      <c r="H54" s="44">
        <f t="shared" si="73"/>
        <v>0</v>
      </c>
      <c r="I54" s="34">
        <f t="shared" si="73"/>
        <v>0</v>
      </c>
      <c r="J54" s="34">
        <f t="shared" si="73"/>
        <v>0</v>
      </c>
      <c r="K54" s="35">
        <f t="shared" si="73"/>
        <v>0</v>
      </c>
      <c r="S54">
        <v>43.580555555555556</v>
      </c>
      <c r="T54">
        <v>1</v>
      </c>
      <c r="U54">
        <v>45</v>
      </c>
      <c r="V54" s="39">
        <v>60813</v>
      </c>
      <c r="W54" s="44">
        <f t="shared" si="38"/>
        <v>20637435.095100001</v>
      </c>
      <c r="X54" s="34">
        <f>IFERROR(VLOOKUP(V54,Inputs!$A$13:$B$23,2,0),0)*$X$5</f>
        <v>0</v>
      </c>
      <c r="Y54" s="34">
        <v>0</v>
      </c>
      <c r="Z54" s="34">
        <v>0</v>
      </c>
      <c r="AA54" s="34">
        <f t="shared" si="39"/>
        <v>0</v>
      </c>
      <c r="AB54" s="35">
        <f t="shared" si="3"/>
        <v>20637435.095100001</v>
      </c>
      <c r="AC54" s="44">
        <f t="shared" si="40"/>
        <v>0</v>
      </c>
      <c r="AD54" s="34">
        <f>IFERROR(VLOOKUP(C54,Inputs!$A$13:$B$23,2,0),0)*'PV &amp; WIFIA New'!$AD$5</f>
        <v>0</v>
      </c>
      <c r="AE54" s="34">
        <f t="shared" si="67"/>
        <v>0</v>
      </c>
      <c r="AF54" s="34">
        <f t="shared" si="41"/>
        <v>0</v>
      </c>
      <c r="AG54" s="34">
        <f t="shared" si="42"/>
        <v>0</v>
      </c>
      <c r="AH54" s="35">
        <f t="shared" si="5"/>
        <v>0</v>
      </c>
      <c r="AI54" s="34">
        <f t="shared" si="6"/>
        <v>0</v>
      </c>
      <c r="AJ54" s="34">
        <f t="shared" si="7"/>
        <v>0</v>
      </c>
      <c r="AK54" s="35">
        <f t="shared" si="8"/>
        <v>0</v>
      </c>
      <c r="AM54" s="3"/>
      <c r="AS54">
        <v>42.99722222222222</v>
      </c>
      <c r="AT54">
        <v>1</v>
      </c>
      <c r="AU54">
        <v>45</v>
      </c>
      <c r="AV54" s="39">
        <v>60813</v>
      </c>
      <c r="AW54" s="44">
        <f t="shared" si="43"/>
        <v>3.7252902984619141E-9</v>
      </c>
      <c r="AX54" s="34">
        <v>0</v>
      </c>
      <c r="AY54" s="34">
        <f t="shared" si="9"/>
        <v>0</v>
      </c>
      <c r="AZ54" s="34">
        <f t="shared" si="44"/>
        <v>0</v>
      </c>
      <c r="BA54" s="34">
        <f t="shared" si="45"/>
        <v>0</v>
      </c>
      <c r="BB54" s="35">
        <f t="shared" si="10"/>
        <v>3.7252902984619141E-9</v>
      </c>
      <c r="BC54" s="44">
        <f t="shared" si="46"/>
        <v>-1.0943040251731873E-8</v>
      </c>
      <c r="BD54" s="34">
        <v>0</v>
      </c>
      <c r="BE54" s="34">
        <f t="shared" si="68"/>
        <v>0</v>
      </c>
      <c r="BF54" s="34">
        <f t="shared" si="47"/>
        <v>0</v>
      </c>
      <c r="BG54" s="34">
        <f t="shared" si="48"/>
        <v>0</v>
      </c>
      <c r="BH54" s="35">
        <f t="shared" si="12"/>
        <v>-1.0943040251731873E-8</v>
      </c>
      <c r="BI54" s="34">
        <f t="shared" si="13"/>
        <v>0</v>
      </c>
      <c r="BJ54" s="34">
        <f t="shared" si="14"/>
        <v>0</v>
      </c>
      <c r="BK54" s="35">
        <f t="shared" si="15"/>
        <v>0</v>
      </c>
      <c r="BM54" s="3"/>
      <c r="BS54">
        <v>41.99722222222222</v>
      </c>
      <c r="BT54">
        <v>1</v>
      </c>
      <c r="BU54">
        <v>45</v>
      </c>
      <c r="BV54" s="39">
        <v>60813</v>
      </c>
      <c r="BW54" s="44">
        <f t="shared" si="49"/>
        <v>1.4435499906539917E-8</v>
      </c>
      <c r="BX54" s="34">
        <v>0</v>
      </c>
      <c r="BY54" s="34">
        <f t="shared" si="16"/>
        <v>0</v>
      </c>
      <c r="BZ54" s="34">
        <f t="shared" si="50"/>
        <v>0</v>
      </c>
      <c r="CA54" s="34">
        <f t="shared" si="51"/>
        <v>0</v>
      </c>
      <c r="CB54" s="35">
        <f t="shared" si="17"/>
        <v>1.4435499906539917E-8</v>
      </c>
      <c r="CC54" s="44">
        <f t="shared" si="52"/>
        <v>-6.9849193096160889E-9</v>
      </c>
      <c r="CD54" s="34">
        <v>0</v>
      </c>
      <c r="CE54" s="34">
        <f t="shared" si="69"/>
        <v>0</v>
      </c>
      <c r="CF54" s="34">
        <f t="shared" si="53"/>
        <v>0</v>
      </c>
      <c r="CG54" s="34">
        <f t="shared" si="54"/>
        <v>0</v>
      </c>
      <c r="CH54" s="35">
        <f t="shared" si="19"/>
        <v>-6.9849193096160889E-9</v>
      </c>
      <c r="CI54" s="34">
        <f t="shared" si="20"/>
        <v>0</v>
      </c>
      <c r="CJ54" s="34">
        <f t="shared" si="21"/>
        <v>0</v>
      </c>
      <c r="CK54" s="35">
        <f t="shared" si="22"/>
        <v>0</v>
      </c>
      <c r="CM54" s="3"/>
      <c r="CS54">
        <v>40.99722222222222</v>
      </c>
      <c r="CT54">
        <v>1</v>
      </c>
      <c r="CU54">
        <v>45</v>
      </c>
      <c r="CV54" s="39">
        <v>60813</v>
      </c>
      <c r="CW54" s="44">
        <f t="shared" si="55"/>
        <v>1.0244548320770264E-8</v>
      </c>
      <c r="CX54" s="34">
        <v>0</v>
      </c>
      <c r="CY54" s="34">
        <f t="shared" si="23"/>
        <v>0</v>
      </c>
      <c r="CZ54" s="34">
        <f t="shared" si="56"/>
        <v>0</v>
      </c>
      <c r="DA54" s="34">
        <f t="shared" si="57"/>
        <v>0</v>
      </c>
      <c r="DB54" s="35">
        <f t="shared" si="24"/>
        <v>1.0244548320770264E-8</v>
      </c>
      <c r="DC54" s="44">
        <f t="shared" si="58"/>
        <v>2.1420419216156006E-8</v>
      </c>
      <c r="DD54" s="34">
        <v>0</v>
      </c>
      <c r="DE54" s="34">
        <f t="shared" si="70"/>
        <v>0</v>
      </c>
      <c r="DF54" s="34">
        <f t="shared" si="59"/>
        <v>0</v>
      </c>
      <c r="DG54" s="34">
        <f t="shared" si="60"/>
        <v>0</v>
      </c>
      <c r="DH54" s="35">
        <f t="shared" si="26"/>
        <v>2.1420419216156006E-8</v>
      </c>
      <c r="DI54" s="34">
        <f t="shared" si="27"/>
        <v>0</v>
      </c>
      <c r="DJ54" s="34">
        <f t="shared" si="28"/>
        <v>0</v>
      </c>
      <c r="DK54" s="35">
        <f t="shared" si="29"/>
        <v>0</v>
      </c>
      <c r="DM54" s="3"/>
      <c r="DS54">
        <v>38.99722222222222</v>
      </c>
      <c r="DT54">
        <v>1</v>
      </c>
      <c r="DU54">
        <v>45</v>
      </c>
      <c r="DV54" s="39">
        <v>60813</v>
      </c>
      <c r="DW54" s="44">
        <f t="shared" si="61"/>
        <v>0</v>
      </c>
      <c r="DX54" s="34">
        <v>0</v>
      </c>
      <c r="DY54" s="34">
        <f t="shared" si="30"/>
        <v>0</v>
      </c>
      <c r="DZ54" s="34">
        <f t="shared" si="62"/>
        <v>0</v>
      </c>
      <c r="EA54" s="34">
        <f t="shared" si="63"/>
        <v>0</v>
      </c>
      <c r="EB54" s="35">
        <f t="shared" si="31"/>
        <v>0</v>
      </c>
      <c r="EC54" s="44">
        <f t="shared" si="64"/>
        <v>0</v>
      </c>
      <c r="ED54" s="34">
        <v>0</v>
      </c>
      <c r="EE54" s="34">
        <f t="shared" si="71"/>
        <v>0</v>
      </c>
      <c r="EF54" s="34">
        <f t="shared" si="65"/>
        <v>0</v>
      </c>
      <c r="EG54" s="34">
        <f t="shared" si="66"/>
        <v>0</v>
      </c>
      <c r="EH54" s="35">
        <f t="shared" si="33"/>
        <v>0</v>
      </c>
      <c r="EI54" s="34">
        <f t="shared" si="34"/>
        <v>0</v>
      </c>
      <c r="EJ54" s="34">
        <f t="shared" si="35"/>
        <v>0</v>
      </c>
      <c r="EK54" s="35">
        <f t="shared" si="36"/>
        <v>0</v>
      </c>
    </row>
    <row r="55" spans="3:141" x14ac:dyDescent="0.25">
      <c r="AM55" s="3"/>
      <c r="AV55" s="3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M55" s="3"/>
      <c r="BV55" s="3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M55" s="3"/>
      <c r="CV55" s="3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M55" s="3"/>
      <c r="DV55" s="3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</row>
  </sheetData>
  <sortState xmlns:xlrd2="http://schemas.microsoft.com/office/spreadsheetml/2017/richdata2" ref="P10:Q10">
    <sortCondition ref="Q10"/>
  </sortState>
  <mergeCells count="23">
    <mergeCell ref="X6:AK6"/>
    <mergeCell ref="D7:G7"/>
    <mergeCell ref="H7:K7"/>
    <mergeCell ref="D6:K6"/>
    <mergeCell ref="X7:AA7"/>
    <mergeCell ref="AC7:AH7"/>
    <mergeCell ref="AI7:AK7"/>
    <mergeCell ref="EI7:EK7"/>
    <mergeCell ref="AX6:BK6"/>
    <mergeCell ref="AX7:BA7"/>
    <mergeCell ref="BC7:BH7"/>
    <mergeCell ref="BI7:BK7"/>
    <mergeCell ref="BX6:CK6"/>
    <mergeCell ref="BX7:CA7"/>
    <mergeCell ref="CC7:CH7"/>
    <mergeCell ref="CI7:CK7"/>
    <mergeCell ref="CX6:DK6"/>
    <mergeCell ref="CX7:DA7"/>
    <mergeCell ref="DC7:DH7"/>
    <mergeCell ref="DI7:DK7"/>
    <mergeCell ref="DX6:EK6"/>
    <mergeCell ref="DX7:EA7"/>
    <mergeCell ref="EC7:EH7"/>
  </mergeCells>
  <conditionalFormatting sqref="V10:AK54">
    <cfRule type="expression" dxfId="5" priority="176">
      <formula>MOD(ROW(),2)</formula>
    </cfRule>
  </conditionalFormatting>
  <conditionalFormatting sqref="C10:K54">
    <cfRule type="expression" dxfId="4" priority="143">
      <formula>MOD(ROW(),2)</formula>
    </cfRule>
  </conditionalFormatting>
  <conditionalFormatting sqref="AV10:BK54">
    <cfRule type="expression" dxfId="3" priority="4">
      <formula>MOD(ROW(),2)</formula>
    </cfRule>
  </conditionalFormatting>
  <conditionalFormatting sqref="BV10:CK54">
    <cfRule type="expression" dxfId="2" priority="3">
      <formula>MOD(ROW(),2)</formula>
    </cfRule>
  </conditionalFormatting>
  <conditionalFormatting sqref="CV10:DK54">
    <cfRule type="expression" dxfId="1" priority="2">
      <formula>MOD(ROW(),2)</formula>
    </cfRule>
  </conditionalFormatting>
  <conditionalFormatting sqref="DV10:EK54">
    <cfRule type="expression" dxfId="0" priority="1">
      <formula>MOD(ROW(),2)</formula>
    </cfRule>
  </conditionalFormatting>
  <pageMargins left="0.7" right="0.7" top="0.75" bottom="0.75" header="0.3" footer="0.3"/>
  <pageSetup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Pict="0" macro="[0]!GSWIFIA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5156-B7DF-4478-AA84-55D219F574CA}">
  <sheetPr codeName="Sheet3"/>
  <dimension ref="C1:AQ66"/>
  <sheetViews>
    <sheetView workbookViewId="0">
      <selection activeCell="B57" sqref="B57"/>
    </sheetView>
  </sheetViews>
  <sheetFormatPr defaultRowHeight="15" x14ac:dyDescent="0.25"/>
  <cols>
    <col min="3" max="3" width="9.42578125" bestFit="1" customWidth="1"/>
    <col min="4" max="7" width="14.5703125" bestFit="1" customWidth="1"/>
    <col min="9" max="9" width="9.42578125" bestFit="1" customWidth="1"/>
    <col min="10" max="13" width="14.5703125" bestFit="1" customWidth="1"/>
    <col min="15" max="15" width="9.42578125" bestFit="1" customWidth="1"/>
    <col min="16" max="19" width="14.5703125" bestFit="1" customWidth="1"/>
    <col min="21" max="21" width="9.42578125" bestFit="1" customWidth="1"/>
    <col min="22" max="25" width="14.5703125" bestFit="1" customWidth="1"/>
    <col min="27" max="27" width="9.42578125" bestFit="1" customWidth="1"/>
    <col min="28" max="31" width="14.5703125" bestFit="1" customWidth="1"/>
    <col min="33" max="33" width="9.42578125" bestFit="1" customWidth="1"/>
    <col min="34" max="37" width="14.5703125" bestFit="1" customWidth="1"/>
    <col min="39" max="39" width="9.42578125" bestFit="1" customWidth="1"/>
    <col min="40" max="43" width="14.5703125" bestFit="1" customWidth="1"/>
  </cols>
  <sheetData>
    <row r="1" spans="3:43" x14ac:dyDescent="0.25">
      <c r="C1">
        <v>1</v>
      </c>
      <c r="I1">
        <v>2</v>
      </c>
      <c r="O1">
        <v>3</v>
      </c>
      <c r="U1">
        <v>4</v>
      </c>
      <c r="AA1">
        <v>5</v>
      </c>
      <c r="AG1">
        <v>6</v>
      </c>
      <c r="AM1">
        <v>7</v>
      </c>
    </row>
    <row r="3" spans="3:43" x14ac:dyDescent="0.25">
      <c r="C3" s="6" t="str">
        <f>Borrower</f>
        <v>Philadelphia Water Department</v>
      </c>
      <c r="D3" s="6"/>
      <c r="E3" s="6"/>
      <c r="F3" s="6"/>
      <c r="G3" s="6"/>
      <c r="I3" s="6" t="str">
        <f>Borrower</f>
        <v>Philadelphia Water Department</v>
      </c>
      <c r="J3" s="6"/>
      <c r="K3" s="6"/>
      <c r="L3" s="6"/>
      <c r="M3" s="6"/>
      <c r="O3" s="6" t="str">
        <f>Borrower</f>
        <v>Philadelphia Water Department</v>
      </c>
      <c r="P3" s="6"/>
      <c r="Q3" s="6"/>
      <c r="R3" s="6"/>
      <c r="S3" s="6"/>
      <c r="U3" s="6" t="str">
        <f>Borrower</f>
        <v>Philadelphia Water Department</v>
      </c>
      <c r="V3" s="6"/>
      <c r="W3" s="6"/>
      <c r="X3" s="6"/>
      <c r="Y3" s="6"/>
      <c r="AA3" s="6" t="str">
        <f>Borrower</f>
        <v>Philadelphia Water Department</v>
      </c>
      <c r="AB3" s="6"/>
      <c r="AC3" s="6"/>
      <c r="AD3" s="6"/>
      <c r="AE3" s="6"/>
      <c r="AG3" s="6" t="str">
        <f>Borrower</f>
        <v>Philadelphia Water Department</v>
      </c>
      <c r="AH3" s="6"/>
      <c r="AI3" s="6"/>
      <c r="AJ3" s="6"/>
      <c r="AK3" s="6"/>
      <c r="AM3" s="6" t="str">
        <f>Borrower</f>
        <v>Philadelphia Water Department</v>
      </c>
      <c r="AN3" s="6"/>
      <c r="AO3" s="6"/>
      <c r="AP3" s="6"/>
      <c r="AQ3" s="6"/>
    </row>
    <row r="4" spans="3:43" x14ac:dyDescent="0.25">
      <c r="C4" s="6" t="str">
        <f>Project_1</f>
        <v>Loan 1 - Distribution Main Replacement</v>
      </c>
      <c r="D4" s="6"/>
      <c r="E4" s="6"/>
      <c r="F4" s="6"/>
      <c r="G4" s="6"/>
      <c r="I4" s="6" t="str">
        <f>Project_2</f>
        <v>Loan 2 - George's Hill/Belmont High Pump Station</v>
      </c>
      <c r="J4" s="6"/>
      <c r="K4" s="6"/>
      <c r="L4" s="6"/>
      <c r="M4" s="6"/>
      <c r="O4" s="6" t="str">
        <f>Project_3</f>
        <v>Loan 3 - East Park Booster Station/Monument Road Storage Replacement</v>
      </c>
      <c r="P4" s="6"/>
      <c r="Q4" s="6"/>
      <c r="R4" s="6"/>
      <c r="S4" s="6"/>
      <c r="U4" s="6" t="str">
        <f>Project_4</f>
        <v>Loan 4 - Schuylkill River Crossing</v>
      </c>
      <c r="V4" s="6"/>
      <c r="W4" s="6"/>
      <c r="X4" s="6"/>
      <c r="Y4" s="6"/>
      <c r="AA4" s="6" t="str">
        <f>Project_5</f>
        <v>Loan 5 - Baxter WTP Storage &amp; Belmont WTP Storage Replacement</v>
      </c>
      <c r="AB4" s="6"/>
      <c r="AC4" s="6"/>
      <c r="AD4" s="6"/>
      <c r="AE4" s="6"/>
      <c r="AG4" s="6" t="e">
        <f>Project_6</f>
        <v>#REF!</v>
      </c>
      <c r="AH4" s="6"/>
      <c r="AI4" s="6"/>
      <c r="AJ4" s="6"/>
      <c r="AK4" s="6"/>
      <c r="AM4" s="6" t="e">
        <f>Project_7</f>
        <v>#REF!</v>
      </c>
      <c r="AN4" s="6"/>
      <c r="AO4" s="6"/>
      <c r="AP4" s="6"/>
      <c r="AQ4" s="6"/>
    </row>
    <row r="5" spans="3:43" x14ac:dyDescent="0.25">
      <c r="C5" s="2" t="s">
        <v>5</v>
      </c>
      <c r="D5" s="2" t="s">
        <v>4</v>
      </c>
      <c r="E5" s="2" t="s">
        <v>6</v>
      </c>
      <c r="F5" s="2" t="s">
        <v>7</v>
      </c>
      <c r="G5" s="2" t="s">
        <v>8</v>
      </c>
      <c r="I5" s="2" t="s">
        <v>5</v>
      </c>
      <c r="J5" s="2" t="s">
        <v>4</v>
      </c>
      <c r="K5" s="2" t="s">
        <v>6</v>
      </c>
      <c r="L5" s="2" t="s">
        <v>7</v>
      </c>
      <c r="M5" s="2" t="s">
        <v>8</v>
      </c>
      <c r="O5" s="2" t="s">
        <v>5</v>
      </c>
      <c r="P5" s="2" t="s">
        <v>4</v>
      </c>
      <c r="Q5" s="2" t="s">
        <v>6</v>
      </c>
      <c r="R5" s="2" t="s">
        <v>7</v>
      </c>
      <c r="S5" s="2" t="s">
        <v>8</v>
      </c>
      <c r="U5" s="2" t="s">
        <v>5</v>
      </c>
      <c r="V5" s="2" t="s">
        <v>4</v>
      </c>
      <c r="W5" s="2" t="s">
        <v>6</v>
      </c>
      <c r="X5" s="2" t="s">
        <v>7</v>
      </c>
      <c r="Y5" s="2" t="s">
        <v>8</v>
      </c>
      <c r="AA5" s="2" t="s">
        <v>5</v>
      </c>
      <c r="AB5" s="2" t="s">
        <v>4</v>
      </c>
      <c r="AC5" s="2" t="s">
        <v>6</v>
      </c>
      <c r="AD5" s="2" t="s">
        <v>7</v>
      </c>
      <c r="AE5" s="2" t="s">
        <v>8</v>
      </c>
      <c r="AG5" s="2" t="s">
        <v>5</v>
      </c>
      <c r="AH5" s="2" t="s">
        <v>4</v>
      </c>
      <c r="AI5" s="2" t="s">
        <v>6</v>
      </c>
      <c r="AJ5" s="2" t="s">
        <v>7</v>
      </c>
      <c r="AK5" s="2" t="s">
        <v>8</v>
      </c>
      <c r="AM5" s="2" t="s">
        <v>5</v>
      </c>
      <c r="AN5" s="2" t="s">
        <v>4</v>
      </c>
      <c r="AO5" s="2" t="s">
        <v>6</v>
      </c>
      <c r="AP5" s="2" t="s">
        <v>7</v>
      </c>
      <c r="AQ5" s="2" t="s">
        <v>8</v>
      </c>
    </row>
    <row r="6" spans="3:43" x14ac:dyDescent="0.25">
      <c r="C6" s="3">
        <f>Closing_1</f>
        <v>44896</v>
      </c>
      <c r="I6" s="3">
        <f>Closing_2</f>
        <v>45108</v>
      </c>
      <c r="O6" s="3">
        <f>Closing_3</f>
        <v>45474</v>
      </c>
      <c r="U6" s="3">
        <f>Closing_4</f>
        <v>45839</v>
      </c>
      <c r="AA6" s="3">
        <f>Closing_5</f>
        <v>46569</v>
      </c>
      <c r="AG6" s="3" t="e">
        <f>Closing_6</f>
        <v>#REF!</v>
      </c>
      <c r="AM6" s="3" t="e">
        <f>Closing_7</f>
        <v>#REF!</v>
      </c>
    </row>
    <row r="7" spans="3:43" x14ac:dyDescent="0.25">
      <c r="C7" s="3">
        <f>IF(MONTH(C6)&gt;6,DATE(YEAR(C6)+1,6,30),DATE(YEAR(C6),6,30))</f>
        <v>45107</v>
      </c>
      <c r="D7" s="4">
        <f>IFERROR(VLOOKUP($C7,Inputs!$A$13:$F$19,'PV &amp; WIFIA Calculation Old'!$C$1+1,0),0)</f>
        <v>0</v>
      </c>
      <c r="E7" s="4">
        <f>IFERROR(IF(SUM(D7:$D$47)&gt;0,0,PPMT(Loan_Rate_1,(ROUND(DAYS360((First_Principal_1-360),C7)/360,0)),Loan_Term_1,-(SUM($D$7:$D$47)*(1+COI_1)))),0)</f>
        <v>0</v>
      </c>
      <c r="F7" s="4">
        <f>IFERROR(IF(AND(E7=0,SUM(D7:$D$47)&gt;0),SUM($D$7:D7)*Loan_Rate_1*(DAYS360(C6,C7)/360),IPMT(Loan_Rate_1,(ROUND(DAYS360((First_Principal_1-360),C7)/360,0)),Loan_Term_1,-(SUM($D$7:$D$47)*(1+COI_1)))),0)</f>
        <v>0</v>
      </c>
      <c r="G7" s="4">
        <f>SUM(E7:F7)</f>
        <v>0</v>
      </c>
      <c r="I7" s="3">
        <f>IF(MONTH(I6)&gt;6,DATE(YEAR(I6)+1,6,30),DATE(YEAR(I6),6,30))</f>
        <v>45473</v>
      </c>
      <c r="J7" s="4">
        <f>IFERROR(VLOOKUP(I7,Inputs!$A$13:$F$19,I$1+1,0),0)</f>
        <v>5155500</v>
      </c>
      <c r="K7" s="4">
        <f>IFERROR(IF(SUM(J7:$J$47)&gt;0,0,PPMT(Loan_Rate_2,(ROUND(DAYS360(First_Principal_2-360,I7)/360,0)),Loan_Term_2,-(SUM(J$7:J$47)*(1+COI_2)))),0)</f>
        <v>0</v>
      </c>
      <c r="L7" s="4">
        <f>IFERROR(IF(AND(K7=0,SUM(J7:$J$47)&gt;0),SUM(J$7:J7)*Loan_Rate_2*(DAYS360(I6,I7)/360),IPMT(Loan_Rate_2,(ROUND(DAYS360(First_Principal_2-360,I7)/360,0)),Loan_Term_2,-(SUM(J$7:J$47)*(1+COI_2)))),0)</f>
        <v>257058.95833333334</v>
      </c>
      <c r="M7" s="4">
        <f>SUM(K7:L7)</f>
        <v>257058.95833333334</v>
      </c>
      <c r="O7" s="3">
        <f>IF(MONTH(O6)&gt;6,DATE(YEAR(O6)+1,6,30),DATE(YEAR(O6),6,30))</f>
        <v>45838</v>
      </c>
      <c r="P7" s="4">
        <f>IFERROR(VLOOKUP(O7,Inputs!$A$13:$F$19,O$1+1,0),0)</f>
        <v>17627222.22222222</v>
      </c>
      <c r="Q7" s="4">
        <f>IFERROR(IF(SUM(P7:$P$47)&gt;0,0,PPMT(Loan_Rate_3,(ROUND(DAYS360(First_Principal_3-360,O7)/360,0)),Loan_Term_3,-(SUM(P$7:P$47)*(1+COI_3)))),0)</f>
        <v>0</v>
      </c>
      <c r="R7" s="4">
        <f>IFERROR(IF(AND(Q7=0,SUM(P7:$P$47)&gt;0),SUM(P$7:P7)*Loan_Rate_3*(DAYS360(O6,O7)/360),IPMT(Loan_Rate_3,(ROUND(DAYS360(First_Principal_3-360,O7)/360,0)),Loan_Term_3,-(SUM(P$7:P$47)*(1+COI_3)))),0)</f>
        <v>878912.88580246898</v>
      </c>
      <c r="S7" s="4">
        <f>SUM(Q7:R7)</f>
        <v>878912.88580246898</v>
      </c>
      <c r="U7" s="3">
        <f>IF(MONTH(U6)&gt;6,DATE(YEAR(U6)+1,6,30),DATE(YEAR(U6),6,30))</f>
        <v>46203</v>
      </c>
      <c r="V7" s="4">
        <f>IFERROR(VLOOKUP(U7,Inputs!$A$13:$F$19,U$1+1,0),0)</f>
        <v>42183559.016666673</v>
      </c>
      <c r="W7" s="4">
        <f>IFERROR(IF(SUM(V7:V$47)&gt;0,0,PPMT(Loan_Rate_4,(ROUND(DAYS360(First_Principal_4-360,U7)/360,0)),Loan_Term_4,-(SUM(V$7:V$47)*(1+COI_4)))),0)</f>
        <v>0</v>
      </c>
      <c r="X7" s="4">
        <f>IFERROR(IF(AND(W7=0,SUM(V7:$V$47)&gt;0),SUM(V$7:V7)*Loan_Rate_4*(DAYS360(U6,U7)/360),IPMT(Loan_Rate_4,(ROUND(DAYS360(First_Principal_4-360,U7)/360,0)),Loan_Term_4,-(SUM(V$7:V$47)*(1+COI_4)))),0)</f>
        <v>2103319.1231921301</v>
      </c>
      <c r="Y7" s="4">
        <f>SUM(W7:X7)</f>
        <v>2103319.1231921301</v>
      </c>
      <c r="AA7" s="3">
        <f>IF(MONTH(AA6)&gt;6,DATE(YEAR(AA6)+1,6,30),DATE(YEAR(AA6),6,30))</f>
        <v>46934</v>
      </c>
      <c r="AB7" s="4">
        <f>IFERROR(VLOOKUP(AA7,Inputs!$A$13:$F$19,AA$1+1,0),0)</f>
        <v>53675764.705882356</v>
      </c>
      <c r="AC7" s="4">
        <f>IFERROR(IF(SUM(AB7:AB$47)&gt;0,0,PPMT(Loan_Rate_5,(ROUND(DAYS360(First_Principal_5-360,AA7)/360,0)),Loan_Term_5,-(SUM(AB$7:AB$47)*(1+COI_5)))),0)</f>
        <v>0</v>
      </c>
      <c r="AD7" s="4">
        <f>IFERROR(IF(AND(AC7=0,SUM(AB7:$AB$47)&gt;0),SUM(AB$7:AB7)*Loan_Rate_5*(DAYS360(AA6,AA7)/360),IPMT(Loan_Rate_5,(ROUND(DAYS360(First_Principal_5-360,AA7)/360,0)),Loan_Term_5,-(SUM(AB$7:AB$47)*(1+COI_5)))),0)</f>
        <v>2676333.2679738565</v>
      </c>
      <c r="AE7" s="4">
        <f>SUM(AC7:AD7)</f>
        <v>2676333.2679738565</v>
      </c>
      <c r="AG7" s="3" t="e">
        <f>IF(MONTH(AG6)&gt;6,DATE(YEAR(AG6)+1,6,30),DATE(YEAR(AG6),6,30))</f>
        <v>#REF!</v>
      </c>
      <c r="AH7" s="4">
        <f>IFERROR(VLOOKUP(AG7,Inputs!$A$13:$F$19,AG$1+1,0),0)</f>
        <v>0</v>
      </c>
      <c r="AI7" s="4">
        <f>IFERROR(IF(SUM(AH7:AH$47)&gt;0,0,PPMT(Loan_Rate_6,(ROUND(DAYS360(First_Principal_6-360,AG7)/360,0)),Loan_Term_6,-(SUM(AH$7:AH$47)*(1+COI_6)))),0)</f>
        <v>0</v>
      </c>
      <c r="AJ7" s="4">
        <f>IFERROR(IF(AND(AI7=0,SUM(AH7:$AH$47)&gt;0),SUM(AH$7:AH7)*Loan_Rate_6*(DAYS360(AG6,AG7)/360),IPMT(Loan_Rate_6,(ROUND(DAYS360(First_Principal_6-360,AG7)/360,0)),Loan_Term_6,-(SUM(AH$7:AH$47)*(1+COI_6)))),0)</f>
        <v>0</v>
      </c>
      <c r="AK7" s="4">
        <f>SUM(AI7:AJ7)</f>
        <v>0</v>
      </c>
      <c r="AM7" s="3" t="e">
        <f>IF(MONTH(AM6)&gt;6,DATE(YEAR(AM6)+1,6,30),DATE(YEAR(AM6),6,30))</f>
        <v>#REF!</v>
      </c>
      <c r="AN7" s="4">
        <f>IFERROR(VLOOKUP(AM7,Inputs!$A$13:$F$19,AM$1+1,0),0)</f>
        <v>0</v>
      </c>
      <c r="AO7" s="4">
        <f>IFERROR(IF(SUM(AN7:AN$47)&gt;0,0,PPMT(Loan_Rate_7,(ROUND(DAYS360(First_Principal_7-360,AM7)/360,0)),Loan_Term_7,-(SUM(AN$7:AN$47)*(1+COI_7)))),0)</f>
        <v>0</v>
      </c>
      <c r="AP7" s="4">
        <f>IFERROR(IF(AND(AO7=0,SUM(AN7:$AN$47)&gt;0),SUM(AN$7:AN7)*Loan_Rate_7*(DAYS360(AM6,AM7)/360),IPMT(Loan_Rate_7,(ROUND(DAYS360(First_Principal_7-360,AM7)/360,0)),Loan_Term_7,-(SUM(AN$7:AN$47)*(1+COI_7)))),0)</f>
        <v>0</v>
      </c>
      <c r="AQ7" s="4">
        <f>SUM(AO7:AP7)</f>
        <v>0</v>
      </c>
    </row>
    <row r="8" spans="3:43" x14ac:dyDescent="0.25">
      <c r="C8" s="3">
        <f>EDATE(C7,12)</f>
        <v>45473</v>
      </c>
      <c r="D8" s="4">
        <f>IFERROR(VLOOKUP($C8,Inputs!$A$13:$F$19,'PV &amp; WIFIA Calculation Old'!$C$1+1,0),0)</f>
        <v>13155186.336666666</v>
      </c>
      <c r="E8" s="4">
        <f>IFERROR(IF(SUM(D8:$D$47)&gt;0,0,PPMT(Loan_Rate_1,(ROUND(DAYS360((First_Principal_1-360),C8)/360,0)),Loan_Term_1,-(SUM($D$7:$D$47)*(1+COI_1)))),0)</f>
        <v>0</v>
      </c>
      <c r="F8" s="4">
        <f>IFERROR(IF(AND(E8=0,SUM(D8:$D$47)&gt;0),SUM($D$7:D8)*Loan_Rate_1*(DAYS360(C7,C8)/360),IPMT(Loan_Rate_1,(ROUND(DAYS360((First_Principal_1-360),C8)/360,0)),Loan_Term_1,-(SUM($D$7:$D$47)*(1+COI_1)))),0)</f>
        <v>657759.31683333335</v>
      </c>
      <c r="G8" s="4">
        <f t="shared" ref="G8:G47" si="0">SUM(E8:F8)</f>
        <v>657759.31683333335</v>
      </c>
      <c r="I8" s="3">
        <f>EDATE(I7,12)</f>
        <v>45838</v>
      </c>
      <c r="J8" s="4">
        <f>IFERROR(VLOOKUP(I8,Inputs!$A$13:$F$19,I$1+1,0),0)</f>
        <v>10311000</v>
      </c>
      <c r="K8" s="4">
        <f>IFERROR(IF(SUM(J8:$J$47)&gt;0,0,PPMT(Loan_Rate_2,(ROUND(DAYS360(First_Principal_2-360,I8)/360,0)),Loan_Term_2,-(SUM(J$7:J$47)*(1+COI_2)))),0)</f>
        <v>0</v>
      </c>
      <c r="L8" s="4">
        <f>IFERROR(IF(AND(K8=0,SUM(J8:$J$47)&gt;0),SUM(J$7:J8)*Loan_Rate_2*(DAYS360(I7,I8)/360),IPMT(Loan_Rate_2,(ROUND(DAYS360(First_Principal_2-360,I8)/360,0)),Loan_Term_2,-(SUM(J$7:J$47)*(1+COI_2)))),0)</f>
        <v>773325</v>
      </c>
      <c r="M8" s="4">
        <f t="shared" ref="M8:M47" si="1">SUM(K8:L8)</f>
        <v>773325</v>
      </c>
      <c r="O8" s="3">
        <f>EDATE(O7,12)</f>
        <v>46203</v>
      </c>
      <c r="P8" s="4">
        <f>IFERROR(VLOOKUP(O8,Inputs!$A$13:$F$19,O$1+1,0),0)</f>
        <v>28301444.444444448</v>
      </c>
      <c r="Q8" s="4">
        <f>IFERROR(IF(SUM(P8:$P$47)&gt;0,0,PPMT(Loan_Rate_3,(ROUND(DAYS360(First_Principal_3-360,O8)/360,0)),Loan_Term_3,-(SUM(P$7:P$47)*(1+COI_3)))),0)</f>
        <v>0</v>
      </c>
      <c r="R8" s="4">
        <f>IFERROR(IF(AND(Q8=0,SUM(P8:$P$47)&gt;0),SUM(P$7:P8)*Loan_Rate_3*(DAYS360(O7,O8)/360),IPMT(Loan_Rate_3,(ROUND(DAYS360(First_Principal_3-360,O8)/360,0)),Loan_Term_3,-(SUM(P$7:P$47)*(1+COI_3)))),0)</f>
        <v>2296433.3333333335</v>
      </c>
      <c r="S8" s="4">
        <f t="shared" ref="S8:S47" si="2">SUM(Q8:R8)</f>
        <v>2296433.3333333335</v>
      </c>
      <c r="U8" s="3">
        <f>EDATE(U7,12)</f>
        <v>46568</v>
      </c>
      <c r="V8" s="4">
        <f>IFERROR(VLOOKUP(U8,Inputs!$A$13:$F$19,U$1+1,0),0)</f>
        <v>63275338.524999991</v>
      </c>
      <c r="W8" s="4">
        <f>IFERROR(IF(SUM(V8:V$47)&gt;0,0,PPMT(Loan_Rate_4,(ROUND(DAYS360(First_Principal_4-360,U8)/360,0)),Loan_Term_4,-(SUM(V$7:V$47)*(1+COI_4)))),0)</f>
        <v>0</v>
      </c>
      <c r="X8" s="4">
        <f>IFERROR(IF(AND(W8=0,SUM(V8:$V$47)&gt;0),SUM(V$7:V8)*Loan_Rate_4*(DAYS360(U7,U8)/360),IPMT(Loan_Rate_4,(ROUND(DAYS360(First_Principal_4-360,U8)/360,0)),Loan_Term_4,-(SUM(V$7:V$47)*(1+COI_4)))),0)</f>
        <v>5272944.8770833332</v>
      </c>
      <c r="Y8" s="4">
        <f t="shared" ref="Y8:Y47" si="3">SUM(W8:X8)</f>
        <v>5272944.8770833332</v>
      </c>
      <c r="AA8" s="3">
        <f>EDATE(AA7,12)</f>
        <v>47299</v>
      </c>
      <c r="AB8" s="4">
        <f>IFERROR(VLOOKUP(AA8,Inputs!$A$13:$F$19,AA$1+1,0),0)</f>
        <v>0</v>
      </c>
      <c r="AC8" s="4">
        <f>IFERROR(IF(SUM(AB8:AB$47)&gt;0,0,PPMT(Loan_Rate_5,(ROUND(DAYS360(First_Principal_5-360,AA8)/360,0)),Loan_Term_5,-(SUM(AB$7:AB$47)*(1+COI_5)))),0)</f>
        <v>1639526.9340861253</v>
      </c>
      <c r="AD8" s="4">
        <f>IFERROR(IF(AND(AC8=0,SUM(AB8:$AB$47)&gt;0),SUM(AB$7:AB8)*Loan_Rate_5*(DAYS360(AA7,AA8)/360),IPMT(Loan_Rate_5,(ROUND(DAYS360(First_Principal_5-360,AA8)/360,0)),Loan_Term_5,-(SUM(AB$7:AB$47)*(1+COI_5)))),0)</f>
        <v>2710626.1176470593</v>
      </c>
      <c r="AE8" s="4">
        <f t="shared" ref="AE8:AE47" si="4">SUM(AC8:AD8)</f>
        <v>4350153.0517331846</v>
      </c>
      <c r="AG8" s="3" t="e">
        <f>EDATE(AG7,12)</f>
        <v>#REF!</v>
      </c>
      <c r="AH8" s="4">
        <f>IFERROR(VLOOKUP(AG8,Inputs!$A$13:$F$19,AG$1+1,0),0)</f>
        <v>0</v>
      </c>
      <c r="AI8" s="4">
        <f>IFERROR(IF(SUM(AH8:AH$47)&gt;0,0,PPMT(Loan_Rate_6,(ROUND(DAYS360(First_Principal_6-360,AG8)/360,0)),Loan_Term_6,-(SUM(AH$7:AH$47)*(1+COI_6)))),0)</f>
        <v>0</v>
      </c>
      <c r="AJ8" s="4">
        <f>IFERROR(IF(AND(AI8=0,SUM(AH8:$AH$47)&gt;0),SUM(AH$7:AH8)*Loan_Rate_6*(DAYS360(AG7,AG8)/360),IPMT(Loan_Rate_6,(ROUND(DAYS360(First_Principal_6-360,AG8)/360,0)),Loan_Term_6,-(SUM(AH$7:AH$47)*(1+COI_6)))),0)</f>
        <v>0</v>
      </c>
      <c r="AK8" s="4">
        <f t="shared" ref="AK8:AK47" si="5">SUM(AI8:AJ8)</f>
        <v>0</v>
      </c>
      <c r="AM8" s="3" t="e">
        <f>EDATE(AM7,12)</f>
        <v>#REF!</v>
      </c>
      <c r="AN8" s="4">
        <f>IFERROR(VLOOKUP(AM8,Inputs!$A$13:$F$19,AM$1+1,0),0)</f>
        <v>0</v>
      </c>
      <c r="AO8" s="4">
        <f>IFERROR(IF(SUM(AN8:AN$47)&gt;0,0,PPMT(Loan_Rate_7,(ROUND(DAYS360(First_Principal_7-360,AM8)/360,0)),Loan_Term_7,-(SUM(AN$7:AN$47)*(1+COI_7)))),0)</f>
        <v>0</v>
      </c>
      <c r="AP8" s="4">
        <f>IFERROR(IF(AND(AO8=0,SUM(AN8:$AN$47)&gt;0),SUM(AN$7:AN8)*Loan_Rate_7*(DAYS360(AM7,AM8)/360),IPMT(Loan_Rate_7,(ROUND(DAYS360(First_Principal_7-360,AM8)/360,0)),Loan_Term_7,-(SUM(AN$7:AN$47)*(1+COI_7)))),0)</f>
        <v>0</v>
      </c>
      <c r="AQ8" s="4">
        <f t="shared" ref="AQ8:AQ47" si="6">SUM(AO8:AP8)</f>
        <v>0</v>
      </c>
    </row>
    <row r="9" spans="3:43" x14ac:dyDescent="0.25">
      <c r="C9" s="3">
        <f t="shared" ref="C9:C51" si="7">EDATE(C8,12)</f>
        <v>45838</v>
      </c>
      <c r="D9" s="4">
        <f>IFERROR(VLOOKUP($C9,Inputs!$A$13:$F$19,'PV &amp; WIFIA Calculation Old'!$C$1+1,0),0)</f>
        <v>13155186.336666666</v>
      </c>
      <c r="E9" s="4">
        <f>IFERROR(IF(SUM(D9:$D$47)&gt;0,0,PPMT(Loan_Rate_1,(ROUND(DAYS360((First_Principal_1-360),C9)/360,0)),Loan_Term_1,-(SUM($D$7:$D$47)*(1+COI_1)))),0)</f>
        <v>0</v>
      </c>
      <c r="F9" s="4">
        <f>IFERROR(IF(AND(E9=0,SUM(D9:$D$47)&gt;0),SUM($D$7:D9)*Loan_Rate_1*(DAYS360(C8,C9)/360),IPMT(Loan_Rate_1,(ROUND(DAYS360((First_Principal_1-360),C9)/360,0)),Loan_Term_1,-(SUM($D$7:$D$47)*(1+COI_1)))),0)</f>
        <v>1315518.6336666667</v>
      </c>
      <c r="G9" s="4">
        <f t="shared" si="0"/>
        <v>1315518.6336666667</v>
      </c>
      <c r="I9" s="3">
        <f t="shared" ref="I9:I51" si="8">EDATE(I8,12)</f>
        <v>46203</v>
      </c>
      <c r="J9" s="4">
        <f>IFERROR(VLOOKUP(I9,Inputs!$A$13:$F$19,I$1+1,0),0)</f>
        <v>10311000</v>
      </c>
      <c r="K9" s="4">
        <f>IFERROR(IF(SUM(J9:$J$47)&gt;0,0,PPMT(Loan_Rate_2,(ROUND(DAYS360(First_Principal_2-360,I9)/360,0)),Loan_Term_2,-(SUM(J$7:J$47)*(1+COI_2)))),0)</f>
        <v>0</v>
      </c>
      <c r="L9" s="4">
        <f>IFERROR(IF(AND(K9=0,SUM(J9:$J$47)&gt;0),SUM(J$7:J9)*Loan_Rate_2*(DAYS360(I8,I9)/360),IPMT(Loan_Rate_2,(ROUND(DAYS360(First_Principal_2-360,I9)/360,0)),Loan_Term_2,-(SUM(J$7:J$47)*(1+COI_2)))),0)</f>
        <v>1288875</v>
      </c>
      <c r="M9" s="4">
        <f t="shared" si="1"/>
        <v>1288875</v>
      </c>
      <c r="O9" s="3">
        <f t="shared" ref="O9:O51" si="9">EDATE(O8,12)</f>
        <v>46568</v>
      </c>
      <c r="P9" s="4">
        <f>IFERROR(VLOOKUP(O9,Inputs!$A$13:$F$19,O$1+1,0),0)</f>
        <v>14958666.666666668</v>
      </c>
      <c r="Q9" s="4">
        <f>IFERROR(IF(SUM(P9:$P$47)&gt;0,0,PPMT(Loan_Rate_3,(ROUND(DAYS360(First_Principal_3-360,O9)/360,0)),Loan_Term_3,-(SUM(P$7:P$47)*(1+COI_3)))),0)</f>
        <v>0</v>
      </c>
      <c r="R9" s="4">
        <f>IFERROR(IF(AND(Q9=0,SUM(P9:$P$47)&gt;0),SUM(P$7:P9)*Loan_Rate_3*(DAYS360(O8,O9)/360),IPMT(Loan_Rate_3,(ROUND(DAYS360(First_Principal_3-360,O9)/360,0)),Loan_Term_3,-(SUM(P$7:P$47)*(1+COI_3)))),0)</f>
        <v>3044366.6666666674</v>
      </c>
      <c r="S9" s="4">
        <f t="shared" si="2"/>
        <v>3044366.6666666674</v>
      </c>
      <c r="U9" s="3">
        <f t="shared" ref="U9:U51" si="10">EDATE(U8,12)</f>
        <v>46934</v>
      </c>
      <c r="V9" s="4">
        <f>IFERROR(VLOOKUP(U9,Inputs!$A$13:$F$19,U$1+1,0),0)</f>
        <v>38475994.808333345</v>
      </c>
      <c r="W9" s="4">
        <f>IFERROR(IF(SUM(V9:V$47)&gt;0,0,PPMT(Loan_Rate_4,(ROUND(DAYS360(First_Principal_4-360,U9)/360,0)),Loan_Term_4,-(SUM(V$7:V$47)*(1+COI_4)))),0)</f>
        <v>0</v>
      </c>
      <c r="X9" s="4">
        <f>IFERROR(IF(AND(W9=0,SUM(V9:$V$47)&gt;0),SUM(V$7:V9)*Loan_Rate_4*(DAYS360(U8,U9)/360),IPMT(Loan_Rate_4,(ROUND(DAYS360(First_Principal_4-360,U9)/360,0)),Loan_Term_4,-(SUM(V$7:V$47)*(1+COI_4)))),0)</f>
        <v>7196744.6174999997</v>
      </c>
      <c r="Y9" s="4">
        <f t="shared" si="3"/>
        <v>7196744.6174999997</v>
      </c>
      <c r="AA9" s="3">
        <f t="shared" ref="AA9:AA51" si="11">EDATE(AA8,12)</f>
        <v>47664</v>
      </c>
      <c r="AB9" s="4">
        <f>IFERROR(VLOOKUP(AA9,Inputs!$A$13:$F$19,AA$1+1,0),0)</f>
        <v>0</v>
      </c>
      <c r="AC9" s="4">
        <f>IFERROR(IF(SUM(AB9:AB$47)&gt;0,0,PPMT(Loan_Rate_5,(ROUND(DAYS360(First_Principal_5-360,AA9)/360,0)),Loan_Term_5,-(SUM(AB$7:AB$47)*(1+COI_5)))),0)</f>
        <v>1721503.2807904314</v>
      </c>
      <c r="AD9" s="4">
        <f>IFERROR(IF(AND(AC9=0,SUM(AB9:$AB$47)&gt;0),SUM(AB$7:AB9)*Loan_Rate_5*(DAYS360(AA8,AA9)/360),IPMT(Loan_Rate_5,(ROUND(DAYS360(First_Principal_5-360,AA9)/360,0)),Loan_Term_5,-(SUM(AB$7:AB$47)*(1+COI_5)))),0)</f>
        <v>2628649.7709427522</v>
      </c>
      <c r="AE9" s="4">
        <f t="shared" si="4"/>
        <v>4350153.0517331837</v>
      </c>
      <c r="AG9" s="3" t="e">
        <f t="shared" ref="AG9:AG51" si="12">EDATE(AG8,12)</f>
        <v>#REF!</v>
      </c>
      <c r="AH9" s="4">
        <f>IFERROR(VLOOKUP(AG9,Inputs!$A$13:$F$19,AG$1+1,0),0)</f>
        <v>0</v>
      </c>
      <c r="AI9" s="4">
        <f>IFERROR(IF(SUM(AH9:AH$47)&gt;0,0,PPMT(Loan_Rate_6,(ROUND(DAYS360(First_Principal_6-360,AG9)/360,0)),Loan_Term_6,-(SUM(AH$7:AH$47)*(1+COI_6)))),0)</f>
        <v>0</v>
      </c>
      <c r="AJ9" s="4">
        <f>IFERROR(IF(AND(AI9=0,SUM(AH9:$AH$47)&gt;0),SUM(AH$7:AH9)*Loan_Rate_6*(DAYS360(AG8,AG9)/360),IPMT(Loan_Rate_6,(ROUND(DAYS360(First_Principal_6-360,AG9)/360,0)),Loan_Term_6,-(SUM(AH$7:AH$47)*(1+COI_6)))),0)</f>
        <v>0</v>
      </c>
      <c r="AK9" s="4">
        <f t="shared" si="5"/>
        <v>0</v>
      </c>
      <c r="AM9" s="3" t="e">
        <f t="shared" ref="AM9:AM51" si="13">EDATE(AM8,12)</f>
        <v>#REF!</v>
      </c>
      <c r="AN9" s="4">
        <f>IFERROR(VLOOKUP(AM9,Inputs!$A$13:$F$19,AM$1+1,0),0)</f>
        <v>0</v>
      </c>
      <c r="AO9" s="4">
        <f>IFERROR(IF(SUM(AN9:AN$47)&gt;0,0,PPMT(Loan_Rate_7,(ROUND(DAYS360(First_Principal_7-360,AM9)/360,0)),Loan_Term_7,-(SUM(AN$7:AN$47)*(1+COI_7)))),0)</f>
        <v>0</v>
      </c>
      <c r="AP9" s="4">
        <f>IFERROR(IF(AND(AO9=0,SUM(AN9:$AN$47)&gt;0),SUM(AN$7:AN9)*Loan_Rate_7*(DAYS360(AM8,AM9)/360),IPMT(Loan_Rate_7,(ROUND(DAYS360(First_Principal_7-360,AM9)/360,0)),Loan_Term_7,-(SUM(AN$7:AN$47)*(1+COI_7)))),0)</f>
        <v>0</v>
      </c>
      <c r="AQ9" s="4">
        <f t="shared" si="6"/>
        <v>0</v>
      </c>
    </row>
    <row r="10" spans="3:43" x14ac:dyDescent="0.25">
      <c r="C10" s="3">
        <f t="shared" si="7"/>
        <v>46203</v>
      </c>
      <c r="D10" s="4">
        <f>IFERROR(VLOOKUP($C10,Inputs!$A$13:$F$19,'PV &amp; WIFIA Calculation Old'!$C$1+1,0),0)</f>
        <v>13155186.336666666</v>
      </c>
      <c r="E10" s="4">
        <f>IFERROR(IF(SUM(D10:$D$47)&gt;0,0,PPMT(Loan_Rate_1,(ROUND(DAYS360((First_Principal_1-360),C10)/360,0)),Loan_Term_1,-(SUM($D$7:$D$47)*(1+COI_1)))),0)</f>
        <v>0</v>
      </c>
      <c r="F10" s="4">
        <f>IFERROR(IF(AND(E10=0,SUM(D10:$D$47)&gt;0),SUM($D$7:D10)*Loan_Rate_1*(DAYS360(C9,C10)/360),IPMT(Loan_Rate_1,(ROUND(DAYS360((First_Principal_1-360),C10)/360,0)),Loan_Term_1,-(SUM($D$7:$D$47)*(1+COI_1)))),0)</f>
        <v>1973277.9505</v>
      </c>
      <c r="G10" s="4">
        <f t="shared" si="0"/>
        <v>1973277.9505</v>
      </c>
      <c r="I10" s="3">
        <f t="shared" si="8"/>
        <v>46568</v>
      </c>
      <c r="J10" s="4">
        <f>IFERROR(VLOOKUP(I10,Inputs!$A$13:$F$19,I$1+1,0),0)</f>
        <v>5155500</v>
      </c>
      <c r="K10" s="4">
        <f>IFERROR(IF(SUM(J10:$J$47)&gt;0,0,PPMT(Loan_Rate_2,(ROUND(DAYS360(First_Principal_2-360,I10)/360,0)),Loan_Term_2,-(SUM(J$7:J$47)*(1+COI_2)))),0)</f>
        <v>0</v>
      </c>
      <c r="L10" s="4">
        <f>IFERROR(IF(AND(K10=0,SUM(J10:$J$47)&gt;0),SUM(J$7:J10)*Loan_Rate_2*(DAYS360(I9,I10)/360),IPMT(Loan_Rate_2,(ROUND(DAYS360(First_Principal_2-360,I10)/360,0)),Loan_Term_2,-(SUM(J$7:J$47)*(1+COI_2)))),0)</f>
        <v>1546650</v>
      </c>
      <c r="M10" s="4">
        <f t="shared" si="1"/>
        <v>1546650</v>
      </c>
      <c r="O10" s="3">
        <f t="shared" si="9"/>
        <v>46934</v>
      </c>
      <c r="P10" s="4">
        <f>IFERROR(VLOOKUP(O10,Inputs!$A$13:$F$19,O$1+1,0),0)</f>
        <v>24017000</v>
      </c>
      <c r="Q10" s="4">
        <f>IFERROR(IF(SUM(P10:$P$47)&gt;0,0,PPMT(Loan_Rate_3,(ROUND(DAYS360(First_Principal_3-360,O10)/360,0)),Loan_Term_3,-(SUM(P$7:P$47)*(1+COI_3)))),0)</f>
        <v>0</v>
      </c>
      <c r="R10" s="4">
        <f>IFERROR(IF(AND(Q10=0,SUM(P10:$P$47)&gt;0),SUM(P$7:P10)*Loan_Rate_3*(DAYS360(O9,O10)/360),IPMT(Loan_Rate_3,(ROUND(DAYS360(First_Principal_3-360,O10)/360,0)),Loan_Term_3,-(SUM(P$7:P$47)*(1+COI_3)))),0)</f>
        <v>4245216.666666667</v>
      </c>
      <c r="S10" s="4">
        <f t="shared" si="2"/>
        <v>4245216.666666667</v>
      </c>
      <c r="U10" s="3">
        <f t="shared" si="10"/>
        <v>47299</v>
      </c>
      <c r="V10" s="4">
        <f>IFERROR(VLOOKUP(U10,Inputs!$A$13:$F$19,U$1+1,0),0)</f>
        <v>0</v>
      </c>
      <c r="W10" s="4">
        <f>IFERROR(IF(SUM(V10:V$47)&gt;0,0,PPMT(Loan_Rate_4,(ROUND(DAYS360(First_Principal_4-360,U10)/360,0)),Loan_Term_4,-(SUM(V$7:V$47)*(1+COI_4)))),0)</f>
        <v>4616317.8253441406</v>
      </c>
      <c r="X10" s="4">
        <f>IFERROR(IF(AND(W10=0,SUM(V10:$V$47)&gt;0),SUM(V$7:V10)*Loan_Rate_4*(DAYS360(U9,U10)/360),IPMT(Loan_Rate_4,(ROUND(DAYS360(First_Principal_4-360,U10)/360,0)),Loan_Term_4,-(SUM(V$7:V$47)*(1+COI_4)))),0)</f>
        <v>7048887.4053252786</v>
      </c>
      <c r="Y10" s="4">
        <f t="shared" si="3"/>
        <v>11665205.23066942</v>
      </c>
      <c r="AA10" s="3">
        <f t="shared" si="11"/>
        <v>48029</v>
      </c>
      <c r="AB10" s="4">
        <f>IFERROR(VLOOKUP(AA10,Inputs!$A$13:$F$19,AA$1+1,0),0)</f>
        <v>0</v>
      </c>
      <c r="AC10" s="4">
        <f>IFERROR(IF(SUM(AB10:AB$47)&gt;0,0,PPMT(Loan_Rate_5,(ROUND(DAYS360(First_Principal_5-360,AA10)/360,0)),Loan_Term_5,-(SUM(AB$7:AB$47)*(1+COI_5)))),0)</f>
        <v>1807578.4448299531</v>
      </c>
      <c r="AD10" s="4">
        <f>IFERROR(IF(AND(AC10=0,SUM(AB10:$AB$47)&gt;0),SUM(AB$7:AB10)*Loan_Rate_5*(DAYS360(AA9,AA10)/360),IPMT(Loan_Rate_5,(ROUND(DAYS360(First_Principal_5-360,AA10)/360,0)),Loan_Term_5,-(SUM(AB$7:AB$47)*(1+COI_5)))),0)</f>
        <v>2542574.6069032308</v>
      </c>
      <c r="AE10" s="4">
        <f t="shared" si="4"/>
        <v>4350153.0517331837</v>
      </c>
      <c r="AG10" s="3" t="e">
        <f t="shared" si="12"/>
        <v>#REF!</v>
      </c>
      <c r="AH10" s="4">
        <f>IFERROR(VLOOKUP(AG10,Inputs!$A$13:$F$19,AG$1+1,0),0)</f>
        <v>0</v>
      </c>
      <c r="AI10" s="4">
        <f>IFERROR(IF(SUM(AH10:AH$47)&gt;0,0,PPMT(Loan_Rate_6,(ROUND(DAYS360(First_Principal_6-360,AG10)/360,0)),Loan_Term_6,-(SUM(AH$7:AH$47)*(1+COI_6)))),0)</f>
        <v>0</v>
      </c>
      <c r="AJ10" s="4">
        <f>IFERROR(IF(AND(AI10=0,SUM(AH10:$AH$47)&gt;0),SUM(AH$7:AH10)*Loan_Rate_6*(DAYS360(AG9,AG10)/360),IPMT(Loan_Rate_6,(ROUND(DAYS360(First_Principal_6-360,AG10)/360,0)),Loan_Term_6,-(SUM(AH$7:AH$47)*(1+COI_6)))),0)</f>
        <v>0</v>
      </c>
      <c r="AK10" s="4">
        <f t="shared" si="5"/>
        <v>0</v>
      </c>
      <c r="AM10" s="3" t="e">
        <f t="shared" si="13"/>
        <v>#REF!</v>
      </c>
      <c r="AN10" s="4">
        <f>IFERROR(VLOOKUP(AM10,Inputs!$A$13:$F$19,AM$1+1,0),0)</f>
        <v>0</v>
      </c>
      <c r="AO10" s="4">
        <f>IFERROR(IF(SUM(AN10:AN$47)&gt;0,0,PPMT(Loan_Rate_7,(ROUND(DAYS360(First_Principal_7-360,AM10)/360,0)),Loan_Term_7,-(SUM(AN$7:AN$47)*(1+COI_7)))),0)</f>
        <v>0</v>
      </c>
      <c r="AP10" s="4">
        <f>IFERROR(IF(AND(AO10=0,SUM(AN10:$AN$47)&gt;0),SUM(AN$7:AN10)*Loan_Rate_7*(DAYS360(AM9,AM10)/360),IPMT(Loan_Rate_7,(ROUND(DAYS360(First_Principal_7-360,AM10)/360,0)),Loan_Term_7,-(SUM(AN$7:AN$47)*(1+COI_7)))),0)</f>
        <v>0</v>
      </c>
      <c r="AQ10" s="4">
        <f t="shared" si="6"/>
        <v>0</v>
      </c>
    </row>
    <row r="11" spans="3:43" x14ac:dyDescent="0.25">
      <c r="C11" s="3">
        <f t="shared" si="7"/>
        <v>46568</v>
      </c>
      <c r="D11" s="4">
        <f>IFERROR(VLOOKUP($C11,Inputs!$A$13:$F$19,'PV &amp; WIFIA Calculation Old'!$C$1+1,0),0)</f>
        <v>0</v>
      </c>
      <c r="E11" s="4">
        <f>IFERROR(IF(SUM(D11:$D$47)&gt;0,0,PPMT(Loan_Rate_1,(ROUND(DAYS360((First_Principal_1-360),C11)/360,0)),Loan_Term_1,-(SUM($D$7:$D$47)*(1+COI_1)))),0)</f>
        <v>0</v>
      </c>
      <c r="F11" s="4">
        <f>IFERROR(IF(AND(E11=0,SUM(D11:$D$47)&gt;0),SUM($D$7:D11)*Loan_Rate_1*(DAYS360(C10,C11)/360),IPMT(Loan_Rate_1,(ROUND(DAYS360((First_Principal_1-360),C11)/360,0)),Loan_Term_1,-(SUM($D$7:$D$47)*(1+COI_1)))),0)</f>
        <v>0</v>
      </c>
      <c r="G11" s="4">
        <f t="shared" si="0"/>
        <v>0</v>
      </c>
      <c r="I11" s="3">
        <f t="shared" si="8"/>
        <v>46934</v>
      </c>
      <c r="J11" s="4">
        <f>IFERROR(VLOOKUP(I11,Inputs!$A$13:$F$19,I$1+1,0),0)</f>
        <v>0</v>
      </c>
      <c r="K11" s="4">
        <f>IFERROR(IF(SUM(J11:$J$47)&gt;0,0,PPMT(Loan_Rate_2,(ROUND(DAYS360(First_Principal_2-360,I11)/360,0)),Loan_Term_2,-(SUM(J$7:J$47)*(1+COI_2)))),0)</f>
        <v>1093780.6952042768</v>
      </c>
      <c r="L11" s="4">
        <f>IFERROR(IF(AND(K11=0,SUM(J11:$J$47)&gt;0),SUM(J$7:J11)*Loan_Rate_2*(DAYS360(I10,I11)/360),IPMT(Loan_Rate_2,(ROUND(DAYS360(First_Principal_2-360,I11)/360,0)),Loan_Term_2,-(SUM(J$7:J$47)*(1+COI_2)))),0)</f>
        <v>1413184.693861074</v>
      </c>
      <c r="M11" s="4">
        <f t="shared" si="1"/>
        <v>2506965.3890653509</v>
      </c>
      <c r="O11" s="3">
        <f t="shared" si="9"/>
        <v>47299</v>
      </c>
      <c r="P11" s="4">
        <f>IFERROR(VLOOKUP(O11,Inputs!$A$13:$F$19,O$1+1,0),0)</f>
        <v>0</v>
      </c>
      <c r="Q11" s="4">
        <f>IFERROR(IF(SUM(P11:$P$47)&gt;0,0,PPMT(Loan_Rate_3,(ROUND(DAYS360(First_Principal_3-360,O11)/360,0)),Loan_Term_3,-(SUM(P$7:P$47)*(1+COI_3)))),0)</f>
        <v>3002189.2716254159</v>
      </c>
      <c r="R11" s="4">
        <f>IFERROR(IF(AND(Q11=0,SUM(P11:$P$47)&gt;0),SUM(P$7:P11)*Loan_Rate_3*(DAYS360(O10,O11)/360),IPMT(Loan_Rate_3,(ROUND(DAYS360(First_Principal_3-360,O11)/360,0)),Loan_Term_3,-(SUM(P$7:P$47)*(1+COI_3)))),0)</f>
        <v>3878883.5324457781</v>
      </c>
      <c r="S11" s="4">
        <f t="shared" si="2"/>
        <v>6881072.8040711936</v>
      </c>
      <c r="U11" s="3">
        <f t="shared" si="10"/>
        <v>47664</v>
      </c>
      <c r="V11" s="4">
        <f>IFERROR(VLOOKUP(U11,Inputs!$A$13:$F$19,U$1+1,0),0)</f>
        <v>0</v>
      </c>
      <c r="W11" s="4">
        <f>IFERROR(IF(SUM(V11:V$47)&gt;0,0,PPMT(Loan_Rate_4,(ROUND(DAYS360(First_Principal_4-360,U11)/360,0)),Loan_Term_4,-(SUM(V$7:V$47)*(1+COI_4)))),0)</f>
        <v>4847133.7166113472</v>
      </c>
      <c r="X11" s="4">
        <f>IFERROR(IF(AND(W11=0,SUM(V11:$V$47)&gt;0),SUM(V$7:V11)*Loan_Rate_4*(DAYS360(U10,U11)/360),IPMT(Loan_Rate_4,(ROUND(DAYS360(First_Principal_4-360,U11)/360,0)),Loan_Term_4,-(SUM(V$7:V$47)*(1+COI_4)))),0)</f>
        <v>6818071.5140580721</v>
      </c>
      <c r="Y11" s="4">
        <f t="shared" si="3"/>
        <v>11665205.23066942</v>
      </c>
      <c r="AA11" s="3">
        <f t="shared" si="11"/>
        <v>48395</v>
      </c>
      <c r="AB11" s="4">
        <f>IFERROR(VLOOKUP(AA11,Inputs!$A$13:$F$19,AA$1+1,0),0)</f>
        <v>0</v>
      </c>
      <c r="AC11" s="4">
        <f>IFERROR(IF(SUM(AB11:AB$47)&gt;0,0,PPMT(Loan_Rate_5,(ROUND(DAYS360(First_Principal_5-360,AA11)/360,0)),Loan_Term_5,-(SUM(AB$7:AB$47)*(1+COI_5)))),0)</f>
        <v>1897957.3670714507</v>
      </c>
      <c r="AD11" s="4">
        <f>IFERROR(IF(AND(AC11=0,SUM(AB11:$AB$47)&gt;0),SUM(AB$7:AB11)*Loan_Rate_5*(DAYS360(AA10,AA11)/360),IPMT(Loan_Rate_5,(ROUND(DAYS360(First_Principal_5-360,AA11)/360,0)),Loan_Term_5,-(SUM(AB$7:AB$47)*(1+COI_5)))),0)</f>
        <v>2452195.684661733</v>
      </c>
      <c r="AE11" s="4">
        <f t="shared" si="4"/>
        <v>4350153.0517331837</v>
      </c>
      <c r="AG11" s="3" t="e">
        <f t="shared" si="12"/>
        <v>#REF!</v>
      </c>
      <c r="AH11" s="4">
        <f>IFERROR(VLOOKUP(AG11,Inputs!$A$13:$F$19,AG$1+1,0),0)</f>
        <v>0</v>
      </c>
      <c r="AI11" s="4">
        <f>IFERROR(IF(SUM(AH11:AH$47)&gt;0,0,PPMT(Loan_Rate_6,(ROUND(DAYS360(First_Principal_6-360,AG11)/360,0)),Loan_Term_6,-(SUM(AH$7:AH$47)*(1+COI_6)))),0)</f>
        <v>0</v>
      </c>
      <c r="AJ11" s="4">
        <f>IFERROR(IF(AND(AI11=0,SUM(AH11:$AH$47)&gt;0),SUM(AH$7:AH11)*Loan_Rate_6*(DAYS360(AG10,AG11)/360),IPMT(Loan_Rate_6,(ROUND(DAYS360(First_Principal_6-360,AG11)/360,0)),Loan_Term_6,-(SUM(AH$7:AH$47)*(1+COI_6)))),0)</f>
        <v>0</v>
      </c>
      <c r="AK11" s="4">
        <f t="shared" si="5"/>
        <v>0</v>
      </c>
      <c r="AM11" s="3" t="e">
        <f t="shared" si="13"/>
        <v>#REF!</v>
      </c>
      <c r="AN11" s="4">
        <f>IFERROR(VLOOKUP(AM11,Inputs!$A$13:$F$19,AM$1+1,0),0)</f>
        <v>0</v>
      </c>
      <c r="AO11" s="4">
        <f>IFERROR(IF(SUM(AN11:AN$47)&gt;0,0,PPMT(Loan_Rate_7,(ROUND(DAYS360(First_Principal_7-360,AM11)/360,0)),Loan_Term_7,-(SUM(AN$7:AN$47)*(1+COI_7)))),0)</f>
        <v>0</v>
      </c>
      <c r="AP11" s="4">
        <f>IFERROR(IF(AND(AO11=0,SUM(AN11:$AN$47)&gt;0),SUM(AN$7:AN11)*Loan_Rate_7*(DAYS360(AM10,AM11)/360),IPMT(Loan_Rate_7,(ROUND(DAYS360(First_Principal_7-360,AM11)/360,0)),Loan_Term_7,-(SUM(AN$7:AN$47)*(1+COI_7)))),0)</f>
        <v>0</v>
      </c>
      <c r="AQ11" s="4">
        <f t="shared" si="6"/>
        <v>0</v>
      </c>
    </row>
    <row r="12" spans="3:43" x14ac:dyDescent="0.25">
      <c r="C12" s="3">
        <f t="shared" si="7"/>
        <v>46934</v>
      </c>
      <c r="D12" s="4">
        <f>IFERROR(VLOOKUP($C12,Inputs!$A$13:$F$19,'PV &amp; WIFIA Calculation Old'!$C$1+1,0),0)</f>
        <v>0</v>
      </c>
      <c r="E12" s="4">
        <f>IFERROR(IF(SUM(D12:$D$47)&gt;0,0,PPMT(Loan_Rate_1,(ROUND(DAYS360((First_Principal_1-360),C12)/360,0)),Loan_Term_1,-(SUM($D$7:$D$47)*(1+COI_1)))),0)</f>
        <v>0</v>
      </c>
      <c r="F12" s="4">
        <f>IFERROR(IF(AND(E12=0,SUM(D12:$D$47)&gt;0),SUM($D$7:D12)*Loan_Rate_1*(DAYS360(C11,C12)/360),IPMT(Loan_Rate_1,(ROUND(DAYS360((First_Principal_1-360),C12)/360,0)),Loan_Term_1,-(SUM($D$7:$D$47)*(1+COI_1)))),0)</f>
        <v>0</v>
      </c>
      <c r="G12" s="4">
        <f t="shared" si="0"/>
        <v>0</v>
      </c>
      <c r="I12" s="3">
        <f t="shared" si="8"/>
        <v>47299</v>
      </c>
      <c r="J12" s="4">
        <f>IFERROR(VLOOKUP(I12,Inputs!$A$13:$F$19,I$1+1,0),0)</f>
        <v>0</v>
      </c>
      <c r="K12" s="4">
        <f>IFERROR(IF(SUM(J12:$J$47)&gt;0,0,PPMT(Loan_Rate_2,(ROUND(DAYS360(First_Principal_2-360,I12)/360,0)),Loan_Term_2,-(SUM(J$7:J$47)*(1+COI_2)))),0)</f>
        <v>1148469.7299644907</v>
      </c>
      <c r="L12" s="4">
        <f>IFERROR(IF(AND(K12=0,SUM(J12:$J$47)&gt;0),SUM(J$7:J12)*Loan_Rate_2*(DAYS360(I11,I12)/360),IPMT(Loan_Rate_2,(ROUND(DAYS360(First_Principal_2-360,I12)/360,0)),Loan_Term_2,-(SUM(J$7:J$47)*(1+COI_2)))),0)</f>
        <v>1358495.6591008604</v>
      </c>
      <c r="M12" s="4">
        <f t="shared" si="1"/>
        <v>2506965.3890653513</v>
      </c>
      <c r="O12" s="3">
        <f t="shared" si="9"/>
        <v>47664</v>
      </c>
      <c r="P12" s="4">
        <f>IFERROR(VLOOKUP(O12,Inputs!$A$13:$F$19,O$1+1,0),0)</f>
        <v>0</v>
      </c>
      <c r="Q12" s="4">
        <f>IFERROR(IF(SUM(P12:$P$47)&gt;0,0,PPMT(Loan_Rate_3,(ROUND(DAYS360(First_Principal_3-360,O12)/360,0)),Loan_Term_3,-(SUM(P$7:P$47)*(1+COI_3)))),0)</f>
        <v>3152298.7352066869</v>
      </c>
      <c r="R12" s="4">
        <f>IFERROR(IF(AND(Q12=0,SUM(P12:$P$47)&gt;0),SUM(P$7:P12)*Loan_Rate_3*(DAYS360(O11,O12)/360),IPMT(Loan_Rate_3,(ROUND(DAYS360(First_Principal_3-360,O12)/360,0)),Loan_Term_3,-(SUM(P$7:P$47)*(1+COI_3)))),0)</f>
        <v>3728774.0688645076</v>
      </c>
      <c r="S12" s="4">
        <f t="shared" si="2"/>
        <v>6881072.8040711945</v>
      </c>
      <c r="U12" s="3">
        <f t="shared" si="10"/>
        <v>48029</v>
      </c>
      <c r="V12" s="4">
        <f>IFERROR(VLOOKUP(U12,Inputs!$A$13:$F$19,U$1+1,0),0)</f>
        <v>0</v>
      </c>
      <c r="W12" s="4">
        <f>IFERROR(IF(SUM(V12:V$47)&gt;0,0,PPMT(Loan_Rate_4,(ROUND(DAYS360(First_Principal_4-360,U12)/360,0)),Loan_Term_4,-(SUM(V$7:V$47)*(1+COI_4)))),0)</f>
        <v>5089490.4024419151</v>
      </c>
      <c r="X12" s="4">
        <f>IFERROR(IF(AND(W12=0,SUM(V12:$V$47)&gt;0),SUM(V$7:V12)*Loan_Rate_4*(DAYS360(U11,U12)/360),IPMT(Loan_Rate_4,(ROUND(DAYS360(First_Principal_4-360,U12)/360,0)),Loan_Term_4,-(SUM(V$7:V$47)*(1+COI_4)))),0)</f>
        <v>6575714.8282275051</v>
      </c>
      <c r="Y12" s="4">
        <f t="shared" si="3"/>
        <v>11665205.23066942</v>
      </c>
      <c r="AA12" s="3">
        <f t="shared" si="11"/>
        <v>48760</v>
      </c>
      <c r="AB12" s="4">
        <f>IFERROR(VLOOKUP(AA12,Inputs!$A$13:$F$19,AA$1+1,0),0)</f>
        <v>0</v>
      </c>
      <c r="AC12" s="4">
        <f>IFERROR(IF(SUM(AB12:AB$47)&gt;0,0,PPMT(Loan_Rate_5,(ROUND(DAYS360(First_Principal_5-360,AA12)/360,0)),Loan_Term_5,-(SUM(AB$7:AB$47)*(1+COI_5)))),0)</f>
        <v>1992855.2354250231</v>
      </c>
      <c r="AD12" s="4">
        <f>IFERROR(IF(AND(AC12=0,SUM(AB12:$AB$47)&gt;0),SUM(AB$7:AB12)*Loan_Rate_5*(DAYS360(AA11,AA12)/360),IPMT(Loan_Rate_5,(ROUND(DAYS360(First_Principal_5-360,AA12)/360,0)),Loan_Term_5,-(SUM(AB$7:AB$47)*(1+COI_5)))),0)</f>
        <v>2357297.8163081608</v>
      </c>
      <c r="AE12" s="4">
        <f t="shared" si="4"/>
        <v>4350153.0517331837</v>
      </c>
      <c r="AG12" s="3" t="e">
        <f t="shared" si="12"/>
        <v>#REF!</v>
      </c>
      <c r="AH12" s="4">
        <f>IFERROR(VLOOKUP(AG12,Inputs!$A$13:$F$19,AG$1+1,0),0)</f>
        <v>0</v>
      </c>
      <c r="AI12" s="4">
        <f>IFERROR(IF(SUM(AH12:AH$47)&gt;0,0,PPMT(Loan_Rate_6,(ROUND(DAYS360(First_Principal_6-360,AG12)/360,0)),Loan_Term_6,-(SUM(AH$7:AH$47)*(1+COI_6)))),0)</f>
        <v>0</v>
      </c>
      <c r="AJ12" s="4">
        <f>IFERROR(IF(AND(AI12=0,SUM(AH12:$AH$47)&gt;0),SUM(AH$7:AH12)*Loan_Rate_6*(DAYS360(AG11,AG12)/360),IPMT(Loan_Rate_6,(ROUND(DAYS360(First_Principal_6-360,AG12)/360,0)),Loan_Term_6,-(SUM(AH$7:AH$47)*(1+COI_6)))),0)</f>
        <v>0</v>
      </c>
      <c r="AK12" s="4">
        <f t="shared" si="5"/>
        <v>0</v>
      </c>
      <c r="AM12" s="3" t="e">
        <f t="shared" si="13"/>
        <v>#REF!</v>
      </c>
      <c r="AN12" s="4">
        <f>IFERROR(VLOOKUP(AM12,Inputs!$A$13:$F$19,AM$1+1,0),0)</f>
        <v>0</v>
      </c>
      <c r="AO12" s="4">
        <f>IFERROR(IF(SUM(AN12:AN$47)&gt;0,0,PPMT(Loan_Rate_7,(ROUND(DAYS360(First_Principal_7-360,AM12)/360,0)),Loan_Term_7,-(SUM(AN$7:AN$47)*(1+COI_7)))),0)</f>
        <v>0</v>
      </c>
      <c r="AP12" s="4">
        <f>IFERROR(IF(AND(AO12=0,SUM(AN12:$AN$47)&gt;0),SUM(AN$7:AN12)*Loan_Rate_7*(DAYS360(AM11,AM12)/360),IPMT(Loan_Rate_7,(ROUND(DAYS360(First_Principal_7-360,AM12)/360,0)),Loan_Term_7,-(SUM(AN$7:AN$47)*(1+COI_7)))),0)</f>
        <v>0</v>
      </c>
      <c r="AQ12" s="4">
        <f t="shared" si="6"/>
        <v>0</v>
      </c>
    </row>
    <row r="13" spans="3:43" x14ac:dyDescent="0.25">
      <c r="C13" s="3">
        <f t="shared" si="7"/>
        <v>47299</v>
      </c>
      <c r="D13" s="4">
        <f>IFERROR(VLOOKUP($C13,Inputs!$A$13:$F$19,'PV &amp; WIFIA Calculation Old'!$C$1+1,0),0)</f>
        <v>0</v>
      </c>
      <c r="E13" s="4">
        <f>IFERROR(IF(SUM(D13:$D$47)&gt;0,0,PPMT(Loan_Rate_1,(ROUND(DAYS360((First_Principal_1-360),C13)/360,0)),Loan_Term_1,-(SUM($D$7:$D$47)*(1+COI_1)))),0)</f>
        <v>0</v>
      </c>
      <c r="F13" s="4">
        <f>IFERROR(IF(AND(E13=0,SUM(D13:$D$47)&gt;0),SUM($D$7:D13)*Loan_Rate_1*(DAYS360(C12,C13)/360),IPMT(Loan_Rate_1,(ROUND(DAYS360((First_Principal_1-360),C13)/360,0)),Loan_Term_1,-(SUM($D$7:$D$47)*(1+COI_1)))),0)</f>
        <v>0</v>
      </c>
      <c r="G13" s="4">
        <f t="shared" si="0"/>
        <v>0</v>
      </c>
      <c r="I13" s="3">
        <f t="shared" si="8"/>
        <v>47664</v>
      </c>
      <c r="J13" s="4">
        <f>IFERROR(VLOOKUP(I13,Inputs!$A$13:$F$19,I$1+1,0),0)</f>
        <v>0</v>
      </c>
      <c r="K13" s="4">
        <f>IFERROR(IF(SUM(J13:$J$47)&gt;0,0,PPMT(Loan_Rate_2,(ROUND(DAYS360(First_Principal_2-360,I13)/360,0)),Loan_Term_2,-(SUM(J$7:J$47)*(1+COI_2)))),0)</f>
        <v>1205893.2164627153</v>
      </c>
      <c r="L13" s="4">
        <f>IFERROR(IF(AND(K13=0,SUM(J13:$J$47)&gt;0),SUM(J$7:J13)*Loan_Rate_2*(DAYS360(I12,I13)/360),IPMT(Loan_Rate_2,(ROUND(DAYS360(First_Principal_2-360,I13)/360,0)),Loan_Term_2,-(SUM(J$7:J$47)*(1+COI_2)))),0)</f>
        <v>1301072.1726026358</v>
      </c>
      <c r="M13" s="4">
        <f t="shared" si="1"/>
        <v>2506965.3890653513</v>
      </c>
      <c r="O13" s="3">
        <f t="shared" si="9"/>
        <v>48029</v>
      </c>
      <c r="P13" s="4">
        <f>IFERROR(VLOOKUP(O13,Inputs!$A$13:$F$19,O$1+1,0),0)</f>
        <v>0</v>
      </c>
      <c r="Q13" s="4">
        <f>IFERROR(IF(SUM(P13:$P$47)&gt;0,0,PPMT(Loan_Rate_3,(ROUND(DAYS360(First_Principal_3-360,O13)/360,0)),Loan_Term_3,-(SUM(P$7:P$47)*(1+COI_3)))),0)</f>
        <v>3309913.6719670217</v>
      </c>
      <c r="R13" s="4">
        <f>IFERROR(IF(AND(Q13=0,SUM(P13:$P$47)&gt;0),SUM(P$7:P13)*Loan_Rate_3*(DAYS360(O12,O13)/360),IPMT(Loan_Rate_3,(ROUND(DAYS360(First_Principal_3-360,O13)/360,0)),Loan_Term_3,-(SUM(P$7:P$47)*(1+COI_3)))),0)</f>
        <v>3571159.1321041728</v>
      </c>
      <c r="S13" s="4">
        <f t="shared" si="2"/>
        <v>6881072.8040711945</v>
      </c>
      <c r="U13" s="3">
        <f t="shared" si="10"/>
        <v>48395</v>
      </c>
      <c r="V13" s="4">
        <f>IFERROR(VLOOKUP(U13,Inputs!$A$13:$F$19,U$1+1,0),0)</f>
        <v>0</v>
      </c>
      <c r="W13" s="4">
        <f>IFERROR(IF(SUM(V13:V$47)&gt;0,0,PPMT(Loan_Rate_4,(ROUND(DAYS360(First_Principal_4-360,U13)/360,0)),Loan_Term_4,-(SUM(V$7:V$47)*(1+COI_4)))),0)</f>
        <v>5343964.9225640111</v>
      </c>
      <c r="X13" s="4">
        <f>IFERROR(IF(AND(W13=0,SUM(V13:$V$47)&gt;0),SUM(V$7:V13)*Loan_Rate_4*(DAYS360(U12,U13)/360),IPMT(Loan_Rate_4,(ROUND(DAYS360(First_Principal_4-360,U13)/360,0)),Loan_Term_4,-(SUM(V$7:V$47)*(1+COI_4)))),0)</f>
        <v>6321240.3081054091</v>
      </c>
      <c r="Y13" s="4">
        <f t="shared" si="3"/>
        <v>11665205.23066942</v>
      </c>
      <c r="AA13" s="3">
        <f t="shared" si="11"/>
        <v>49125</v>
      </c>
      <c r="AB13" s="4">
        <f>IFERROR(VLOOKUP(AA13,Inputs!$A$13:$F$19,AA$1+1,0),0)</f>
        <v>0</v>
      </c>
      <c r="AC13" s="4">
        <f>IFERROR(IF(SUM(AB13:AB$47)&gt;0,0,PPMT(Loan_Rate_5,(ROUND(DAYS360(First_Principal_5-360,AA13)/360,0)),Loan_Term_5,-(SUM(AB$7:AB$47)*(1+COI_5)))),0)</f>
        <v>2092497.9971962748</v>
      </c>
      <c r="AD13" s="4">
        <f>IFERROR(IF(AND(AC13=0,SUM(AB13:$AB$47)&gt;0),SUM(AB$7:AB13)*Loan_Rate_5*(DAYS360(AA12,AA13)/360),IPMT(Loan_Rate_5,(ROUND(DAYS360(First_Principal_5-360,AA13)/360,0)),Loan_Term_5,-(SUM(AB$7:AB$47)*(1+COI_5)))),0)</f>
        <v>2257655.0545369093</v>
      </c>
      <c r="AE13" s="4">
        <f t="shared" si="4"/>
        <v>4350153.0517331846</v>
      </c>
      <c r="AG13" s="3" t="e">
        <f t="shared" si="12"/>
        <v>#REF!</v>
      </c>
      <c r="AH13" s="4">
        <f>IFERROR(VLOOKUP(AG13,Inputs!$A$13:$F$19,AG$1+1,0),0)</f>
        <v>0</v>
      </c>
      <c r="AI13" s="4">
        <f>IFERROR(IF(SUM(AH13:AH$47)&gt;0,0,PPMT(Loan_Rate_6,(ROUND(DAYS360(First_Principal_6-360,AG13)/360,0)),Loan_Term_6,-(SUM(AH$7:AH$47)*(1+COI_6)))),0)</f>
        <v>0</v>
      </c>
      <c r="AJ13" s="4">
        <f>IFERROR(IF(AND(AI13=0,SUM(AH13:$AH$47)&gt;0),SUM(AH$7:AH13)*Loan_Rate_6*(DAYS360(AG12,AG13)/360),IPMT(Loan_Rate_6,(ROUND(DAYS360(First_Principal_6-360,AG13)/360,0)),Loan_Term_6,-(SUM(AH$7:AH$47)*(1+COI_6)))),0)</f>
        <v>0</v>
      </c>
      <c r="AK13" s="4">
        <f t="shared" si="5"/>
        <v>0</v>
      </c>
      <c r="AM13" s="3" t="e">
        <f t="shared" si="13"/>
        <v>#REF!</v>
      </c>
      <c r="AN13" s="4">
        <f>IFERROR(VLOOKUP(AM13,Inputs!$A$13:$F$19,AM$1+1,0),0)</f>
        <v>0</v>
      </c>
      <c r="AO13" s="4">
        <f>IFERROR(IF(SUM(AN13:AN$47)&gt;0,0,PPMT(Loan_Rate_7,(ROUND(DAYS360(First_Principal_7-360,AM13)/360,0)),Loan_Term_7,-(SUM(AN$7:AN$47)*(1+COI_7)))),0)</f>
        <v>0</v>
      </c>
      <c r="AP13" s="4">
        <f>IFERROR(IF(AND(AO13=0,SUM(AN13:$AN$47)&gt;0),SUM(AN$7:AN13)*Loan_Rate_7*(DAYS360(AM12,AM13)/360),IPMT(Loan_Rate_7,(ROUND(DAYS360(First_Principal_7-360,AM13)/360,0)),Loan_Term_7,-(SUM(AN$7:AN$47)*(1+COI_7)))),0)</f>
        <v>0</v>
      </c>
      <c r="AQ13" s="4">
        <f t="shared" si="6"/>
        <v>0</v>
      </c>
    </row>
    <row r="14" spans="3:43" x14ac:dyDescent="0.25">
      <c r="C14" s="3">
        <f t="shared" si="7"/>
        <v>47664</v>
      </c>
      <c r="D14" s="4">
        <f>IFERROR(VLOOKUP($C14,Inputs!$A$13:$F$19,'PV &amp; WIFIA Calculation Old'!$C$1+1,0),0)</f>
        <v>0</v>
      </c>
      <c r="E14" s="4">
        <f>IFERROR(IF(SUM(D14:$D$47)&gt;0,0,PPMT(Loan_Rate_1,(ROUND(DAYS360((First_Principal_1-360),C14)/360,0)),Loan_Term_1,-(SUM($D$7:$D$47)*(1+COI_1)))),0)</f>
        <v>0</v>
      </c>
      <c r="F14" s="4">
        <f>IFERROR(IF(AND(E14=0,SUM(D14:$D$47)&gt;0),SUM($D$7:D14)*Loan_Rate_1*(DAYS360(C13,C14)/360),IPMT(Loan_Rate_1,(ROUND(DAYS360((First_Principal_1-360),C14)/360,0)),Loan_Term_1,-(SUM($D$7:$D$47)*(1+COI_1)))),0)</f>
        <v>0</v>
      </c>
      <c r="G14" s="4">
        <f t="shared" si="0"/>
        <v>0</v>
      </c>
      <c r="I14" s="3">
        <f t="shared" si="8"/>
        <v>48029</v>
      </c>
      <c r="J14" s="4">
        <f>IFERROR(VLOOKUP(I14,Inputs!$A$13:$F$19,I$1+1,0),0)</f>
        <v>0</v>
      </c>
      <c r="K14" s="4">
        <f>IFERROR(IF(SUM(J14:$J$47)&gt;0,0,PPMT(Loan_Rate_2,(ROUND(DAYS360(First_Principal_2-360,I14)/360,0)),Loan_Term_2,-(SUM(J$7:J$47)*(1+COI_2)))),0)</f>
        <v>1266187.8772858512</v>
      </c>
      <c r="L14" s="4">
        <f>IFERROR(IF(AND(K14=0,SUM(J14:$J$47)&gt;0),SUM(J$7:J14)*Loan_Rate_2*(DAYS360(I13,I14)/360),IPMT(Loan_Rate_2,(ROUND(DAYS360(First_Principal_2-360,I14)/360,0)),Loan_Term_2,-(SUM(J$7:J$47)*(1+COI_2)))),0)</f>
        <v>1240777.5117794999</v>
      </c>
      <c r="M14" s="4">
        <f t="shared" si="1"/>
        <v>2506965.3890653513</v>
      </c>
      <c r="O14" s="3">
        <f t="shared" si="9"/>
        <v>48395</v>
      </c>
      <c r="P14" s="4">
        <f>IFERROR(VLOOKUP(O14,Inputs!$A$13:$F$19,O$1+1,0),0)</f>
        <v>0</v>
      </c>
      <c r="Q14" s="4">
        <f>IFERROR(IF(SUM(P14:$P$47)&gt;0,0,PPMT(Loan_Rate_3,(ROUND(DAYS360(First_Principal_3-360,O14)/360,0)),Loan_Term_3,-(SUM(P$7:P$47)*(1+COI_3)))),0)</f>
        <v>3475409.3555653724</v>
      </c>
      <c r="R14" s="4">
        <f>IFERROR(IF(AND(Q14=0,SUM(P14:$P$47)&gt;0),SUM(P$7:P14)*Loan_Rate_3*(DAYS360(O13,O14)/360),IPMT(Loan_Rate_3,(ROUND(DAYS360(First_Principal_3-360,O14)/360,0)),Loan_Term_3,-(SUM(P$7:P$47)*(1+COI_3)))),0)</f>
        <v>3405663.4485058221</v>
      </c>
      <c r="S14" s="4">
        <f t="shared" si="2"/>
        <v>6881072.8040711945</v>
      </c>
      <c r="U14" s="3">
        <f t="shared" si="10"/>
        <v>48760</v>
      </c>
      <c r="V14" s="4">
        <f>IFERROR(VLOOKUP(U14,Inputs!$A$13:$F$19,U$1+1,0),0)</f>
        <v>0</v>
      </c>
      <c r="W14" s="4">
        <f>IFERROR(IF(SUM(V14:V$47)&gt;0,0,PPMT(Loan_Rate_4,(ROUND(DAYS360(First_Principal_4-360,U14)/360,0)),Loan_Term_4,-(SUM(V$7:V$47)*(1+COI_4)))),0)</f>
        <v>5611163.1686922126</v>
      </c>
      <c r="X14" s="4">
        <f>IFERROR(IF(AND(W14=0,SUM(V14:$V$47)&gt;0),SUM(V$7:V14)*Loan_Rate_4*(DAYS360(U13,U14)/360),IPMT(Loan_Rate_4,(ROUND(DAYS360(First_Principal_4-360,U14)/360,0)),Loan_Term_4,-(SUM(V$7:V$47)*(1+COI_4)))),0)</f>
        <v>6054042.0619772077</v>
      </c>
      <c r="Y14" s="4">
        <f t="shared" si="3"/>
        <v>11665205.23066942</v>
      </c>
      <c r="AA14" s="3">
        <f t="shared" si="11"/>
        <v>49490</v>
      </c>
      <c r="AB14" s="4">
        <f>IFERROR(VLOOKUP(AA14,Inputs!$A$13:$F$19,AA$1+1,0),0)</f>
        <v>0</v>
      </c>
      <c r="AC14" s="4">
        <f>IFERROR(IF(SUM(AB14:AB$47)&gt;0,0,PPMT(Loan_Rate_5,(ROUND(DAYS360(First_Principal_5-360,AA14)/360,0)),Loan_Term_5,-(SUM(AB$7:AB$47)*(1+COI_5)))),0)</f>
        <v>2197122.8970560883</v>
      </c>
      <c r="AD14" s="4">
        <f>IFERROR(IF(AND(AC14=0,SUM(AB14:$AB$47)&gt;0),SUM(AB$7:AB14)*Loan_Rate_5*(DAYS360(AA13,AA14)/360),IPMT(Loan_Rate_5,(ROUND(DAYS360(First_Principal_5-360,AA14)/360,0)),Loan_Term_5,-(SUM(AB$7:AB$47)*(1+COI_5)))),0)</f>
        <v>2153030.1546770958</v>
      </c>
      <c r="AE14" s="4">
        <f t="shared" si="4"/>
        <v>4350153.0517331846</v>
      </c>
      <c r="AG14" s="3" t="e">
        <f t="shared" si="12"/>
        <v>#REF!</v>
      </c>
      <c r="AH14" s="4">
        <f>IFERROR(VLOOKUP(AG14,Inputs!$A$13:$F$19,AG$1+1,0),0)</f>
        <v>0</v>
      </c>
      <c r="AI14" s="4">
        <f>IFERROR(IF(SUM(AH14:AH$47)&gt;0,0,PPMT(Loan_Rate_6,(ROUND(DAYS360(First_Principal_6-360,AG14)/360,0)),Loan_Term_6,-(SUM(AH$7:AH$47)*(1+COI_6)))),0)</f>
        <v>0</v>
      </c>
      <c r="AJ14" s="4">
        <f>IFERROR(IF(AND(AI14=0,SUM(AH14:$AH$47)&gt;0),SUM(AH$7:AH14)*Loan_Rate_6*(DAYS360(AG13,AG14)/360),IPMT(Loan_Rate_6,(ROUND(DAYS360(First_Principal_6-360,AG14)/360,0)),Loan_Term_6,-(SUM(AH$7:AH$47)*(1+COI_6)))),0)</f>
        <v>0</v>
      </c>
      <c r="AK14" s="4">
        <f t="shared" si="5"/>
        <v>0</v>
      </c>
      <c r="AM14" s="3" t="e">
        <f t="shared" si="13"/>
        <v>#REF!</v>
      </c>
      <c r="AN14" s="4">
        <f>IFERROR(VLOOKUP(AM14,Inputs!$A$13:$F$19,AM$1+1,0),0)</f>
        <v>0</v>
      </c>
      <c r="AO14" s="4">
        <f>IFERROR(IF(SUM(AN14:AN$47)&gt;0,0,PPMT(Loan_Rate_7,(ROUND(DAYS360(First_Principal_7-360,AM14)/360,0)),Loan_Term_7,-(SUM(AN$7:AN$47)*(1+COI_7)))),0)</f>
        <v>0</v>
      </c>
      <c r="AP14" s="4">
        <f>IFERROR(IF(AND(AO14=0,SUM(AN14:$AN$47)&gt;0),SUM(AN$7:AN14)*Loan_Rate_7*(DAYS360(AM13,AM14)/360),IPMT(Loan_Rate_7,(ROUND(DAYS360(First_Principal_7-360,AM14)/360,0)),Loan_Term_7,-(SUM(AN$7:AN$47)*(1+COI_7)))),0)</f>
        <v>0</v>
      </c>
      <c r="AQ14" s="4">
        <f t="shared" si="6"/>
        <v>0</v>
      </c>
    </row>
    <row r="15" spans="3:43" x14ac:dyDescent="0.25">
      <c r="C15" s="3">
        <f t="shared" si="7"/>
        <v>48029</v>
      </c>
      <c r="D15" s="4">
        <f>IFERROR(VLOOKUP($C15,Inputs!$A$13:$F$19,'PV &amp; WIFIA Calculation Old'!$C$1+1,0),0)</f>
        <v>0</v>
      </c>
      <c r="E15" s="4">
        <f>IFERROR(IF(SUM(D15:$D$47)&gt;0,0,PPMT(Loan_Rate_1,(ROUND(DAYS360((First_Principal_1-360),C15)/360,0)),Loan_Term_1,-(SUM($D$7:$D$47)*(1+COI_1)))),0)</f>
        <v>0</v>
      </c>
      <c r="F15" s="4">
        <f>IFERROR(IF(AND(E15=0,SUM(D15:$D$47)&gt;0),SUM($D$7:D15)*Loan_Rate_1*(DAYS360(C14,C15)/360),IPMT(Loan_Rate_1,(ROUND(DAYS360((First_Principal_1-360),C15)/360,0)),Loan_Term_1,-(SUM($D$7:$D$47)*(1+COI_1)))),0)</f>
        <v>0</v>
      </c>
      <c r="G15" s="4">
        <f t="shared" si="0"/>
        <v>0</v>
      </c>
      <c r="I15" s="3">
        <f t="shared" si="8"/>
        <v>48395</v>
      </c>
      <c r="J15" s="4">
        <f>IFERROR(VLOOKUP(I15,Inputs!$A$13:$F$19,I$1+1,0),0)</f>
        <v>0</v>
      </c>
      <c r="K15" s="4">
        <f>IFERROR(IF(SUM(J15:$J$47)&gt;0,0,PPMT(Loan_Rate_2,(ROUND(DAYS360(First_Principal_2-360,I15)/360,0)),Loan_Term_2,-(SUM(J$7:J$47)*(1+COI_2)))),0)</f>
        <v>1329497.2711501438</v>
      </c>
      <c r="L15" s="4">
        <f>IFERROR(IF(AND(K15=0,SUM(J15:$J$47)&gt;0),SUM(J$7:J15)*Loan_Rate_2*(DAYS360(I14,I15)/360),IPMT(Loan_Rate_2,(ROUND(DAYS360(First_Principal_2-360,I15)/360,0)),Loan_Term_2,-(SUM(J$7:J$47)*(1+COI_2)))),0)</f>
        <v>1177468.1179152073</v>
      </c>
      <c r="M15" s="4">
        <f t="shared" si="1"/>
        <v>2506965.3890653513</v>
      </c>
      <c r="O15" s="3">
        <f t="shared" si="9"/>
        <v>48760</v>
      </c>
      <c r="P15" s="4">
        <f>IFERROR(VLOOKUP(O15,Inputs!$A$13:$F$19,O$1+1,0),0)</f>
        <v>0</v>
      </c>
      <c r="Q15" s="4">
        <f>IFERROR(IF(SUM(P15:$P$47)&gt;0,0,PPMT(Loan_Rate_3,(ROUND(DAYS360(First_Principal_3-360,O15)/360,0)),Loan_Term_3,-(SUM(P$7:P$47)*(1+COI_3)))),0)</f>
        <v>3649179.8233436416</v>
      </c>
      <c r="R15" s="4">
        <f>IFERROR(IF(AND(Q15=0,SUM(P15:$P$47)&gt;0),SUM(P$7:P15)*Loan_Rate_3*(DAYS360(O14,O15)/360),IPMT(Loan_Rate_3,(ROUND(DAYS360(First_Principal_3-360,O15)/360,0)),Loan_Term_3,-(SUM(P$7:P$47)*(1+COI_3)))),0)</f>
        <v>3231892.9807275534</v>
      </c>
      <c r="S15" s="4">
        <f t="shared" si="2"/>
        <v>6881072.8040711954</v>
      </c>
      <c r="U15" s="3">
        <f t="shared" si="10"/>
        <v>49125</v>
      </c>
      <c r="V15" s="4">
        <f>IFERROR(VLOOKUP(U15,Inputs!$A$13:$F$19,U$1+1,0),0)</f>
        <v>0</v>
      </c>
      <c r="W15" s="4">
        <f>IFERROR(IF(SUM(V15:V$47)&gt;0,0,PPMT(Loan_Rate_4,(ROUND(DAYS360(First_Principal_4-360,U15)/360,0)),Loan_Term_4,-(SUM(V$7:V$47)*(1+COI_4)))),0)</f>
        <v>5891721.3271268224</v>
      </c>
      <c r="X15" s="4">
        <f>IFERROR(IF(AND(W15=0,SUM(V15:$V$47)&gt;0),SUM(V$7:V15)*Loan_Rate_4*(DAYS360(U14,U15)/360),IPMT(Loan_Rate_4,(ROUND(DAYS360(First_Principal_4-360,U15)/360,0)),Loan_Term_4,-(SUM(V$7:V$47)*(1+COI_4)))),0)</f>
        <v>5773483.9035425978</v>
      </c>
      <c r="Y15" s="4">
        <f t="shared" si="3"/>
        <v>11665205.23066942</v>
      </c>
      <c r="AA15" s="3">
        <f t="shared" si="11"/>
        <v>49856</v>
      </c>
      <c r="AB15" s="4">
        <f>IFERROR(VLOOKUP(AA15,Inputs!$A$13:$F$19,AA$1+1,0),0)</f>
        <v>0</v>
      </c>
      <c r="AC15" s="4">
        <f>IFERROR(IF(SUM(AB15:AB$47)&gt;0,0,PPMT(Loan_Rate_5,(ROUND(DAYS360(First_Principal_5-360,AA15)/360,0)),Loan_Term_5,-(SUM(AB$7:AB$47)*(1+COI_5)))),0)</f>
        <v>2306979.0419088928</v>
      </c>
      <c r="AD15" s="4">
        <f>IFERROR(IF(AND(AC15=0,SUM(AB15:$AB$47)&gt;0),SUM(AB$7:AB15)*Loan_Rate_5*(DAYS360(AA14,AA15)/360),IPMT(Loan_Rate_5,(ROUND(DAYS360(First_Principal_5-360,AA15)/360,0)),Loan_Term_5,-(SUM(AB$7:AB$47)*(1+COI_5)))),0)</f>
        <v>2043174.0098242913</v>
      </c>
      <c r="AE15" s="4">
        <f t="shared" si="4"/>
        <v>4350153.0517331846</v>
      </c>
      <c r="AG15" s="3" t="e">
        <f t="shared" si="12"/>
        <v>#REF!</v>
      </c>
      <c r="AH15" s="4">
        <f>IFERROR(VLOOKUP(AG15,Inputs!$A$13:$F$19,AG$1+1,0),0)</f>
        <v>0</v>
      </c>
      <c r="AI15" s="4">
        <f>IFERROR(IF(SUM(AH15:AH$47)&gt;0,0,PPMT(Loan_Rate_6,(ROUND(DAYS360(First_Principal_6-360,AG15)/360,0)),Loan_Term_6,-(SUM(AH$7:AH$47)*(1+COI_6)))),0)</f>
        <v>0</v>
      </c>
      <c r="AJ15" s="4">
        <f>IFERROR(IF(AND(AI15=0,SUM(AH15:$AH$47)&gt;0),SUM(AH$7:AH15)*Loan_Rate_6*(DAYS360(AG14,AG15)/360),IPMT(Loan_Rate_6,(ROUND(DAYS360(First_Principal_6-360,AG15)/360,0)),Loan_Term_6,-(SUM(AH$7:AH$47)*(1+COI_6)))),0)</f>
        <v>0</v>
      </c>
      <c r="AK15" s="4">
        <f t="shared" si="5"/>
        <v>0</v>
      </c>
      <c r="AM15" s="3" t="e">
        <f t="shared" si="13"/>
        <v>#REF!</v>
      </c>
      <c r="AN15" s="4">
        <f>IFERROR(VLOOKUP(AM15,Inputs!$A$13:$F$19,AM$1+1,0),0)</f>
        <v>0</v>
      </c>
      <c r="AO15" s="4">
        <f>IFERROR(IF(SUM(AN15:AN$47)&gt;0,0,PPMT(Loan_Rate_7,(ROUND(DAYS360(First_Principal_7-360,AM15)/360,0)),Loan_Term_7,-(SUM(AN$7:AN$47)*(1+COI_7)))),0)</f>
        <v>0</v>
      </c>
      <c r="AP15" s="4">
        <f>IFERROR(IF(AND(AO15=0,SUM(AN15:$AN$47)&gt;0),SUM(AN$7:AN15)*Loan_Rate_7*(DAYS360(AM14,AM15)/360),IPMT(Loan_Rate_7,(ROUND(DAYS360(First_Principal_7-360,AM15)/360,0)),Loan_Term_7,-(SUM(AN$7:AN$47)*(1+COI_7)))),0)</f>
        <v>0</v>
      </c>
      <c r="AQ15" s="4">
        <f t="shared" si="6"/>
        <v>0</v>
      </c>
    </row>
    <row r="16" spans="3:43" x14ac:dyDescent="0.25">
      <c r="C16" s="3">
        <f t="shared" si="7"/>
        <v>48395</v>
      </c>
      <c r="D16" s="4">
        <f>IFERROR(VLOOKUP($C16,Inputs!$A$13:$F$19,'PV &amp; WIFIA Calculation Old'!$C$1+1,0),0)</f>
        <v>0</v>
      </c>
      <c r="E16" s="4">
        <f>IFERROR(IF(SUM(D16:$D$47)&gt;0,0,PPMT(Loan_Rate_1,(ROUND(DAYS360((First_Principal_1-360),C16)/360,0)),Loan_Term_1,-(SUM($D$7:$D$47)*(1+COI_1)))),0)</f>
        <v>0</v>
      </c>
      <c r="F16" s="4">
        <f>IFERROR(IF(AND(E16=0,SUM(D16:$D$47)&gt;0),SUM($D$7:D16)*Loan_Rate_1*(DAYS360(C15,C16)/360),IPMT(Loan_Rate_1,(ROUND(DAYS360((First_Principal_1-360),C16)/360,0)),Loan_Term_1,-(SUM($D$7:$D$47)*(1+COI_1)))),0)</f>
        <v>0</v>
      </c>
      <c r="G16" s="4">
        <f t="shared" si="0"/>
        <v>0</v>
      </c>
      <c r="I16" s="3">
        <f t="shared" si="8"/>
        <v>48760</v>
      </c>
      <c r="J16" s="4">
        <f>IFERROR(VLOOKUP(I16,Inputs!$A$13:$F$19,I$1+1,0),0)</f>
        <v>0</v>
      </c>
      <c r="K16" s="4">
        <f>IFERROR(IF(SUM(J16:$J$47)&gt;0,0,PPMT(Loan_Rate_2,(ROUND(DAYS360(First_Principal_2-360,I16)/360,0)),Loan_Term_2,-(SUM(J$7:J$47)*(1+COI_2)))),0)</f>
        <v>1395972.1347076511</v>
      </c>
      <c r="L16" s="4">
        <f>IFERROR(IF(AND(K16=0,SUM(J16:$J$47)&gt;0),SUM(J$7:J16)*Loan_Rate_2*(DAYS360(I15,I16)/360),IPMT(Loan_Rate_2,(ROUND(DAYS360(First_Principal_2-360,I16)/360,0)),Loan_Term_2,-(SUM(J$7:J$47)*(1+COI_2)))),0)</f>
        <v>1110993.2543577</v>
      </c>
      <c r="M16" s="4">
        <f t="shared" si="1"/>
        <v>2506965.3890653513</v>
      </c>
      <c r="O16" s="3">
        <f t="shared" si="9"/>
        <v>49125</v>
      </c>
      <c r="P16" s="4">
        <f>IFERROR(VLOOKUP(O16,Inputs!$A$13:$F$19,O$1+1,0),0)</f>
        <v>0</v>
      </c>
      <c r="Q16" s="4">
        <f>IFERROR(IF(SUM(P16:$P$47)&gt;0,0,PPMT(Loan_Rate_3,(ROUND(DAYS360(First_Principal_3-360,O16)/360,0)),Loan_Term_3,-(SUM(P$7:P$47)*(1+COI_3)))),0)</f>
        <v>3831638.8145108232</v>
      </c>
      <c r="R16" s="4">
        <f>IFERROR(IF(AND(Q16=0,SUM(P16:$P$47)&gt;0),SUM(P$7:P16)*Loan_Rate_3*(DAYS360(O15,O16)/360),IPMT(Loan_Rate_3,(ROUND(DAYS360(First_Principal_3-360,O16)/360,0)),Loan_Term_3,-(SUM(P$7:P$47)*(1+COI_3)))),0)</f>
        <v>3049433.9895603703</v>
      </c>
      <c r="S16" s="4">
        <f t="shared" si="2"/>
        <v>6881072.8040711936</v>
      </c>
      <c r="U16" s="3">
        <f t="shared" si="10"/>
        <v>49490</v>
      </c>
      <c r="V16" s="4">
        <f>IFERROR(VLOOKUP(U16,Inputs!$A$13:$F$19,U$1+1,0),0)</f>
        <v>0</v>
      </c>
      <c r="W16" s="4">
        <f>IFERROR(IF(SUM(V16:V$47)&gt;0,0,PPMT(Loan_Rate_4,(ROUND(DAYS360(First_Principal_4-360,U16)/360,0)),Loan_Term_4,-(SUM(V$7:V$47)*(1+COI_4)))),0)</f>
        <v>6186307.3934831638</v>
      </c>
      <c r="X16" s="4">
        <f>IFERROR(IF(AND(W16=0,SUM(V16:$V$47)&gt;0),SUM(V$7:V16)*Loan_Rate_4*(DAYS360(U15,U16)/360),IPMT(Loan_Rate_4,(ROUND(DAYS360(First_Principal_4-360,U16)/360,0)),Loan_Term_4,-(SUM(V$7:V$47)*(1+COI_4)))),0)</f>
        <v>5478897.8371862564</v>
      </c>
      <c r="Y16" s="4">
        <f t="shared" si="3"/>
        <v>11665205.23066942</v>
      </c>
      <c r="AA16" s="3">
        <f t="shared" si="11"/>
        <v>50221</v>
      </c>
      <c r="AB16" s="4">
        <f>IFERROR(VLOOKUP(AA16,Inputs!$A$13:$F$19,AA$1+1,0),0)</f>
        <v>0</v>
      </c>
      <c r="AC16" s="4">
        <f>IFERROR(IF(SUM(AB16:AB$47)&gt;0,0,PPMT(Loan_Rate_5,(ROUND(DAYS360(First_Principal_5-360,AA16)/360,0)),Loan_Term_5,-(SUM(AB$7:AB$47)*(1+COI_5)))),0)</f>
        <v>2422327.9940043376</v>
      </c>
      <c r="AD16" s="4">
        <f>IFERROR(IF(AND(AC16=0,SUM(AB16:$AB$47)&gt;0),SUM(AB$7:AB16)*Loan_Rate_5*(DAYS360(AA15,AA16)/360),IPMT(Loan_Rate_5,(ROUND(DAYS360(First_Principal_5-360,AA16)/360,0)),Loan_Term_5,-(SUM(AB$7:AB$47)*(1+COI_5)))),0)</f>
        <v>1927825.0577288461</v>
      </c>
      <c r="AE16" s="4">
        <f t="shared" si="4"/>
        <v>4350153.0517331837</v>
      </c>
      <c r="AG16" s="3" t="e">
        <f t="shared" si="12"/>
        <v>#REF!</v>
      </c>
      <c r="AH16" s="4">
        <f>IFERROR(VLOOKUP(AG16,Inputs!$A$13:$F$19,AG$1+1,0),0)</f>
        <v>0</v>
      </c>
      <c r="AI16" s="4">
        <f>IFERROR(IF(SUM(AH16:AH$47)&gt;0,0,PPMT(Loan_Rate_6,(ROUND(DAYS360(First_Principal_6-360,AG16)/360,0)),Loan_Term_6,-(SUM(AH$7:AH$47)*(1+COI_6)))),0)</f>
        <v>0</v>
      </c>
      <c r="AJ16" s="4">
        <f>IFERROR(IF(AND(AI16=0,SUM(AH16:$AH$47)&gt;0),SUM(AH$7:AH16)*Loan_Rate_6*(DAYS360(AG15,AG16)/360),IPMT(Loan_Rate_6,(ROUND(DAYS360(First_Principal_6-360,AG16)/360,0)),Loan_Term_6,-(SUM(AH$7:AH$47)*(1+COI_6)))),0)</f>
        <v>0</v>
      </c>
      <c r="AK16" s="4">
        <f t="shared" si="5"/>
        <v>0</v>
      </c>
      <c r="AM16" s="3" t="e">
        <f t="shared" si="13"/>
        <v>#REF!</v>
      </c>
      <c r="AN16" s="4">
        <f>IFERROR(VLOOKUP(AM16,Inputs!$A$13:$F$19,AM$1+1,0),0)</f>
        <v>0</v>
      </c>
      <c r="AO16" s="4">
        <f>IFERROR(IF(SUM(AN16:AN$47)&gt;0,0,PPMT(Loan_Rate_7,(ROUND(DAYS360(First_Principal_7-360,AM16)/360,0)),Loan_Term_7,-(SUM(AN$7:AN$47)*(1+COI_7)))),0)</f>
        <v>0</v>
      </c>
      <c r="AP16" s="4">
        <f>IFERROR(IF(AND(AO16=0,SUM(AN16:$AN$47)&gt;0),SUM(AN$7:AN16)*Loan_Rate_7*(DAYS360(AM15,AM16)/360),IPMT(Loan_Rate_7,(ROUND(DAYS360(First_Principal_7-360,AM16)/360,0)),Loan_Term_7,-(SUM(AN$7:AN$47)*(1+COI_7)))),0)</f>
        <v>0</v>
      </c>
      <c r="AQ16" s="4">
        <f t="shared" si="6"/>
        <v>0</v>
      </c>
    </row>
    <row r="17" spans="3:43" x14ac:dyDescent="0.25">
      <c r="C17" s="3">
        <f t="shared" si="7"/>
        <v>48760</v>
      </c>
      <c r="D17" s="4">
        <f>IFERROR(VLOOKUP($C17,Inputs!$A$13:$F$19,'PV &amp; WIFIA Calculation Old'!$C$1+1,0),0)</f>
        <v>0</v>
      </c>
      <c r="E17" s="4">
        <f>IFERROR(IF(SUM(D17:$D$47)&gt;0,0,PPMT(Loan_Rate_1,(ROUND(DAYS360((First_Principal_1-360),C17)/360,0)),Loan_Term_1,-(SUM($D$7:$D$47)*(1+COI_1)))),0)</f>
        <v>0</v>
      </c>
      <c r="F17" s="4">
        <f>IFERROR(IF(AND(E17=0,SUM(D17:$D$47)&gt;0),SUM($D$7:D17)*Loan_Rate_1*(DAYS360(C16,C17)/360),IPMT(Loan_Rate_1,(ROUND(DAYS360((First_Principal_1-360),C17)/360,0)),Loan_Term_1,-(SUM($D$7:$D$47)*(1+COI_1)))),0)</f>
        <v>0</v>
      </c>
      <c r="G17" s="4">
        <f t="shared" si="0"/>
        <v>0</v>
      </c>
      <c r="I17" s="3">
        <f t="shared" si="8"/>
        <v>49125</v>
      </c>
      <c r="J17" s="4">
        <f>IFERROR(VLOOKUP(I17,Inputs!$A$13:$F$19,I$1+1,0),0)</f>
        <v>0</v>
      </c>
      <c r="K17" s="4">
        <f>IFERROR(IF(SUM(J17:$J$47)&gt;0,0,PPMT(Loan_Rate_2,(ROUND(DAYS360(First_Principal_2-360,I17)/360,0)),Loan_Term_2,-(SUM(J$7:J$47)*(1+COI_2)))),0)</f>
        <v>1465770.7414430333</v>
      </c>
      <c r="L17" s="4">
        <f>IFERROR(IF(AND(K17=0,SUM(J17:$J$47)&gt;0),SUM(J$7:J17)*Loan_Rate_2*(DAYS360(I16,I17)/360),IPMT(Loan_Rate_2,(ROUND(DAYS360(First_Principal_2-360,I17)/360,0)),Loan_Term_2,-(SUM(J$7:J$47)*(1+COI_2)))),0)</f>
        <v>1041194.6476223177</v>
      </c>
      <c r="M17" s="4">
        <f t="shared" si="1"/>
        <v>2506965.3890653509</v>
      </c>
      <c r="O17" s="3">
        <f t="shared" si="9"/>
        <v>49490</v>
      </c>
      <c r="P17" s="4">
        <f>IFERROR(VLOOKUP(O17,Inputs!$A$13:$F$19,O$1+1,0),0)</f>
        <v>0</v>
      </c>
      <c r="Q17" s="4">
        <f>IFERROR(IF(SUM(P17:$P$47)&gt;0,0,PPMT(Loan_Rate_3,(ROUND(DAYS360(First_Principal_3-360,O17)/360,0)),Loan_Term_3,-(SUM(P$7:P$47)*(1+COI_3)))),0)</f>
        <v>4023220.7552363644</v>
      </c>
      <c r="R17" s="4">
        <f>IFERROR(IF(AND(Q17=0,SUM(P17:$P$47)&gt;0),SUM(P$7:P17)*Loan_Rate_3*(DAYS360(O16,O17)/360),IPMT(Loan_Rate_3,(ROUND(DAYS360(First_Principal_3-360,O17)/360,0)),Loan_Term_3,-(SUM(P$7:P$47)*(1+COI_3)))),0)</f>
        <v>2857852.0488348301</v>
      </c>
      <c r="S17" s="4">
        <f t="shared" si="2"/>
        <v>6881072.8040711945</v>
      </c>
      <c r="U17" s="3">
        <f t="shared" si="10"/>
        <v>49856</v>
      </c>
      <c r="V17" s="4">
        <f>IFERROR(VLOOKUP(U17,Inputs!$A$13:$F$19,U$1+1,0),0)</f>
        <v>0</v>
      </c>
      <c r="W17" s="4">
        <f>IFERROR(IF(SUM(V17:V$47)&gt;0,0,PPMT(Loan_Rate_4,(ROUND(DAYS360(First_Principal_4-360,U17)/360,0)),Loan_Term_4,-(SUM(V$7:V$47)*(1+COI_4)))),0)</f>
        <v>6495622.763157323</v>
      </c>
      <c r="X17" s="4">
        <f>IFERROR(IF(AND(W17=0,SUM(V17:$V$47)&gt;0),SUM(V$7:V17)*Loan_Rate_4*(DAYS360(U16,U17)/360),IPMT(Loan_Rate_4,(ROUND(DAYS360(First_Principal_4-360,U17)/360,0)),Loan_Term_4,-(SUM(V$7:V$47)*(1+COI_4)))),0)</f>
        <v>5169582.4675120972</v>
      </c>
      <c r="Y17" s="4">
        <f t="shared" si="3"/>
        <v>11665205.23066942</v>
      </c>
      <c r="AA17" s="3">
        <f t="shared" si="11"/>
        <v>50586</v>
      </c>
      <c r="AB17" s="4">
        <f>IFERROR(VLOOKUP(AA17,Inputs!$A$13:$F$19,AA$1+1,0),0)</f>
        <v>0</v>
      </c>
      <c r="AC17" s="4">
        <f>IFERROR(IF(SUM(AB17:AB$47)&gt;0,0,PPMT(Loan_Rate_5,(ROUND(DAYS360(First_Principal_5-360,AA17)/360,0)),Loan_Term_5,-(SUM(AB$7:AB$47)*(1+COI_5)))),0)</f>
        <v>2543444.3937045541</v>
      </c>
      <c r="AD17" s="4">
        <f>IFERROR(IF(AND(AC17=0,SUM(AB17:$AB$47)&gt;0),SUM(AB$7:AB17)*Loan_Rate_5*(DAYS360(AA16,AA17)/360),IPMT(Loan_Rate_5,(ROUND(DAYS360(First_Principal_5-360,AA17)/360,0)),Loan_Term_5,-(SUM(AB$7:AB$47)*(1+COI_5)))),0)</f>
        <v>1806708.6580286298</v>
      </c>
      <c r="AE17" s="4">
        <f t="shared" si="4"/>
        <v>4350153.0517331837</v>
      </c>
      <c r="AG17" s="3" t="e">
        <f t="shared" si="12"/>
        <v>#REF!</v>
      </c>
      <c r="AH17" s="4">
        <f>IFERROR(VLOOKUP(AG17,Inputs!$A$13:$F$19,AG$1+1,0),0)</f>
        <v>0</v>
      </c>
      <c r="AI17" s="4">
        <f>IFERROR(IF(SUM(AH17:AH$47)&gt;0,0,PPMT(Loan_Rate_6,(ROUND(DAYS360(First_Principal_6-360,AG17)/360,0)),Loan_Term_6,-(SUM(AH$7:AH$47)*(1+COI_6)))),0)</f>
        <v>0</v>
      </c>
      <c r="AJ17" s="4">
        <f>IFERROR(IF(AND(AI17=0,SUM(AH17:$AH$47)&gt;0),SUM(AH$7:AH17)*Loan_Rate_6*(DAYS360(AG16,AG17)/360),IPMT(Loan_Rate_6,(ROUND(DAYS360(First_Principal_6-360,AG17)/360,0)),Loan_Term_6,-(SUM(AH$7:AH$47)*(1+COI_6)))),0)</f>
        <v>0</v>
      </c>
      <c r="AK17" s="4">
        <f t="shared" si="5"/>
        <v>0</v>
      </c>
      <c r="AM17" s="3" t="e">
        <f t="shared" si="13"/>
        <v>#REF!</v>
      </c>
      <c r="AN17" s="4">
        <f>IFERROR(VLOOKUP(AM17,Inputs!$A$13:$F$19,AM$1+1,0),0)</f>
        <v>0</v>
      </c>
      <c r="AO17" s="4">
        <f>IFERROR(IF(SUM(AN17:AN$47)&gt;0,0,PPMT(Loan_Rate_7,(ROUND(DAYS360(First_Principal_7-360,AM17)/360,0)),Loan_Term_7,-(SUM(AN$7:AN$47)*(1+COI_7)))),0)</f>
        <v>0</v>
      </c>
      <c r="AP17" s="4">
        <f>IFERROR(IF(AND(AO17=0,SUM(AN17:$AN$47)&gt;0),SUM(AN$7:AN17)*Loan_Rate_7*(DAYS360(AM16,AM17)/360),IPMT(Loan_Rate_7,(ROUND(DAYS360(First_Principal_7-360,AM17)/360,0)),Loan_Term_7,-(SUM(AN$7:AN$47)*(1+COI_7)))),0)</f>
        <v>0</v>
      </c>
      <c r="AQ17" s="4">
        <f t="shared" si="6"/>
        <v>0</v>
      </c>
    </row>
    <row r="18" spans="3:43" x14ac:dyDescent="0.25">
      <c r="C18" s="3">
        <f t="shared" si="7"/>
        <v>49125</v>
      </c>
      <c r="D18" s="4">
        <f>IFERROR(VLOOKUP($C18,Inputs!$A$13:$F$19,'PV &amp; WIFIA Calculation Old'!$C$1+1,0),0)</f>
        <v>0</v>
      </c>
      <c r="E18" s="4">
        <f>IFERROR(IF(SUM(D18:$D$47)&gt;0,0,PPMT(Loan_Rate_1,(ROUND(DAYS360((First_Principal_1-360),C18)/360,0)),Loan_Term_1,-(SUM($D$7:$D$47)*(1+COI_1)))),0)</f>
        <v>0</v>
      </c>
      <c r="F18" s="4">
        <f>IFERROR(IF(AND(E18=0,SUM(D18:$D$47)&gt;0),SUM($D$7:D18)*Loan_Rate_1*(DAYS360(C17,C18)/360),IPMT(Loan_Rate_1,(ROUND(DAYS360((First_Principal_1-360),C18)/360,0)),Loan_Term_1,-(SUM($D$7:$D$47)*(1+COI_1)))),0)</f>
        <v>0</v>
      </c>
      <c r="G18" s="4">
        <f t="shared" si="0"/>
        <v>0</v>
      </c>
      <c r="I18" s="3">
        <f t="shared" si="8"/>
        <v>49490</v>
      </c>
      <c r="J18" s="4">
        <f>IFERROR(VLOOKUP(I18,Inputs!$A$13:$F$19,I$1+1,0),0)</f>
        <v>0</v>
      </c>
      <c r="K18" s="4">
        <f>IFERROR(IF(SUM(J18:$J$47)&gt;0,0,PPMT(Loan_Rate_2,(ROUND(DAYS360(First_Principal_2-360,I18)/360,0)),Loan_Term_2,-(SUM(J$7:J$47)*(1+COI_2)))),0)</f>
        <v>1539059.2785151852</v>
      </c>
      <c r="L18" s="4">
        <f>IFERROR(IF(AND(K18=0,SUM(J18:$J$47)&gt;0),SUM(J$7:J18)*Loan_Rate_2*(DAYS360(I17,I18)/360),IPMT(Loan_Rate_2,(ROUND(DAYS360(First_Principal_2-360,I18)/360,0)),Loan_Term_2,-(SUM(J$7:J$47)*(1+COI_2)))),0)</f>
        <v>967906.11055016599</v>
      </c>
      <c r="M18" s="4">
        <f t="shared" si="1"/>
        <v>2506965.3890653513</v>
      </c>
      <c r="O18" s="3">
        <f t="shared" si="9"/>
        <v>49856</v>
      </c>
      <c r="P18" s="4">
        <f>IFERROR(VLOOKUP(O18,Inputs!$A$13:$F$19,O$1+1,0),0)</f>
        <v>0</v>
      </c>
      <c r="Q18" s="4">
        <f>IFERROR(IF(SUM(P18:$P$47)&gt;0,0,PPMT(Loan_Rate_3,(ROUND(DAYS360(First_Principal_3-360,O18)/360,0)),Loan_Term_3,-(SUM(P$7:P$47)*(1+COI_3)))),0)</f>
        <v>4224381.7929981826</v>
      </c>
      <c r="R18" s="4">
        <f>IFERROR(IF(AND(Q18=0,SUM(P18:$P$47)&gt;0),SUM(P$7:P18)*Loan_Rate_3*(DAYS360(O17,O18)/360),IPMT(Loan_Rate_3,(ROUND(DAYS360(First_Principal_3-360,O18)/360,0)),Loan_Term_3,-(SUM(P$7:P$47)*(1+COI_3)))),0)</f>
        <v>2656691.0110730119</v>
      </c>
      <c r="S18" s="4">
        <f t="shared" si="2"/>
        <v>6881072.8040711945</v>
      </c>
      <c r="U18" s="3">
        <f t="shared" si="10"/>
        <v>50221</v>
      </c>
      <c r="V18" s="4">
        <f>IFERROR(VLOOKUP(U18,Inputs!$A$13:$F$19,U$1+1,0),0)</f>
        <v>0</v>
      </c>
      <c r="W18" s="4">
        <f>IFERROR(IF(SUM(V18:V$47)&gt;0,0,PPMT(Loan_Rate_4,(ROUND(DAYS360(First_Principal_4-360,U18)/360,0)),Loan_Term_4,-(SUM(V$7:V$47)*(1+COI_4)))),0)</f>
        <v>6820403.9013151871</v>
      </c>
      <c r="X18" s="4">
        <f>IFERROR(IF(AND(W18=0,SUM(V18:$V$47)&gt;0),SUM(V$7:V18)*Loan_Rate_4*(DAYS360(U17,U18)/360),IPMT(Loan_Rate_4,(ROUND(DAYS360(First_Principal_4-360,U18)/360,0)),Loan_Term_4,-(SUM(V$7:V$47)*(1+COI_4)))),0)</f>
        <v>4844801.3293542331</v>
      </c>
      <c r="Y18" s="4">
        <f t="shared" si="3"/>
        <v>11665205.23066942</v>
      </c>
      <c r="AA18" s="3">
        <f t="shared" si="11"/>
        <v>50951</v>
      </c>
      <c r="AB18" s="4">
        <f>IFERROR(VLOOKUP(AA18,Inputs!$A$13:$F$19,AA$1+1,0),0)</f>
        <v>0</v>
      </c>
      <c r="AC18" s="4">
        <f>IFERROR(IF(SUM(AB18:AB$47)&gt;0,0,PPMT(Loan_Rate_5,(ROUND(DAYS360(First_Principal_5-360,AA18)/360,0)),Loan_Term_5,-(SUM(AB$7:AB$47)*(1+COI_5)))),0)</f>
        <v>2670616.6133897821</v>
      </c>
      <c r="AD18" s="4">
        <f>IFERROR(IF(AND(AC18=0,SUM(AB18:$AB$47)&gt;0),SUM(AB$7:AB18)*Loan_Rate_5*(DAYS360(AA17,AA18)/360),IPMT(Loan_Rate_5,(ROUND(DAYS360(First_Principal_5-360,AA18)/360,0)),Loan_Term_5,-(SUM(AB$7:AB$47)*(1+COI_5)))),0)</f>
        <v>1679536.438343402</v>
      </c>
      <c r="AE18" s="4">
        <f t="shared" si="4"/>
        <v>4350153.0517331846</v>
      </c>
      <c r="AG18" s="3" t="e">
        <f t="shared" si="12"/>
        <v>#REF!</v>
      </c>
      <c r="AH18" s="4">
        <f>IFERROR(VLOOKUP(AG18,Inputs!$A$13:$F$19,AG$1+1,0),0)</f>
        <v>0</v>
      </c>
      <c r="AI18" s="4">
        <f>IFERROR(IF(SUM(AH18:AH$47)&gt;0,0,PPMT(Loan_Rate_6,(ROUND(DAYS360(First_Principal_6-360,AG18)/360,0)),Loan_Term_6,-(SUM(AH$7:AH$47)*(1+COI_6)))),0)</f>
        <v>0</v>
      </c>
      <c r="AJ18" s="4">
        <f>IFERROR(IF(AND(AI18=0,SUM(AH18:$AH$47)&gt;0),SUM(AH$7:AH18)*Loan_Rate_6*(DAYS360(AG17,AG18)/360),IPMT(Loan_Rate_6,(ROUND(DAYS360(First_Principal_6-360,AG18)/360,0)),Loan_Term_6,-(SUM(AH$7:AH$47)*(1+COI_6)))),0)</f>
        <v>0</v>
      </c>
      <c r="AK18" s="4">
        <f t="shared" si="5"/>
        <v>0</v>
      </c>
      <c r="AM18" s="3" t="e">
        <f t="shared" si="13"/>
        <v>#REF!</v>
      </c>
      <c r="AN18" s="4">
        <f>IFERROR(VLOOKUP(AM18,Inputs!$A$13:$F$19,AM$1+1,0),0)</f>
        <v>0</v>
      </c>
      <c r="AO18" s="4">
        <f>IFERROR(IF(SUM(AN18:AN$47)&gt;0,0,PPMT(Loan_Rate_7,(ROUND(DAYS360(First_Principal_7-360,AM18)/360,0)),Loan_Term_7,-(SUM(AN$7:AN$47)*(1+COI_7)))),0)</f>
        <v>0</v>
      </c>
      <c r="AP18" s="4">
        <f>IFERROR(IF(AND(AO18=0,SUM(AN18:$AN$47)&gt;0),SUM(AN$7:AN18)*Loan_Rate_7*(DAYS360(AM17,AM18)/360),IPMT(Loan_Rate_7,(ROUND(DAYS360(First_Principal_7-360,AM18)/360,0)),Loan_Term_7,-(SUM(AN$7:AN$47)*(1+COI_7)))),0)</f>
        <v>0</v>
      </c>
      <c r="AQ18" s="4">
        <f t="shared" si="6"/>
        <v>0</v>
      </c>
    </row>
    <row r="19" spans="3:43" x14ac:dyDescent="0.25">
      <c r="C19" s="3">
        <f t="shared" si="7"/>
        <v>49490</v>
      </c>
      <c r="D19" s="4">
        <f>IFERROR(VLOOKUP($C19,Inputs!$A$13:$F$19,'PV &amp; WIFIA Calculation Old'!$C$1+1,0),0)</f>
        <v>0</v>
      </c>
      <c r="E19" s="4">
        <f>IFERROR(IF(SUM(D19:$D$47)&gt;0,0,PPMT(Loan_Rate_1,(ROUND(DAYS360((First_Principal_1-360),C19)/360,0)),Loan_Term_1,-(SUM($D$7:$D$47)*(1+COI_1)))),0)</f>
        <v>0</v>
      </c>
      <c r="F19" s="4">
        <f>IFERROR(IF(AND(E19=0,SUM(D19:$D$47)&gt;0),SUM($D$7:D19)*Loan_Rate_1*(DAYS360(C18,C19)/360),IPMT(Loan_Rate_1,(ROUND(DAYS360((First_Principal_1-360),C19)/360,0)),Loan_Term_1,-(SUM($D$7:$D$47)*(1+COI_1)))),0)</f>
        <v>0</v>
      </c>
      <c r="G19" s="4">
        <f t="shared" si="0"/>
        <v>0</v>
      </c>
      <c r="I19" s="3">
        <f t="shared" si="8"/>
        <v>49856</v>
      </c>
      <c r="J19" s="4">
        <f>IFERROR(VLOOKUP(I19,Inputs!$A$13:$F$19,I$1+1,0),0)</f>
        <v>0</v>
      </c>
      <c r="K19" s="4">
        <f>IFERROR(IF(SUM(J19:$J$47)&gt;0,0,PPMT(Loan_Rate_2,(ROUND(DAYS360(First_Principal_2-360,I19)/360,0)),Loan_Term_2,-(SUM(J$7:J$47)*(1+COI_2)))),0)</f>
        <v>1616012.2424409445</v>
      </c>
      <c r="L19" s="4">
        <f>IFERROR(IF(AND(K19=0,SUM(J19:$J$47)&gt;0),SUM(J$7:J19)*Loan_Rate_2*(DAYS360(I18,I19)/360),IPMT(Loan_Rate_2,(ROUND(DAYS360(First_Principal_2-360,I19)/360,0)),Loan_Term_2,-(SUM(J$7:J$47)*(1+COI_2)))),0)</f>
        <v>890953.14662440645</v>
      </c>
      <c r="M19" s="4">
        <f t="shared" si="1"/>
        <v>2506965.3890653509</v>
      </c>
      <c r="O19" s="3">
        <f t="shared" si="9"/>
        <v>50221</v>
      </c>
      <c r="P19" s="4">
        <f>IFERROR(VLOOKUP(O19,Inputs!$A$13:$F$19,O$1+1,0),0)</f>
        <v>0</v>
      </c>
      <c r="Q19" s="4">
        <f>IFERROR(IF(SUM(P19:$P$47)&gt;0,0,PPMT(Loan_Rate_3,(ROUND(DAYS360(First_Principal_3-360,O19)/360,0)),Loan_Term_3,-(SUM(P$7:P$47)*(1+COI_3)))),0)</f>
        <v>4435600.8826480918</v>
      </c>
      <c r="R19" s="4">
        <f>IFERROR(IF(AND(Q19=0,SUM(P19:$P$47)&gt;0),SUM(P$7:P19)*Loan_Rate_3*(DAYS360(O18,O19)/360),IPMT(Loan_Rate_3,(ROUND(DAYS360(First_Principal_3-360,O19)/360,0)),Loan_Term_3,-(SUM(P$7:P$47)*(1+COI_3)))),0)</f>
        <v>2445471.9214231023</v>
      </c>
      <c r="S19" s="4">
        <f t="shared" si="2"/>
        <v>6881072.8040711936</v>
      </c>
      <c r="U19" s="3">
        <f t="shared" si="10"/>
        <v>50586</v>
      </c>
      <c r="V19" s="4">
        <f>IFERROR(VLOOKUP(U19,Inputs!$A$13:$F$19,U$1+1,0),0)</f>
        <v>0</v>
      </c>
      <c r="W19" s="4">
        <f>IFERROR(IF(SUM(V19:V$47)&gt;0,0,PPMT(Loan_Rate_4,(ROUND(DAYS360(First_Principal_4-360,U19)/360,0)),Loan_Term_4,-(SUM(V$7:V$47)*(1+COI_4)))),0)</f>
        <v>7161424.0963809481</v>
      </c>
      <c r="X19" s="4">
        <f>IFERROR(IF(AND(W19=0,SUM(V19:$V$47)&gt;0),SUM(V$7:V19)*Loan_Rate_4*(DAYS360(U18,U19)/360),IPMT(Loan_Rate_4,(ROUND(DAYS360(First_Principal_4-360,U19)/360,0)),Loan_Term_4,-(SUM(V$7:V$47)*(1+COI_4)))),0)</f>
        <v>4503781.1342884731</v>
      </c>
      <c r="Y19" s="4">
        <f t="shared" si="3"/>
        <v>11665205.23066942</v>
      </c>
      <c r="AA19" s="3">
        <f t="shared" si="11"/>
        <v>51317</v>
      </c>
      <c r="AB19" s="4">
        <f>IFERROR(VLOOKUP(AA19,Inputs!$A$13:$F$19,AA$1+1,0),0)</f>
        <v>0</v>
      </c>
      <c r="AC19" s="4">
        <f>IFERROR(IF(SUM(AB19:AB$47)&gt;0,0,PPMT(Loan_Rate_5,(ROUND(DAYS360(First_Principal_5-360,AA19)/360,0)),Loan_Term_5,-(SUM(AB$7:AB$47)*(1+COI_5)))),0)</f>
        <v>2804147.4440592714</v>
      </c>
      <c r="AD19" s="4">
        <f>IFERROR(IF(AND(AC19=0,SUM(AB19:$AB$47)&gt;0),SUM(AB$7:AB19)*Loan_Rate_5*(DAYS360(AA18,AA19)/360),IPMT(Loan_Rate_5,(ROUND(DAYS360(First_Principal_5-360,AA19)/360,0)),Loan_Term_5,-(SUM(AB$7:AB$47)*(1+COI_5)))),0)</f>
        <v>1546005.6076739128</v>
      </c>
      <c r="AE19" s="4">
        <f t="shared" si="4"/>
        <v>4350153.0517331846</v>
      </c>
      <c r="AG19" s="3" t="e">
        <f t="shared" si="12"/>
        <v>#REF!</v>
      </c>
      <c r="AH19" s="4">
        <f>IFERROR(VLOOKUP(AG19,Inputs!$A$13:$F$19,AG$1+1,0),0)</f>
        <v>0</v>
      </c>
      <c r="AI19" s="4">
        <f>IFERROR(IF(SUM(AH19:AH$47)&gt;0,0,PPMT(Loan_Rate_6,(ROUND(DAYS360(First_Principal_6-360,AG19)/360,0)),Loan_Term_6,-(SUM(AH$7:AH$47)*(1+COI_6)))),0)</f>
        <v>0</v>
      </c>
      <c r="AJ19" s="4">
        <f>IFERROR(IF(AND(AI19=0,SUM(AH19:$AH$47)&gt;0),SUM(AH$7:AH19)*Loan_Rate_6*(DAYS360(AG18,AG19)/360),IPMT(Loan_Rate_6,(ROUND(DAYS360(First_Principal_6-360,AG19)/360,0)),Loan_Term_6,-(SUM(AH$7:AH$47)*(1+COI_6)))),0)</f>
        <v>0</v>
      </c>
      <c r="AK19" s="4">
        <f t="shared" si="5"/>
        <v>0</v>
      </c>
      <c r="AM19" s="3" t="e">
        <f t="shared" si="13"/>
        <v>#REF!</v>
      </c>
      <c r="AN19" s="4">
        <f>IFERROR(VLOOKUP(AM19,Inputs!$A$13:$F$19,AM$1+1,0),0)</f>
        <v>0</v>
      </c>
      <c r="AO19" s="4">
        <f>IFERROR(IF(SUM(AN19:AN$47)&gt;0,0,PPMT(Loan_Rate_7,(ROUND(DAYS360(First_Principal_7-360,AM19)/360,0)),Loan_Term_7,-(SUM(AN$7:AN$47)*(1+COI_7)))),0)</f>
        <v>0</v>
      </c>
      <c r="AP19" s="4">
        <f>IFERROR(IF(AND(AO19=0,SUM(AN19:$AN$47)&gt;0),SUM(AN$7:AN19)*Loan_Rate_7*(DAYS360(AM18,AM19)/360),IPMT(Loan_Rate_7,(ROUND(DAYS360(First_Principal_7-360,AM19)/360,0)),Loan_Term_7,-(SUM(AN$7:AN$47)*(1+COI_7)))),0)</f>
        <v>0</v>
      </c>
      <c r="AQ19" s="4">
        <f t="shared" si="6"/>
        <v>0</v>
      </c>
    </row>
    <row r="20" spans="3:43" x14ac:dyDescent="0.25">
      <c r="C20" s="3">
        <f t="shared" si="7"/>
        <v>49856</v>
      </c>
      <c r="D20" s="4">
        <f>IFERROR(VLOOKUP($C20,Inputs!$A$13:$F$19,'PV &amp; WIFIA Calculation Old'!$C$1+1,0),0)</f>
        <v>0</v>
      </c>
      <c r="E20" s="4">
        <f>IFERROR(IF(SUM(D20:$D$47)&gt;0,0,PPMT(Loan_Rate_1,(ROUND(DAYS360((First_Principal_1-360),C20)/360,0)),Loan_Term_1,-(SUM($D$7:$D$47)*(1+COI_1)))),0)</f>
        <v>0</v>
      </c>
      <c r="F20" s="4">
        <f>IFERROR(IF(AND(E20=0,SUM(D20:$D$47)&gt;0),SUM($D$7:D20)*Loan_Rate_1*(DAYS360(C19,C20)/360),IPMT(Loan_Rate_1,(ROUND(DAYS360((First_Principal_1-360),C20)/360,0)),Loan_Term_1,-(SUM($D$7:$D$47)*(1+COI_1)))),0)</f>
        <v>0</v>
      </c>
      <c r="G20" s="4">
        <f t="shared" si="0"/>
        <v>0</v>
      </c>
      <c r="I20" s="3">
        <f t="shared" si="8"/>
        <v>50221</v>
      </c>
      <c r="J20" s="4">
        <f>IFERROR(VLOOKUP(I20,Inputs!$A$13:$F$19,I$1+1,0),0)</f>
        <v>0</v>
      </c>
      <c r="K20" s="4">
        <f>IFERROR(IF(SUM(J20:$J$47)&gt;0,0,PPMT(Loan_Rate_2,(ROUND(DAYS360(First_Principal_2-360,I20)/360,0)),Loan_Term_2,-(SUM(J$7:J$47)*(1+COI_2)))),0)</f>
        <v>1696812.8545629915</v>
      </c>
      <c r="L20" s="4">
        <f>IFERROR(IF(AND(K20=0,SUM(J20:$J$47)&gt;0),SUM(J$7:J20)*Loan_Rate_2*(DAYS360(I19,I20)/360),IPMT(Loan_Rate_2,(ROUND(DAYS360(First_Principal_2-360,I20)/360,0)),Loan_Term_2,-(SUM(J$7:J$47)*(1+COI_2)))),0)</f>
        <v>810152.53450235934</v>
      </c>
      <c r="M20" s="4">
        <f t="shared" si="1"/>
        <v>2506965.3890653509</v>
      </c>
      <c r="O20" s="3">
        <f t="shared" si="9"/>
        <v>50586</v>
      </c>
      <c r="P20" s="4">
        <f>IFERROR(VLOOKUP(O20,Inputs!$A$13:$F$19,O$1+1,0),0)</f>
        <v>0</v>
      </c>
      <c r="Q20" s="4">
        <f>IFERROR(IF(SUM(P20:$P$47)&gt;0,0,PPMT(Loan_Rate_3,(ROUND(DAYS360(First_Principal_3-360,O20)/360,0)),Loan_Term_3,-(SUM(P$7:P$47)*(1+COI_3)))),0)</f>
        <v>4657380.9267804958</v>
      </c>
      <c r="R20" s="4">
        <f>IFERROR(IF(AND(Q20=0,SUM(P20:$P$47)&gt;0),SUM(P$7:P20)*Loan_Rate_3*(DAYS360(O19,O20)/360),IPMT(Loan_Rate_3,(ROUND(DAYS360(First_Principal_3-360,O20)/360,0)),Loan_Term_3,-(SUM(P$7:P$47)*(1+COI_3)))),0)</f>
        <v>2223691.8772906973</v>
      </c>
      <c r="S20" s="4">
        <f t="shared" si="2"/>
        <v>6881072.8040711936</v>
      </c>
      <c r="U20" s="3">
        <f t="shared" si="10"/>
        <v>50951</v>
      </c>
      <c r="V20" s="4">
        <f>IFERROR(VLOOKUP(U20,Inputs!$A$13:$F$19,U$1+1,0),0)</f>
        <v>0</v>
      </c>
      <c r="W20" s="4">
        <f>IFERROR(IF(SUM(V20:V$47)&gt;0,0,PPMT(Loan_Rate_4,(ROUND(DAYS360(First_Principal_4-360,U20)/360,0)),Loan_Term_4,-(SUM(V$7:V$47)*(1+COI_4)))),0)</f>
        <v>7519495.301199994</v>
      </c>
      <c r="X20" s="4">
        <f>IFERROR(IF(AND(W20=0,SUM(V20:$V$47)&gt;0),SUM(V$7:V20)*Loan_Rate_4*(DAYS360(U19,U20)/360),IPMT(Loan_Rate_4,(ROUND(DAYS360(First_Principal_4-360,U20)/360,0)),Loan_Term_4,-(SUM(V$7:V$47)*(1+COI_4)))),0)</f>
        <v>4145709.9294694248</v>
      </c>
      <c r="Y20" s="4">
        <f t="shared" si="3"/>
        <v>11665205.230669418</v>
      </c>
      <c r="AA20" s="3">
        <f t="shared" si="11"/>
        <v>51682</v>
      </c>
      <c r="AB20" s="4">
        <f>IFERROR(VLOOKUP(AA20,Inputs!$A$13:$F$19,AA$1+1,0),0)</f>
        <v>0</v>
      </c>
      <c r="AC20" s="4">
        <f>IFERROR(IF(SUM(AB20:AB$47)&gt;0,0,PPMT(Loan_Rate_5,(ROUND(DAYS360(First_Principal_5-360,AA20)/360,0)),Loan_Term_5,-(SUM(AB$7:AB$47)*(1+COI_5)))),0)</f>
        <v>2944354.8162622345</v>
      </c>
      <c r="AD20" s="4">
        <f>IFERROR(IF(AND(AC20=0,SUM(AB20:$AB$47)&gt;0),SUM(AB$7:AB20)*Loan_Rate_5*(DAYS360(AA19,AA20)/360),IPMT(Loan_Rate_5,(ROUND(DAYS360(First_Principal_5-360,AA20)/360,0)),Loan_Term_5,-(SUM(AB$7:AB$47)*(1+COI_5)))),0)</f>
        <v>1405798.2354709492</v>
      </c>
      <c r="AE20" s="4">
        <f t="shared" si="4"/>
        <v>4350153.0517331837</v>
      </c>
      <c r="AG20" s="3" t="e">
        <f t="shared" si="12"/>
        <v>#REF!</v>
      </c>
      <c r="AH20" s="4">
        <f>IFERROR(VLOOKUP(AG20,Inputs!$A$13:$F$19,AG$1+1,0),0)</f>
        <v>0</v>
      </c>
      <c r="AI20" s="4">
        <f>IFERROR(IF(SUM(AH20:AH$47)&gt;0,0,PPMT(Loan_Rate_6,(ROUND(DAYS360(First_Principal_6-360,AG20)/360,0)),Loan_Term_6,-(SUM(AH$7:AH$47)*(1+COI_6)))),0)</f>
        <v>0</v>
      </c>
      <c r="AJ20" s="4">
        <f>IFERROR(IF(AND(AI20=0,SUM(AH20:$AH$47)&gt;0),SUM(AH$7:AH20)*Loan_Rate_6*(DAYS360(AG19,AG20)/360),IPMT(Loan_Rate_6,(ROUND(DAYS360(First_Principal_6-360,AG20)/360,0)),Loan_Term_6,-(SUM(AH$7:AH$47)*(1+COI_6)))),0)</f>
        <v>0</v>
      </c>
      <c r="AK20" s="4">
        <f t="shared" si="5"/>
        <v>0</v>
      </c>
      <c r="AM20" s="3" t="e">
        <f t="shared" si="13"/>
        <v>#REF!</v>
      </c>
      <c r="AN20" s="4">
        <f>IFERROR(VLOOKUP(AM20,Inputs!$A$13:$F$19,AM$1+1,0),0)</f>
        <v>0</v>
      </c>
      <c r="AO20" s="4">
        <f>IFERROR(IF(SUM(AN20:AN$47)&gt;0,0,PPMT(Loan_Rate_7,(ROUND(DAYS360(First_Principal_7-360,AM20)/360,0)),Loan_Term_7,-(SUM(AN$7:AN$47)*(1+COI_7)))),0)</f>
        <v>0</v>
      </c>
      <c r="AP20" s="4">
        <f>IFERROR(IF(AND(AO20=0,SUM(AN20:$AN$47)&gt;0),SUM(AN$7:AN20)*Loan_Rate_7*(DAYS360(AM19,AM20)/360),IPMT(Loan_Rate_7,(ROUND(DAYS360(First_Principal_7-360,AM20)/360,0)),Loan_Term_7,-(SUM(AN$7:AN$47)*(1+COI_7)))),0)</f>
        <v>0</v>
      </c>
      <c r="AQ20" s="4">
        <f t="shared" si="6"/>
        <v>0</v>
      </c>
    </row>
    <row r="21" spans="3:43" x14ac:dyDescent="0.25">
      <c r="C21" s="3">
        <f t="shared" si="7"/>
        <v>50221</v>
      </c>
      <c r="D21" s="4">
        <f>IFERROR(VLOOKUP($C21,Inputs!$A$13:$F$19,'PV &amp; WIFIA Calculation Old'!$C$1+1,0),0)</f>
        <v>0</v>
      </c>
      <c r="E21" s="4">
        <f>IFERROR(IF(SUM(D21:$D$47)&gt;0,0,PPMT(Loan_Rate_1,(ROUND(DAYS360((First_Principal_1-360),C21)/360,0)),Loan_Term_1,-(SUM($D$7:$D$47)*(1+COI_1)))),0)</f>
        <v>0</v>
      </c>
      <c r="F21" s="4">
        <f>IFERROR(IF(AND(E21=0,SUM(D21:$D$47)&gt;0),SUM($D$7:D21)*Loan_Rate_1*(DAYS360(C20,C21)/360),IPMT(Loan_Rate_1,(ROUND(DAYS360((First_Principal_1-360),C21)/360,0)),Loan_Term_1,-(SUM($D$7:$D$47)*(1+COI_1)))),0)</f>
        <v>0</v>
      </c>
      <c r="G21" s="4">
        <f t="shared" si="0"/>
        <v>0</v>
      </c>
      <c r="I21" s="3">
        <f t="shared" si="8"/>
        <v>50586</v>
      </c>
      <c r="J21" s="4">
        <f>IFERROR(VLOOKUP(I21,Inputs!$A$13:$F$19,I$1+1,0),0)</f>
        <v>0</v>
      </c>
      <c r="K21" s="4">
        <f>IFERROR(IF(SUM(J21:$J$47)&gt;0,0,PPMT(Loan_Rate_2,(ROUND(DAYS360(First_Principal_2-360,I21)/360,0)),Loan_Term_2,-(SUM(J$7:J$47)*(1+COI_2)))),0)</f>
        <v>1781653.4972911412</v>
      </c>
      <c r="L21" s="4">
        <f>IFERROR(IF(AND(K21=0,SUM(J21:$J$47)&gt;0),SUM(J$7:J21)*Loan_Rate_2*(DAYS360(I20,I21)/360),IPMT(Loan_Rate_2,(ROUND(DAYS360(First_Principal_2-360,I21)/360,0)),Loan_Term_2,-(SUM(J$7:J$47)*(1+COI_2)))),0)</f>
        <v>725311.89177420968</v>
      </c>
      <c r="M21" s="4">
        <f t="shared" si="1"/>
        <v>2506965.3890653509</v>
      </c>
      <c r="O21" s="3">
        <f t="shared" si="9"/>
        <v>50951</v>
      </c>
      <c r="P21" s="4">
        <f>IFERROR(VLOOKUP(O21,Inputs!$A$13:$F$19,O$1+1,0),0)</f>
        <v>0</v>
      </c>
      <c r="Q21" s="4">
        <f>IFERROR(IF(SUM(P21:$P$47)&gt;0,0,PPMT(Loan_Rate_3,(ROUND(DAYS360(First_Principal_3-360,O21)/360,0)),Loan_Term_3,-(SUM(P$7:P$47)*(1+COI_3)))),0)</f>
        <v>4890249.9731195215</v>
      </c>
      <c r="R21" s="4">
        <f>IFERROR(IF(AND(Q21=0,SUM(P21:$P$47)&gt;0),SUM(P$7:P21)*Loan_Rate_3*(DAYS360(O20,O21)/360),IPMT(Loan_Rate_3,(ROUND(DAYS360(First_Principal_3-360,O21)/360,0)),Loan_Term_3,-(SUM(P$7:P$47)*(1+COI_3)))),0)</f>
        <v>1990822.830951673</v>
      </c>
      <c r="S21" s="4">
        <f t="shared" si="2"/>
        <v>6881072.8040711945</v>
      </c>
      <c r="U21" s="3">
        <f t="shared" si="10"/>
        <v>51317</v>
      </c>
      <c r="V21" s="4">
        <f>IFERROR(VLOOKUP(U21,Inputs!$A$13:$F$19,U$1+1,0),0)</f>
        <v>0</v>
      </c>
      <c r="W21" s="4">
        <f>IFERROR(IF(SUM(V21:V$47)&gt;0,0,PPMT(Loan_Rate_4,(ROUND(DAYS360(First_Principal_4-360,U21)/360,0)),Loan_Term_4,-(SUM(V$7:V$47)*(1+COI_4)))),0)</f>
        <v>7895470.0662599942</v>
      </c>
      <c r="X21" s="4">
        <f>IFERROR(IF(AND(W21=0,SUM(V21:$V$47)&gt;0),SUM(V$7:V21)*Loan_Rate_4*(DAYS360(U20,U21)/360),IPMT(Loan_Rate_4,(ROUND(DAYS360(First_Principal_4-360,U21)/360,0)),Loan_Term_4,-(SUM(V$7:V$47)*(1+COI_4)))),0)</f>
        <v>3769735.1644094251</v>
      </c>
      <c r="Y21" s="4">
        <f t="shared" si="3"/>
        <v>11665205.23066942</v>
      </c>
      <c r="AA21" s="3">
        <f t="shared" si="11"/>
        <v>52047</v>
      </c>
      <c r="AB21" s="4">
        <f>IFERROR(VLOOKUP(AA21,Inputs!$A$13:$F$19,AA$1+1,0),0)</f>
        <v>0</v>
      </c>
      <c r="AC21" s="4">
        <f>IFERROR(IF(SUM(AB21:AB$47)&gt;0,0,PPMT(Loan_Rate_5,(ROUND(DAYS360(First_Principal_5-360,AA21)/360,0)),Loan_Term_5,-(SUM(AB$7:AB$47)*(1+COI_5)))),0)</f>
        <v>3091572.5570753464</v>
      </c>
      <c r="AD21" s="4">
        <f>IFERROR(IF(AND(AC21=0,SUM(AB21:$AB$47)&gt;0),SUM(AB$7:AB21)*Loan_Rate_5*(DAYS360(AA20,AA21)/360),IPMT(Loan_Rate_5,(ROUND(DAYS360(First_Principal_5-360,AA21)/360,0)),Loan_Term_5,-(SUM(AB$7:AB$47)*(1+COI_5)))),0)</f>
        <v>1258580.4946578376</v>
      </c>
      <c r="AE21" s="4">
        <f t="shared" si="4"/>
        <v>4350153.0517331837</v>
      </c>
      <c r="AG21" s="3" t="e">
        <f t="shared" si="12"/>
        <v>#REF!</v>
      </c>
      <c r="AH21" s="4">
        <f>IFERROR(VLOOKUP(AG21,Inputs!$A$13:$F$19,AG$1+1,0),0)</f>
        <v>0</v>
      </c>
      <c r="AI21" s="4">
        <f>IFERROR(IF(SUM(AH21:AH$47)&gt;0,0,PPMT(Loan_Rate_6,(ROUND(DAYS360(First_Principal_6-360,AG21)/360,0)),Loan_Term_6,-(SUM(AH$7:AH$47)*(1+COI_6)))),0)</f>
        <v>0</v>
      </c>
      <c r="AJ21" s="4">
        <f>IFERROR(IF(AND(AI21=0,SUM(AH21:$AH$47)&gt;0),SUM(AH$7:AH21)*Loan_Rate_6*(DAYS360(AG20,AG21)/360),IPMT(Loan_Rate_6,(ROUND(DAYS360(First_Principal_6-360,AG21)/360,0)),Loan_Term_6,-(SUM(AH$7:AH$47)*(1+COI_6)))),0)</f>
        <v>0</v>
      </c>
      <c r="AK21" s="4">
        <f t="shared" si="5"/>
        <v>0</v>
      </c>
      <c r="AM21" s="3" t="e">
        <f t="shared" si="13"/>
        <v>#REF!</v>
      </c>
      <c r="AN21" s="4">
        <f>IFERROR(VLOOKUP(AM21,Inputs!$A$13:$F$19,AM$1+1,0),0)</f>
        <v>0</v>
      </c>
      <c r="AO21" s="4">
        <f>IFERROR(IF(SUM(AN21:AN$47)&gt;0,0,PPMT(Loan_Rate_7,(ROUND(DAYS360(First_Principal_7-360,AM21)/360,0)),Loan_Term_7,-(SUM(AN$7:AN$47)*(1+COI_7)))),0)</f>
        <v>0</v>
      </c>
      <c r="AP21" s="4">
        <f>IFERROR(IF(AND(AO21=0,SUM(AN21:$AN$47)&gt;0),SUM(AN$7:AN21)*Loan_Rate_7*(DAYS360(AM20,AM21)/360),IPMT(Loan_Rate_7,(ROUND(DAYS360(First_Principal_7-360,AM21)/360,0)),Loan_Term_7,-(SUM(AN$7:AN$47)*(1+COI_7)))),0)</f>
        <v>0</v>
      </c>
      <c r="AQ21" s="4">
        <f t="shared" si="6"/>
        <v>0</v>
      </c>
    </row>
    <row r="22" spans="3:43" x14ac:dyDescent="0.25">
      <c r="C22" s="3">
        <f t="shared" si="7"/>
        <v>50586</v>
      </c>
      <c r="D22" s="4">
        <f>IFERROR(VLOOKUP($C22,Inputs!$A$13:$F$19,'PV &amp; WIFIA Calculation Old'!$C$1+1,0),0)</f>
        <v>0</v>
      </c>
      <c r="E22" s="4">
        <f>IFERROR(IF(SUM(D22:$D$47)&gt;0,0,PPMT(Loan_Rate_1,(ROUND(DAYS360((First_Principal_1-360),C22)/360,0)),Loan_Term_1,-(SUM($D$7:$D$47)*(1+COI_1)))),0)</f>
        <v>0</v>
      </c>
      <c r="F22" s="4">
        <f>IFERROR(IF(AND(E22=0,SUM(D22:$D$47)&gt;0),SUM($D$7:D22)*Loan_Rate_1*(DAYS360(C21,C22)/360),IPMT(Loan_Rate_1,(ROUND(DAYS360((First_Principal_1-360),C22)/360,0)),Loan_Term_1,-(SUM($D$7:$D$47)*(1+COI_1)))),0)</f>
        <v>0</v>
      </c>
      <c r="G22" s="4">
        <f t="shared" si="0"/>
        <v>0</v>
      </c>
      <c r="I22" s="3">
        <f t="shared" si="8"/>
        <v>50951</v>
      </c>
      <c r="J22" s="4">
        <f>IFERROR(VLOOKUP(I22,Inputs!$A$13:$F$19,I$1+1,0),0)</f>
        <v>0</v>
      </c>
      <c r="K22" s="4">
        <f>IFERROR(IF(SUM(J22:$J$47)&gt;0,0,PPMT(Loan_Rate_2,(ROUND(DAYS360(First_Principal_2-360,I22)/360,0)),Loan_Term_2,-(SUM(J$7:J$47)*(1+COI_2)))),0)</f>
        <v>1870736.1721556985</v>
      </c>
      <c r="L22" s="4">
        <f>IFERROR(IF(AND(K22=0,SUM(J22:$J$47)&gt;0),SUM(J$7:J22)*Loan_Rate_2*(DAYS360(I21,I22)/360),IPMT(Loan_Rate_2,(ROUND(DAYS360(First_Principal_2-360,I22)/360,0)),Loan_Term_2,-(SUM(J$7:J$47)*(1+COI_2)))),0)</f>
        <v>636229.21690965269</v>
      </c>
      <c r="M22" s="4">
        <f t="shared" si="1"/>
        <v>2506965.3890653513</v>
      </c>
      <c r="O22" s="3">
        <f t="shared" si="9"/>
        <v>51317</v>
      </c>
      <c r="P22" s="4">
        <f>IFERROR(VLOOKUP(O22,Inputs!$A$13:$F$19,O$1+1,0),0)</f>
        <v>0</v>
      </c>
      <c r="Q22" s="4">
        <f>IFERROR(IF(SUM(P22:$P$47)&gt;0,0,PPMT(Loan_Rate_3,(ROUND(DAYS360(First_Principal_3-360,O22)/360,0)),Loan_Term_3,-(SUM(P$7:P$47)*(1+COI_3)))),0)</f>
        <v>5134762.4717754982</v>
      </c>
      <c r="R22" s="4">
        <f>IFERROR(IF(AND(Q22=0,SUM(P22:$P$47)&gt;0),SUM(P$7:P22)*Loan_Rate_3*(DAYS360(O21,O22)/360),IPMT(Loan_Rate_3,(ROUND(DAYS360(First_Principal_3-360,O22)/360,0)),Loan_Term_3,-(SUM(P$7:P$47)*(1+COI_3)))),0)</f>
        <v>1746310.3322956965</v>
      </c>
      <c r="S22" s="4">
        <f t="shared" si="2"/>
        <v>6881072.8040711945</v>
      </c>
      <c r="U22" s="3">
        <f t="shared" si="10"/>
        <v>51682</v>
      </c>
      <c r="V22" s="4">
        <f>IFERROR(VLOOKUP(U22,Inputs!$A$13:$F$19,U$1+1,0),0)</f>
        <v>0</v>
      </c>
      <c r="W22" s="4">
        <f>IFERROR(IF(SUM(V22:V$47)&gt;0,0,PPMT(Loan_Rate_4,(ROUND(DAYS360(First_Principal_4-360,U22)/360,0)),Loan_Term_4,-(SUM(V$7:V$47)*(1+COI_4)))),0)</f>
        <v>8290243.5695729945</v>
      </c>
      <c r="X22" s="4">
        <f>IFERROR(IF(AND(W22=0,SUM(V22:$V$47)&gt;0),SUM(V$7:V22)*Loan_Rate_4*(DAYS360(U21,U22)/360),IPMT(Loan_Rate_4,(ROUND(DAYS360(First_Principal_4-360,U22)/360,0)),Loan_Term_4,-(SUM(V$7:V$47)*(1+COI_4)))),0)</f>
        <v>3374961.6610964257</v>
      </c>
      <c r="Y22" s="4">
        <f t="shared" si="3"/>
        <v>11665205.23066942</v>
      </c>
      <c r="AA22" s="3">
        <f t="shared" si="11"/>
        <v>52412</v>
      </c>
      <c r="AB22" s="4">
        <f>IFERROR(VLOOKUP(AA22,Inputs!$A$13:$F$19,AA$1+1,0),0)</f>
        <v>0</v>
      </c>
      <c r="AC22" s="4">
        <f>IFERROR(IF(SUM(AB22:AB$47)&gt;0,0,PPMT(Loan_Rate_5,(ROUND(DAYS360(First_Principal_5-360,AA22)/360,0)),Loan_Term_5,-(SUM(AB$7:AB$47)*(1+COI_5)))),0)</f>
        <v>3246151.1849291138</v>
      </c>
      <c r="AD22" s="4">
        <f>IFERROR(IF(AND(AC22=0,SUM(AB22:$AB$47)&gt;0),SUM(AB$7:AB22)*Loan_Rate_5*(DAYS360(AA21,AA22)/360),IPMT(Loan_Rate_5,(ROUND(DAYS360(First_Principal_5-360,AA22)/360,0)),Loan_Term_5,-(SUM(AB$7:AB$47)*(1+COI_5)))),0)</f>
        <v>1104001.8668040701</v>
      </c>
      <c r="AE22" s="4">
        <f t="shared" si="4"/>
        <v>4350153.0517331837</v>
      </c>
      <c r="AG22" s="3" t="e">
        <f t="shared" si="12"/>
        <v>#REF!</v>
      </c>
      <c r="AH22" s="4">
        <f>IFERROR(VLOOKUP(AG22,Inputs!$A$13:$F$19,AG$1+1,0),0)</f>
        <v>0</v>
      </c>
      <c r="AI22" s="4">
        <f>IFERROR(IF(SUM(AH22:AH$47)&gt;0,0,PPMT(Loan_Rate_6,(ROUND(DAYS360(First_Principal_6-360,AG22)/360,0)),Loan_Term_6,-(SUM(AH$7:AH$47)*(1+COI_6)))),0)</f>
        <v>0</v>
      </c>
      <c r="AJ22" s="4">
        <f>IFERROR(IF(AND(AI22=0,SUM(AH22:$AH$47)&gt;0),SUM(AH$7:AH22)*Loan_Rate_6*(DAYS360(AG21,AG22)/360),IPMT(Loan_Rate_6,(ROUND(DAYS360(First_Principal_6-360,AG22)/360,0)),Loan_Term_6,-(SUM(AH$7:AH$47)*(1+COI_6)))),0)</f>
        <v>0</v>
      </c>
      <c r="AK22" s="4">
        <f t="shared" si="5"/>
        <v>0</v>
      </c>
      <c r="AM22" s="3" t="e">
        <f t="shared" si="13"/>
        <v>#REF!</v>
      </c>
      <c r="AN22" s="4">
        <f>IFERROR(VLOOKUP(AM22,Inputs!$A$13:$F$19,AM$1+1,0),0)</f>
        <v>0</v>
      </c>
      <c r="AO22" s="4">
        <f>IFERROR(IF(SUM(AN22:AN$47)&gt;0,0,PPMT(Loan_Rate_7,(ROUND(DAYS360(First_Principal_7-360,AM22)/360,0)),Loan_Term_7,-(SUM(AN$7:AN$47)*(1+COI_7)))),0)</f>
        <v>0</v>
      </c>
      <c r="AP22" s="4">
        <f>IFERROR(IF(AND(AO22=0,SUM(AN22:$AN$47)&gt;0),SUM(AN$7:AN22)*Loan_Rate_7*(DAYS360(AM21,AM22)/360),IPMT(Loan_Rate_7,(ROUND(DAYS360(First_Principal_7-360,AM22)/360,0)),Loan_Term_7,-(SUM(AN$7:AN$47)*(1+COI_7)))),0)</f>
        <v>0</v>
      </c>
      <c r="AQ22" s="4">
        <f t="shared" si="6"/>
        <v>0</v>
      </c>
    </row>
    <row r="23" spans="3:43" x14ac:dyDescent="0.25">
      <c r="C23" s="3">
        <f t="shared" si="7"/>
        <v>50951</v>
      </c>
      <c r="D23" s="4">
        <f>IFERROR(VLOOKUP($C23,Inputs!$A$13:$F$19,'PV &amp; WIFIA Calculation Old'!$C$1+1,0),0)</f>
        <v>0</v>
      </c>
      <c r="E23" s="4">
        <f>IFERROR(IF(SUM(D23:$D$47)&gt;0,0,PPMT(Loan_Rate_1,(ROUND(DAYS360((First_Principal_1-360),C23)/360,0)),Loan_Term_1,-(SUM($D$7:$D$47)*(1+COI_1)))),0)</f>
        <v>0</v>
      </c>
      <c r="F23" s="4">
        <f>IFERROR(IF(AND(E23=0,SUM(D23:$D$47)&gt;0),SUM($D$7:D23)*Loan_Rate_1*(DAYS360(C22,C23)/360),IPMT(Loan_Rate_1,(ROUND(DAYS360((First_Principal_1-360),C23)/360,0)),Loan_Term_1,-(SUM($D$7:$D$47)*(1+COI_1)))),0)</f>
        <v>0</v>
      </c>
      <c r="G23" s="4">
        <f t="shared" si="0"/>
        <v>0</v>
      </c>
      <c r="I23" s="3">
        <f t="shared" si="8"/>
        <v>51317</v>
      </c>
      <c r="J23" s="4">
        <f>IFERROR(VLOOKUP(I23,Inputs!$A$13:$F$19,I$1+1,0),0)</f>
        <v>0</v>
      </c>
      <c r="K23" s="4">
        <f>IFERROR(IF(SUM(J23:$J$47)&gt;0,0,PPMT(Loan_Rate_2,(ROUND(DAYS360(First_Principal_2-360,I23)/360,0)),Loan_Term_2,-(SUM(J$7:J$47)*(1+COI_2)))),0)</f>
        <v>1964272.9807634831</v>
      </c>
      <c r="L23" s="4">
        <f>IFERROR(IF(AND(K23=0,SUM(J23:$J$47)&gt;0),SUM(J$7:J23)*Loan_Rate_2*(DAYS360(I22,I23)/360),IPMT(Loan_Rate_2,(ROUND(DAYS360(First_Principal_2-360,I23)/360,0)),Loan_Term_2,-(SUM(J$7:J$47)*(1+COI_2)))),0)</f>
        <v>542692.40830186778</v>
      </c>
      <c r="M23" s="4">
        <f t="shared" si="1"/>
        <v>2506965.3890653509</v>
      </c>
      <c r="O23" s="3">
        <f t="shared" si="9"/>
        <v>51682</v>
      </c>
      <c r="P23" s="4">
        <f>IFERROR(VLOOKUP(O23,Inputs!$A$13:$F$19,O$1+1,0),0)</f>
        <v>0</v>
      </c>
      <c r="Q23" s="4">
        <f>IFERROR(IF(SUM(P23:$P$47)&gt;0,0,PPMT(Loan_Rate_3,(ROUND(DAYS360(First_Principal_3-360,O23)/360,0)),Loan_Term_3,-(SUM(P$7:P$47)*(1+COI_3)))),0)</f>
        <v>5391500.5953642726</v>
      </c>
      <c r="R23" s="4">
        <f>IFERROR(IF(AND(Q23=0,SUM(P23:$P$47)&gt;0),SUM(P$7:P23)*Loan_Rate_3*(DAYS360(O22,O23)/360),IPMT(Loan_Rate_3,(ROUND(DAYS360(First_Principal_3-360,O23)/360,0)),Loan_Term_3,-(SUM(P$7:P$47)*(1+COI_3)))),0)</f>
        <v>1489572.2087069219</v>
      </c>
      <c r="S23" s="4">
        <f t="shared" si="2"/>
        <v>6881072.8040711945</v>
      </c>
      <c r="U23" s="3">
        <f t="shared" si="10"/>
        <v>52047</v>
      </c>
      <c r="V23" s="4">
        <f>IFERROR(VLOOKUP(U23,Inputs!$A$13:$F$19,U$1+1,0),0)</f>
        <v>0</v>
      </c>
      <c r="W23" s="4">
        <f>IFERROR(IF(SUM(V23:V$47)&gt;0,0,PPMT(Loan_Rate_4,(ROUND(DAYS360(First_Principal_4-360,U23)/360,0)),Loan_Term_4,-(SUM(V$7:V$47)*(1+COI_4)))),0)</f>
        <v>8704755.7480516434</v>
      </c>
      <c r="X23" s="4">
        <f>IFERROR(IF(AND(W23=0,SUM(V23:$V$47)&gt;0),SUM(V$7:V23)*Loan_Rate_4*(DAYS360(U22,U23)/360),IPMT(Loan_Rate_4,(ROUND(DAYS360(First_Principal_4-360,U23)/360,0)),Loan_Term_4,-(SUM(V$7:V$47)*(1+COI_4)))),0)</f>
        <v>2960449.4826177754</v>
      </c>
      <c r="Y23" s="4">
        <f t="shared" si="3"/>
        <v>11665205.230669418</v>
      </c>
      <c r="AA23" s="3">
        <f t="shared" si="11"/>
        <v>52778</v>
      </c>
      <c r="AB23" s="4">
        <f>IFERROR(VLOOKUP(AA23,Inputs!$A$13:$F$19,AA$1+1,0),0)</f>
        <v>0</v>
      </c>
      <c r="AC23" s="4">
        <f>IFERROR(IF(SUM(AB23:AB$47)&gt;0,0,PPMT(Loan_Rate_5,(ROUND(DAYS360(First_Principal_5-360,AA23)/360,0)),Loan_Term_5,-(SUM(AB$7:AB$47)*(1+COI_5)))),0)</f>
        <v>3408458.7441755701</v>
      </c>
      <c r="AD23" s="4">
        <f>IFERROR(IF(AND(AC23=0,SUM(AB23:$AB$47)&gt;0),SUM(AB$7:AB23)*Loan_Rate_5*(DAYS360(AA22,AA23)/360),IPMT(Loan_Rate_5,(ROUND(DAYS360(First_Principal_5-360,AA23)/360,0)),Loan_Term_5,-(SUM(AB$7:AB$47)*(1+COI_5)))),0)</f>
        <v>941694.3075576144</v>
      </c>
      <c r="AE23" s="4">
        <f t="shared" si="4"/>
        <v>4350153.0517331846</v>
      </c>
      <c r="AG23" s="3" t="e">
        <f t="shared" si="12"/>
        <v>#REF!</v>
      </c>
      <c r="AH23" s="4">
        <f>IFERROR(VLOOKUP(AG23,Inputs!$A$13:$F$19,AG$1+1,0),0)</f>
        <v>0</v>
      </c>
      <c r="AI23" s="4">
        <f>IFERROR(IF(SUM(AH23:AH$47)&gt;0,0,PPMT(Loan_Rate_6,(ROUND(DAYS360(First_Principal_6-360,AG23)/360,0)),Loan_Term_6,-(SUM(AH$7:AH$47)*(1+COI_6)))),0)</f>
        <v>0</v>
      </c>
      <c r="AJ23" s="4">
        <f>IFERROR(IF(AND(AI23=0,SUM(AH23:$AH$47)&gt;0),SUM(AH$7:AH23)*Loan_Rate_6*(DAYS360(AG22,AG23)/360),IPMT(Loan_Rate_6,(ROUND(DAYS360(First_Principal_6-360,AG23)/360,0)),Loan_Term_6,-(SUM(AH$7:AH$47)*(1+COI_6)))),0)</f>
        <v>0</v>
      </c>
      <c r="AK23" s="4">
        <f t="shared" si="5"/>
        <v>0</v>
      </c>
      <c r="AM23" s="3" t="e">
        <f t="shared" si="13"/>
        <v>#REF!</v>
      </c>
      <c r="AN23" s="4">
        <f>IFERROR(VLOOKUP(AM23,Inputs!$A$13:$F$19,AM$1+1,0),0)</f>
        <v>0</v>
      </c>
      <c r="AO23" s="4">
        <f>IFERROR(IF(SUM(AN23:AN$47)&gt;0,0,PPMT(Loan_Rate_7,(ROUND(DAYS360(First_Principal_7-360,AM23)/360,0)),Loan_Term_7,-(SUM(AN$7:AN$47)*(1+COI_7)))),0)</f>
        <v>0</v>
      </c>
      <c r="AP23" s="4">
        <f>IFERROR(IF(AND(AO23=0,SUM(AN23:$AN$47)&gt;0),SUM(AN$7:AN23)*Loan_Rate_7*(DAYS360(AM22,AM23)/360),IPMT(Loan_Rate_7,(ROUND(DAYS360(First_Principal_7-360,AM23)/360,0)),Loan_Term_7,-(SUM(AN$7:AN$47)*(1+COI_7)))),0)</f>
        <v>0</v>
      </c>
      <c r="AQ23" s="4">
        <f t="shared" si="6"/>
        <v>0</v>
      </c>
    </row>
    <row r="24" spans="3:43" x14ac:dyDescent="0.25">
      <c r="C24" s="3">
        <f t="shared" si="7"/>
        <v>51317</v>
      </c>
      <c r="D24" s="4">
        <f>IFERROR(VLOOKUP($C24,Inputs!$A$13:$F$19,'PV &amp; WIFIA Calculation Old'!$C$1+1,0),0)</f>
        <v>0</v>
      </c>
      <c r="E24" s="4">
        <f>IFERROR(IF(SUM(D24:$D$47)&gt;0,0,PPMT(Loan_Rate_1,(ROUND(DAYS360((First_Principal_1-360),C24)/360,0)),Loan_Term_1,-(SUM($D$7:$D$47)*(1+COI_1)))),0)</f>
        <v>0</v>
      </c>
      <c r="F24" s="4">
        <f>IFERROR(IF(AND(E24=0,SUM(D24:$D$47)&gt;0),SUM($D$7:D24)*Loan_Rate_1*(DAYS360(C23,C24)/360),IPMT(Loan_Rate_1,(ROUND(DAYS360((First_Principal_1-360),C24)/360,0)),Loan_Term_1,-(SUM($D$7:$D$47)*(1+COI_1)))),0)</f>
        <v>0</v>
      </c>
      <c r="G24" s="4">
        <f t="shared" si="0"/>
        <v>0</v>
      </c>
      <c r="I24" s="3">
        <f t="shared" si="8"/>
        <v>51682</v>
      </c>
      <c r="J24" s="4">
        <f>IFERROR(VLOOKUP(I24,Inputs!$A$13:$F$19,I$1+1,0),0)</f>
        <v>0</v>
      </c>
      <c r="K24" s="4">
        <f>IFERROR(IF(SUM(J24:$J$47)&gt;0,0,PPMT(Loan_Rate_2,(ROUND(DAYS360(First_Principal_2-360,I24)/360,0)),Loan_Term_2,-(SUM(J$7:J$47)*(1+COI_2)))),0)</f>
        <v>2062486.6298016575</v>
      </c>
      <c r="L24" s="4">
        <f>IFERROR(IF(AND(K24=0,SUM(J24:$J$47)&gt;0),SUM(J$7:J24)*Loan_Rate_2*(DAYS360(I23,I24)/360),IPMT(Loan_Rate_2,(ROUND(DAYS360(First_Principal_2-360,I24)/360,0)),Loan_Term_2,-(SUM(J$7:J$47)*(1+COI_2)))),0)</f>
        <v>444478.75926369359</v>
      </c>
      <c r="M24" s="4">
        <f t="shared" si="1"/>
        <v>2506965.3890653513</v>
      </c>
      <c r="O24" s="3">
        <f t="shared" si="9"/>
        <v>52047</v>
      </c>
      <c r="P24" s="4">
        <f>IFERROR(VLOOKUP(O24,Inputs!$A$13:$F$19,O$1+1,0),0)</f>
        <v>0</v>
      </c>
      <c r="Q24" s="4">
        <f>IFERROR(IF(SUM(P24:$P$47)&gt;0,0,PPMT(Loan_Rate_3,(ROUND(DAYS360(First_Principal_3-360,O24)/360,0)),Loan_Term_3,-(SUM(P$7:P$47)*(1+COI_3)))),0)</f>
        <v>5661075.6251324862</v>
      </c>
      <c r="R24" s="4">
        <f>IFERROR(IF(AND(Q24=0,SUM(P24:$P$47)&gt;0),SUM(P$7:P24)*Loan_Rate_3*(DAYS360(O23,O24)/360),IPMT(Loan_Rate_3,(ROUND(DAYS360(First_Principal_3-360,O24)/360,0)),Loan_Term_3,-(SUM(P$7:P$47)*(1+COI_3)))),0)</f>
        <v>1219997.178938708</v>
      </c>
      <c r="S24" s="4">
        <f t="shared" si="2"/>
        <v>6881072.8040711945</v>
      </c>
      <c r="U24" s="3">
        <f t="shared" si="10"/>
        <v>52412</v>
      </c>
      <c r="V24" s="4">
        <f>IFERROR(VLOOKUP(U24,Inputs!$A$13:$F$19,U$1+1,0),0)</f>
        <v>0</v>
      </c>
      <c r="W24" s="4">
        <f>IFERROR(IF(SUM(V24:V$47)&gt;0,0,PPMT(Loan_Rate_4,(ROUND(DAYS360(First_Principal_4-360,U24)/360,0)),Loan_Term_4,-(SUM(V$7:V$47)*(1+COI_4)))),0)</f>
        <v>9139993.5354542267</v>
      </c>
      <c r="X24" s="4">
        <f>IFERROR(IF(AND(W24=0,SUM(V24:$V$47)&gt;0),SUM(V$7:V24)*Loan_Rate_4*(DAYS360(U23,U24)/360),IPMT(Loan_Rate_4,(ROUND(DAYS360(First_Principal_4-360,U24)/360,0)),Loan_Term_4,-(SUM(V$7:V$47)*(1+COI_4)))),0)</f>
        <v>2525211.6952151936</v>
      </c>
      <c r="Y24" s="4">
        <f t="shared" si="3"/>
        <v>11665205.23066942</v>
      </c>
      <c r="AA24" s="3">
        <f t="shared" si="11"/>
        <v>53143</v>
      </c>
      <c r="AB24" s="4">
        <f>IFERROR(VLOOKUP(AA24,Inputs!$A$13:$F$19,AA$1+1,0),0)</f>
        <v>0</v>
      </c>
      <c r="AC24" s="4">
        <f>IFERROR(IF(SUM(AB24:AB$47)&gt;0,0,PPMT(Loan_Rate_5,(ROUND(DAYS360(First_Principal_5-360,AA24)/360,0)),Loan_Term_5,-(SUM(AB$7:AB$47)*(1+COI_5)))),0)</f>
        <v>3578881.6813843483</v>
      </c>
      <c r="AD24" s="4">
        <f>IFERROR(IF(AND(AC24=0,SUM(AB24:$AB$47)&gt;0),SUM(AB$7:AB24)*Loan_Rate_5*(DAYS360(AA23,AA24)/360),IPMT(Loan_Rate_5,(ROUND(DAYS360(First_Principal_5-360,AA24)/360,0)),Loan_Term_5,-(SUM(AB$7:AB$47)*(1+COI_5)))),0)</f>
        <v>771271.37034883583</v>
      </c>
      <c r="AE24" s="4">
        <f t="shared" si="4"/>
        <v>4350153.0517331846</v>
      </c>
      <c r="AG24" s="3" t="e">
        <f t="shared" si="12"/>
        <v>#REF!</v>
      </c>
      <c r="AH24" s="4">
        <f>IFERROR(VLOOKUP(AG24,Inputs!$A$13:$F$19,AG$1+1,0),0)</f>
        <v>0</v>
      </c>
      <c r="AI24" s="4">
        <f>IFERROR(IF(SUM(AH24:AH$47)&gt;0,0,PPMT(Loan_Rate_6,(ROUND(DAYS360(First_Principal_6-360,AG24)/360,0)),Loan_Term_6,-(SUM(AH$7:AH$47)*(1+COI_6)))),0)</f>
        <v>0</v>
      </c>
      <c r="AJ24" s="4">
        <f>IFERROR(IF(AND(AI24=0,SUM(AH24:$AH$47)&gt;0),SUM(AH$7:AH24)*Loan_Rate_6*(DAYS360(AG23,AG24)/360),IPMT(Loan_Rate_6,(ROUND(DAYS360(First_Principal_6-360,AG24)/360,0)),Loan_Term_6,-(SUM(AH$7:AH$47)*(1+COI_6)))),0)</f>
        <v>0</v>
      </c>
      <c r="AK24" s="4">
        <f t="shared" si="5"/>
        <v>0</v>
      </c>
      <c r="AM24" s="3" t="e">
        <f t="shared" si="13"/>
        <v>#REF!</v>
      </c>
      <c r="AN24" s="4">
        <f>IFERROR(VLOOKUP(AM24,Inputs!$A$13:$F$19,AM$1+1,0),0)</f>
        <v>0</v>
      </c>
      <c r="AO24" s="4">
        <f>IFERROR(IF(SUM(AN24:AN$47)&gt;0,0,PPMT(Loan_Rate_7,(ROUND(DAYS360(First_Principal_7-360,AM24)/360,0)),Loan_Term_7,-(SUM(AN$7:AN$47)*(1+COI_7)))),0)</f>
        <v>0</v>
      </c>
      <c r="AP24" s="4">
        <f>IFERROR(IF(AND(AO24=0,SUM(AN24:$AN$47)&gt;0),SUM(AN$7:AN24)*Loan_Rate_7*(DAYS360(AM23,AM24)/360),IPMT(Loan_Rate_7,(ROUND(DAYS360(First_Principal_7-360,AM24)/360,0)),Loan_Term_7,-(SUM(AN$7:AN$47)*(1+COI_7)))),0)</f>
        <v>0</v>
      </c>
      <c r="AQ24" s="4">
        <f t="shared" si="6"/>
        <v>0</v>
      </c>
    </row>
    <row r="25" spans="3:43" x14ac:dyDescent="0.25">
      <c r="C25" s="3">
        <f t="shared" si="7"/>
        <v>51682</v>
      </c>
      <c r="D25" s="4">
        <f>IFERROR(VLOOKUP($C25,Inputs!$A$13:$F$19,'PV &amp; WIFIA Calculation Old'!$C$1+1,0),0)</f>
        <v>0</v>
      </c>
      <c r="E25" s="4">
        <f>IFERROR(IF(SUM(D25:$D$47)&gt;0,0,PPMT(Loan_Rate_1,(ROUND(DAYS360((First_Principal_1-360),C25)/360,0)),Loan_Term_1,-(SUM($D$7:$D$47)*(1+COI_1)))),0)</f>
        <v>0</v>
      </c>
      <c r="F25" s="4">
        <f>IFERROR(IF(AND(E25=0,SUM(D25:$D$47)&gt;0),SUM($D$7:D25)*Loan_Rate_1*(DAYS360(C24,C25)/360),IPMT(Loan_Rate_1,(ROUND(DAYS360((First_Principal_1-360),C25)/360,0)),Loan_Term_1,-(SUM($D$7:$D$47)*(1+COI_1)))),0)</f>
        <v>0</v>
      </c>
      <c r="G25" s="4">
        <f t="shared" si="0"/>
        <v>0</v>
      </c>
      <c r="I25" s="3">
        <f t="shared" si="8"/>
        <v>52047</v>
      </c>
      <c r="J25" s="4">
        <f>IFERROR(VLOOKUP(I25,Inputs!$A$13:$F$19,I$1+1,0),0)</f>
        <v>0</v>
      </c>
      <c r="K25" s="4">
        <f>IFERROR(IF(SUM(J25:$J$47)&gt;0,0,PPMT(Loan_Rate_2,(ROUND(DAYS360(First_Principal_2-360,I25)/360,0)),Loan_Term_2,-(SUM(J$7:J$47)*(1+COI_2)))),0)</f>
        <v>2165610.9612917402</v>
      </c>
      <c r="L25" s="4">
        <f>IFERROR(IF(AND(K25=0,SUM(J25:$J$47)&gt;0),SUM(J$7:J25)*Loan_Rate_2*(DAYS360(I24,I25)/360),IPMT(Loan_Rate_2,(ROUND(DAYS360(First_Principal_2-360,I25)/360,0)),Loan_Term_2,-(SUM(J$7:J$47)*(1+COI_2)))),0)</f>
        <v>341354.42777361063</v>
      </c>
      <c r="M25" s="4">
        <f t="shared" si="1"/>
        <v>2506965.3890653509</v>
      </c>
      <c r="O25" s="3">
        <f t="shared" si="9"/>
        <v>52412</v>
      </c>
      <c r="P25" s="4">
        <f>IFERROR(VLOOKUP(O25,Inputs!$A$13:$F$19,O$1+1,0),0)</f>
        <v>0</v>
      </c>
      <c r="Q25" s="4">
        <f>IFERROR(IF(SUM(P25:$P$47)&gt;0,0,PPMT(Loan_Rate_3,(ROUND(DAYS360(First_Principal_3-360,O25)/360,0)),Loan_Term_3,-(SUM(P$7:P$47)*(1+COI_3)))),0)</f>
        <v>5944129.4063891098</v>
      </c>
      <c r="R25" s="4">
        <f>IFERROR(IF(AND(Q25=0,SUM(P25:$P$47)&gt;0),SUM(P$7:P25)*Loan_Rate_3*(DAYS360(O24,O25)/360),IPMT(Loan_Rate_3,(ROUND(DAYS360(First_Principal_3-360,O25)/360,0)),Loan_Term_3,-(SUM(P$7:P$47)*(1+COI_3)))),0)</f>
        <v>936943.39768208365</v>
      </c>
      <c r="S25" s="4">
        <f t="shared" si="2"/>
        <v>6881072.8040711936</v>
      </c>
      <c r="U25" s="3">
        <f t="shared" si="10"/>
        <v>52778</v>
      </c>
      <c r="V25" s="4">
        <f>IFERROR(VLOOKUP(U25,Inputs!$A$13:$F$19,U$1+1,0),0)</f>
        <v>0</v>
      </c>
      <c r="W25" s="4">
        <f>IFERROR(IF(SUM(V25:V$47)&gt;0,0,PPMT(Loan_Rate_4,(ROUND(DAYS360(First_Principal_4-360,U25)/360,0)),Loan_Term_4,-(SUM(V$7:V$47)*(1+COI_4)))),0)</f>
        <v>9596993.2122269385</v>
      </c>
      <c r="X25" s="4">
        <f>IFERROR(IF(AND(W25=0,SUM(V25:$V$47)&gt;0),SUM(V$7:V25)*Loan_Rate_4*(DAYS360(U24,U25)/360),IPMT(Loan_Rate_4,(ROUND(DAYS360(First_Principal_4-360,U25)/360,0)),Loan_Term_4,-(SUM(V$7:V$47)*(1+COI_4)))),0)</f>
        <v>2068212.0184424818</v>
      </c>
      <c r="Y25" s="4">
        <f t="shared" si="3"/>
        <v>11665205.23066942</v>
      </c>
      <c r="AA25" s="3">
        <f t="shared" si="11"/>
        <v>53508</v>
      </c>
      <c r="AB25" s="4">
        <f>IFERROR(VLOOKUP(AA25,Inputs!$A$13:$F$19,AA$1+1,0),0)</f>
        <v>0</v>
      </c>
      <c r="AC25" s="4">
        <f>IFERROR(IF(SUM(AB25:AB$47)&gt;0,0,PPMT(Loan_Rate_5,(ROUND(DAYS360(First_Principal_5-360,AA25)/360,0)),Loan_Term_5,-(SUM(AB$7:AB$47)*(1+COI_5)))),0)</f>
        <v>3757825.7654535654</v>
      </c>
      <c r="AD25" s="4">
        <f>IFERROR(IF(AND(AC25=0,SUM(AB25:$AB$47)&gt;0),SUM(AB$7:AB25)*Loan_Rate_5*(DAYS360(AA24,AA25)/360),IPMT(Loan_Rate_5,(ROUND(DAYS360(First_Principal_5-360,AA25)/360,0)),Loan_Term_5,-(SUM(AB$7:AB$47)*(1+COI_5)))),0)</f>
        <v>592327.28627961839</v>
      </c>
      <c r="AE25" s="4">
        <f t="shared" si="4"/>
        <v>4350153.0517331837</v>
      </c>
      <c r="AG25" s="3" t="e">
        <f t="shared" si="12"/>
        <v>#REF!</v>
      </c>
      <c r="AH25" s="4">
        <f>IFERROR(VLOOKUP(AG25,Inputs!$A$13:$F$19,AG$1+1,0),0)</f>
        <v>0</v>
      </c>
      <c r="AI25" s="4">
        <f>IFERROR(IF(SUM(AH25:AH$47)&gt;0,0,PPMT(Loan_Rate_6,(ROUND(DAYS360(First_Principal_6-360,AG25)/360,0)),Loan_Term_6,-(SUM(AH$7:AH$47)*(1+COI_6)))),0)</f>
        <v>0</v>
      </c>
      <c r="AJ25" s="4">
        <f>IFERROR(IF(AND(AI25=0,SUM(AH25:$AH$47)&gt;0),SUM(AH$7:AH25)*Loan_Rate_6*(DAYS360(AG24,AG25)/360),IPMT(Loan_Rate_6,(ROUND(DAYS360(First_Principal_6-360,AG25)/360,0)),Loan_Term_6,-(SUM(AH$7:AH$47)*(1+COI_6)))),0)</f>
        <v>0</v>
      </c>
      <c r="AK25" s="4">
        <f t="shared" si="5"/>
        <v>0</v>
      </c>
      <c r="AM25" s="3" t="e">
        <f t="shared" si="13"/>
        <v>#REF!</v>
      </c>
      <c r="AN25" s="4">
        <f>IFERROR(VLOOKUP(AM25,Inputs!$A$13:$F$19,AM$1+1,0),0)</f>
        <v>0</v>
      </c>
      <c r="AO25" s="4">
        <f>IFERROR(IF(SUM(AN25:AN$47)&gt;0,0,PPMT(Loan_Rate_7,(ROUND(DAYS360(First_Principal_7-360,AM25)/360,0)),Loan_Term_7,-(SUM(AN$7:AN$47)*(1+COI_7)))),0)</f>
        <v>0</v>
      </c>
      <c r="AP25" s="4">
        <f>IFERROR(IF(AND(AO25=0,SUM(AN25:$AN$47)&gt;0),SUM(AN$7:AN25)*Loan_Rate_7*(DAYS360(AM24,AM25)/360),IPMT(Loan_Rate_7,(ROUND(DAYS360(First_Principal_7-360,AM25)/360,0)),Loan_Term_7,-(SUM(AN$7:AN$47)*(1+COI_7)))),0)</f>
        <v>0</v>
      </c>
      <c r="AQ25" s="4">
        <f t="shared" si="6"/>
        <v>0</v>
      </c>
    </row>
    <row r="26" spans="3:43" x14ac:dyDescent="0.25">
      <c r="C26" s="3">
        <f t="shared" si="7"/>
        <v>52047</v>
      </c>
      <c r="D26" s="4">
        <f>IFERROR(VLOOKUP($C26,Inputs!$A$13:$F$19,'PV &amp; WIFIA Calculation Old'!$C$1+1,0),0)</f>
        <v>0</v>
      </c>
      <c r="E26" s="4">
        <f>IFERROR(IF(SUM(D26:$D$47)&gt;0,0,PPMT(Loan_Rate_1,(ROUND(DAYS360((First_Principal_1-360),C26)/360,0)),Loan_Term_1,-(SUM($D$7:$D$47)*(1+COI_1)))),0)</f>
        <v>0</v>
      </c>
      <c r="F26" s="4">
        <f>IFERROR(IF(AND(E26=0,SUM(D26:$D$47)&gt;0),SUM($D$7:D26)*Loan_Rate_1*(DAYS360(C25,C26)/360),IPMT(Loan_Rate_1,(ROUND(DAYS360((First_Principal_1-360),C26)/360,0)),Loan_Term_1,-(SUM($D$7:$D$47)*(1+COI_1)))),0)</f>
        <v>0</v>
      </c>
      <c r="G26" s="4">
        <f t="shared" si="0"/>
        <v>0</v>
      </c>
      <c r="I26" s="3">
        <f t="shared" si="8"/>
        <v>52412</v>
      </c>
      <c r="J26" s="4">
        <f>IFERROR(VLOOKUP(I26,Inputs!$A$13:$F$19,I$1+1,0),0)</f>
        <v>0</v>
      </c>
      <c r="K26" s="4">
        <f>IFERROR(IF(SUM(J26:$J$47)&gt;0,0,PPMT(Loan_Rate_2,(ROUND(DAYS360(First_Principal_2-360,I26)/360,0)),Loan_Term_2,-(SUM(J$7:J$47)*(1+COI_2)))),0)</f>
        <v>2273891.5093563274</v>
      </c>
      <c r="L26" s="4">
        <f>IFERROR(IF(AND(K26=0,SUM(J26:$J$47)&gt;0),SUM(J$7:J26)*Loan_Rate_2*(DAYS360(I25,I26)/360),IPMT(Loan_Rate_2,(ROUND(DAYS360(First_Principal_2-360,I26)/360,0)),Loan_Term_2,-(SUM(J$7:J$47)*(1+COI_2)))),0)</f>
        <v>233073.87970902357</v>
      </c>
      <c r="M26" s="4">
        <f t="shared" si="1"/>
        <v>2506965.3890653509</v>
      </c>
      <c r="O26" s="3">
        <f t="shared" si="9"/>
        <v>52778</v>
      </c>
      <c r="P26" s="4">
        <f>IFERROR(VLOOKUP(O26,Inputs!$A$13:$F$19,O$1+1,0),0)</f>
        <v>0</v>
      </c>
      <c r="Q26" s="4">
        <f>IFERROR(IF(SUM(P26:$P$47)&gt;0,0,PPMT(Loan_Rate_3,(ROUND(DAYS360(First_Principal_3-360,O26)/360,0)),Loan_Term_3,-(SUM(P$7:P$47)*(1+COI_3)))),0)</f>
        <v>6241335.8767085662</v>
      </c>
      <c r="R26" s="4">
        <f>IFERROR(IF(AND(Q26=0,SUM(P26:$P$47)&gt;0),SUM(P$7:P26)*Loan_Rate_3*(DAYS360(O25,O26)/360),IPMT(Loan_Rate_3,(ROUND(DAYS360(First_Principal_3-360,O26)/360,0)),Loan_Term_3,-(SUM(P$7:P$47)*(1+COI_3)))),0)</f>
        <v>639736.92736262816</v>
      </c>
      <c r="S26" s="4">
        <f t="shared" si="2"/>
        <v>6881072.8040711945</v>
      </c>
      <c r="U26" s="3">
        <f t="shared" si="10"/>
        <v>53143</v>
      </c>
      <c r="V26" s="4">
        <f>IFERROR(VLOOKUP(U26,Inputs!$A$13:$F$19,U$1+1,0),0)</f>
        <v>0</v>
      </c>
      <c r="W26" s="4">
        <f>IFERROR(IF(SUM(V26:V$47)&gt;0,0,PPMT(Loan_Rate_4,(ROUND(DAYS360(First_Principal_4-360,U26)/360,0)),Loan_Term_4,-(SUM(V$7:V$47)*(1+COI_4)))),0)</f>
        <v>10076842.872838285</v>
      </c>
      <c r="X26" s="4">
        <f>IFERROR(IF(AND(W26=0,SUM(V26:$V$47)&gt;0),SUM(V$7:V26)*Loan_Rate_4*(DAYS360(U25,U26)/360),IPMT(Loan_Rate_4,(ROUND(DAYS360(First_Principal_4-360,U26)/360,0)),Loan_Term_4,-(SUM(V$7:V$47)*(1+COI_4)))),0)</f>
        <v>1588362.3578311349</v>
      </c>
      <c r="Y26" s="4">
        <f t="shared" si="3"/>
        <v>11665205.23066942</v>
      </c>
      <c r="AA26" s="3">
        <f t="shared" si="11"/>
        <v>53873</v>
      </c>
      <c r="AB26" s="4">
        <f>IFERROR(VLOOKUP(AA26,Inputs!$A$13:$F$19,AA$1+1,0),0)</f>
        <v>0</v>
      </c>
      <c r="AC26" s="4">
        <f>IFERROR(IF(SUM(AB26:AB$47)&gt;0,0,PPMT(Loan_Rate_5,(ROUND(DAYS360(First_Principal_5-360,AA26)/360,0)),Loan_Term_5,-(SUM(AB$7:AB$47)*(1+COI_5)))),0)</f>
        <v>3945717.0537262433</v>
      </c>
      <c r="AD26" s="4">
        <f>IFERROR(IF(AND(AC26=0,SUM(AB26:$AB$47)&gt;0),SUM(AB$7:AB26)*Loan_Rate_5*(DAYS360(AA25,AA26)/360),IPMT(Loan_Rate_5,(ROUND(DAYS360(First_Principal_5-360,AA26)/360,0)),Loan_Term_5,-(SUM(AB$7:AB$47)*(1+COI_5)))),0)</f>
        <v>404435.99800694006</v>
      </c>
      <c r="AE26" s="4">
        <f t="shared" si="4"/>
        <v>4350153.0517331837</v>
      </c>
      <c r="AG26" s="3" t="e">
        <f t="shared" si="12"/>
        <v>#REF!</v>
      </c>
      <c r="AH26" s="4">
        <f>IFERROR(VLOOKUP(AG26,Inputs!$A$13:$F$19,AG$1+1,0),0)</f>
        <v>0</v>
      </c>
      <c r="AI26" s="4">
        <f>IFERROR(IF(SUM(AH26:AH$47)&gt;0,0,PPMT(Loan_Rate_6,(ROUND(DAYS360(First_Principal_6-360,AG26)/360,0)),Loan_Term_6,-(SUM(AH$7:AH$47)*(1+COI_6)))),0)</f>
        <v>0</v>
      </c>
      <c r="AJ26" s="4">
        <f>IFERROR(IF(AND(AI26=0,SUM(AH26:$AH$47)&gt;0),SUM(AH$7:AH26)*Loan_Rate_6*(DAYS360(AG25,AG26)/360),IPMT(Loan_Rate_6,(ROUND(DAYS360(First_Principal_6-360,AG26)/360,0)),Loan_Term_6,-(SUM(AH$7:AH$47)*(1+COI_6)))),0)</f>
        <v>0</v>
      </c>
      <c r="AK26" s="4">
        <f t="shared" si="5"/>
        <v>0</v>
      </c>
      <c r="AM26" s="3" t="e">
        <f t="shared" si="13"/>
        <v>#REF!</v>
      </c>
      <c r="AN26" s="4">
        <f>IFERROR(VLOOKUP(AM26,Inputs!$A$13:$F$19,AM$1+1,0),0)</f>
        <v>0</v>
      </c>
      <c r="AO26" s="4">
        <f>IFERROR(IF(SUM(AN26:AN$47)&gt;0,0,PPMT(Loan_Rate_7,(ROUND(DAYS360(First_Principal_7-360,AM26)/360,0)),Loan_Term_7,-(SUM(AN$7:AN$47)*(1+COI_7)))),0)</f>
        <v>0</v>
      </c>
      <c r="AP26" s="4">
        <f>IFERROR(IF(AND(AO26=0,SUM(AN26:$AN$47)&gt;0),SUM(AN$7:AN26)*Loan_Rate_7*(DAYS360(AM25,AM26)/360),IPMT(Loan_Rate_7,(ROUND(DAYS360(First_Principal_7-360,AM26)/360,0)),Loan_Term_7,-(SUM(AN$7:AN$47)*(1+COI_7)))),0)</f>
        <v>0</v>
      </c>
      <c r="AQ26" s="4">
        <f t="shared" si="6"/>
        <v>0</v>
      </c>
    </row>
    <row r="27" spans="3:43" x14ac:dyDescent="0.25">
      <c r="C27" s="3">
        <f t="shared" si="7"/>
        <v>52412</v>
      </c>
      <c r="D27" s="4">
        <f>IFERROR(VLOOKUP($C27,Inputs!$A$13:$F$19,'PV &amp; WIFIA Calculation Old'!$C$1+1,0),0)</f>
        <v>0</v>
      </c>
      <c r="E27" s="4">
        <f>IFERROR(IF(SUM(D27:$D$47)&gt;0,0,PPMT(Loan_Rate_1,(ROUND(DAYS360((First_Principal_1-360),C27)/360,0)),Loan_Term_1,-(SUM($D$7:$D$47)*(1+COI_1)))),0)</f>
        <v>0</v>
      </c>
      <c r="F27" s="4">
        <f>IFERROR(IF(AND(E27=0,SUM(D27:$D$47)&gt;0),SUM($D$7:D27)*Loan_Rate_1*(DAYS360(C26,C27)/360),IPMT(Loan_Rate_1,(ROUND(DAYS360((First_Principal_1-360),C27)/360,0)),Loan_Term_1,-(SUM($D$7:$D$47)*(1+COI_1)))),0)</f>
        <v>0</v>
      </c>
      <c r="G27" s="4">
        <f t="shared" si="0"/>
        <v>0</v>
      </c>
      <c r="I27" s="3">
        <f t="shared" si="8"/>
        <v>52778</v>
      </c>
      <c r="J27" s="4">
        <f>IFERROR(VLOOKUP(I27,Inputs!$A$13:$F$19,I$1+1,0),0)</f>
        <v>0</v>
      </c>
      <c r="K27" s="4">
        <f>IFERROR(IF(SUM(J27:$J$47)&gt;0,0,PPMT(Loan_Rate_2,(ROUND(DAYS360(First_Principal_2-360,I27)/360,0)),Loan_Term_2,-(SUM(J$7:J$47)*(1+COI_2)))),0)</f>
        <v>2387586.0848241439</v>
      </c>
      <c r="L27" s="4">
        <f>IFERROR(IF(AND(K27=0,SUM(J27:$J$47)&gt;0),SUM(J$7:J27)*Loan_Rate_2*(DAYS360(I26,I27)/360),IPMT(Loan_Rate_2,(ROUND(DAYS360(First_Principal_2-360,I27)/360,0)),Loan_Term_2,-(SUM(J$7:J$47)*(1+COI_2)))),0)</f>
        <v>119379.30424120722</v>
      </c>
      <c r="M27" s="4">
        <f t="shared" si="1"/>
        <v>2506965.3890653513</v>
      </c>
      <c r="O27" s="3">
        <f t="shared" si="9"/>
        <v>53143</v>
      </c>
      <c r="P27" s="4">
        <f>IFERROR(VLOOKUP(O27,Inputs!$A$13:$F$19,O$1+1,0),0)</f>
        <v>0</v>
      </c>
      <c r="Q27" s="4">
        <f>IFERROR(IF(SUM(P27:$P$47)&gt;0,0,PPMT(Loan_Rate_3,(ROUND(DAYS360(First_Principal_3-360,O27)/360,0)),Loan_Term_3,-(SUM(P$7:P$47)*(1+COI_3)))),0)</f>
        <v>6553402.6705439948</v>
      </c>
      <c r="R27" s="4">
        <f>IFERROR(IF(AND(Q27=0,SUM(P27:$P$47)&gt;0),SUM(P$7:P27)*Loan_Rate_3*(DAYS360(O26,O27)/360),IPMT(Loan_Rate_3,(ROUND(DAYS360(First_Principal_3-360,O27)/360,0)),Loan_Term_3,-(SUM(P$7:P$47)*(1+COI_3)))),0)</f>
        <v>327670.1335271998</v>
      </c>
      <c r="S27" s="4">
        <f t="shared" si="2"/>
        <v>6881072.8040711945</v>
      </c>
      <c r="U27" s="3">
        <f t="shared" si="10"/>
        <v>53508</v>
      </c>
      <c r="V27" s="4">
        <f>IFERROR(VLOOKUP(U27,Inputs!$A$13:$F$19,U$1+1,0),0)</f>
        <v>0</v>
      </c>
      <c r="W27" s="4">
        <f>IFERROR(IF(SUM(V27:V$47)&gt;0,0,PPMT(Loan_Rate_4,(ROUND(DAYS360(First_Principal_4-360,U27)/360,0)),Loan_Term_4,-(SUM(V$7:V$47)*(1+COI_4)))),0)</f>
        <v>10580685.0164802</v>
      </c>
      <c r="X27" s="4">
        <f>IFERROR(IF(AND(W27=0,SUM(V27:$V$47)&gt;0),SUM(V$7:V27)*Loan_Rate_4*(DAYS360(U26,U27)/360),IPMT(Loan_Rate_4,(ROUND(DAYS360(First_Principal_4-360,U27)/360,0)),Loan_Term_4,-(SUM(V$7:V$47)*(1+COI_4)))),0)</f>
        <v>1084520.2141892207</v>
      </c>
      <c r="Y27" s="4">
        <f t="shared" si="3"/>
        <v>11665205.23066942</v>
      </c>
      <c r="AA27" s="3">
        <f t="shared" si="11"/>
        <v>54239</v>
      </c>
      <c r="AB27" s="4">
        <f>IFERROR(VLOOKUP(AA27,Inputs!$A$13:$F$19,AA$1+1,0),0)</f>
        <v>0</v>
      </c>
      <c r="AC27" s="4">
        <f>IFERROR(IF(SUM(AB27:AB$47)&gt;0,0,PPMT(Loan_Rate_5,(ROUND(DAYS360(First_Principal_5-360,AA27)/360,0)),Loan_Term_5,-(SUM(AB$7:AB$47)*(1+COI_5)))),0)</f>
        <v>4143002.9064125563</v>
      </c>
      <c r="AD27" s="4">
        <f>IFERROR(IF(AND(AC27=0,SUM(AB27:$AB$47)&gt;0),SUM(AB$7:AB27)*Loan_Rate_5*(DAYS360(AA26,AA27)/360),IPMT(Loan_Rate_5,(ROUND(DAYS360(First_Principal_5-360,AA27)/360,0)),Loan_Term_5,-(SUM(AB$7:AB$47)*(1+COI_5)))),0)</f>
        <v>207150.14532062787</v>
      </c>
      <c r="AE27" s="4">
        <f t="shared" si="4"/>
        <v>4350153.0517331846</v>
      </c>
      <c r="AG27" s="3" t="e">
        <f t="shared" si="12"/>
        <v>#REF!</v>
      </c>
      <c r="AH27" s="4">
        <f>IFERROR(VLOOKUP(AG27,Inputs!$A$13:$F$19,AG$1+1,0),0)</f>
        <v>0</v>
      </c>
      <c r="AI27" s="4">
        <f>IFERROR(IF(SUM(AH27:AH$47)&gt;0,0,PPMT(Loan_Rate_6,(ROUND(DAYS360(First_Principal_6-360,AG27)/360,0)),Loan_Term_6,-(SUM(AH$7:AH$47)*(1+COI_6)))),0)</f>
        <v>0</v>
      </c>
      <c r="AJ27" s="4">
        <f>IFERROR(IF(AND(AI27=0,SUM(AH27:$AH$47)&gt;0),SUM(AH$7:AH27)*Loan_Rate_6*(DAYS360(AG26,AG27)/360),IPMT(Loan_Rate_6,(ROUND(DAYS360(First_Principal_6-360,AG27)/360,0)),Loan_Term_6,-(SUM(AH$7:AH$47)*(1+COI_6)))),0)</f>
        <v>0</v>
      </c>
      <c r="AK27" s="4">
        <f t="shared" si="5"/>
        <v>0</v>
      </c>
      <c r="AM27" s="3" t="e">
        <f t="shared" si="13"/>
        <v>#REF!</v>
      </c>
      <c r="AN27" s="4">
        <f>IFERROR(VLOOKUP(AM27,Inputs!$A$13:$F$19,AM$1+1,0),0)</f>
        <v>0</v>
      </c>
      <c r="AO27" s="4">
        <f>IFERROR(IF(SUM(AN27:AN$47)&gt;0,0,PPMT(Loan_Rate_7,(ROUND(DAYS360(First_Principal_7-360,AM27)/360,0)),Loan_Term_7,-(SUM(AN$7:AN$47)*(1+COI_7)))),0)</f>
        <v>0</v>
      </c>
      <c r="AP27" s="4">
        <f>IFERROR(IF(AND(AO27=0,SUM(AN27:$AN$47)&gt;0),SUM(AN$7:AN27)*Loan_Rate_7*(DAYS360(AM26,AM27)/360),IPMT(Loan_Rate_7,(ROUND(DAYS360(First_Principal_7-360,AM27)/360,0)),Loan_Term_7,-(SUM(AN$7:AN$47)*(1+COI_7)))),0)</f>
        <v>0</v>
      </c>
      <c r="AQ27" s="4">
        <f t="shared" si="6"/>
        <v>0</v>
      </c>
    </row>
    <row r="28" spans="3:43" x14ac:dyDescent="0.25">
      <c r="C28" s="3">
        <f t="shared" si="7"/>
        <v>52778</v>
      </c>
      <c r="D28" s="4">
        <f>IFERROR(VLOOKUP($C28,Inputs!$A$13:$F$19,'PV &amp; WIFIA Calculation Old'!$C$1+1,0),0)</f>
        <v>0</v>
      </c>
      <c r="E28" s="4">
        <f>IFERROR(IF(SUM(D28:$D$47)&gt;0,0,PPMT(Loan_Rate_1,(ROUND(DAYS360((First_Principal_1-360),C28)/360,0)),Loan_Term_1,-(SUM($D$7:$D$47)*(1+COI_1)))),0)</f>
        <v>0</v>
      </c>
      <c r="F28" s="4">
        <f>IFERROR(IF(AND(E28=0,SUM(D28:$D$47)&gt;0),SUM($D$7:D28)*Loan_Rate_1*(DAYS360(C27,C28)/360),IPMT(Loan_Rate_1,(ROUND(DAYS360((First_Principal_1-360),C28)/360,0)),Loan_Term_1,-(SUM($D$7:$D$47)*(1+COI_1)))),0)</f>
        <v>0</v>
      </c>
      <c r="G28" s="4">
        <f t="shared" si="0"/>
        <v>0</v>
      </c>
      <c r="I28" s="3">
        <f t="shared" si="8"/>
        <v>53143</v>
      </c>
      <c r="J28" s="4">
        <f>IFERROR(VLOOKUP(I28,Inputs!$A$13:$F$19,I$1+1,0),0)</f>
        <v>0</v>
      </c>
      <c r="K28" s="4">
        <f>IFERROR(IF(SUM(J28:$J$47)&gt;0,0,PPMT(Loan_Rate_2,(ROUND(DAYS360(First_Principal_2-360,I28)/360,0)),Loan_Term_2,-(SUM(J$7:J$47)*(1+COI_2)))),0)</f>
        <v>0</v>
      </c>
      <c r="L28" s="4">
        <f>IFERROR(IF(AND(K28=0,SUM(J28:$J$47)&gt;0),SUM(J$7:J28)*Loan_Rate_2*(DAYS360(I27,I28)/360),IPMT(Loan_Rate_2,(ROUND(DAYS360(First_Principal_2-360,I28)/360,0)),Loan_Term_2,-(SUM(J$7:J$47)*(1+COI_2)))),0)</f>
        <v>0</v>
      </c>
      <c r="M28" s="4">
        <f t="shared" si="1"/>
        <v>0</v>
      </c>
      <c r="O28" s="3">
        <f t="shared" si="9"/>
        <v>53508</v>
      </c>
      <c r="P28" s="4">
        <f>IFERROR(VLOOKUP(O28,Inputs!$A$13:$F$19,O$1+1,0),0)</f>
        <v>0</v>
      </c>
      <c r="Q28" s="4">
        <f>IFERROR(IF(SUM(P28:$P$47)&gt;0,0,PPMT(Loan_Rate_3,(ROUND(DAYS360(First_Principal_3-360,O28)/360,0)),Loan_Term_3,-(SUM(P$7:P$47)*(1+COI_3)))),0)</f>
        <v>0</v>
      </c>
      <c r="R28" s="4">
        <f>IFERROR(IF(AND(Q28=0,SUM(P28:$P$47)&gt;0),SUM(P$7:P28)*Loan_Rate_3*(DAYS360(O27,O28)/360),IPMT(Loan_Rate_3,(ROUND(DAYS360(First_Principal_3-360,O28)/360,0)),Loan_Term_3,-(SUM(P$7:P$47)*(1+COI_3)))),0)</f>
        <v>0</v>
      </c>
      <c r="S28" s="4">
        <f t="shared" si="2"/>
        <v>0</v>
      </c>
      <c r="U28" s="3">
        <f t="shared" si="10"/>
        <v>53873</v>
      </c>
      <c r="V28" s="4">
        <f>IFERROR(VLOOKUP(U28,Inputs!$A$13:$F$19,U$1+1,0),0)</f>
        <v>0</v>
      </c>
      <c r="W28" s="4">
        <f>IFERROR(IF(SUM(V28:V$47)&gt;0,0,PPMT(Loan_Rate_4,(ROUND(DAYS360(First_Principal_4-360,U28)/360,0)),Loan_Term_4,-(SUM(V$7:V$47)*(1+COI_4)))),0)</f>
        <v>11109719.26730421</v>
      </c>
      <c r="X28" s="4">
        <f>IFERROR(IF(AND(W28=0,SUM(V28:$V$47)&gt;0),SUM(V$7:V28)*Loan_Rate_4*(DAYS360(U27,U28)/360),IPMT(Loan_Rate_4,(ROUND(DAYS360(First_Principal_4-360,U28)/360,0)),Loan_Term_4,-(SUM(V$7:V$47)*(1+COI_4)))),0)</f>
        <v>555485.96336521057</v>
      </c>
      <c r="Y28" s="4">
        <f t="shared" si="3"/>
        <v>11665205.23066942</v>
      </c>
      <c r="AA28" s="3">
        <f t="shared" si="11"/>
        <v>54604</v>
      </c>
      <c r="AB28" s="4">
        <f>IFERROR(VLOOKUP(AA28,Inputs!$A$13:$F$19,AA$1+1,0),0)</f>
        <v>0</v>
      </c>
      <c r="AC28" s="4">
        <f>IFERROR(IF(SUM(AB28:AB$47)&gt;0,0,PPMT(Loan_Rate_5,(ROUND(DAYS360(First_Principal_5-360,AA28)/360,0)),Loan_Term_5,-(SUM(AB$7:AB$47)*(1+COI_5)))),0)</f>
        <v>0</v>
      </c>
      <c r="AD28" s="4">
        <f>IFERROR(IF(AND(AC28=0,SUM(AB28:$AB$47)&gt;0),SUM(AB$7:AB28)*Loan_Rate_5*(DAYS360(AA27,AA28)/360),IPMT(Loan_Rate_5,(ROUND(DAYS360(First_Principal_5-360,AA28)/360,0)),Loan_Term_5,-(SUM(AB$7:AB$47)*(1+COI_5)))),0)</f>
        <v>0</v>
      </c>
      <c r="AE28" s="4">
        <f t="shared" si="4"/>
        <v>0</v>
      </c>
      <c r="AG28" s="3" t="e">
        <f t="shared" si="12"/>
        <v>#REF!</v>
      </c>
      <c r="AH28" s="4">
        <f>IFERROR(VLOOKUP(AG28,Inputs!$A$13:$F$19,AG$1+1,0),0)</f>
        <v>0</v>
      </c>
      <c r="AI28" s="4">
        <f>IFERROR(IF(SUM(AH28:AH$47)&gt;0,0,PPMT(Loan_Rate_6,(ROUND(DAYS360(First_Principal_6-360,AG28)/360,0)),Loan_Term_6,-(SUM(AH$7:AH$47)*(1+COI_6)))),0)</f>
        <v>0</v>
      </c>
      <c r="AJ28" s="4">
        <f>IFERROR(IF(AND(AI28=0,SUM(AH28:$AH$47)&gt;0),SUM(AH$7:AH28)*Loan_Rate_6*(DAYS360(AG27,AG28)/360),IPMT(Loan_Rate_6,(ROUND(DAYS360(First_Principal_6-360,AG28)/360,0)),Loan_Term_6,-(SUM(AH$7:AH$47)*(1+COI_6)))),0)</f>
        <v>0</v>
      </c>
      <c r="AK28" s="4">
        <f t="shared" si="5"/>
        <v>0</v>
      </c>
      <c r="AM28" s="3" t="e">
        <f t="shared" si="13"/>
        <v>#REF!</v>
      </c>
      <c r="AN28" s="4">
        <f>IFERROR(VLOOKUP(AM28,Inputs!$A$13:$F$19,AM$1+1,0),0)</f>
        <v>0</v>
      </c>
      <c r="AO28" s="4">
        <f>IFERROR(IF(SUM(AN28:AN$47)&gt;0,0,PPMT(Loan_Rate_7,(ROUND(DAYS360(First_Principal_7-360,AM28)/360,0)),Loan_Term_7,-(SUM(AN$7:AN$47)*(1+COI_7)))),0)</f>
        <v>0</v>
      </c>
      <c r="AP28" s="4">
        <f>IFERROR(IF(AND(AO28=0,SUM(AN28:$AN$47)&gt;0),SUM(AN$7:AN28)*Loan_Rate_7*(DAYS360(AM27,AM28)/360),IPMT(Loan_Rate_7,(ROUND(DAYS360(First_Principal_7-360,AM28)/360,0)),Loan_Term_7,-(SUM(AN$7:AN$47)*(1+COI_7)))),0)</f>
        <v>0</v>
      </c>
      <c r="AQ28" s="4">
        <f t="shared" si="6"/>
        <v>0</v>
      </c>
    </row>
    <row r="29" spans="3:43" x14ac:dyDescent="0.25">
      <c r="C29" s="3">
        <f t="shared" si="7"/>
        <v>53143</v>
      </c>
      <c r="D29" s="4">
        <f>IFERROR(VLOOKUP($C29,Inputs!$A$13:$F$19,'PV &amp; WIFIA Calculation Old'!$C$1+1,0),0)</f>
        <v>0</v>
      </c>
      <c r="E29" s="4">
        <f>IFERROR(IF(SUM(D29:$D$47)&gt;0,0,PPMT(Loan_Rate_1,(ROUND(DAYS360((First_Principal_1-360),C29)/360,0)),Loan_Term_1,-(SUM($D$7:$D$47)*(1+COI_1)))),0)</f>
        <v>0</v>
      </c>
      <c r="F29" s="4">
        <f>IFERROR(IF(AND(E29=0,SUM(D29:$D$47)&gt;0),SUM($D$7:D29)*Loan_Rate_1*(DAYS360(C28,C29)/360),IPMT(Loan_Rate_1,(ROUND(DAYS360((First_Principal_1-360),C29)/360,0)),Loan_Term_1,-(SUM($D$7:$D$47)*(1+COI_1)))),0)</f>
        <v>0</v>
      </c>
      <c r="G29" s="4">
        <f t="shared" si="0"/>
        <v>0</v>
      </c>
      <c r="I29" s="3">
        <f t="shared" si="8"/>
        <v>53508</v>
      </c>
      <c r="J29" s="4">
        <f>IFERROR(VLOOKUP(I29,Inputs!$A$13:$F$19,I$1+1,0),0)</f>
        <v>0</v>
      </c>
      <c r="K29" s="4">
        <f>IFERROR(IF(SUM(J29:$J$47)&gt;0,0,PPMT(Loan_Rate_2,(ROUND(DAYS360(First_Principal_2-360,I29)/360,0)),Loan_Term_2,-(SUM(J$7:J$47)*(1+COI_2)))),0)</f>
        <v>0</v>
      </c>
      <c r="L29" s="4">
        <f>IFERROR(IF(AND(K29=0,SUM(J29:$J$47)&gt;0),SUM(J$7:J29)*Loan_Rate_2*(DAYS360(I28,I29)/360),IPMT(Loan_Rate_2,(ROUND(DAYS360(First_Principal_2-360,I29)/360,0)),Loan_Term_2,-(SUM(J$7:J$47)*(1+COI_2)))),0)</f>
        <v>0</v>
      </c>
      <c r="M29" s="4">
        <f t="shared" si="1"/>
        <v>0</v>
      </c>
      <c r="O29" s="3">
        <f t="shared" si="9"/>
        <v>53873</v>
      </c>
      <c r="P29" s="4">
        <f>IFERROR(VLOOKUP(O29,Inputs!$A$13:$F$19,O$1+1,0),0)</f>
        <v>0</v>
      </c>
      <c r="Q29" s="4">
        <f>IFERROR(IF(SUM(P29:$P$47)&gt;0,0,PPMT(Loan_Rate_3,(ROUND(DAYS360(First_Principal_3-360,O29)/360,0)),Loan_Term_3,-(SUM(P$7:P$47)*(1+COI_3)))),0)</f>
        <v>0</v>
      </c>
      <c r="R29" s="4">
        <f>IFERROR(IF(AND(Q29=0,SUM(P29:$P$47)&gt;0),SUM(P$7:P29)*Loan_Rate_3*(DAYS360(O28,O29)/360),IPMT(Loan_Rate_3,(ROUND(DAYS360(First_Principal_3-360,O29)/360,0)),Loan_Term_3,-(SUM(P$7:P$47)*(1+COI_3)))),0)</f>
        <v>0</v>
      </c>
      <c r="S29" s="4">
        <f t="shared" si="2"/>
        <v>0</v>
      </c>
      <c r="U29" s="3">
        <f t="shared" si="10"/>
        <v>54239</v>
      </c>
      <c r="V29" s="4">
        <f>IFERROR(VLOOKUP(U29,Inputs!$A$13:$F$19,U$1+1,0),0)</f>
        <v>0</v>
      </c>
      <c r="W29" s="4">
        <f>IFERROR(IF(SUM(V29:V$47)&gt;0,0,PPMT(Loan_Rate_4,(ROUND(DAYS360(First_Principal_4-360,U29)/360,0)),Loan_Term_4,-(SUM(V$7:V$47)*(1+COI_4)))),0)</f>
        <v>0</v>
      </c>
      <c r="X29" s="4">
        <f>IFERROR(IF(AND(W29=0,SUM(V29:$V$47)&gt;0),SUM(V$7:V29)*Loan_Rate_4*(DAYS360(U28,U29)/360),IPMT(Loan_Rate_4,(ROUND(DAYS360(First_Principal_4-360,U29)/360,0)),Loan_Term_4,-(SUM(V$7:V$47)*(1+COI_4)))),0)</f>
        <v>0</v>
      </c>
      <c r="Y29" s="4">
        <f t="shared" si="3"/>
        <v>0</v>
      </c>
      <c r="AA29" s="3">
        <f t="shared" si="11"/>
        <v>54969</v>
      </c>
      <c r="AB29" s="4">
        <f>IFERROR(VLOOKUP(AA29,Inputs!$A$13:$F$19,AA$1+1,0),0)</f>
        <v>0</v>
      </c>
      <c r="AC29" s="4">
        <f>IFERROR(IF(SUM(AB29:AB$47)&gt;0,0,PPMT(Loan_Rate_5,(ROUND(DAYS360(First_Principal_5-360,AA29)/360,0)),Loan_Term_5,-(SUM(AB$7:AB$47)*(1+COI_5)))),0)</f>
        <v>0</v>
      </c>
      <c r="AD29" s="4">
        <f>IFERROR(IF(AND(AC29=0,SUM(AB29:$AB$47)&gt;0),SUM(AB$7:AB29)*Loan_Rate_5*(DAYS360(AA28,AA29)/360),IPMT(Loan_Rate_5,(ROUND(DAYS360(First_Principal_5-360,AA29)/360,0)),Loan_Term_5,-(SUM(AB$7:AB$47)*(1+COI_5)))),0)</f>
        <v>0</v>
      </c>
      <c r="AE29" s="4">
        <f t="shared" si="4"/>
        <v>0</v>
      </c>
      <c r="AG29" s="3" t="e">
        <f t="shared" si="12"/>
        <v>#REF!</v>
      </c>
      <c r="AH29" s="4">
        <f>IFERROR(VLOOKUP(AG29,Inputs!$A$13:$F$19,AG$1+1,0),0)</f>
        <v>0</v>
      </c>
      <c r="AI29" s="4">
        <f>IFERROR(IF(SUM(AH29:AH$47)&gt;0,0,PPMT(Loan_Rate_6,(ROUND(DAYS360(First_Principal_6-360,AG29)/360,0)),Loan_Term_6,-(SUM(AH$7:AH$47)*(1+COI_6)))),0)</f>
        <v>0</v>
      </c>
      <c r="AJ29" s="4">
        <f>IFERROR(IF(AND(AI29=0,SUM(AH29:$AH$47)&gt;0),SUM(AH$7:AH29)*Loan_Rate_6*(DAYS360(AG28,AG29)/360),IPMT(Loan_Rate_6,(ROUND(DAYS360(First_Principal_6-360,AG29)/360,0)),Loan_Term_6,-(SUM(AH$7:AH$47)*(1+COI_6)))),0)</f>
        <v>0</v>
      </c>
      <c r="AK29" s="4">
        <f t="shared" si="5"/>
        <v>0</v>
      </c>
      <c r="AM29" s="3" t="e">
        <f t="shared" si="13"/>
        <v>#REF!</v>
      </c>
      <c r="AN29" s="4">
        <f>IFERROR(VLOOKUP(AM29,Inputs!$A$13:$F$19,AM$1+1,0),0)</f>
        <v>0</v>
      </c>
      <c r="AO29" s="4">
        <f>IFERROR(IF(SUM(AN29:AN$47)&gt;0,0,PPMT(Loan_Rate_7,(ROUND(DAYS360(First_Principal_7-360,AM29)/360,0)),Loan_Term_7,-(SUM(AN$7:AN$47)*(1+COI_7)))),0)</f>
        <v>0</v>
      </c>
      <c r="AP29" s="4">
        <f>IFERROR(IF(AND(AO29=0,SUM(AN29:$AN$47)&gt;0),SUM(AN$7:AN29)*Loan_Rate_7*(DAYS360(AM28,AM29)/360),IPMT(Loan_Rate_7,(ROUND(DAYS360(First_Principal_7-360,AM29)/360,0)),Loan_Term_7,-(SUM(AN$7:AN$47)*(1+COI_7)))),0)</f>
        <v>0</v>
      </c>
      <c r="AQ29" s="4">
        <f t="shared" si="6"/>
        <v>0</v>
      </c>
    </row>
    <row r="30" spans="3:43" x14ac:dyDescent="0.25">
      <c r="C30" s="3">
        <f t="shared" si="7"/>
        <v>53508</v>
      </c>
      <c r="D30" s="4">
        <f>IFERROR(VLOOKUP($C30,Inputs!$A$13:$F$19,'PV &amp; WIFIA Calculation Old'!$C$1+1,0),0)</f>
        <v>0</v>
      </c>
      <c r="E30" s="4">
        <f>IFERROR(IF(SUM(D30:$D$47)&gt;0,0,PPMT(Loan_Rate_1,(ROUND(DAYS360((First_Principal_1-360),C30)/360,0)),Loan_Term_1,-(SUM($D$7:$D$47)*(1+COI_1)))),0)</f>
        <v>0</v>
      </c>
      <c r="F30" s="4">
        <f>IFERROR(IF(AND(E30=0,SUM(D30:$D$47)&gt;0),SUM($D$7:D30)*Loan_Rate_1*(DAYS360(C29,C30)/360),IPMT(Loan_Rate_1,(ROUND(DAYS360((First_Principal_1-360),C30)/360,0)),Loan_Term_1,-(SUM($D$7:$D$47)*(1+COI_1)))),0)</f>
        <v>0</v>
      </c>
      <c r="G30" s="4">
        <f t="shared" si="0"/>
        <v>0</v>
      </c>
      <c r="I30" s="3">
        <f t="shared" si="8"/>
        <v>53873</v>
      </c>
      <c r="J30" s="4">
        <f>IFERROR(VLOOKUP(I30,Inputs!$A$13:$F$19,I$1+1,0),0)</f>
        <v>0</v>
      </c>
      <c r="K30" s="4">
        <f>IFERROR(IF(SUM(J30:$J$47)&gt;0,0,PPMT(Loan_Rate_2,(ROUND(DAYS360(First_Principal_2-360,I30)/360,0)),Loan_Term_2,-(SUM(J$7:J$47)*(1+COI_2)))),0)</f>
        <v>0</v>
      </c>
      <c r="L30" s="4">
        <f>IFERROR(IF(AND(K30=0,SUM(J30:$J$47)&gt;0),SUM(J$7:J30)*Loan_Rate_2*(DAYS360(I29,I30)/360),IPMT(Loan_Rate_2,(ROUND(DAYS360(First_Principal_2-360,I30)/360,0)),Loan_Term_2,-(SUM(J$7:J$47)*(1+COI_2)))),0)</f>
        <v>0</v>
      </c>
      <c r="M30" s="4">
        <f t="shared" si="1"/>
        <v>0</v>
      </c>
      <c r="O30" s="3">
        <f t="shared" si="9"/>
        <v>54239</v>
      </c>
      <c r="P30" s="4">
        <f>IFERROR(VLOOKUP(O30,Inputs!$A$13:$F$19,O$1+1,0),0)</f>
        <v>0</v>
      </c>
      <c r="Q30" s="4">
        <f>IFERROR(IF(SUM(P30:$P$47)&gt;0,0,PPMT(Loan_Rate_3,(ROUND(DAYS360(First_Principal_3-360,O30)/360,0)),Loan_Term_3,-(SUM(P$7:P$47)*(1+COI_3)))),0)</f>
        <v>0</v>
      </c>
      <c r="R30" s="4">
        <f>IFERROR(IF(AND(Q30=0,SUM(P30:$P$47)&gt;0),SUM(P$7:P30)*Loan_Rate_3*(DAYS360(O29,O30)/360),IPMT(Loan_Rate_3,(ROUND(DAYS360(First_Principal_3-360,O30)/360,0)),Loan_Term_3,-(SUM(P$7:P$47)*(1+COI_3)))),0)</f>
        <v>0</v>
      </c>
      <c r="S30" s="4">
        <f t="shared" si="2"/>
        <v>0</v>
      </c>
      <c r="U30" s="3">
        <f t="shared" si="10"/>
        <v>54604</v>
      </c>
      <c r="V30" s="4">
        <f>IFERROR(VLOOKUP(U30,Inputs!$A$13:$F$19,U$1+1,0),0)</f>
        <v>0</v>
      </c>
      <c r="W30" s="4">
        <f>IFERROR(IF(SUM(V30:V$47)&gt;0,0,PPMT(Loan_Rate_4,(ROUND(DAYS360(First_Principal_4-360,U30)/360,0)),Loan_Term_4,-(SUM(V$7:V$47)*(1+COI_4)))),0)</f>
        <v>0</v>
      </c>
      <c r="X30" s="4">
        <f>IFERROR(IF(AND(W30=0,SUM(V30:$V$47)&gt;0),SUM(V$7:V30)*Loan_Rate_4*(DAYS360(U29,U30)/360),IPMT(Loan_Rate_4,(ROUND(DAYS360(First_Principal_4-360,U30)/360,0)),Loan_Term_4,-(SUM(V$7:V$47)*(1+COI_4)))),0)</f>
        <v>0</v>
      </c>
      <c r="Y30" s="4">
        <f t="shared" si="3"/>
        <v>0</v>
      </c>
      <c r="AA30" s="3">
        <f t="shared" si="11"/>
        <v>55334</v>
      </c>
      <c r="AB30" s="4">
        <f>IFERROR(VLOOKUP(AA30,Inputs!$A$13:$F$19,AA$1+1,0),0)</f>
        <v>0</v>
      </c>
      <c r="AC30" s="4">
        <f>IFERROR(IF(SUM(AB30:AB$47)&gt;0,0,PPMT(Loan_Rate_5,(ROUND(DAYS360(First_Principal_5-360,AA30)/360,0)),Loan_Term_5,-(SUM(AB$7:AB$47)*(1+COI_5)))),0)</f>
        <v>0</v>
      </c>
      <c r="AD30" s="4">
        <f>IFERROR(IF(AND(AC30=0,SUM(AB30:$AB$47)&gt;0),SUM(AB$7:AB30)*Loan_Rate_5*(DAYS360(AA29,AA30)/360),IPMT(Loan_Rate_5,(ROUND(DAYS360(First_Principal_5-360,AA30)/360,0)),Loan_Term_5,-(SUM(AB$7:AB$47)*(1+COI_5)))),0)</f>
        <v>0</v>
      </c>
      <c r="AE30" s="4">
        <f t="shared" si="4"/>
        <v>0</v>
      </c>
      <c r="AG30" s="3" t="e">
        <f t="shared" si="12"/>
        <v>#REF!</v>
      </c>
      <c r="AH30" s="4">
        <f>IFERROR(VLOOKUP(AG30,Inputs!$A$13:$F$19,AG$1+1,0),0)</f>
        <v>0</v>
      </c>
      <c r="AI30" s="4">
        <f>IFERROR(IF(SUM(AH30:AH$47)&gt;0,0,PPMT(Loan_Rate_6,(ROUND(DAYS360(First_Principal_6-360,AG30)/360,0)),Loan_Term_6,-(SUM(AH$7:AH$47)*(1+COI_6)))),0)</f>
        <v>0</v>
      </c>
      <c r="AJ30" s="4">
        <f>IFERROR(IF(AND(AI30=0,SUM(AH30:$AH$47)&gt;0),SUM(AH$7:AH30)*Loan_Rate_6*(DAYS360(AG29,AG30)/360),IPMT(Loan_Rate_6,(ROUND(DAYS360(First_Principal_6-360,AG30)/360,0)),Loan_Term_6,-(SUM(AH$7:AH$47)*(1+COI_6)))),0)</f>
        <v>0</v>
      </c>
      <c r="AK30" s="4">
        <f t="shared" si="5"/>
        <v>0</v>
      </c>
      <c r="AM30" s="3" t="e">
        <f t="shared" si="13"/>
        <v>#REF!</v>
      </c>
      <c r="AN30" s="4">
        <f>IFERROR(VLOOKUP(AM30,Inputs!$A$13:$F$19,AM$1+1,0),0)</f>
        <v>0</v>
      </c>
      <c r="AO30" s="4">
        <f>IFERROR(IF(SUM(AN30:AN$47)&gt;0,0,PPMT(Loan_Rate_7,(ROUND(DAYS360(First_Principal_7-360,AM30)/360,0)),Loan_Term_7,-(SUM(AN$7:AN$47)*(1+COI_7)))),0)</f>
        <v>0</v>
      </c>
      <c r="AP30" s="4">
        <f>IFERROR(IF(AND(AO30=0,SUM(AN30:$AN$47)&gt;0),SUM(AN$7:AN30)*Loan_Rate_7*(DAYS360(AM29,AM30)/360),IPMT(Loan_Rate_7,(ROUND(DAYS360(First_Principal_7-360,AM30)/360,0)),Loan_Term_7,-(SUM(AN$7:AN$47)*(1+COI_7)))),0)</f>
        <v>0</v>
      </c>
      <c r="AQ30" s="4">
        <f t="shared" si="6"/>
        <v>0</v>
      </c>
    </row>
    <row r="31" spans="3:43" x14ac:dyDescent="0.25">
      <c r="C31" s="3">
        <f t="shared" si="7"/>
        <v>53873</v>
      </c>
      <c r="D31" s="4">
        <f>IFERROR(VLOOKUP($C31,Inputs!$A$13:$F$19,'PV &amp; WIFIA Calculation Old'!$C$1+1,0),0)</f>
        <v>0</v>
      </c>
      <c r="E31" s="4">
        <f>IFERROR(IF(SUM(D31:$D$47)&gt;0,0,PPMT(Loan_Rate_1,(ROUND(DAYS360((First_Principal_1-360),C31)/360,0)),Loan_Term_1,-(SUM($D$7:$D$47)*(1+COI_1)))),0)</f>
        <v>0</v>
      </c>
      <c r="F31" s="4">
        <f>IFERROR(IF(AND(E31=0,SUM(D31:$D$47)&gt;0),SUM($D$7:D31)*Loan_Rate_1*(DAYS360(C30,C31)/360),IPMT(Loan_Rate_1,(ROUND(DAYS360((First_Principal_1-360),C31)/360,0)),Loan_Term_1,-(SUM($D$7:$D$47)*(1+COI_1)))),0)</f>
        <v>0</v>
      </c>
      <c r="G31" s="4">
        <f t="shared" si="0"/>
        <v>0</v>
      </c>
      <c r="I31" s="3">
        <f t="shared" si="8"/>
        <v>54239</v>
      </c>
      <c r="J31" s="4">
        <f>IFERROR(VLOOKUP(I31,Inputs!$A$13:$F$19,I$1+1,0),0)</f>
        <v>0</v>
      </c>
      <c r="K31" s="4">
        <f>IFERROR(IF(SUM(J31:$J$47)&gt;0,0,PPMT(Loan_Rate_2,(ROUND(DAYS360(First_Principal_2-360,I31)/360,0)),Loan_Term_2,-(SUM(J$7:J$47)*(1+COI_2)))),0)</f>
        <v>0</v>
      </c>
      <c r="L31" s="4">
        <f>IFERROR(IF(AND(K31=0,SUM(J31:$J$47)&gt;0),SUM(J$7:J31)*Loan_Rate_2*(DAYS360(I30,I31)/360),IPMT(Loan_Rate_2,(ROUND(DAYS360(First_Principal_2-360,I31)/360,0)),Loan_Term_2,-(SUM(J$7:J$47)*(1+COI_2)))),0)</f>
        <v>0</v>
      </c>
      <c r="M31" s="4">
        <f t="shared" si="1"/>
        <v>0</v>
      </c>
      <c r="O31" s="3">
        <f t="shared" si="9"/>
        <v>54604</v>
      </c>
      <c r="P31" s="4">
        <f>IFERROR(VLOOKUP(O31,Inputs!$A$13:$F$19,O$1+1,0),0)</f>
        <v>0</v>
      </c>
      <c r="Q31" s="4">
        <f>IFERROR(IF(SUM(P31:$P$47)&gt;0,0,PPMT(Loan_Rate_3,(ROUND(DAYS360(First_Principal_3-360,O31)/360,0)),Loan_Term_3,-(SUM(P$7:P$47)*(1+COI_3)))),0)</f>
        <v>0</v>
      </c>
      <c r="R31" s="4">
        <f>IFERROR(IF(AND(Q31=0,SUM(P31:$P$47)&gt;0),SUM(P$7:P31)*Loan_Rate_3*(DAYS360(O30,O31)/360),IPMT(Loan_Rate_3,(ROUND(DAYS360(First_Principal_3-360,O31)/360,0)),Loan_Term_3,-(SUM(P$7:P$47)*(1+COI_3)))),0)</f>
        <v>0</v>
      </c>
      <c r="S31" s="4">
        <f t="shared" si="2"/>
        <v>0</v>
      </c>
      <c r="U31" s="3">
        <f t="shared" si="10"/>
        <v>54969</v>
      </c>
      <c r="V31" s="4">
        <f>IFERROR(VLOOKUP(U31,Inputs!$A$13:$F$19,U$1+1,0),0)</f>
        <v>0</v>
      </c>
      <c r="W31" s="4">
        <f>IFERROR(IF(SUM(V31:V$47)&gt;0,0,PPMT(Loan_Rate_4,(ROUND(DAYS360(First_Principal_4-360,U31)/360,0)),Loan_Term_4,-(SUM(V$7:V$47)*(1+COI_4)))),0)</f>
        <v>0</v>
      </c>
      <c r="X31" s="4">
        <f>IFERROR(IF(AND(W31=0,SUM(V31:$V$47)&gt;0),SUM(V$7:V31)*Loan_Rate_4*(DAYS360(U30,U31)/360),IPMT(Loan_Rate_4,(ROUND(DAYS360(First_Principal_4-360,U31)/360,0)),Loan_Term_4,-(SUM(V$7:V$47)*(1+COI_4)))),0)</f>
        <v>0</v>
      </c>
      <c r="Y31" s="4">
        <f t="shared" si="3"/>
        <v>0</v>
      </c>
      <c r="AA31" s="3">
        <f t="shared" si="11"/>
        <v>55700</v>
      </c>
      <c r="AB31" s="4">
        <f>IFERROR(VLOOKUP(AA31,Inputs!$A$13:$F$19,AA$1+1,0),0)</f>
        <v>0</v>
      </c>
      <c r="AC31" s="4">
        <f>IFERROR(IF(SUM(AB31:AB$47)&gt;0,0,PPMT(Loan_Rate_5,(ROUND(DAYS360(First_Principal_5-360,AA31)/360,0)),Loan_Term_5,-(SUM(AB$7:AB$47)*(1+COI_5)))),0)</f>
        <v>0</v>
      </c>
      <c r="AD31" s="4">
        <f>IFERROR(IF(AND(AC31=0,SUM(AB31:$AB$47)&gt;0),SUM(AB$7:AB31)*Loan_Rate_5*(DAYS360(AA30,AA31)/360),IPMT(Loan_Rate_5,(ROUND(DAYS360(First_Principal_5-360,AA31)/360,0)),Loan_Term_5,-(SUM(AB$7:AB$47)*(1+COI_5)))),0)</f>
        <v>0</v>
      </c>
      <c r="AE31" s="4">
        <f t="shared" si="4"/>
        <v>0</v>
      </c>
      <c r="AG31" s="3" t="e">
        <f t="shared" si="12"/>
        <v>#REF!</v>
      </c>
      <c r="AH31" s="4">
        <f>IFERROR(VLOOKUP(AG31,Inputs!$A$13:$F$19,AG$1+1,0),0)</f>
        <v>0</v>
      </c>
      <c r="AI31" s="4">
        <f>IFERROR(IF(SUM(AH31:AH$47)&gt;0,0,PPMT(Loan_Rate_6,(ROUND(DAYS360(First_Principal_6-360,AG31)/360,0)),Loan_Term_6,-(SUM(AH$7:AH$47)*(1+COI_6)))),0)</f>
        <v>0</v>
      </c>
      <c r="AJ31" s="4">
        <f>IFERROR(IF(AND(AI31=0,SUM(AH31:$AH$47)&gt;0),SUM(AH$7:AH31)*Loan_Rate_6*(DAYS360(AG30,AG31)/360),IPMT(Loan_Rate_6,(ROUND(DAYS360(First_Principal_6-360,AG31)/360,0)),Loan_Term_6,-(SUM(AH$7:AH$47)*(1+COI_6)))),0)</f>
        <v>0</v>
      </c>
      <c r="AK31" s="4">
        <f t="shared" si="5"/>
        <v>0</v>
      </c>
      <c r="AM31" s="3" t="e">
        <f t="shared" si="13"/>
        <v>#REF!</v>
      </c>
      <c r="AN31" s="4">
        <f>IFERROR(VLOOKUP(AM31,Inputs!$A$13:$F$19,AM$1+1,0),0)</f>
        <v>0</v>
      </c>
      <c r="AO31" s="4">
        <f>IFERROR(IF(SUM(AN31:AN$47)&gt;0,0,PPMT(Loan_Rate_7,(ROUND(DAYS360(First_Principal_7-360,AM31)/360,0)),Loan_Term_7,-(SUM(AN$7:AN$47)*(1+COI_7)))),0)</f>
        <v>0</v>
      </c>
      <c r="AP31" s="4">
        <f>IFERROR(IF(AND(AO31=0,SUM(AN31:$AN$47)&gt;0),SUM(AN$7:AN31)*Loan_Rate_7*(DAYS360(AM30,AM31)/360),IPMT(Loan_Rate_7,(ROUND(DAYS360(First_Principal_7-360,AM31)/360,0)),Loan_Term_7,-(SUM(AN$7:AN$47)*(1+COI_7)))),0)</f>
        <v>0</v>
      </c>
      <c r="AQ31" s="4">
        <f t="shared" si="6"/>
        <v>0</v>
      </c>
    </row>
    <row r="32" spans="3:43" x14ac:dyDescent="0.25">
      <c r="C32" s="3">
        <f t="shared" si="7"/>
        <v>54239</v>
      </c>
      <c r="D32" s="4">
        <f>IFERROR(VLOOKUP($C32,Inputs!$A$13:$F$19,'PV &amp; WIFIA Calculation Old'!$C$1+1,0),0)</f>
        <v>0</v>
      </c>
      <c r="E32" s="4">
        <f>IFERROR(IF(SUM(D32:$D$47)&gt;0,0,PPMT(Loan_Rate_1,(ROUND(DAYS360((First_Principal_1-360),C32)/360,0)),Loan_Term_1,-(SUM($D$7:$D$47)*(1+COI_1)))),0)</f>
        <v>0</v>
      </c>
      <c r="F32" s="4">
        <f>IFERROR(IF(AND(E32=0,SUM(D32:$D$47)&gt;0),SUM($D$7:D32)*Loan_Rate_1*(DAYS360(C31,C32)/360),IPMT(Loan_Rate_1,(ROUND(DAYS360((First_Principal_1-360),C32)/360,0)),Loan_Term_1,-(SUM($D$7:$D$47)*(1+COI_1)))),0)</f>
        <v>0</v>
      </c>
      <c r="G32" s="4">
        <f t="shared" si="0"/>
        <v>0</v>
      </c>
      <c r="I32" s="3">
        <f t="shared" si="8"/>
        <v>54604</v>
      </c>
      <c r="J32" s="4">
        <f>IFERROR(VLOOKUP(I32,Inputs!$A$13:$F$19,I$1+1,0),0)</f>
        <v>0</v>
      </c>
      <c r="K32" s="4">
        <f>IFERROR(IF(SUM(J32:$J$47)&gt;0,0,PPMT(Loan_Rate_2,(ROUND(DAYS360(First_Principal_2-360,I32)/360,0)),Loan_Term_2,-(SUM(J$7:J$47)*(1+COI_2)))),0)</f>
        <v>0</v>
      </c>
      <c r="L32" s="4">
        <f>IFERROR(IF(AND(K32=0,SUM(J32:$J$47)&gt;0),SUM(J$7:J32)*Loan_Rate_2*(DAYS360(I31,I32)/360),IPMT(Loan_Rate_2,(ROUND(DAYS360(First_Principal_2-360,I32)/360,0)),Loan_Term_2,-(SUM(J$7:J$47)*(1+COI_2)))),0)</f>
        <v>0</v>
      </c>
      <c r="M32" s="4">
        <f t="shared" si="1"/>
        <v>0</v>
      </c>
      <c r="O32" s="3">
        <f t="shared" si="9"/>
        <v>54969</v>
      </c>
      <c r="P32" s="4">
        <f>IFERROR(VLOOKUP(O32,Inputs!$A$13:$F$19,O$1+1,0),0)</f>
        <v>0</v>
      </c>
      <c r="Q32" s="4">
        <f>IFERROR(IF(SUM(P32:$P$47)&gt;0,0,PPMT(Loan_Rate_3,(ROUND(DAYS360(First_Principal_3-360,O32)/360,0)),Loan_Term_3,-(SUM(P$7:P$47)*(1+COI_3)))),0)</f>
        <v>0</v>
      </c>
      <c r="R32" s="4">
        <f>IFERROR(IF(AND(Q32=0,SUM(P32:$P$47)&gt;0),SUM(P$7:P32)*Loan_Rate_3*(DAYS360(O31,O32)/360),IPMT(Loan_Rate_3,(ROUND(DAYS360(First_Principal_3-360,O32)/360,0)),Loan_Term_3,-(SUM(P$7:P$47)*(1+COI_3)))),0)</f>
        <v>0</v>
      </c>
      <c r="S32" s="4">
        <f t="shared" si="2"/>
        <v>0</v>
      </c>
      <c r="U32" s="3">
        <f t="shared" si="10"/>
        <v>55334</v>
      </c>
      <c r="V32" s="4">
        <f>IFERROR(VLOOKUP(U32,Inputs!$A$13:$F$19,U$1+1,0),0)</f>
        <v>0</v>
      </c>
      <c r="W32" s="4">
        <f>IFERROR(IF(SUM(V32:V$47)&gt;0,0,PPMT(Loan_Rate_4,(ROUND(DAYS360(First_Principal_4-360,U32)/360,0)),Loan_Term_4,-(SUM(V$7:V$47)*(1+COI_4)))),0)</f>
        <v>0</v>
      </c>
      <c r="X32" s="4">
        <f>IFERROR(IF(AND(W32=0,SUM(V32:$V$47)&gt;0),SUM(V$7:V32)*Loan_Rate_4*(DAYS360(U31,U32)/360),IPMT(Loan_Rate_4,(ROUND(DAYS360(First_Principal_4-360,U32)/360,0)),Loan_Term_4,-(SUM(V$7:V$47)*(1+COI_4)))),0)</f>
        <v>0</v>
      </c>
      <c r="Y32" s="4">
        <f t="shared" si="3"/>
        <v>0</v>
      </c>
      <c r="AA32" s="3">
        <f t="shared" si="11"/>
        <v>56065</v>
      </c>
      <c r="AB32" s="4">
        <f>IFERROR(VLOOKUP(AA32,Inputs!$A$13:$F$19,AA$1+1,0),0)</f>
        <v>0</v>
      </c>
      <c r="AC32" s="4">
        <f>IFERROR(IF(SUM(AB32:AB$47)&gt;0,0,PPMT(Loan_Rate_5,(ROUND(DAYS360(First_Principal_5-360,AA32)/360,0)),Loan_Term_5,-(SUM(AB$7:AB$47)*(1+COI_5)))),0)</f>
        <v>0</v>
      </c>
      <c r="AD32" s="4">
        <f>IFERROR(IF(AND(AC32=0,SUM(AB32:$AB$47)&gt;0),SUM(AB$7:AB32)*Loan_Rate_5*(DAYS360(AA31,AA32)/360),IPMT(Loan_Rate_5,(ROUND(DAYS360(First_Principal_5-360,AA32)/360,0)),Loan_Term_5,-(SUM(AB$7:AB$47)*(1+COI_5)))),0)</f>
        <v>0</v>
      </c>
      <c r="AE32" s="4">
        <f t="shared" si="4"/>
        <v>0</v>
      </c>
      <c r="AG32" s="3" t="e">
        <f t="shared" si="12"/>
        <v>#REF!</v>
      </c>
      <c r="AH32" s="4">
        <f>IFERROR(VLOOKUP(AG32,Inputs!$A$13:$F$19,AG$1+1,0),0)</f>
        <v>0</v>
      </c>
      <c r="AI32" s="4">
        <f>IFERROR(IF(SUM(AH32:AH$47)&gt;0,0,PPMT(Loan_Rate_6,(ROUND(DAYS360(First_Principal_6-360,AG32)/360,0)),Loan_Term_6,-(SUM(AH$7:AH$47)*(1+COI_6)))),0)</f>
        <v>0</v>
      </c>
      <c r="AJ32" s="4">
        <f>IFERROR(IF(AND(AI32=0,SUM(AH32:$AH$47)&gt;0),SUM(AH$7:AH32)*Loan_Rate_6*(DAYS360(AG31,AG32)/360),IPMT(Loan_Rate_6,(ROUND(DAYS360(First_Principal_6-360,AG32)/360,0)),Loan_Term_6,-(SUM(AH$7:AH$47)*(1+COI_6)))),0)</f>
        <v>0</v>
      </c>
      <c r="AK32" s="4">
        <f t="shared" si="5"/>
        <v>0</v>
      </c>
      <c r="AM32" s="3" t="e">
        <f t="shared" si="13"/>
        <v>#REF!</v>
      </c>
      <c r="AN32" s="4">
        <f>IFERROR(VLOOKUP(AM32,Inputs!$A$13:$F$19,AM$1+1,0),0)</f>
        <v>0</v>
      </c>
      <c r="AO32" s="4">
        <f>IFERROR(IF(SUM(AN32:AN$47)&gt;0,0,PPMT(Loan_Rate_7,(ROUND(DAYS360(First_Principal_7-360,AM32)/360,0)),Loan_Term_7,-(SUM(AN$7:AN$47)*(1+COI_7)))),0)</f>
        <v>0</v>
      </c>
      <c r="AP32" s="4">
        <f>IFERROR(IF(AND(AO32=0,SUM(AN32:$AN$47)&gt;0),SUM(AN$7:AN32)*Loan_Rate_7*(DAYS360(AM31,AM32)/360),IPMT(Loan_Rate_7,(ROUND(DAYS360(First_Principal_7-360,AM32)/360,0)),Loan_Term_7,-(SUM(AN$7:AN$47)*(1+COI_7)))),0)</f>
        <v>0</v>
      </c>
      <c r="AQ32" s="4">
        <f t="shared" si="6"/>
        <v>0</v>
      </c>
    </row>
    <row r="33" spans="3:43" x14ac:dyDescent="0.25">
      <c r="C33" s="3">
        <f t="shared" si="7"/>
        <v>54604</v>
      </c>
      <c r="D33" s="4">
        <f>IFERROR(VLOOKUP($C33,Inputs!$A$13:$F$19,'PV &amp; WIFIA Calculation Old'!$C$1+1,0),0)</f>
        <v>0</v>
      </c>
      <c r="E33" s="4">
        <f>IFERROR(IF(SUM(D33:$D$47)&gt;0,0,PPMT(Loan_Rate_1,(ROUND(DAYS360((First_Principal_1-360),C33)/360,0)),Loan_Term_1,-(SUM($D$7:$D$47)*(1+COI_1)))),0)</f>
        <v>0</v>
      </c>
      <c r="F33" s="4">
        <f>IFERROR(IF(AND(E33=0,SUM(D33:$D$47)&gt;0),SUM($D$7:D33)*Loan_Rate_1*(DAYS360(C32,C33)/360),IPMT(Loan_Rate_1,(ROUND(DAYS360((First_Principal_1-360),C33)/360,0)),Loan_Term_1,-(SUM($D$7:$D$47)*(1+COI_1)))),0)</f>
        <v>0</v>
      </c>
      <c r="G33" s="4">
        <f t="shared" si="0"/>
        <v>0</v>
      </c>
      <c r="I33" s="3">
        <f t="shared" si="8"/>
        <v>54969</v>
      </c>
      <c r="J33" s="4">
        <f>IFERROR(VLOOKUP(I33,Inputs!$A$13:$F$19,I$1+1,0),0)</f>
        <v>0</v>
      </c>
      <c r="K33" s="4">
        <f>IFERROR(IF(SUM(J33:$J$47)&gt;0,0,PPMT(Loan_Rate_2,(ROUND(DAYS360(First_Principal_2-360,I33)/360,0)),Loan_Term_2,-(SUM(J$7:J$47)*(1+COI_2)))),0)</f>
        <v>0</v>
      </c>
      <c r="L33" s="4">
        <f>IFERROR(IF(AND(K33=0,SUM(J33:$J$47)&gt;0),SUM(J$7:J33)*Loan_Rate_2*(DAYS360(I32,I33)/360),IPMT(Loan_Rate_2,(ROUND(DAYS360(First_Principal_2-360,I33)/360,0)),Loan_Term_2,-(SUM(J$7:J$47)*(1+COI_2)))),0)</f>
        <v>0</v>
      </c>
      <c r="M33" s="4">
        <f t="shared" si="1"/>
        <v>0</v>
      </c>
      <c r="O33" s="3">
        <f t="shared" si="9"/>
        <v>55334</v>
      </c>
      <c r="P33" s="4">
        <f>IFERROR(VLOOKUP(O33,Inputs!$A$13:$F$19,O$1+1,0),0)</f>
        <v>0</v>
      </c>
      <c r="Q33" s="4">
        <f>IFERROR(IF(SUM(P33:$P$47)&gt;0,0,PPMT(Loan_Rate_3,(ROUND(DAYS360(First_Principal_3-360,O33)/360,0)),Loan_Term_3,-(SUM(P$7:P$47)*(1+COI_3)))),0)</f>
        <v>0</v>
      </c>
      <c r="R33" s="4">
        <f>IFERROR(IF(AND(Q33=0,SUM(P33:$P$47)&gt;0),SUM(P$7:P33)*Loan_Rate_3*(DAYS360(O32,O33)/360),IPMT(Loan_Rate_3,(ROUND(DAYS360(First_Principal_3-360,O33)/360,0)),Loan_Term_3,-(SUM(P$7:P$47)*(1+COI_3)))),0)</f>
        <v>0</v>
      </c>
      <c r="S33" s="4">
        <f t="shared" si="2"/>
        <v>0</v>
      </c>
      <c r="U33" s="3">
        <f t="shared" si="10"/>
        <v>55700</v>
      </c>
      <c r="V33" s="4">
        <f>IFERROR(VLOOKUP(U33,Inputs!$A$13:$F$19,U$1+1,0),0)</f>
        <v>0</v>
      </c>
      <c r="W33" s="4">
        <f>IFERROR(IF(SUM(V33:V$47)&gt;0,0,PPMT(Loan_Rate_4,(ROUND(DAYS360(First_Principal_4-360,U33)/360,0)),Loan_Term_4,-(SUM(V$7:V$47)*(1+COI_4)))),0)</f>
        <v>0</v>
      </c>
      <c r="X33" s="4">
        <f>IFERROR(IF(AND(W33=0,SUM(V33:$V$47)&gt;0),SUM(V$7:V33)*Loan_Rate_4*(DAYS360(U32,U33)/360),IPMT(Loan_Rate_4,(ROUND(DAYS360(First_Principal_4-360,U33)/360,0)),Loan_Term_4,-(SUM(V$7:V$47)*(1+COI_4)))),0)</f>
        <v>0</v>
      </c>
      <c r="Y33" s="4">
        <f t="shared" si="3"/>
        <v>0</v>
      </c>
      <c r="AA33" s="3">
        <f t="shared" si="11"/>
        <v>56430</v>
      </c>
      <c r="AB33" s="4">
        <f>IFERROR(VLOOKUP(AA33,Inputs!$A$13:$F$19,AA$1+1,0),0)</f>
        <v>0</v>
      </c>
      <c r="AC33" s="4">
        <f>IFERROR(IF(SUM(AB33:AB$47)&gt;0,0,PPMT(Loan_Rate_5,(ROUND(DAYS360(First_Principal_5-360,AA33)/360,0)),Loan_Term_5,-(SUM(AB$7:AB$47)*(1+COI_5)))),0)</f>
        <v>0</v>
      </c>
      <c r="AD33" s="4">
        <f>IFERROR(IF(AND(AC33=0,SUM(AB33:$AB$47)&gt;0),SUM(AB$7:AB33)*Loan_Rate_5*(DAYS360(AA32,AA33)/360),IPMT(Loan_Rate_5,(ROUND(DAYS360(First_Principal_5-360,AA33)/360,0)),Loan_Term_5,-(SUM(AB$7:AB$47)*(1+COI_5)))),0)</f>
        <v>0</v>
      </c>
      <c r="AE33" s="4">
        <f t="shared" si="4"/>
        <v>0</v>
      </c>
      <c r="AG33" s="3" t="e">
        <f t="shared" si="12"/>
        <v>#REF!</v>
      </c>
      <c r="AH33" s="4">
        <f>IFERROR(VLOOKUP(AG33,Inputs!$A$13:$F$19,AG$1+1,0),0)</f>
        <v>0</v>
      </c>
      <c r="AI33" s="4">
        <f>IFERROR(IF(SUM(AH33:AH$47)&gt;0,0,PPMT(Loan_Rate_6,(ROUND(DAYS360(First_Principal_6-360,AG33)/360,0)),Loan_Term_6,-(SUM(AH$7:AH$47)*(1+COI_6)))),0)</f>
        <v>0</v>
      </c>
      <c r="AJ33" s="4">
        <f>IFERROR(IF(AND(AI33=0,SUM(AH33:$AH$47)&gt;0),SUM(AH$7:AH33)*Loan_Rate_6*(DAYS360(AG32,AG33)/360),IPMT(Loan_Rate_6,(ROUND(DAYS360(First_Principal_6-360,AG33)/360,0)),Loan_Term_6,-(SUM(AH$7:AH$47)*(1+COI_6)))),0)</f>
        <v>0</v>
      </c>
      <c r="AK33" s="4">
        <f t="shared" si="5"/>
        <v>0</v>
      </c>
      <c r="AM33" s="3" t="e">
        <f t="shared" si="13"/>
        <v>#REF!</v>
      </c>
      <c r="AN33" s="4">
        <f>IFERROR(VLOOKUP(AM33,Inputs!$A$13:$F$19,AM$1+1,0),0)</f>
        <v>0</v>
      </c>
      <c r="AO33" s="4">
        <f>IFERROR(IF(SUM(AN33:AN$47)&gt;0,0,PPMT(Loan_Rate_7,(ROUND(DAYS360(First_Principal_7-360,AM33)/360,0)),Loan_Term_7,-(SUM(AN$7:AN$47)*(1+COI_7)))),0)</f>
        <v>0</v>
      </c>
      <c r="AP33" s="4">
        <f>IFERROR(IF(AND(AO33=0,SUM(AN33:$AN$47)&gt;0),SUM(AN$7:AN33)*Loan_Rate_7*(DAYS360(AM32,AM33)/360),IPMT(Loan_Rate_7,(ROUND(DAYS360(First_Principal_7-360,AM33)/360,0)),Loan_Term_7,-(SUM(AN$7:AN$47)*(1+COI_7)))),0)</f>
        <v>0</v>
      </c>
      <c r="AQ33" s="4">
        <f t="shared" si="6"/>
        <v>0</v>
      </c>
    </row>
    <row r="34" spans="3:43" x14ac:dyDescent="0.25">
      <c r="C34" s="3">
        <f t="shared" si="7"/>
        <v>54969</v>
      </c>
      <c r="D34" s="4">
        <f>IFERROR(VLOOKUP($C34,Inputs!$A$13:$F$19,'PV &amp; WIFIA Calculation Old'!$C$1+1,0),0)</f>
        <v>0</v>
      </c>
      <c r="E34" s="4">
        <f>IFERROR(IF(SUM(D34:$D$47)&gt;0,0,PPMT(Loan_Rate_1,(ROUND(DAYS360((First_Principal_1-360),C34)/360,0)),Loan_Term_1,-(SUM($D$7:$D$47)*(1+COI_1)))),0)</f>
        <v>0</v>
      </c>
      <c r="F34" s="4">
        <f>IFERROR(IF(AND(E34=0,SUM(D34:$D$47)&gt;0),SUM($D$7:D34)*Loan_Rate_1*(DAYS360(C33,C34)/360),IPMT(Loan_Rate_1,(ROUND(DAYS360((First_Principal_1-360),C34)/360,0)),Loan_Term_1,-(SUM($D$7:$D$47)*(1+COI_1)))),0)</f>
        <v>0</v>
      </c>
      <c r="G34" s="4">
        <f t="shared" si="0"/>
        <v>0</v>
      </c>
      <c r="I34" s="3">
        <f t="shared" si="8"/>
        <v>55334</v>
      </c>
      <c r="J34" s="4">
        <f>IFERROR(VLOOKUP(I34,Inputs!$A$13:$F$19,I$1+1,0),0)</f>
        <v>0</v>
      </c>
      <c r="K34" s="4">
        <f>IFERROR(IF(SUM(J34:$J$47)&gt;0,0,PPMT(Loan_Rate_2,(ROUND(DAYS360(First_Principal_2-360,I34)/360,0)),Loan_Term_2,-(SUM(J$7:J$47)*(1+COI_2)))),0)</f>
        <v>0</v>
      </c>
      <c r="L34" s="4">
        <f>IFERROR(IF(AND(K34=0,SUM(J34:$J$47)&gt;0),SUM(J$7:J34)*Loan_Rate_2*(DAYS360(I33,I34)/360),IPMT(Loan_Rate_2,(ROUND(DAYS360(First_Principal_2-360,I34)/360,0)),Loan_Term_2,-(SUM(J$7:J$47)*(1+COI_2)))),0)</f>
        <v>0</v>
      </c>
      <c r="M34" s="4">
        <f t="shared" si="1"/>
        <v>0</v>
      </c>
      <c r="O34" s="3">
        <f t="shared" si="9"/>
        <v>55700</v>
      </c>
      <c r="P34" s="4">
        <f>IFERROR(VLOOKUP(O34,Inputs!$A$13:$F$19,O$1+1,0),0)</f>
        <v>0</v>
      </c>
      <c r="Q34" s="4">
        <f>IFERROR(IF(SUM(P34:$P$47)&gt;0,0,PPMT(Loan_Rate_3,(ROUND(DAYS360(First_Principal_3-360,O34)/360,0)),Loan_Term_3,-(SUM(P$7:P$47)*(1+COI_3)))),0)</f>
        <v>0</v>
      </c>
      <c r="R34" s="4">
        <f>IFERROR(IF(AND(Q34=0,SUM(P34:$P$47)&gt;0),SUM(P$7:P34)*Loan_Rate_3*(DAYS360(O33,O34)/360),IPMT(Loan_Rate_3,(ROUND(DAYS360(First_Principal_3-360,O34)/360,0)),Loan_Term_3,-(SUM(P$7:P$47)*(1+COI_3)))),0)</f>
        <v>0</v>
      </c>
      <c r="S34" s="4">
        <f t="shared" si="2"/>
        <v>0</v>
      </c>
      <c r="U34" s="3">
        <f t="shared" si="10"/>
        <v>56065</v>
      </c>
      <c r="V34" s="4">
        <f>IFERROR(VLOOKUP(U34,Inputs!$A$13:$F$19,U$1+1,0),0)</f>
        <v>0</v>
      </c>
      <c r="W34" s="4">
        <f>IFERROR(IF(SUM(V34:V$47)&gt;0,0,PPMT(Loan_Rate_4,(ROUND(DAYS360(First_Principal_4-360,U34)/360,0)),Loan_Term_4,-(SUM(V$7:V$47)*(1+COI_4)))),0)</f>
        <v>0</v>
      </c>
      <c r="X34" s="4">
        <f>IFERROR(IF(AND(W34=0,SUM(V34:$V$47)&gt;0),SUM(V$7:V34)*Loan_Rate_4*(DAYS360(U33,U34)/360),IPMT(Loan_Rate_4,(ROUND(DAYS360(First_Principal_4-360,U34)/360,0)),Loan_Term_4,-(SUM(V$7:V$47)*(1+COI_4)))),0)</f>
        <v>0</v>
      </c>
      <c r="Y34" s="4">
        <f t="shared" si="3"/>
        <v>0</v>
      </c>
      <c r="AA34" s="3">
        <f t="shared" si="11"/>
        <v>56795</v>
      </c>
      <c r="AB34" s="4">
        <f>IFERROR(VLOOKUP(AA34,Inputs!$A$13:$F$19,AA$1+1,0),0)</f>
        <v>0</v>
      </c>
      <c r="AC34" s="4">
        <f>IFERROR(IF(SUM(AB34:AB$47)&gt;0,0,PPMT(Loan_Rate_5,(ROUND(DAYS360(First_Principal_5-360,AA34)/360,0)),Loan_Term_5,-(SUM(AB$7:AB$47)*(1+COI_5)))),0)</f>
        <v>0</v>
      </c>
      <c r="AD34" s="4">
        <f>IFERROR(IF(AND(AC34=0,SUM(AB34:$AB$47)&gt;0),SUM(AB$7:AB34)*Loan_Rate_5*(DAYS360(AA33,AA34)/360),IPMT(Loan_Rate_5,(ROUND(DAYS360(First_Principal_5-360,AA34)/360,0)),Loan_Term_5,-(SUM(AB$7:AB$47)*(1+COI_5)))),0)</f>
        <v>0</v>
      </c>
      <c r="AE34" s="4">
        <f t="shared" si="4"/>
        <v>0</v>
      </c>
      <c r="AG34" s="3" t="e">
        <f t="shared" si="12"/>
        <v>#REF!</v>
      </c>
      <c r="AH34" s="4">
        <f>IFERROR(VLOOKUP(AG34,Inputs!$A$13:$F$19,AG$1+1,0),0)</f>
        <v>0</v>
      </c>
      <c r="AI34" s="4">
        <f>IFERROR(IF(SUM(AH34:AH$47)&gt;0,0,PPMT(Loan_Rate_6,(ROUND(DAYS360(First_Principal_6-360,AG34)/360,0)),Loan_Term_6,-(SUM(AH$7:AH$47)*(1+COI_6)))),0)</f>
        <v>0</v>
      </c>
      <c r="AJ34" s="4">
        <f>IFERROR(IF(AND(AI34=0,SUM(AH34:$AH$47)&gt;0),SUM(AH$7:AH34)*Loan_Rate_6*(DAYS360(AG33,AG34)/360),IPMT(Loan_Rate_6,(ROUND(DAYS360(First_Principal_6-360,AG34)/360,0)),Loan_Term_6,-(SUM(AH$7:AH$47)*(1+COI_6)))),0)</f>
        <v>0</v>
      </c>
      <c r="AK34" s="4">
        <f t="shared" si="5"/>
        <v>0</v>
      </c>
      <c r="AM34" s="3" t="e">
        <f t="shared" si="13"/>
        <v>#REF!</v>
      </c>
      <c r="AN34" s="4">
        <f>IFERROR(VLOOKUP(AM34,Inputs!$A$13:$F$19,AM$1+1,0),0)</f>
        <v>0</v>
      </c>
      <c r="AO34" s="4">
        <f>IFERROR(IF(SUM(AN34:AN$47)&gt;0,0,PPMT(Loan_Rate_7,(ROUND(DAYS360(First_Principal_7-360,AM34)/360,0)),Loan_Term_7,-(SUM(AN$7:AN$47)*(1+COI_7)))),0)</f>
        <v>0</v>
      </c>
      <c r="AP34" s="4">
        <f>IFERROR(IF(AND(AO34=0,SUM(AN34:$AN$47)&gt;0),SUM(AN$7:AN34)*Loan_Rate_7*(DAYS360(AM33,AM34)/360),IPMT(Loan_Rate_7,(ROUND(DAYS360(First_Principal_7-360,AM34)/360,0)),Loan_Term_7,-(SUM(AN$7:AN$47)*(1+COI_7)))),0)</f>
        <v>0</v>
      </c>
      <c r="AQ34" s="4">
        <f t="shared" si="6"/>
        <v>0</v>
      </c>
    </row>
    <row r="35" spans="3:43" x14ac:dyDescent="0.25">
      <c r="C35" s="3">
        <f t="shared" si="7"/>
        <v>55334</v>
      </c>
      <c r="D35" s="4">
        <f>IFERROR(VLOOKUP($C35,Inputs!$A$13:$F$19,'PV &amp; WIFIA Calculation Old'!$C$1+1,0),0)</f>
        <v>0</v>
      </c>
      <c r="E35" s="4">
        <f>IFERROR(IF(SUM(D35:$D$47)&gt;0,0,PPMT(Loan_Rate_1,(ROUND(DAYS360((First_Principal_1-360),C35)/360,0)),Loan_Term_1,-(SUM($D$7:$D$47)*(1+COI_1)))),0)</f>
        <v>0</v>
      </c>
      <c r="F35" s="4">
        <f>IFERROR(IF(AND(E35=0,SUM(D35:$D$47)&gt;0),SUM($D$7:D35)*Loan_Rate_1*(DAYS360(C34,C35)/360),IPMT(Loan_Rate_1,(ROUND(DAYS360((First_Principal_1-360),C35)/360,0)),Loan_Term_1,-(SUM($D$7:$D$47)*(1+COI_1)))),0)</f>
        <v>0</v>
      </c>
      <c r="G35" s="4">
        <f t="shared" si="0"/>
        <v>0</v>
      </c>
      <c r="I35" s="3">
        <f t="shared" si="8"/>
        <v>55700</v>
      </c>
      <c r="J35" s="4">
        <f>IFERROR(VLOOKUP(I35,Inputs!$A$13:$F$19,I$1+1,0),0)</f>
        <v>0</v>
      </c>
      <c r="K35" s="4">
        <f>IFERROR(IF(SUM(J35:$J$47)&gt;0,0,PPMT(Loan_Rate_2,(ROUND(DAYS360(First_Principal_2-360,I35)/360,0)),Loan_Term_2,-(SUM(J$7:J$47)*(1+COI_2)))),0)</f>
        <v>0</v>
      </c>
      <c r="L35" s="4">
        <f>IFERROR(IF(AND(K35=0,SUM(J35:$J$47)&gt;0),SUM(J$7:J35)*Loan_Rate_2*(DAYS360(I34,I35)/360),IPMT(Loan_Rate_2,(ROUND(DAYS360(First_Principal_2-360,I35)/360,0)),Loan_Term_2,-(SUM(J$7:J$47)*(1+COI_2)))),0)</f>
        <v>0</v>
      </c>
      <c r="M35" s="4">
        <f t="shared" si="1"/>
        <v>0</v>
      </c>
      <c r="O35" s="3">
        <f t="shared" si="9"/>
        <v>56065</v>
      </c>
      <c r="P35" s="4">
        <f>IFERROR(VLOOKUP(O35,Inputs!$A$13:$F$19,O$1+1,0),0)</f>
        <v>0</v>
      </c>
      <c r="Q35" s="4">
        <f>IFERROR(IF(SUM(P35:$P$47)&gt;0,0,PPMT(Loan_Rate_3,(ROUND(DAYS360(First_Principal_3-360,O35)/360,0)),Loan_Term_3,-(SUM(P$7:P$47)*(1+COI_3)))),0)</f>
        <v>0</v>
      </c>
      <c r="R35" s="4">
        <f>IFERROR(IF(AND(Q35=0,SUM(P35:$P$47)&gt;0),SUM(P$7:P35)*Loan_Rate_3*(DAYS360(O34,O35)/360),IPMT(Loan_Rate_3,(ROUND(DAYS360(First_Principal_3-360,O35)/360,0)),Loan_Term_3,-(SUM(P$7:P$47)*(1+COI_3)))),0)</f>
        <v>0</v>
      </c>
      <c r="S35" s="4">
        <f t="shared" si="2"/>
        <v>0</v>
      </c>
      <c r="U35" s="3">
        <f t="shared" si="10"/>
        <v>56430</v>
      </c>
      <c r="V35" s="4">
        <f>IFERROR(VLOOKUP(U35,Inputs!$A$13:$F$19,U$1+1,0),0)</f>
        <v>0</v>
      </c>
      <c r="W35" s="4">
        <f>IFERROR(IF(SUM(V35:V$47)&gt;0,0,PPMT(Loan_Rate_4,(ROUND(DAYS360(First_Principal_4-360,U35)/360,0)),Loan_Term_4,-(SUM(V$7:V$47)*(1+COI_4)))),0)</f>
        <v>0</v>
      </c>
      <c r="X35" s="4">
        <f>IFERROR(IF(AND(W35=0,SUM(V35:$V$47)&gt;0),SUM(V$7:V35)*Loan_Rate_4*(DAYS360(U34,U35)/360),IPMT(Loan_Rate_4,(ROUND(DAYS360(First_Principal_4-360,U35)/360,0)),Loan_Term_4,-(SUM(V$7:V$47)*(1+COI_4)))),0)</f>
        <v>0</v>
      </c>
      <c r="Y35" s="4">
        <f t="shared" si="3"/>
        <v>0</v>
      </c>
      <c r="AA35" s="3">
        <f t="shared" si="11"/>
        <v>57161</v>
      </c>
      <c r="AB35" s="4">
        <f>IFERROR(VLOOKUP(AA35,Inputs!$A$13:$F$19,AA$1+1,0),0)</f>
        <v>0</v>
      </c>
      <c r="AC35" s="4">
        <f>IFERROR(IF(SUM(AB35:AB$47)&gt;0,0,PPMT(Loan_Rate_5,(ROUND(DAYS360(First_Principal_5-360,AA35)/360,0)),Loan_Term_5,-(SUM(AB$7:AB$47)*(1+COI_5)))),0)</f>
        <v>0</v>
      </c>
      <c r="AD35" s="4">
        <f>IFERROR(IF(AND(AC35=0,SUM(AB35:$AB$47)&gt;0),SUM(AB$7:AB35)*Loan_Rate_5*(DAYS360(AA34,AA35)/360),IPMT(Loan_Rate_5,(ROUND(DAYS360(First_Principal_5-360,AA35)/360,0)),Loan_Term_5,-(SUM(AB$7:AB$47)*(1+COI_5)))),0)</f>
        <v>0</v>
      </c>
      <c r="AE35" s="4">
        <f t="shared" si="4"/>
        <v>0</v>
      </c>
      <c r="AG35" s="3" t="e">
        <f t="shared" si="12"/>
        <v>#REF!</v>
      </c>
      <c r="AH35" s="4">
        <f>IFERROR(VLOOKUP(AG35,Inputs!$A$13:$F$19,AG$1+1,0),0)</f>
        <v>0</v>
      </c>
      <c r="AI35" s="4">
        <f>IFERROR(IF(SUM(AH35:AH$47)&gt;0,0,PPMT(Loan_Rate_6,(ROUND(DAYS360(First_Principal_6-360,AG35)/360,0)),Loan_Term_6,-(SUM(AH$7:AH$47)*(1+COI_6)))),0)</f>
        <v>0</v>
      </c>
      <c r="AJ35" s="4">
        <f>IFERROR(IF(AND(AI35=0,SUM(AH35:$AH$47)&gt;0),SUM(AH$7:AH35)*Loan_Rate_6*(DAYS360(AG34,AG35)/360),IPMT(Loan_Rate_6,(ROUND(DAYS360(First_Principal_6-360,AG35)/360,0)),Loan_Term_6,-(SUM(AH$7:AH$47)*(1+COI_6)))),0)</f>
        <v>0</v>
      </c>
      <c r="AK35" s="4">
        <f t="shared" si="5"/>
        <v>0</v>
      </c>
      <c r="AM35" s="3" t="e">
        <f t="shared" si="13"/>
        <v>#REF!</v>
      </c>
      <c r="AN35" s="4">
        <f>IFERROR(VLOOKUP(AM35,Inputs!$A$13:$F$19,AM$1+1,0),0)</f>
        <v>0</v>
      </c>
      <c r="AO35" s="4">
        <f>IFERROR(IF(SUM(AN35:AN$47)&gt;0,0,PPMT(Loan_Rate_7,(ROUND(DAYS360(First_Principal_7-360,AM35)/360,0)),Loan_Term_7,-(SUM(AN$7:AN$47)*(1+COI_7)))),0)</f>
        <v>0</v>
      </c>
      <c r="AP35" s="4">
        <f>IFERROR(IF(AND(AO35=0,SUM(AN35:$AN$47)&gt;0),SUM(AN$7:AN35)*Loan_Rate_7*(DAYS360(AM34,AM35)/360),IPMT(Loan_Rate_7,(ROUND(DAYS360(First_Principal_7-360,AM35)/360,0)),Loan_Term_7,-(SUM(AN$7:AN$47)*(1+COI_7)))),0)</f>
        <v>0</v>
      </c>
      <c r="AQ35" s="4">
        <f t="shared" si="6"/>
        <v>0</v>
      </c>
    </row>
    <row r="36" spans="3:43" x14ac:dyDescent="0.25">
      <c r="C36" s="3">
        <f t="shared" si="7"/>
        <v>55700</v>
      </c>
      <c r="D36" s="4">
        <f>IFERROR(VLOOKUP($C36,Inputs!$A$13:$F$19,'PV &amp; WIFIA Calculation Old'!$C$1+1,0),0)</f>
        <v>0</v>
      </c>
      <c r="E36" s="4">
        <f>IFERROR(IF(SUM(D36:$D$47)&gt;0,0,PPMT(Loan_Rate_1,(ROUND(DAYS360((First_Principal_1-360),C36)/360,0)),Loan_Term_1,-(SUM($D$7:$D$47)*(1+COI_1)))),0)</f>
        <v>0</v>
      </c>
      <c r="F36" s="4">
        <f>IFERROR(IF(AND(E36=0,SUM(D36:$D$47)&gt;0),SUM($D$7:D36)*Loan_Rate_1*(DAYS360(C35,C36)/360),IPMT(Loan_Rate_1,(ROUND(DAYS360((First_Principal_1-360),C36)/360,0)),Loan_Term_1,-(SUM($D$7:$D$47)*(1+COI_1)))),0)</f>
        <v>0</v>
      </c>
      <c r="G36" s="4">
        <f t="shared" si="0"/>
        <v>0</v>
      </c>
      <c r="I36" s="3">
        <f t="shared" si="8"/>
        <v>56065</v>
      </c>
      <c r="J36" s="4">
        <f>IFERROR(VLOOKUP(I36,Inputs!$A$13:$F$19,I$1+1,0),0)</f>
        <v>0</v>
      </c>
      <c r="K36" s="4">
        <f>IFERROR(IF(SUM(J36:$J$47)&gt;0,0,PPMT(Loan_Rate_2,(ROUND(DAYS360(First_Principal_2-360,I36)/360,0)),Loan_Term_2,-(SUM(J$7:J$47)*(1+COI_2)))),0)</f>
        <v>0</v>
      </c>
      <c r="L36" s="4">
        <f>IFERROR(IF(AND(K36=0,SUM(J36:$J$47)&gt;0),SUM(J$7:J36)*Loan_Rate_2*(DAYS360(I35,I36)/360),IPMT(Loan_Rate_2,(ROUND(DAYS360(First_Principal_2-360,I36)/360,0)),Loan_Term_2,-(SUM(J$7:J$47)*(1+COI_2)))),0)</f>
        <v>0</v>
      </c>
      <c r="M36" s="4">
        <f t="shared" si="1"/>
        <v>0</v>
      </c>
      <c r="O36" s="3">
        <f t="shared" si="9"/>
        <v>56430</v>
      </c>
      <c r="P36" s="4">
        <f>IFERROR(VLOOKUP(O36,Inputs!$A$13:$F$19,O$1+1,0),0)</f>
        <v>0</v>
      </c>
      <c r="Q36" s="4">
        <f>IFERROR(IF(SUM(P36:$P$47)&gt;0,0,PPMT(Loan_Rate_3,(ROUND(DAYS360(First_Principal_3-360,O36)/360,0)),Loan_Term_3,-(SUM(P$7:P$47)*(1+COI_3)))),0)</f>
        <v>0</v>
      </c>
      <c r="R36" s="4">
        <f>IFERROR(IF(AND(Q36=0,SUM(P36:$P$47)&gt;0),SUM(P$7:P36)*Loan_Rate_3*(DAYS360(O35,O36)/360),IPMT(Loan_Rate_3,(ROUND(DAYS360(First_Principal_3-360,O36)/360,0)),Loan_Term_3,-(SUM(P$7:P$47)*(1+COI_3)))),0)</f>
        <v>0</v>
      </c>
      <c r="S36" s="4">
        <f t="shared" si="2"/>
        <v>0</v>
      </c>
      <c r="U36" s="3">
        <f t="shared" si="10"/>
        <v>56795</v>
      </c>
      <c r="V36" s="4">
        <f>IFERROR(VLOOKUP(U36,Inputs!$A$13:$F$19,U$1+1,0),0)</f>
        <v>0</v>
      </c>
      <c r="W36" s="4">
        <f>IFERROR(IF(SUM(V36:V$47)&gt;0,0,PPMT(Loan_Rate_4,(ROUND(DAYS360(First_Principal_4-360,U36)/360,0)),Loan_Term_4,-(SUM(V$7:V$47)*(1+COI_4)))),0)</f>
        <v>0</v>
      </c>
      <c r="X36" s="4">
        <f>IFERROR(IF(AND(W36=0,SUM(V36:$V$47)&gt;0),SUM(V$7:V36)*Loan_Rate_4*(DAYS360(U35,U36)/360),IPMT(Loan_Rate_4,(ROUND(DAYS360(First_Principal_4-360,U36)/360,0)),Loan_Term_4,-(SUM(V$7:V$47)*(1+COI_4)))),0)</f>
        <v>0</v>
      </c>
      <c r="Y36" s="4">
        <f t="shared" si="3"/>
        <v>0</v>
      </c>
      <c r="AA36" s="3">
        <f t="shared" si="11"/>
        <v>57526</v>
      </c>
      <c r="AB36" s="4">
        <f>IFERROR(VLOOKUP(AA36,Inputs!$A$13:$F$19,AA$1+1,0),0)</f>
        <v>0</v>
      </c>
      <c r="AC36" s="4">
        <f>IFERROR(IF(SUM(AB36:AB$47)&gt;0,0,PPMT(Loan_Rate_5,(ROUND(DAYS360(First_Principal_5-360,AA36)/360,0)),Loan_Term_5,-(SUM(AB$7:AB$47)*(1+COI_5)))),0)</f>
        <v>0</v>
      </c>
      <c r="AD36" s="4">
        <f>IFERROR(IF(AND(AC36=0,SUM(AB36:$AB$47)&gt;0),SUM(AB$7:AB36)*Loan_Rate_5*(DAYS360(AA35,AA36)/360),IPMT(Loan_Rate_5,(ROUND(DAYS360(First_Principal_5-360,AA36)/360,0)),Loan_Term_5,-(SUM(AB$7:AB$47)*(1+COI_5)))),0)</f>
        <v>0</v>
      </c>
      <c r="AE36" s="4">
        <f t="shared" si="4"/>
        <v>0</v>
      </c>
      <c r="AG36" s="3" t="e">
        <f t="shared" si="12"/>
        <v>#REF!</v>
      </c>
      <c r="AH36" s="4">
        <f>IFERROR(VLOOKUP(AG36,Inputs!$A$13:$F$19,AG$1+1,0),0)</f>
        <v>0</v>
      </c>
      <c r="AI36" s="4">
        <f>IFERROR(IF(SUM(AH36:AH$47)&gt;0,0,PPMT(Loan_Rate_6,(ROUND(DAYS360(First_Principal_6-360,AG36)/360,0)),Loan_Term_6,-(SUM(AH$7:AH$47)*(1+COI_6)))),0)</f>
        <v>0</v>
      </c>
      <c r="AJ36" s="4">
        <f>IFERROR(IF(AND(AI36=0,SUM(AH36:$AH$47)&gt;0),SUM(AH$7:AH36)*Loan_Rate_6*(DAYS360(AG35,AG36)/360),IPMT(Loan_Rate_6,(ROUND(DAYS360(First_Principal_6-360,AG36)/360,0)),Loan_Term_6,-(SUM(AH$7:AH$47)*(1+COI_6)))),0)</f>
        <v>0</v>
      </c>
      <c r="AK36" s="4">
        <f t="shared" si="5"/>
        <v>0</v>
      </c>
      <c r="AM36" s="3" t="e">
        <f t="shared" si="13"/>
        <v>#REF!</v>
      </c>
      <c r="AN36" s="4">
        <f>IFERROR(VLOOKUP(AM36,Inputs!$A$13:$F$19,AM$1+1,0),0)</f>
        <v>0</v>
      </c>
      <c r="AO36" s="4">
        <f>IFERROR(IF(SUM(AN36:AN$47)&gt;0,0,PPMT(Loan_Rate_7,(ROUND(DAYS360(First_Principal_7-360,AM36)/360,0)),Loan_Term_7,-(SUM(AN$7:AN$47)*(1+COI_7)))),0)</f>
        <v>0</v>
      </c>
      <c r="AP36" s="4">
        <f>IFERROR(IF(AND(AO36=0,SUM(AN36:$AN$47)&gt;0),SUM(AN$7:AN36)*Loan_Rate_7*(DAYS360(AM35,AM36)/360),IPMT(Loan_Rate_7,(ROUND(DAYS360(First_Principal_7-360,AM36)/360,0)),Loan_Term_7,-(SUM(AN$7:AN$47)*(1+COI_7)))),0)</f>
        <v>0</v>
      </c>
      <c r="AQ36" s="4">
        <f t="shared" si="6"/>
        <v>0</v>
      </c>
    </row>
    <row r="37" spans="3:43" x14ac:dyDescent="0.25">
      <c r="C37" s="3">
        <f t="shared" si="7"/>
        <v>56065</v>
      </c>
      <c r="D37" s="4">
        <f>IFERROR(VLOOKUP($C37,Inputs!$A$13:$F$19,'PV &amp; WIFIA Calculation Old'!$C$1+1,0),0)</f>
        <v>0</v>
      </c>
      <c r="E37" s="4">
        <f>IFERROR(IF(SUM(D37:$D$47)&gt;0,0,PPMT(Loan_Rate_1,(ROUND(DAYS360((First_Principal_1-360),C37)/360,0)),Loan_Term_1,-(SUM($D$7:$D$47)*(1+COI_1)))),0)</f>
        <v>0</v>
      </c>
      <c r="F37" s="4">
        <f>IFERROR(IF(AND(E37=0,SUM(D37:$D$47)&gt;0),SUM($D$7:D37)*Loan_Rate_1*(DAYS360(C36,C37)/360),IPMT(Loan_Rate_1,(ROUND(DAYS360((First_Principal_1-360),C37)/360,0)),Loan_Term_1,-(SUM($D$7:$D$47)*(1+COI_1)))),0)</f>
        <v>0</v>
      </c>
      <c r="G37" s="4">
        <f t="shared" si="0"/>
        <v>0</v>
      </c>
      <c r="I37" s="3">
        <f t="shared" si="8"/>
        <v>56430</v>
      </c>
      <c r="J37" s="4">
        <f>IFERROR(VLOOKUP(I37,Inputs!$A$13:$F$19,I$1+1,0),0)</f>
        <v>0</v>
      </c>
      <c r="K37" s="4">
        <f>IFERROR(IF(SUM(J37:$J$47)&gt;0,0,PPMT(Loan_Rate_2,(ROUND(DAYS360(First_Principal_2-360,I37)/360,0)),Loan_Term_2,-(SUM(J$7:J$47)*(1+COI_2)))),0)</f>
        <v>0</v>
      </c>
      <c r="L37" s="4">
        <f>IFERROR(IF(AND(K37=0,SUM(J37:$J$47)&gt;0),SUM(J$7:J37)*Loan_Rate_2*(DAYS360(I36,I37)/360),IPMT(Loan_Rate_2,(ROUND(DAYS360(First_Principal_2-360,I37)/360,0)),Loan_Term_2,-(SUM(J$7:J$47)*(1+COI_2)))),0)</f>
        <v>0</v>
      </c>
      <c r="M37" s="4">
        <f t="shared" si="1"/>
        <v>0</v>
      </c>
      <c r="O37" s="3">
        <f t="shared" si="9"/>
        <v>56795</v>
      </c>
      <c r="P37" s="4">
        <f>IFERROR(VLOOKUP(O37,Inputs!$A$13:$F$19,O$1+1,0),0)</f>
        <v>0</v>
      </c>
      <c r="Q37" s="4">
        <f>IFERROR(IF(SUM(P37:$P$47)&gt;0,0,PPMT(Loan_Rate_3,(ROUND(DAYS360(First_Principal_3-360,O37)/360,0)),Loan_Term_3,-(SUM(P$7:P$47)*(1+COI_3)))),0)</f>
        <v>0</v>
      </c>
      <c r="R37" s="4">
        <f>IFERROR(IF(AND(Q37=0,SUM(P37:$P$47)&gt;0),SUM(P$7:P37)*Loan_Rate_3*(DAYS360(O36,O37)/360),IPMT(Loan_Rate_3,(ROUND(DAYS360(First_Principal_3-360,O37)/360,0)),Loan_Term_3,-(SUM(P$7:P$47)*(1+COI_3)))),0)</f>
        <v>0</v>
      </c>
      <c r="S37" s="4">
        <f t="shared" si="2"/>
        <v>0</v>
      </c>
      <c r="U37" s="3">
        <f t="shared" si="10"/>
        <v>57161</v>
      </c>
      <c r="V37" s="4">
        <f>IFERROR(VLOOKUP(U37,Inputs!$A$13:$F$19,U$1+1,0),0)</f>
        <v>0</v>
      </c>
      <c r="W37" s="4">
        <f>IFERROR(IF(SUM(V37:V$47)&gt;0,0,PPMT(Loan_Rate_4,(ROUND(DAYS360(First_Principal_4-360,U37)/360,0)),Loan_Term_4,-(SUM(V$7:V$47)*(1+COI_4)))),0)</f>
        <v>0</v>
      </c>
      <c r="X37" s="4">
        <f>IFERROR(IF(AND(W37=0,SUM(V37:$V$47)&gt;0),SUM(V$7:V37)*Loan_Rate_4*(DAYS360(U36,U37)/360),IPMT(Loan_Rate_4,(ROUND(DAYS360(First_Principal_4-360,U37)/360,0)),Loan_Term_4,-(SUM(V$7:V$47)*(1+COI_4)))),0)</f>
        <v>0</v>
      </c>
      <c r="Y37" s="4">
        <f t="shared" si="3"/>
        <v>0</v>
      </c>
      <c r="AA37" s="3">
        <f t="shared" si="11"/>
        <v>57891</v>
      </c>
      <c r="AB37" s="4">
        <f>IFERROR(VLOOKUP(AA37,Inputs!$A$13:$F$19,AA$1+1,0),0)</f>
        <v>0</v>
      </c>
      <c r="AC37" s="4">
        <f>IFERROR(IF(SUM(AB37:AB$47)&gt;0,0,PPMT(Loan_Rate_5,(ROUND(DAYS360(First_Principal_5-360,AA37)/360,0)),Loan_Term_5,-(SUM(AB$7:AB$47)*(1+COI_5)))),0)</f>
        <v>0</v>
      </c>
      <c r="AD37" s="4">
        <f>IFERROR(IF(AND(AC37=0,SUM(AB37:$AB$47)&gt;0),SUM(AB$7:AB37)*Loan_Rate_5*(DAYS360(AA36,AA37)/360),IPMT(Loan_Rate_5,(ROUND(DAYS360(First_Principal_5-360,AA37)/360,0)),Loan_Term_5,-(SUM(AB$7:AB$47)*(1+COI_5)))),0)</f>
        <v>0</v>
      </c>
      <c r="AE37" s="4">
        <f t="shared" si="4"/>
        <v>0</v>
      </c>
      <c r="AG37" s="3" t="e">
        <f t="shared" si="12"/>
        <v>#REF!</v>
      </c>
      <c r="AH37" s="4">
        <f>IFERROR(VLOOKUP(AG37,Inputs!$A$13:$F$19,AG$1+1,0),0)</f>
        <v>0</v>
      </c>
      <c r="AI37" s="4">
        <f>IFERROR(IF(SUM(AH37:AH$47)&gt;0,0,PPMT(Loan_Rate_6,(ROUND(DAYS360(First_Principal_6-360,AG37)/360,0)),Loan_Term_6,-(SUM(AH$7:AH$47)*(1+COI_6)))),0)</f>
        <v>0</v>
      </c>
      <c r="AJ37" s="4">
        <f>IFERROR(IF(AND(AI37=0,SUM(AH37:$AH$47)&gt;0),SUM(AH$7:AH37)*Loan_Rate_6*(DAYS360(AG36,AG37)/360),IPMT(Loan_Rate_6,(ROUND(DAYS360(First_Principal_6-360,AG37)/360,0)),Loan_Term_6,-(SUM(AH$7:AH$47)*(1+COI_6)))),0)</f>
        <v>0</v>
      </c>
      <c r="AK37" s="4">
        <f t="shared" si="5"/>
        <v>0</v>
      </c>
      <c r="AM37" s="3" t="e">
        <f t="shared" si="13"/>
        <v>#REF!</v>
      </c>
      <c r="AN37" s="4">
        <f>IFERROR(VLOOKUP(AM37,Inputs!$A$13:$F$19,AM$1+1,0),0)</f>
        <v>0</v>
      </c>
      <c r="AO37" s="4">
        <f>IFERROR(IF(SUM(AN37:AN$47)&gt;0,0,PPMT(Loan_Rate_7,(ROUND(DAYS360(First_Principal_7-360,AM37)/360,0)),Loan_Term_7,-(SUM(AN$7:AN$47)*(1+COI_7)))),0)</f>
        <v>0</v>
      </c>
      <c r="AP37" s="4">
        <f>IFERROR(IF(AND(AO37=0,SUM(AN37:$AN$47)&gt;0),SUM(AN$7:AN37)*Loan_Rate_7*(DAYS360(AM36,AM37)/360),IPMT(Loan_Rate_7,(ROUND(DAYS360(First_Principal_7-360,AM37)/360,0)),Loan_Term_7,-(SUM(AN$7:AN$47)*(1+COI_7)))),0)</f>
        <v>0</v>
      </c>
      <c r="AQ37" s="4">
        <f t="shared" si="6"/>
        <v>0</v>
      </c>
    </row>
    <row r="38" spans="3:43" x14ac:dyDescent="0.25">
      <c r="C38" s="3">
        <f t="shared" si="7"/>
        <v>56430</v>
      </c>
      <c r="D38" s="4">
        <f>IFERROR(VLOOKUP($C38,Inputs!$A$13:$F$19,'PV &amp; WIFIA Calculation Old'!$C$1+1,0),0)</f>
        <v>0</v>
      </c>
      <c r="E38" s="4">
        <f>IFERROR(IF(SUM(D38:$D$47)&gt;0,0,PPMT(Loan_Rate_1,(ROUND(DAYS360((First_Principal_1-360),C38)/360,0)),Loan_Term_1,-(SUM($D$7:$D$47)*(1+COI_1)))),0)</f>
        <v>0</v>
      </c>
      <c r="F38" s="4">
        <f>IFERROR(IF(AND(E38=0,SUM(D38:$D$47)&gt;0),SUM($D$7:D38)*Loan_Rate_1*(DAYS360(C37,C38)/360),IPMT(Loan_Rate_1,(ROUND(DAYS360((First_Principal_1-360),C38)/360,0)),Loan_Term_1,-(SUM($D$7:$D$47)*(1+COI_1)))),0)</f>
        <v>0</v>
      </c>
      <c r="G38" s="4">
        <f t="shared" si="0"/>
        <v>0</v>
      </c>
      <c r="I38" s="3">
        <f t="shared" si="8"/>
        <v>56795</v>
      </c>
      <c r="J38" s="4">
        <f>IFERROR(VLOOKUP(I38,Inputs!$A$13:$F$19,I$1+1,0),0)</f>
        <v>0</v>
      </c>
      <c r="K38" s="4">
        <f>IFERROR(IF(SUM(J38:$J$47)&gt;0,0,PPMT(Loan_Rate_2,(ROUND(DAYS360(First_Principal_2-360,I38)/360,0)),Loan_Term_2,-(SUM(J$7:J$47)*(1+COI_2)))),0)</f>
        <v>0</v>
      </c>
      <c r="L38" s="4">
        <f>IFERROR(IF(AND(K38=0,SUM(J38:$J$47)&gt;0),SUM(J$7:J38)*Loan_Rate_2*(DAYS360(I37,I38)/360),IPMT(Loan_Rate_2,(ROUND(DAYS360(First_Principal_2-360,I38)/360,0)),Loan_Term_2,-(SUM(J$7:J$47)*(1+COI_2)))),0)</f>
        <v>0</v>
      </c>
      <c r="M38" s="4">
        <f t="shared" si="1"/>
        <v>0</v>
      </c>
      <c r="O38" s="3">
        <f t="shared" si="9"/>
        <v>57161</v>
      </c>
      <c r="P38" s="4">
        <f>IFERROR(VLOOKUP(O38,Inputs!$A$13:$F$19,O$1+1,0),0)</f>
        <v>0</v>
      </c>
      <c r="Q38" s="4">
        <f>IFERROR(IF(SUM(P38:$P$47)&gt;0,0,PPMT(Loan_Rate_3,(ROUND(DAYS360(First_Principal_3-360,O38)/360,0)),Loan_Term_3,-(SUM(P$7:P$47)*(1+COI_3)))),0)</f>
        <v>0</v>
      </c>
      <c r="R38" s="4">
        <f>IFERROR(IF(AND(Q38=0,SUM(P38:$P$47)&gt;0),SUM(P$7:P38)*Loan_Rate_3*(DAYS360(O37,O38)/360),IPMT(Loan_Rate_3,(ROUND(DAYS360(First_Principal_3-360,O38)/360,0)),Loan_Term_3,-(SUM(P$7:P$47)*(1+COI_3)))),0)</f>
        <v>0</v>
      </c>
      <c r="S38" s="4">
        <f t="shared" si="2"/>
        <v>0</v>
      </c>
      <c r="U38" s="3">
        <f t="shared" si="10"/>
        <v>57526</v>
      </c>
      <c r="V38" s="4">
        <f>IFERROR(VLOOKUP(U38,Inputs!$A$13:$F$19,U$1+1,0),0)</f>
        <v>0</v>
      </c>
      <c r="W38" s="4">
        <f>IFERROR(IF(SUM(V38:V$47)&gt;0,0,PPMT(Loan_Rate_4,(ROUND(DAYS360(First_Principal_4-360,U38)/360,0)),Loan_Term_4,-(SUM(V$7:V$47)*(1+COI_4)))),0)</f>
        <v>0</v>
      </c>
      <c r="X38" s="4">
        <f>IFERROR(IF(AND(W38=0,SUM(V38:$V$47)&gt;0),SUM(V$7:V38)*Loan_Rate_4*(DAYS360(U37,U38)/360),IPMT(Loan_Rate_4,(ROUND(DAYS360(First_Principal_4-360,U38)/360,0)),Loan_Term_4,-(SUM(V$7:V$47)*(1+COI_4)))),0)</f>
        <v>0</v>
      </c>
      <c r="Y38" s="4">
        <f t="shared" si="3"/>
        <v>0</v>
      </c>
      <c r="AA38" s="3">
        <f t="shared" si="11"/>
        <v>58256</v>
      </c>
      <c r="AB38" s="4">
        <f>IFERROR(VLOOKUP(AA38,Inputs!$A$13:$F$19,AA$1+1,0),0)</f>
        <v>0</v>
      </c>
      <c r="AC38" s="4">
        <f>IFERROR(IF(SUM(AB38:AB$47)&gt;0,0,PPMT(Loan_Rate_5,(ROUND(DAYS360(First_Principal_5-360,AA38)/360,0)),Loan_Term_5,-(SUM(AB$7:AB$47)*(1+COI_5)))),0)</f>
        <v>0</v>
      </c>
      <c r="AD38" s="4">
        <f>IFERROR(IF(AND(AC38=0,SUM(AB38:$AB$47)&gt;0),SUM(AB$7:AB38)*Loan_Rate_5*(DAYS360(AA37,AA38)/360),IPMT(Loan_Rate_5,(ROUND(DAYS360(First_Principal_5-360,AA38)/360,0)),Loan_Term_5,-(SUM(AB$7:AB$47)*(1+COI_5)))),0)</f>
        <v>0</v>
      </c>
      <c r="AE38" s="4">
        <f t="shared" si="4"/>
        <v>0</v>
      </c>
      <c r="AG38" s="3" t="e">
        <f t="shared" si="12"/>
        <v>#REF!</v>
      </c>
      <c r="AH38" s="4">
        <f>IFERROR(VLOOKUP(AG38,Inputs!$A$13:$F$19,AG$1+1,0),0)</f>
        <v>0</v>
      </c>
      <c r="AI38" s="4">
        <f>IFERROR(IF(SUM(AH38:AH$47)&gt;0,0,PPMT(Loan_Rate_6,(ROUND(DAYS360(First_Principal_6-360,AG38)/360,0)),Loan_Term_6,-(SUM(AH$7:AH$47)*(1+COI_6)))),0)</f>
        <v>0</v>
      </c>
      <c r="AJ38" s="4">
        <f>IFERROR(IF(AND(AI38=0,SUM(AH38:$AH$47)&gt;0),SUM(AH$7:AH38)*Loan_Rate_6*(DAYS360(AG37,AG38)/360),IPMT(Loan_Rate_6,(ROUND(DAYS360(First_Principal_6-360,AG38)/360,0)),Loan_Term_6,-(SUM(AH$7:AH$47)*(1+COI_6)))),0)</f>
        <v>0</v>
      </c>
      <c r="AK38" s="4">
        <f t="shared" si="5"/>
        <v>0</v>
      </c>
      <c r="AM38" s="3" t="e">
        <f t="shared" si="13"/>
        <v>#REF!</v>
      </c>
      <c r="AN38" s="4">
        <f>IFERROR(VLOOKUP(AM38,Inputs!$A$13:$F$19,AM$1+1,0),0)</f>
        <v>0</v>
      </c>
      <c r="AO38" s="4">
        <f>IFERROR(IF(SUM(AN38:AN$47)&gt;0,0,PPMT(Loan_Rate_7,(ROUND(DAYS360(First_Principal_7-360,AM38)/360,0)),Loan_Term_7,-(SUM(AN$7:AN$47)*(1+COI_7)))),0)</f>
        <v>0</v>
      </c>
      <c r="AP38" s="4">
        <f>IFERROR(IF(AND(AO38=0,SUM(AN38:$AN$47)&gt;0),SUM(AN$7:AN38)*Loan_Rate_7*(DAYS360(AM37,AM38)/360),IPMT(Loan_Rate_7,(ROUND(DAYS360(First_Principal_7-360,AM38)/360,0)),Loan_Term_7,-(SUM(AN$7:AN$47)*(1+COI_7)))),0)</f>
        <v>0</v>
      </c>
      <c r="AQ38" s="4">
        <f t="shared" si="6"/>
        <v>0</v>
      </c>
    </row>
    <row r="39" spans="3:43" x14ac:dyDescent="0.25">
      <c r="C39" s="3">
        <f t="shared" si="7"/>
        <v>56795</v>
      </c>
      <c r="D39" s="4">
        <f>IFERROR(VLOOKUP($C39,Inputs!$A$13:$F$19,'PV &amp; WIFIA Calculation Old'!$C$1+1,0),0)</f>
        <v>0</v>
      </c>
      <c r="E39" s="4">
        <f>IFERROR(IF(SUM(D39:$D$47)&gt;0,0,PPMT(Loan_Rate_1,(ROUND(DAYS360((First_Principal_1-360),C39)/360,0)),Loan_Term_1,-(SUM($D$7:$D$47)*(1+COI_1)))),0)</f>
        <v>0</v>
      </c>
      <c r="F39" s="4">
        <f>IFERROR(IF(AND(E39=0,SUM(D39:$D$47)&gt;0),SUM($D$7:D39)*Loan_Rate_1*(DAYS360(C38,C39)/360),IPMT(Loan_Rate_1,(ROUND(DAYS360((First_Principal_1-360),C39)/360,0)),Loan_Term_1,-(SUM($D$7:$D$47)*(1+COI_1)))),0)</f>
        <v>0</v>
      </c>
      <c r="G39" s="4">
        <f t="shared" si="0"/>
        <v>0</v>
      </c>
      <c r="I39" s="3">
        <f t="shared" si="8"/>
        <v>57161</v>
      </c>
      <c r="J39" s="4">
        <f>IFERROR(VLOOKUP(I39,Inputs!$A$13:$F$19,I$1+1,0),0)</f>
        <v>0</v>
      </c>
      <c r="K39" s="4">
        <f>IFERROR(IF(SUM(J39:$J$47)&gt;0,0,PPMT(Loan_Rate_2,(ROUND(DAYS360(First_Principal_2-360,I39)/360,0)),Loan_Term_2,-(SUM(J$7:J$47)*(1+COI_2)))),0)</f>
        <v>0</v>
      </c>
      <c r="L39" s="4">
        <f>IFERROR(IF(AND(K39=0,SUM(J39:$J$47)&gt;0),SUM(J$7:J39)*Loan_Rate_2*(DAYS360(I38,I39)/360),IPMT(Loan_Rate_2,(ROUND(DAYS360(First_Principal_2-360,I39)/360,0)),Loan_Term_2,-(SUM(J$7:J$47)*(1+COI_2)))),0)</f>
        <v>0</v>
      </c>
      <c r="M39" s="4">
        <f t="shared" si="1"/>
        <v>0</v>
      </c>
      <c r="O39" s="3">
        <f t="shared" si="9"/>
        <v>57526</v>
      </c>
      <c r="P39" s="4">
        <f>IFERROR(VLOOKUP(O39,Inputs!$A$13:$F$19,O$1+1,0),0)</f>
        <v>0</v>
      </c>
      <c r="Q39" s="4">
        <f>IFERROR(IF(SUM(P39:$P$47)&gt;0,0,PPMT(Loan_Rate_3,(ROUND(DAYS360(First_Principal_3-360,O39)/360,0)),Loan_Term_3,-(SUM(P$7:P$47)*(1+COI_3)))),0)</f>
        <v>0</v>
      </c>
      <c r="R39" s="4">
        <f>IFERROR(IF(AND(Q39=0,SUM(P39:$P$47)&gt;0),SUM(P$7:P39)*Loan_Rate_3*(DAYS360(O38,O39)/360),IPMT(Loan_Rate_3,(ROUND(DAYS360(First_Principal_3-360,O39)/360,0)),Loan_Term_3,-(SUM(P$7:P$47)*(1+COI_3)))),0)</f>
        <v>0</v>
      </c>
      <c r="S39" s="4">
        <f t="shared" si="2"/>
        <v>0</v>
      </c>
      <c r="U39" s="3">
        <f t="shared" si="10"/>
        <v>57891</v>
      </c>
      <c r="V39" s="4">
        <f>IFERROR(VLOOKUP(U39,Inputs!$A$13:$F$19,U$1+1,0),0)</f>
        <v>0</v>
      </c>
      <c r="W39" s="4">
        <f>IFERROR(IF(SUM(V39:V$47)&gt;0,0,PPMT(Loan_Rate_4,(ROUND(DAYS360(First_Principal_4-360,U39)/360,0)),Loan_Term_4,-(SUM(V$7:V$47)*(1+COI_4)))),0)</f>
        <v>0</v>
      </c>
      <c r="X39" s="4">
        <f>IFERROR(IF(AND(W39=0,SUM(V39:$V$47)&gt;0),SUM(V$7:V39)*Loan_Rate_4*(DAYS360(U38,U39)/360),IPMT(Loan_Rate_4,(ROUND(DAYS360(First_Principal_4-360,U39)/360,0)),Loan_Term_4,-(SUM(V$7:V$47)*(1+COI_4)))),0)</f>
        <v>0</v>
      </c>
      <c r="Y39" s="4">
        <f t="shared" si="3"/>
        <v>0</v>
      </c>
      <c r="AA39" s="3">
        <f t="shared" si="11"/>
        <v>58622</v>
      </c>
      <c r="AB39" s="4">
        <f>IFERROR(VLOOKUP(AA39,Inputs!$A$13:$F$19,AA$1+1,0),0)</f>
        <v>0</v>
      </c>
      <c r="AC39" s="4">
        <f>IFERROR(IF(SUM(AB39:AB$47)&gt;0,0,PPMT(Loan_Rate_5,(ROUND(DAYS360(First_Principal_5-360,AA39)/360,0)),Loan_Term_5,-(SUM(AB$7:AB$47)*(1+COI_5)))),0)</f>
        <v>0</v>
      </c>
      <c r="AD39" s="4">
        <f>IFERROR(IF(AND(AC39=0,SUM(AB39:$AB$47)&gt;0),SUM(AB$7:AB39)*Loan_Rate_5*(DAYS360(AA38,AA39)/360),IPMT(Loan_Rate_5,(ROUND(DAYS360(First_Principal_5-360,AA39)/360,0)),Loan_Term_5,-(SUM(AB$7:AB$47)*(1+COI_5)))),0)</f>
        <v>0</v>
      </c>
      <c r="AE39" s="4">
        <f t="shared" si="4"/>
        <v>0</v>
      </c>
      <c r="AG39" s="3" t="e">
        <f t="shared" si="12"/>
        <v>#REF!</v>
      </c>
      <c r="AH39" s="4">
        <f>IFERROR(VLOOKUP(AG39,Inputs!$A$13:$F$19,AG$1+1,0),0)</f>
        <v>0</v>
      </c>
      <c r="AI39" s="4">
        <f>IFERROR(IF(SUM(AH39:AH$47)&gt;0,0,PPMT(Loan_Rate_6,(ROUND(DAYS360(First_Principal_6-360,AG39)/360,0)),Loan_Term_6,-(SUM(AH$7:AH$47)*(1+COI_6)))),0)</f>
        <v>0</v>
      </c>
      <c r="AJ39" s="4">
        <f>IFERROR(IF(AND(AI39=0,SUM(AH39:$AH$47)&gt;0),SUM(AH$7:AH39)*Loan_Rate_6*(DAYS360(AG38,AG39)/360),IPMT(Loan_Rate_6,(ROUND(DAYS360(First_Principal_6-360,AG39)/360,0)),Loan_Term_6,-(SUM(AH$7:AH$47)*(1+COI_6)))),0)</f>
        <v>0</v>
      </c>
      <c r="AK39" s="4">
        <f t="shared" si="5"/>
        <v>0</v>
      </c>
      <c r="AM39" s="3" t="e">
        <f t="shared" si="13"/>
        <v>#REF!</v>
      </c>
      <c r="AN39" s="4">
        <f>IFERROR(VLOOKUP(AM39,Inputs!$A$13:$F$19,AM$1+1,0),0)</f>
        <v>0</v>
      </c>
      <c r="AO39" s="4">
        <f>IFERROR(IF(SUM(AN39:AN$47)&gt;0,0,PPMT(Loan_Rate_7,(ROUND(DAYS360(First_Principal_7-360,AM39)/360,0)),Loan_Term_7,-(SUM(AN$7:AN$47)*(1+COI_7)))),0)</f>
        <v>0</v>
      </c>
      <c r="AP39" s="4">
        <f>IFERROR(IF(AND(AO39=0,SUM(AN39:$AN$47)&gt;0),SUM(AN$7:AN39)*Loan_Rate_7*(DAYS360(AM38,AM39)/360),IPMT(Loan_Rate_7,(ROUND(DAYS360(First_Principal_7-360,AM39)/360,0)),Loan_Term_7,-(SUM(AN$7:AN$47)*(1+COI_7)))),0)</f>
        <v>0</v>
      </c>
      <c r="AQ39" s="4">
        <f t="shared" si="6"/>
        <v>0</v>
      </c>
    </row>
    <row r="40" spans="3:43" x14ac:dyDescent="0.25">
      <c r="C40" s="3">
        <f t="shared" si="7"/>
        <v>57161</v>
      </c>
      <c r="D40" s="4">
        <f>IFERROR(VLOOKUP($C40,Inputs!$A$13:$F$19,'PV &amp; WIFIA Calculation Old'!$C$1+1,0),0)</f>
        <v>0</v>
      </c>
      <c r="E40" s="4">
        <f>IFERROR(IF(SUM(D40:$D$47)&gt;0,0,PPMT(Loan_Rate_1,(ROUND(DAYS360((First_Principal_1-360),C40)/360,0)),Loan_Term_1,-(SUM($D$7:$D$47)*(1+COI_1)))),0)</f>
        <v>0</v>
      </c>
      <c r="F40" s="4">
        <f>IFERROR(IF(AND(E40=0,SUM(D40:$D$47)&gt;0),SUM($D$7:D40)*Loan_Rate_1*(DAYS360(C39,C40)/360),IPMT(Loan_Rate_1,(ROUND(DAYS360((First_Principal_1-360),C40)/360,0)),Loan_Term_1,-(SUM($D$7:$D$47)*(1+COI_1)))),0)</f>
        <v>0</v>
      </c>
      <c r="G40" s="4">
        <f t="shared" si="0"/>
        <v>0</v>
      </c>
      <c r="I40" s="3">
        <f t="shared" si="8"/>
        <v>57526</v>
      </c>
      <c r="J40" s="4">
        <f>IFERROR(VLOOKUP(I40,Inputs!$A$13:$F$19,I$1+1,0),0)</f>
        <v>0</v>
      </c>
      <c r="K40" s="4">
        <f>IFERROR(IF(SUM(J40:$J$47)&gt;0,0,PPMT(Loan_Rate_2,(ROUND(DAYS360(First_Principal_2-360,I40)/360,0)),Loan_Term_2,-(SUM(J$7:J$47)*(1+COI_2)))),0)</f>
        <v>0</v>
      </c>
      <c r="L40" s="4">
        <f>IFERROR(IF(AND(K40=0,SUM(J40:$J$47)&gt;0),SUM(J$7:J40)*Loan_Rate_2*(DAYS360(I39,I40)/360),IPMT(Loan_Rate_2,(ROUND(DAYS360(First_Principal_2-360,I40)/360,0)),Loan_Term_2,-(SUM(J$7:J$47)*(1+COI_2)))),0)</f>
        <v>0</v>
      </c>
      <c r="M40" s="4">
        <f t="shared" si="1"/>
        <v>0</v>
      </c>
      <c r="O40" s="3">
        <f t="shared" si="9"/>
        <v>57891</v>
      </c>
      <c r="P40" s="4">
        <f>IFERROR(VLOOKUP(O40,Inputs!$A$13:$F$19,O$1+1,0),0)</f>
        <v>0</v>
      </c>
      <c r="Q40" s="4">
        <f>IFERROR(IF(SUM(P40:$P$47)&gt;0,0,PPMT(Loan_Rate_3,(ROUND(DAYS360(First_Principal_3-360,O40)/360,0)),Loan_Term_3,-(SUM(P$7:P$47)*(1+COI_3)))),0)</f>
        <v>0</v>
      </c>
      <c r="R40" s="4">
        <f>IFERROR(IF(AND(Q40=0,SUM(P40:$P$47)&gt;0),SUM(P$7:P40)*Loan_Rate_3*(DAYS360(O39,O40)/360),IPMT(Loan_Rate_3,(ROUND(DAYS360(First_Principal_3-360,O40)/360,0)),Loan_Term_3,-(SUM(P$7:P$47)*(1+COI_3)))),0)</f>
        <v>0</v>
      </c>
      <c r="S40" s="4">
        <f t="shared" si="2"/>
        <v>0</v>
      </c>
      <c r="U40" s="3">
        <f t="shared" si="10"/>
        <v>58256</v>
      </c>
      <c r="V40" s="4">
        <f>IFERROR(VLOOKUP(U40,Inputs!$A$13:$F$19,U$1+1,0),0)</f>
        <v>0</v>
      </c>
      <c r="W40" s="4">
        <f>IFERROR(IF(SUM(V40:V$47)&gt;0,0,PPMT(Loan_Rate_4,(ROUND(DAYS360(First_Principal_4-360,U40)/360,0)),Loan_Term_4,-(SUM(V$7:V$47)*(1+COI_4)))),0)</f>
        <v>0</v>
      </c>
      <c r="X40" s="4">
        <f>IFERROR(IF(AND(W40=0,SUM(V40:$V$47)&gt;0),SUM(V$7:V40)*Loan_Rate_4*(DAYS360(U39,U40)/360),IPMT(Loan_Rate_4,(ROUND(DAYS360(First_Principal_4-360,U40)/360,0)),Loan_Term_4,-(SUM(V$7:V$47)*(1+COI_4)))),0)</f>
        <v>0</v>
      </c>
      <c r="Y40" s="4">
        <f t="shared" si="3"/>
        <v>0</v>
      </c>
      <c r="AA40" s="3">
        <f t="shared" si="11"/>
        <v>58987</v>
      </c>
      <c r="AB40" s="4">
        <f>IFERROR(VLOOKUP(AA40,Inputs!$A$13:$F$19,AA$1+1,0),0)</f>
        <v>0</v>
      </c>
      <c r="AC40" s="4">
        <f>IFERROR(IF(SUM(AB40:AB$47)&gt;0,0,PPMT(Loan_Rate_5,(ROUND(DAYS360(First_Principal_5-360,AA40)/360,0)),Loan_Term_5,-(SUM(AB$7:AB$47)*(1+COI_5)))),0)</f>
        <v>0</v>
      </c>
      <c r="AD40" s="4">
        <f>IFERROR(IF(AND(AC40=0,SUM(AB40:$AB$47)&gt;0),SUM(AB$7:AB40)*Loan_Rate_5*(DAYS360(AA39,AA40)/360),IPMT(Loan_Rate_5,(ROUND(DAYS360(First_Principal_5-360,AA40)/360,0)),Loan_Term_5,-(SUM(AB$7:AB$47)*(1+COI_5)))),0)</f>
        <v>0</v>
      </c>
      <c r="AE40" s="4">
        <f t="shared" si="4"/>
        <v>0</v>
      </c>
      <c r="AG40" s="3" t="e">
        <f t="shared" si="12"/>
        <v>#REF!</v>
      </c>
      <c r="AH40" s="4">
        <f>IFERROR(VLOOKUP(AG40,Inputs!$A$13:$F$19,AG$1+1,0),0)</f>
        <v>0</v>
      </c>
      <c r="AI40" s="4">
        <f>IFERROR(IF(SUM(AH40:AH$47)&gt;0,0,PPMT(Loan_Rate_6,(ROUND(DAYS360(First_Principal_6-360,AG40)/360,0)),Loan_Term_6,-(SUM(AH$7:AH$47)*(1+COI_6)))),0)</f>
        <v>0</v>
      </c>
      <c r="AJ40" s="4">
        <f>IFERROR(IF(AND(AI40=0,SUM(AH40:$AH$47)&gt;0),SUM(AH$7:AH40)*Loan_Rate_6*(DAYS360(AG39,AG40)/360),IPMT(Loan_Rate_6,(ROUND(DAYS360(First_Principal_6-360,AG40)/360,0)),Loan_Term_6,-(SUM(AH$7:AH$47)*(1+COI_6)))),0)</f>
        <v>0</v>
      </c>
      <c r="AK40" s="4">
        <f t="shared" si="5"/>
        <v>0</v>
      </c>
      <c r="AM40" s="3" t="e">
        <f t="shared" si="13"/>
        <v>#REF!</v>
      </c>
      <c r="AN40" s="4">
        <f>IFERROR(VLOOKUP(AM40,Inputs!$A$13:$F$19,AM$1+1,0),0)</f>
        <v>0</v>
      </c>
      <c r="AO40" s="4">
        <f>IFERROR(IF(SUM(AN40:AN$47)&gt;0,0,PPMT(Loan_Rate_7,(ROUND(DAYS360(First_Principal_7-360,AM40)/360,0)),Loan_Term_7,-(SUM(AN$7:AN$47)*(1+COI_7)))),0)</f>
        <v>0</v>
      </c>
      <c r="AP40" s="4">
        <f>IFERROR(IF(AND(AO40=0,SUM(AN40:$AN$47)&gt;0),SUM(AN$7:AN40)*Loan_Rate_7*(DAYS360(AM39,AM40)/360),IPMT(Loan_Rate_7,(ROUND(DAYS360(First_Principal_7-360,AM40)/360,0)),Loan_Term_7,-(SUM(AN$7:AN$47)*(1+COI_7)))),0)</f>
        <v>0</v>
      </c>
      <c r="AQ40" s="4">
        <f t="shared" si="6"/>
        <v>0</v>
      </c>
    </row>
    <row r="41" spans="3:43" x14ac:dyDescent="0.25">
      <c r="C41" s="3">
        <f t="shared" si="7"/>
        <v>57526</v>
      </c>
      <c r="D41" s="4">
        <f>IFERROR(VLOOKUP($C41,Inputs!$A$13:$F$19,'PV &amp; WIFIA Calculation Old'!$C$1+1,0),0)</f>
        <v>0</v>
      </c>
      <c r="E41" s="4">
        <f>IFERROR(IF(SUM(D41:$D$47)&gt;0,0,PPMT(Loan_Rate_1,(ROUND(DAYS360((First_Principal_1-360),C41)/360,0)),Loan_Term_1,-(SUM($D$7:$D$47)*(1+COI_1)))),0)</f>
        <v>0</v>
      </c>
      <c r="F41" s="4">
        <f>IFERROR(IF(AND(E41=0,SUM(D41:$D$47)&gt;0),SUM($D$7:D41)*Loan_Rate_1*(DAYS360(C40,C41)/360),IPMT(Loan_Rate_1,(ROUND(DAYS360((First_Principal_1-360),C41)/360,0)),Loan_Term_1,-(SUM($D$7:$D$47)*(1+COI_1)))),0)</f>
        <v>0</v>
      </c>
      <c r="G41" s="4">
        <f t="shared" si="0"/>
        <v>0</v>
      </c>
      <c r="I41" s="3">
        <f t="shared" si="8"/>
        <v>57891</v>
      </c>
      <c r="J41" s="4">
        <f>IFERROR(VLOOKUP(I41,Inputs!$A$13:$F$19,I$1+1,0),0)</f>
        <v>0</v>
      </c>
      <c r="K41" s="4">
        <f>IFERROR(IF(SUM(J41:$J$47)&gt;0,0,PPMT(Loan_Rate_2,(ROUND(DAYS360(First_Principal_2-360,I41)/360,0)),Loan_Term_2,-(SUM(J$7:J$47)*(1+COI_2)))),0)</f>
        <v>0</v>
      </c>
      <c r="L41" s="4">
        <f>IFERROR(IF(AND(K41=0,SUM(J41:$J$47)&gt;0),SUM(J$7:J41)*Loan_Rate_2*(DAYS360(I40,I41)/360),IPMT(Loan_Rate_2,(ROUND(DAYS360(First_Principal_2-360,I41)/360,0)),Loan_Term_2,-(SUM(J$7:J$47)*(1+COI_2)))),0)</f>
        <v>0</v>
      </c>
      <c r="M41" s="4">
        <f t="shared" si="1"/>
        <v>0</v>
      </c>
      <c r="O41" s="3">
        <f t="shared" si="9"/>
        <v>58256</v>
      </c>
      <c r="P41" s="4">
        <f>IFERROR(VLOOKUP(O41,Inputs!$A$13:$F$19,O$1+1,0),0)</f>
        <v>0</v>
      </c>
      <c r="Q41" s="4">
        <f>IFERROR(IF(SUM(P41:$P$47)&gt;0,0,PPMT(Loan_Rate_3,(ROUND(DAYS360(First_Principal_3-360,O41)/360,0)),Loan_Term_3,-(SUM(P$7:P$47)*(1+COI_3)))),0)</f>
        <v>0</v>
      </c>
      <c r="R41" s="4">
        <f>IFERROR(IF(AND(Q41=0,SUM(P41:$P$47)&gt;0),SUM(P$7:P41)*Loan_Rate_3*(DAYS360(O40,O41)/360),IPMT(Loan_Rate_3,(ROUND(DAYS360(First_Principal_3-360,O41)/360,0)),Loan_Term_3,-(SUM(P$7:P$47)*(1+COI_3)))),0)</f>
        <v>0</v>
      </c>
      <c r="S41" s="4">
        <f t="shared" si="2"/>
        <v>0</v>
      </c>
      <c r="U41" s="3">
        <f t="shared" si="10"/>
        <v>58622</v>
      </c>
      <c r="V41" s="4">
        <f>IFERROR(VLOOKUP(U41,Inputs!$A$13:$F$19,U$1+1,0),0)</f>
        <v>0</v>
      </c>
      <c r="W41" s="4">
        <f>IFERROR(IF(SUM(V41:V$47)&gt;0,0,PPMT(Loan_Rate_4,(ROUND(DAYS360(First_Principal_4-360,U41)/360,0)),Loan_Term_4,-(SUM(V$7:V$47)*(1+COI_4)))),0)</f>
        <v>0</v>
      </c>
      <c r="X41" s="4">
        <f>IFERROR(IF(AND(W41=0,SUM(V41:$V$47)&gt;0),SUM(V$7:V41)*Loan_Rate_4*(DAYS360(U40,U41)/360),IPMT(Loan_Rate_4,(ROUND(DAYS360(First_Principal_4-360,U41)/360,0)),Loan_Term_4,-(SUM(V$7:V$47)*(1+COI_4)))),0)</f>
        <v>0</v>
      </c>
      <c r="Y41" s="4">
        <f t="shared" si="3"/>
        <v>0</v>
      </c>
      <c r="AA41" s="3">
        <f t="shared" si="11"/>
        <v>59352</v>
      </c>
      <c r="AB41" s="4">
        <f>IFERROR(VLOOKUP(AA41,Inputs!$A$13:$F$19,AA$1+1,0),0)</f>
        <v>0</v>
      </c>
      <c r="AC41" s="4">
        <f>IFERROR(IF(SUM(AB41:AB$47)&gt;0,0,PPMT(Loan_Rate_5,(ROUND(DAYS360(First_Principal_5-360,AA41)/360,0)),Loan_Term_5,-(SUM(AB$7:AB$47)*(1+COI_5)))),0)</f>
        <v>0</v>
      </c>
      <c r="AD41" s="4">
        <f>IFERROR(IF(AND(AC41=0,SUM(AB41:$AB$47)&gt;0),SUM(AB$7:AB41)*Loan_Rate_5*(DAYS360(AA40,AA41)/360),IPMT(Loan_Rate_5,(ROUND(DAYS360(First_Principal_5-360,AA41)/360,0)),Loan_Term_5,-(SUM(AB$7:AB$47)*(1+COI_5)))),0)</f>
        <v>0</v>
      </c>
      <c r="AE41" s="4">
        <f t="shared" si="4"/>
        <v>0</v>
      </c>
      <c r="AG41" s="3" t="e">
        <f t="shared" si="12"/>
        <v>#REF!</v>
      </c>
      <c r="AH41" s="4">
        <f>IFERROR(VLOOKUP(AG41,Inputs!$A$13:$F$19,AG$1+1,0),0)</f>
        <v>0</v>
      </c>
      <c r="AI41" s="4">
        <f>IFERROR(IF(SUM(AH41:AH$47)&gt;0,0,PPMT(Loan_Rate_6,(ROUND(DAYS360(First_Principal_6-360,AG41)/360,0)),Loan_Term_6,-(SUM(AH$7:AH$47)*(1+COI_6)))),0)</f>
        <v>0</v>
      </c>
      <c r="AJ41" s="4">
        <f>IFERROR(IF(AND(AI41=0,SUM(AH41:$AH$47)&gt;0),SUM(AH$7:AH41)*Loan_Rate_6*(DAYS360(AG40,AG41)/360),IPMT(Loan_Rate_6,(ROUND(DAYS360(First_Principal_6-360,AG41)/360,0)),Loan_Term_6,-(SUM(AH$7:AH$47)*(1+COI_6)))),0)</f>
        <v>0</v>
      </c>
      <c r="AK41" s="4">
        <f t="shared" si="5"/>
        <v>0</v>
      </c>
      <c r="AM41" s="3" t="e">
        <f t="shared" si="13"/>
        <v>#REF!</v>
      </c>
      <c r="AN41" s="4">
        <f>IFERROR(VLOOKUP(AM41,Inputs!$A$13:$F$19,AM$1+1,0),0)</f>
        <v>0</v>
      </c>
      <c r="AO41" s="4">
        <f>IFERROR(IF(SUM(AN41:AN$47)&gt;0,0,PPMT(Loan_Rate_7,(ROUND(DAYS360(First_Principal_7-360,AM41)/360,0)),Loan_Term_7,-(SUM(AN$7:AN$47)*(1+COI_7)))),0)</f>
        <v>0</v>
      </c>
      <c r="AP41" s="4">
        <f>IFERROR(IF(AND(AO41=0,SUM(AN41:$AN$47)&gt;0),SUM(AN$7:AN41)*Loan_Rate_7*(DAYS360(AM40,AM41)/360),IPMT(Loan_Rate_7,(ROUND(DAYS360(First_Principal_7-360,AM41)/360,0)),Loan_Term_7,-(SUM(AN$7:AN$47)*(1+COI_7)))),0)</f>
        <v>0</v>
      </c>
      <c r="AQ41" s="4">
        <f t="shared" si="6"/>
        <v>0</v>
      </c>
    </row>
    <row r="42" spans="3:43" x14ac:dyDescent="0.25">
      <c r="C42" s="3">
        <f t="shared" si="7"/>
        <v>57891</v>
      </c>
      <c r="D42" s="4">
        <f>IFERROR(VLOOKUP($C42,Inputs!$A$13:$F$19,'PV &amp; WIFIA Calculation Old'!$C$1+1,0),0)</f>
        <v>0</v>
      </c>
      <c r="E42" s="4">
        <f>IFERROR(IF(SUM(D42:$D$47)&gt;0,0,PPMT(Loan_Rate_1,(ROUND(DAYS360((First_Principal_1-360),C42)/360,0)),Loan_Term_1,-(SUM($D$7:$D$47)*(1+COI_1)))),0)</f>
        <v>0</v>
      </c>
      <c r="F42" s="4">
        <f>IFERROR(IF(AND(E42=0,SUM(D42:$D$47)&gt;0),SUM($D$7:D42)*Loan_Rate_1*(DAYS360(C41,C42)/360),IPMT(Loan_Rate_1,(ROUND(DAYS360((First_Principal_1-360),C42)/360,0)),Loan_Term_1,-(SUM($D$7:$D$47)*(1+COI_1)))),0)</f>
        <v>0</v>
      </c>
      <c r="G42" s="4">
        <f t="shared" si="0"/>
        <v>0</v>
      </c>
      <c r="I42" s="3">
        <f t="shared" si="8"/>
        <v>58256</v>
      </c>
      <c r="J42" s="4">
        <f>IFERROR(VLOOKUP(I42,Inputs!$A$13:$F$19,I$1+1,0),0)</f>
        <v>0</v>
      </c>
      <c r="K42" s="4">
        <f>IFERROR(IF(SUM(J42:$J$47)&gt;0,0,PPMT(Loan_Rate_2,(ROUND(DAYS360(First_Principal_2-360,I42)/360,0)),Loan_Term_2,-(SUM(J$7:J$47)*(1+COI_2)))),0)</f>
        <v>0</v>
      </c>
      <c r="L42" s="4">
        <f>IFERROR(IF(AND(K42=0,SUM(J42:$J$47)&gt;0),SUM(J$7:J42)*Loan_Rate_2*(DAYS360(I41,I42)/360),IPMT(Loan_Rate_2,(ROUND(DAYS360(First_Principal_2-360,I42)/360,0)),Loan_Term_2,-(SUM(J$7:J$47)*(1+COI_2)))),0)</f>
        <v>0</v>
      </c>
      <c r="M42" s="4">
        <f t="shared" si="1"/>
        <v>0</v>
      </c>
      <c r="O42" s="3">
        <f t="shared" si="9"/>
        <v>58622</v>
      </c>
      <c r="P42" s="4">
        <f>IFERROR(VLOOKUP(O42,Inputs!$A$13:$F$19,O$1+1,0),0)</f>
        <v>0</v>
      </c>
      <c r="Q42" s="4">
        <f>IFERROR(IF(SUM(P42:$P$47)&gt;0,0,PPMT(Loan_Rate_3,(ROUND(DAYS360(First_Principal_3-360,O42)/360,0)),Loan_Term_3,-(SUM(P$7:P$47)*(1+COI_3)))),0)</f>
        <v>0</v>
      </c>
      <c r="R42" s="4">
        <f>IFERROR(IF(AND(Q42=0,SUM(P42:$P$47)&gt;0),SUM(P$7:P42)*Loan_Rate_3*(DAYS360(O41,O42)/360),IPMT(Loan_Rate_3,(ROUND(DAYS360(First_Principal_3-360,O42)/360,0)),Loan_Term_3,-(SUM(P$7:P$47)*(1+COI_3)))),0)</f>
        <v>0</v>
      </c>
      <c r="S42" s="4">
        <f t="shared" si="2"/>
        <v>0</v>
      </c>
      <c r="U42" s="3">
        <f t="shared" si="10"/>
        <v>58987</v>
      </c>
      <c r="V42" s="4">
        <f>IFERROR(VLOOKUP(U42,Inputs!$A$13:$F$19,U$1+1,0),0)</f>
        <v>0</v>
      </c>
      <c r="W42" s="4">
        <f>IFERROR(IF(SUM(V42:V$47)&gt;0,0,PPMT(Loan_Rate_4,(ROUND(DAYS360(First_Principal_4-360,U42)/360,0)),Loan_Term_4,-(SUM(V$7:V$47)*(1+COI_4)))),0)</f>
        <v>0</v>
      </c>
      <c r="X42" s="4">
        <f>IFERROR(IF(AND(W42=0,SUM(V42:$V$47)&gt;0),SUM(V$7:V42)*Loan_Rate_4*(DAYS360(U41,U42)/360),IPMT(Loan_Rate_4,(ROUND(DAYS360(First_Principal_4-360,U42)/360,0)),Loan_Term_4,-(SUM(V$7:V$47)*(1+COI_4)))),0)</f>
        <v>0</v>
      </c>
      <c r="Y42" s="4">
        <f t="shared" si="3"/>
        <v>0</v>
      </c>
      <c r="AA42" s="3">
        <f t="shared" si="11"/>
        <v>59717</v>
      </c>
      <c r="AB42" s="4">
        <f>IFERROR(VLOOKUP(AA42,Inputs!$A$13:$F$19,AA$1+1,0),0)</f>
        <v>0</v>
      </c>
      <c r="AC42" s="4">
        <f>IFERROR(IF(SUM(AB42:AB$47)&gt;0,0,PPMT(Loan_Rate_5,(ROUND(DAYS360(First_Principal_5-360,AA42)/360,0)),Loan_Term_5,-(SUM(AB$7:AB$47)*(1+COI_5)))),0)</f>
        <v>0</v>
      </c>
      <c r="AD42" s="4">
        <f>IFERROR(IF(AND(AC42=0,SUM(AB42:$AB$47)&gt;0),SUM(AB$7:AB42)*Loan_Rate_5*(DAYS360(AA41,AA42)/360),IPMT(Loan_Rate_5,(ROUND(DAYS360(First_Principal_5-360,AA42)/360,0)),Loan_Term_5,-(SUM(AB$7:AB$47)*(1+COI_5)))),0)</f>
        <v>0</v>
      </c>
      <c r="AE42" s="4">
        <f t="shared" si="4"/>
        <v>0</v>
      </c>
      <c r="AG42" s="3" t="e">
        <f t="shared" si="12"/>
        <v>#REF!</v>
      </c>
      <c r="AH42" s="4">
        <f>IFERROR(VLOOKUP(AG42,Inputs!$A$13:$F$19,AG$1+1,0),0)</f>
        <v>0</v>
      </c>
      <c r="AI42" s="4">
        <f>IFERROR(IF(SUM(AH42:AH$47)&gt;0,0,PPMT(Loan_Rate_6,(ROUND(DAYS360(First_Principal_6-360,AG42)/360,0)),Loan_Term_6,-(SUM(AH$7:AH$47)*(1+COI_6)))),0)</f>
        <v>0</v>
      </c>
      <c r="AJ42" s="4">
        <f>IFERROR(IF(AND(AI42=0,SUM(AH42:$AH$47)&gt;0),SUM(AH$7:AH42)*Loan_Rate_6*(DAYS360(AG41,AG42)/360),IPMT(Loan_Rate_6,(ROUND(DAYS360(First_Principal_6-360,AG42)/360,0)),Loan_Term_6,-(SUM(AH$7:AH$47)*(1+COI_6)))),0)</f>
        <v>0</v>
      </c>
      <c r="AK42" s="4">
        <f t="shared" si="5"/>
        <v>0</v>
      </c>
      <c r="AM42" s="3" t="e">
        <f t="shared" si="13"/>
        <v>#REF!</v>
      </c>
      <c r="AN42" s="4">
        <f>IFERROR(VLOOKUP(AM42,Inputs!$A$13:$F$19,AM$1+1,0),0)</f>
        <v>0</v>
      </c>
      <c r="AO42" s="4">
        <f>IFERROR(IF(SUM(AN42:AN$47)&gt;0,0,PPMT(Loan_Rate_7,(ROUND(DAYS360(First_Principal_7-360,AM42)/360,0)),Loan_Term_7,-(SUM(AN$7:AN$47)*(1+COI_7)))),0)</f>
        <v>0</v>
      </c>
      <c r="AP42" s="4">
        <f>IFERROR(IF(AND(AO42=0,SUM(AN42:$AN$47)&gt;0),SUM(AN$7:AN42)*Loan_Rate_7*(DAYS360(AM41,AM42)/360),IPMT(Loan_Rate_7,(ROUND(DAYS360(First_Principal_7-360,AM42)/360,0)),Loan_Term_7,-(SUM(AN$7:AN$47)*(1+COI_7)))),0)</f>
        <v>0</v>
      </c>
      <c r="AQ42" s="4">
        <f t="shared" si="6"/>
        <v>0</v>
      </c>
    </row>
    <row r="43" spans="3:43" x14ac:dyDescent="0.25">
      <c r="C43" s="3">
        <f t="shared" si="7"/>
        <v>58256</v>
      </c>
      <c r="D43" s="4">
        <f>IFERROR(VLOOKUP($C43,Inputs!$A$13:$F$19,'PV &amp; WIFIA Calculation Old'!$C$1+1,0),0)</f>
        <v>0</v>
      </c>
      <c r="E43" s="4">
        <f>IFERROR(IF(SUM(D43:$D$47)&gt;0,0,PPMT(Loan_Rate_1,(ROUND(DAYS360((First_Principal_1-360),C43)/360,0)),Loan_Term_1,-(SUM($D$7:$D$47)*(1+COI_1)))),0)</f>
        <v>0</v>
      </c>
      <c r="F43" s="4">
        <f>IFERROR(IF(AND(E43=0,SUM(D43:$D$47)&gt;0),SUM($D$7:D43)*Loan_Rate_1*(DAYS360(C42,C43)/360),IPMT(Loan_Rate_1,(ROUND(DAYS360((First_Principal_1-360),C43)/360,0)),Loan_Term_1,-(SUM($D$7:$D$47)*(1+COI_1)))),0)</f>
        <v>0</v>
      </c>
      <c r="G43" s="4">
        <f t="shared" si="0"/>
        <v>0</v>
      </c>
      <c r="I43" s="3">
        <f t="shared" si="8"/>
        <v>58622</v>
      </c>
      <c r="J43" s="4">
        <f>IFERROR(VLOOKUP(I43,Inputs!$A$13:$F$19,I$1+1,0),0)</f>
        <v>0</v>
      </c>
      <c r="K43" s="4">
        <f>IFERROR(IF(SUM(J43:$J$47)&gt;0,0,PPMT(Loan_Rate_2,(ROUND(DAYS360(First_Principal_2-360,I43)/360,0)),Loan_Term_2,-(SUM(J$7:J$47)*(1+COI_2)))),0)</f>
        <v>0</v>
      </c>
      <c r="L43" s="4">
        <f>IFERROR(IF(AND(K43=0,SUM(J43:$J$47)&gt;0),SUM(J$7:J43)*Loan_Rate_2*(DAYS360(I42,I43)/360),IPMT(Loan_Rate_2,(ROUND(DAYS360(First_Principal_2-360,I43)/360,0)),Loan_Term_2,-(SUM(J$7:J$47)*(1+COI_2)))),0)</f>
        <v>0</v>
      </c>
      <c r="M43" s="4">
        <f t="shared" si="1"/>
        <v>0</v>
      </c>
      <c r="O43" s="3">
        <f t="shared" si="9"/>
        <v>58987</v>
      </c>
      <c r="P43" s="4">
        <f>IFERROR(VLOOKUP(O43,Inputs!$A$13:$F$19,O$1+1,0),0)</f>
        <v>0</v>
      </c>
      <c r="Q43" s="4">
        <f>IFERROR(IF(SUM(P43:$P$47)&gt;0,0,PPMT(Loan_Rate_3,(ROUND(DAYS360(First_Principal_3-360,O43)/360,0)),Loan_Term_3,-(SUM(P$7:P$47)*(1+COI_3)))),0)</f>
        <v>0</v>
      </c>
      <c r="R43" s="4">
        <f>IFERROR(IF(AND(Q43=0,SUM(P43:$P$47)&gt;0),SUM(P$7:P43)*Loan_Rate_3*(DAYS360(O42,O43)/360),IPMT(Loan_Rate_3,(ROUND(DAYS360(First_Principal_3-360,O43)/360,0)),Loan_Term_3,-(SUM(P$7:P$47)*(1+COI_3)))),0)</f>
        <v>0</v>
      </c>
      <c r="S43" s="4">
        <f t="shared" si="2"/>
        <v>0</v>
      </c>
      <c r="U43" s="3">
        <f t="shared" si="10"/>
        <v>59352</v>
      </c>
      <c r="V43" s="4">
        <f>IFERROR(VLOOKUP(U43,Inputs!$A$13:$F$19,U$1+1,0),0)</f>
        <v>0</v>
      </c>
      <c r="W43" s="4">
        <f>IFERROR(IF(SUM(V43:V$47)&gt;0,0,PPMT(Loan_Rate_4,(ROUND(DAYS360(First_Principal_4-360,U43)/360,0)),Loan_Term_4,-(SUM(V$7:V$47)*(1+COI_4)))),0)</f>
        <v>0</v>
      </c>
      <c r="X43" s="4">
        <f>IFERROR(IF(AND(W43=0,SUM(V43:$V$47)&gt;0),SUM(V$7:V43)*Loan_Rate_4*(DAYS360(U42,U43)/360),IPMT(Loan_Rate_4,(ROUND(DAYS360(First_Principal_4-360,U43)/360,0)),Loan_Term_4,-(SUM(V$7:V$47)*(1+COI_4)))),0)</f>
        <v>0</v>
      </c>
      <c r="Y43" s="4">
        <f t="shared" si="3"/>
        <v>0</v>
      </c>
      <c r="AA43" s="3">
        <f t="shared" si="11"/>
        <v>60083</v>
      </c>
      <c r="AB43" s="4">
        <f>IFERROR(VLOOKUP(AA43,Inputs!$A$13:$F$19,AA$1+1,0),0)</f>
        <v>0</v>
      </c>
      <c r="AC43" s="4">
        <f>IFERROR(IF(SUM(AB43:AB$47)&gt;0,0,PPMT(Loan_Rate_5,(ROUND(DAYS360(First_Principal_5-360,AA43)/360,0)),Loan_Term_5,-(SUM(AB$7:AB$47)*(1+COI_5)))),0)</f>
        <v>0</v>
      </c>
      <c r="AD43" s="4">
        <f>IFERROR(IF(AND(AC43=0,SUM(AB43:$AB$47)&gt;0),SUM(AB$7:AB43)*Loan_Rate_5*(DAYS360(AA42,AA43)/360),IPMT(Loan_Rate_5,(ROUND(DAYS360(First_Principal_5-360,AA43)/360,0)),Loan_Term_5,-(SUM(AB$7:AB$47)*(1+COI_5)))),0)</f>
        <v>0</v>
      </c>
      <c r="AE43" s="4">
        <f t="shared" si="4"/>
        <v>0</v>
      </c>
      <c r="AG43" s="3" t="e">
        <f t="shared" si="12"/>
        <v>#REF!</v>
      </c>
      <c r="AH43" s="4">
        <f>IFERROR(VLOOKUP(AG43,Inputs!$A$13:$F$19,AG$1+1,0),0)</f>
        <v>0</v>
      </c>
      <c r="AI43" s="4">
        <f>IFERROR(IF(SUM(AH43:AH$47)&gt;0,0,PPMT(Loan_Rate_6,(ROUND(DAYS360(First_Principal_6-360,AG43)/360,0)),Loan_Term_6,-(SUM(AH$7:AH$47)*(1+COI_6)))),0)</f>
        <v>0</v>
      </c>
      <c r="AJ43" s="4">
        <f>IFERROR(IF(AND(AI43=0,SUM(AH43:$AH$47)&gt;0),SUM(AH$7:AH43)*Loan_Rate_6*(DAYS360(AG42,AG43)/360),IPMT(Loan_Rate_6,(ROUND(DAYS360(First_Principal_6-360,AG43)/360,0)),Loan_Term_6,-(SUM(AH$7:AH$47)*(1+COI_6)))),0)</f>
        <v>0</v>
      </c>
      <c r="AK43" s="4">
        <f t="shared" si="5"/>
        <v>0</v>
      </c>
      <c r="AM43" s="3" t="e">
        <f t="shared" si="13"/>
        <v>#REF!</v>
      </c>
      <c r="AN43" s="4">
        <f>IFERROR(VLOOKUP(AM43,Inputs!$A$13:$F$19,AM$1+1,0),0)</f>
        <v>0</v>
      </c>
      <c r="AO43" s="4">
        <f>IFERROR(IF(SUM(AN43:AN$47)&gt;0,0,PPMT(Loan_Rate_7,(ROUND(DAYS360(First_Principal_7-360,AM43)/360,0)),Loan_Term_7,-(SUM(AN$7:AN$47)*(1+COI_7)))),0)</f>
        <v>0</v>
      </c>
      <c r="AP43" s="4">
        <f>IFERROR(IF(AND(AO43=0,SUM(AN43:$AN$47)&gt;0),SUM(AN$7:AN43)*Loan_Rate_7*(DAYS360(AM42,AM43)/360),IPMT(Loan_Rate_7,(ROUND(DAYS360(First_Principal_7-360,AM43)/360,0)),Loan_Term_7,-(SUM(AN$7:AN$47)*(1+COI_7)))),0)</f>
        <v>0</v>
      </c>
      <c r="AQ43" s="4">
        <f t="shared" si="6"/>
        <v>0</v>
      </c>
    </row>
    <row r="44" spans="3:43" x14ac:dyDescent="0.25">
      <c r="C44" s="3">
        <f t="shared" si="7"/>
        <v>58622</v>
      </c>
      <c r="D44" s="4">
        <f>IFERROR(VLOOKUP($C44,Inputs!$A$13:$F$19,'PV &amp; WIFIA Calculation Old'!$C$1+1,0),0)</f>
        <v>0</v>
      </c>
      <c r="E44" s="4">
        <f>IFERROR(IF(SUM(D44:$D$47)&gt;0,0,PPMT(Loan_Rate_1,(ROUND(DAYS360((First_Principal_1-360),C44)/360,0)),Loan_Term_1,-(SUM($D$7:$D$47)*(1+COI_1)))),0)</f>
        <v>0</v>
      </c>
      <c r="F44" s="4">
        <f>IFERROR(IF(AND(E44=0,SUM(D44:$D$47)&gt;0),SUM($D$7:D44)*Loan_Rate_1*(DAYS360(C43,C44)/360),IPMT(Loan_Rate_1,(ROUND(DAYS360((First_Principal_1-360),C44)/360,0)),Loan_Term_1,-(SUM($D$7:$D$47)*(1+COI_1)))),0)</f>
        <v>0</v>
      </c>
      <c r="G44" s="4">
        <f t="shared" si="0"/>
        <v>0</v>
      </c>
      <c r="I44" s="3">
        <f t="shared" si="8"/>
        <v>58987</v>
      </c>
      <c r="J44" s="4">
        <f>IFERROR(VLOOKUP(I44,Inputs!$A$13:$F$19,I$1+1,0),0)</f>
        <v>0</v>
      </c>
      <c r="K44" s="4">
        <f>IFERROR(IF(SUM(J44:$J$47)&gt;0,0,PPMT(Loan_Rate_2,(ROUND(DAYS360(First_Principal_2-360,I44)/360,0)),Loan_Term_2,-(SUM(J$7:J$47)*(1+COI_2)))),0)</f>
        <v>0</v>
      </c>
      <c r="L44" s="4">
        <f>IFERROR(IF(AND(K44=0,SUM(J44:$J$47)&gt;0),SUM(J$7:J44)*Loan_Rate_2*(DAYS360(I43,I44)/360),IPMT(Loan_Rate_2,(ROUND(DAYS360(First_Principal_2-360,I44)/360,0)),Loan_Term_2,-(SUM(J$7:J$47)*(1+COI_2)))),0)</f>
        <v>0</v>
      </c>
      <c r="M44" s="4">
        <f t="shared" si="1"/>
        <v>0</v>
      </c>
      <c r="O44" s="3">
        <f t="shared" si="9"/>
        <v>59352</v>
      </c>
      <c r="P44" s="4">
        <f>IFERROR(VLOOKUP(O44,Inputs!$A$13:$F$19,O$1+1,0),0)</f>
        <v>0</v>
      </c>
      <c r="Q44" s="4">
        <f>IFERROR(IF(SUM(P44:$P$47)&gt;0,0,PPMT(Loan_Rate_3,(ROUND(DAYS360(First_Principal_3-360,O44)/360,0)),Loan_Term_3,-(SUM(P$7:P$47)*(1+COI_3)))),0)</f>
        <v>0</v>
      </c>
      <c r="R44" s="4">
        <f>IFERROR(IF(AND(Q44=0,SUM(P44:$P$47)&gt;0),SUM(P$7:P44)*Loan_Rate_3*(DAYS360(O43,O44)/360),IPMT(Loan_Rate_3,(ROUND(DAYS360(First_Principal_3-360,O44)/360,0)),Loan_Term_3,-(SUM(P$7:P$47)*(1+COI_3)))),0)</f>
        <v>0</v>
      </c>
      <c r="S44" s="4">
        <f t="shared" si="2"/>
        <v>0</v>
      </c>
      <c r="U44" s="3">
        <f t="shared" si="10"/>
        <v>59717</v>
      </c>
      <c r="V44" s="4">
        <f>IFERROR(VLOOKUP(U44,Inputs!$A$13:$F$19,U$1+1,0),0)</f>
        <v>0</v>
      </c>
      <c r="W44" s="4">
        <f>IFERROR(IF(SUM(V44:V$47)&gt;0,0,PPMT(Loan_Rate_4,(ROUND(DAYS360(First_Principal_4-360,U44)/360,0)),Loan_Term_4,-(SUM(V$7:V$47)*(1+COI_4)))),0)</f>
        <v>0</v>
      </c>
      <c r="X44" s="4">
        <f>IFERROR(IF(AND(W44=0,SUM(V44:$V$47)&gt;0),SUM(V$7:V44)*Loan_Rate_4*(DAYS360(U43,U44)/360),IPMT(Loan_Rate_4,(ROUND(DAYS360(First_Principal_4-360,U44)/360,0)),Loan_Term_4,-(SUM(V$7:V$47)*(1+COI_4)))),0)</f>
        <v>0</v>
      </c>
      <c r="Y44" s="4">
        <f t="shared" si="3"/>
        <v>0</v>
      </c>
      <c r="AA44" s="3">
        <f t="shared" si="11"/>
        <v>60448</v>
      </c>
      <c r="AB44" s="4">
        <f>IFERROR(VLOOKUP(AA44,Inputs!$A$13:$F$19,AA$1+1,0),0)</f>
        <v>0</v>
      </c>
      <c r="AC44" s="4">
        <f>IFERROR(IF(SUM(AB44:AB$47)&gt;0,0,PPMT(Loan_Rate_5,(ROUND(DAYS360(First_Principal_5-360,AA44)/360,0)),Loan_Term_5,-(SUM(AB$7:AB$47)*(1+COI_5)))),0)</f>
        <v>0</v>
      </c>
      <c r="AD44" s="4">
        <f>IFERROR(IF(AND(AC44=0,SUM(AB44:$AB$47)&gt;0),SUM(AB$7:AB44)*Loan_Rate_5*(DAYS360(AA43,AA44)/360),IPMT(Loan_Rate_5,(ROUND(DAYS360(First_Principal_5-360,AA44)/360,0)),Loan_Term_5,-(SUM(AB$7:AB$47)*(1+COI_5)))),0)</f>
        <v>0</v>
      </c>
      <c r="AE44" s="4">
        <f t="shared" si="4"/>
        <v>0</v>
      </c>
      <c r="AG44" s="3" t="e">
        <f t="shared" si="12"/>
        <v>#REF!</v>
      </c>
      <c r="AH44" s="4">
        <f>IFERROR(VLOOKUP(AG44,Inputs!$A$13:$F$19,AG$1+1,0),0)</f>
        <v>0</v>
      </c>
      <c r="AI44" s="4">
        <f>IFERROR(IF(SUM(AH44:AH$47)&gt;0,0,PPMT(Loan_Rate_6,(ROUND(DAYS360(First_Principal_6-360,AG44)/360,0)),Loan_Term_6,-(SUM(AH$7:AH$47)*(1+COI_6)))),0)</f>
        <v>0</v>
      </c>
      <c r="AJ44" s="4">
        <f>IFERROR(IF(AND(AI44=0,SUM(AH44:$AH$47)&gt;0),SUM(AH$7:AH44)*Loan_Rate_6*(DAYS360(AG43,AG44)/360),IPMT(Loan_Rate_6,(ROUND(DAYS360(First_Principal_6-360,AG44)/360,0)),Loan_Term_6,-(SUM(AH$7:AH$47)*(1+COI_6)))),0)</f>
        <v>0</v>
      </c>
      <c r="AK44" s="4">
        <f t="shared" si="5"/>
        <v>0</v>
      </c>
      <c r="AM44" s="3" t="e">
        <f t="shared" si="13"/>
        <v>#REF!</v>
      </c>
      <c r="AN44" s="4">
        <f>IFERROR(VLOOKUP(AM44,Inputs!$A$13:$F$19,AM$1+1,0),0)</f>
        <v>0</v>
      </c>
      <c r="AO44" s="4">
        <f>IFERROR(IF(SUM(AN44:AN$47)&gt;0,0,PPMT(Loan_Rate_7,(ROUND(DAYS360(First_Principal_7-360,AM44)/360,0)),Loan_Term_7,-(SUM(AN$7:AN$47)*(1+COI_7)))),0)</f>
        <v>0</v>
      </c>
      <c r="AP44" s="4">
        <f>IFERROR(IF(AND(AO44=0,SUM(AN44:$AN$47)&gt;0),SUM(AN$7:AN44)*Loan_Rate_7*(DAYS360(AM43,AM44)/360),IPMT(Loan_Rate_7,(ROUND(DAYS360(First_Principal_7-360,AM44)/360,0)),Loan_Term_7,-(SUM(AN$7:AN$47)*(1+COI_7)))),0)</f>
        <v>0</v>
      </c>
      <c r="AQ44" s="4">
        <f t="shared" si="6"/>
        <v>0</v>
      </c>
    </row>
    <row r="45" spans="3:43" x14ac:dyDescent="0.25">
      <c r="C45" s="3">
        <f t="shared" si="7"/>
        <v>58987</v>
      </c>
      <c r="D45" s="4">
        <f>IFERROR(VLOOKUP($C45,Inputs!$A$13:$F$19,'PV &amp; WIFIA Calculation Old'!$C$1+1,0),0)</f>
        <v>0</v>
      </c>
      <c r="E45" s="4">
        <f>IFERROR(IF(SUM(D45:$D$47)&gt;0,0,PPMT(Loan_Rate_1,(ROUND(DAYS360((First_Principal_1-360),C45)/360,0)),Loan_Term_1,-(SUM($D$7:$D$47)*(1+COI_1)))),0)</f>
        <v>0</v>
      </c>
      <c r="F45" s="4">
        <f>IFERROR(IF(AND(E45=0,SUM(D45:$D$47)&gt;0),SUM($D$7:D45)*Loan_Rate_1*(DAYS360(C44,C45)/360),IPMT(Loan_Rate_1,(ROUND(DAYS360((First_Principal_1-360),C45)/360,0)),Loan_Term_1,-(SUM($D$7:$D$47)*(1+COI_1)))),0)</f>
        <v>0</v>
      </c>
      <c r="G45" s="4">
        <f t="shared" si="0"/>
        <v>0</v>
      </c>
      <c r="I45" s="3">
        <f t="shared" si="8"/>
        <v>59352</v>
      </c>
      <c r="J45" s="4">
        <f>IFERROR(VLOOKUP(I45,Inputs!$A$13:$F$19,I$1+1,0),0)</f>
        <v>0</v>
      </c>
      <c r="K45" s="4">
        <f>IFERROR(IF(SUM(J45:$J$47)&gt;0,0,PPMT(Loan_Rate_2,(ROUND(DAYS360(First_Principal_2-360,I45)/360,0)),Loan_Term_2,-(SUM(J$7:J$47)*(1+COI_2)))),0)</f>
        <v>0</v>
      </c>
      <c r="L45" s="4">
        <f>IFERROR(IF(AND(K45=0,SUM(J45:$J$47)&gt;0),SUM(J$7:J45)*Loan_Rate_2*(DAYS360(I44,I45)/360),IPMT(Loan_Rate_2,(ROUND(DAYS360(First_Principal_2-360,I45)/360,0)),Loan_Term_2,-(SUM(J$7:J$47)*(1+COI_2)))),0)</f>
        <v>0</v>
      </c>
      <c r="M45" s="4">
        <f t="shared" si="1"/>
        <v>0</v>
      </c>
      <c r="O45" s="3">
        <f t="shared" si="9"/>
        <v>59717</v>
      </c>
      <c r="P45" s="4">
        <f>IFERROR(VLOOKUP(O45,Inputs!$A$13:$F$19,O$1+1,0),0)</f>
        <v>0</v>
      </c>
      <c r="Q45" s="4">
        <f>IFERROR(IF(SUM(P45:$P$47)&gt;0,0,PPMT(Loan_Rate_3,(ROUND(DAYS360(First_Principal_3-360,O45)/360,0)),Loan_Term_3,-(SUM(P$7:P$47)*(1+COI_3)))),0)</f>
        <v>0</v>
      </c>
      <c r="R45" s="4">
        <f>IFERROR(IF(AND(Q45=0,SUM(P45:$P$47)&gt;0),SUM(P$7:P45)*Loan_Rate_3*(DAYS360(O44,O45)/360),IPMT(Loan_Rate_3,(ROUND(DAYS360(First_Principal_3-360,O45)/360,0)),Loan_Term_3,-(SUM(P$7:P$47)*(1+COI_3)))),0)</f>
        <v>0</v>
      </c>
      <c r="S45" s="4">
        <f t="shared" si="2"/>
        <v>0</v>
      </c>
      <c r="U45" s="3">
        <f t="shared" si="10"/>
        <v>60083</v>
      </c>
      <c r="V45" s="4">
        <f>IFERROR(VLOOKUP(U45,Inputs!$A$13:$F$19,U$1+1,0),0)</f>
        <v>0</v>
      </c>
      <c r="W45" s="4">
        <f>IFERROR(IF(SUM(V45:V$47)&gt;0,0,PPMT(Loan_Rate_4,(ROUND(DAYS360(First_Principal_4-360,U45)/360,0)),Loan_Term_4,-(SUM(V$7:V$47)*(1+COI_4)))),0)</f>
        <v>0</v>
      </c>
      <c r="X45" s="4">
        <f>IFERROR(IF(AND(W45=0,SUM(V45:$V$47)&gt;0),SUM(V$7:V45)*Loan_Rate_4*(DAYS360(U44,U45)/360),IPMT(Loan_Rate_4,(ROUND(DAYS360(First_Principal_4-360,U45)/360,0)),Loan_Term_4,-(SUM(V$7:V$47)*(1+COI_4)))),0)</f>
        <v>0</v>
      </c>
      <c r="Y45" s="4">
        <f t="shared" si="3"/>
        <v>0</v>
      </c>
      <c r="AA45" s="3">
        <f t="shared" si="11"/>
        <v>60813</v>
      </c>
      <c r="AB45" s="4">
        <f>IFERROR(VLOOKUP(AA45,Inputs!$A$13:$F$19,AA$1+1,0),0)</f>
        <v>0</v>
      </c>
      <c r="AC45" s="4">
        <f>IFERROR(IF(SUM(AB45:AB$47)&gt;0,0,PPMT(Loan_Rate_5,(ROUND(DAYS360(First_Principal_5-360,AA45)/360,0)),Loan_Term_5,-(SUM(AB$7:AB$47)*(1+COI_5)))),0)</f>
        <v>0</v>
      </c>
      <c r="AD45" s="4">
        <f>IFERROR(IF(AND(AC45=0,SUM(AB45:$AB$47)&gt;0),SUM(AB$7:AB45)*Loan_Rate_5*(DAYS360(AA44,AA45)/360),IPMT(Loan_Rate_5,(ROUND(DAYS360(First_Principal_5-360,AA45)/360,0)),Loan_Term_5,-(SUM(AB$7:AB$47)*(1+COI_5)))),0)</f>
        <v>0</v>
      </c>
      <c r="AE45" s="4">
        <f t="shared" si="4"/>
        <v>0</v>
      </c>
      <c r="AG45" s="3" t="e">
        <f t="shared" si="12"/>
        <v>#REF!</v>
      </c>
      <c r="AH45" s="4">
        <f>IFERROR(VLOOKUP(AG45,Inputs!$A$13:$F$19,AG$1+1,0),0)</f>
        <v>0</v>
      </c>
      <c r="AI45" s="4">
        <f>IFERROR(IF(SUM(AH45:AH$47)&gt;0,0,PPMT(Loan_Rate_6,(ROUND(DAYS360(First_Principal_6-360,AG45)/360,0)),Loan_Term_6,-(SUM(AH$7:AH$47)*(1+COI_6)))),0)</f>
        <v>0</v>
      </c>
      <c r="AJ45" s="4">
        <f>IFERROR(IF(AND(AI45=0,SUM(AH45:$AH$47)&gt;0),SUM(AH$7:AH45)*Loan_Rate_6*(DAYS360(AG44,AG45)/360),IPMT(Loan_Rate_6,(ROUND(DAYS360(First_Principal_6-360,AG45)/360,0)),Loan_Term_6,-(SUM(AH$7:AH$47)*(1+COI_6)))),0)</f>
        <v>0</v>
      </c>
      <c r="AK45" s="4">
        <f t="shared" si="5"/>
        <v>0</v>
      </c>
      <c r="AM45" s="3" t="e">
        <f t="shared" si="13"/>
        <v>#REF!</v>
      </c>
      <c r="AN45" s="4">
        <f>IFERROR(VLOOKUP(AM45,Inputs!$A$13:$F$19,AM$1+1,0),0)</f>
        <v>0</v>
      </c>
      <c r="AO45" s="4">
        <f>IFERROR(IF(SUM(AN45:AN$47)&gt;0,0,PPMT(Loan_Rate_7,(ROUND(DAYS360(First_Principal_7-360,AM45)/360,0)),Loan_Term_7,-(SUM(AN$7:AN$47)*(1+COI_7)))),0)</f>
        <v>0</v>
      </c>
      <c r="AP45" s="4">
        <f>IFERROR(IF(AND(AO45=0,SUM(AN45:$AN$47)&gt;0),SUM(AN$7:AN45)*Loan_Rate_7*(DAYS360(AM44,AM45)/360),IPMT(Loan_Rate_7,(ROUND(DAYS360(First_Principal_7-360,AM45)/360,0)),Loan_Term_7,-(SUM(AN$7:AN$47)*(1+COI_7)))),0)</f>
        <v>0</v>
      </c>
      <c r="AQ45" s="4">
        <f t="shared" si="6"/>
        <v>0</v>
      </c>
    </row>
    <row r="46" spans="3:43" x14ac:dyDescent="0.25">
      <c r="C46" s="3">
        <f t="shared" si="7"/>
        <v>59352</v>
      </c>
      <c r="D46" s="4">
        <f>IFERROR(VLOOKUP($C46,Inputs!$A$13:$F$19,'PV &amp; WIFIA Calculation Old'!$C$1+1,0),0)</f>
        <v>0</v>
      </c>
      <c r="E46" s="4">
        <f>IFERROR(IF(SUM(D46:$D$47)&gt;0,0,PPMT(Loan_Rate_1,(ROUND(DAYS360((First_Principal_1-360),C46)/360,0)),Loan_Term_1,-(SUM($D$7:$D$47)*(1+COI_1)))),0)</f>
        <v>0</v>
      </c>
      <c r="F46" s="4">
        <f>IFERROR(IF(AND(E46=0,SUM(D46:$D$47)&gt;0),SUM($D$7:D46)*Loan_Rate_1*(DAYS360(C45,C46)/360),IPMT(Loan_Rate_1,(ROUND(DAYS360((First_Principal_1-360),C46)/360,0)),Loan_Term_1,-(SUM($D$7:$D$47)*(1+COI_1)))),0)</f>
        <v>0</v>
      </c>
      <c r="G46" s="4">
        <f t="shared" si="0"/>
        <v>0</v>
      </c>
      <c r="I46" s="3">
        <f t="shared" si="8"/>
        <v>59717</v>
      </c>
      <c r="J46" s="4">
        <f>IFERROR(VLOOKUP(I46,Inputs!$A$13:$F$19,I$1+1,0),0)</f>
        <v>0</v>
      </c>
      <c r="K46" s="4">
        <f>IFERROR(IF(SUM(J46:$J$47)&gt;0,0,PPMT(Loan_Rate_2,(ROUND(DAYS360(First_Principal_2-360,I46)/360,0)),Loan_Term_2,-(SUM(J$7:J$47)*(1+COI_2)))),0)</f>
        <v>0</v>
      </c>
      <c r="L46" s="4">
        <f>IFERROR(IF(AND(K46=0,SUM(J46:$J$47)&gt;0),SUM(J$7:J46)*Loan_Rate_2*(DAYS360(I45,I46)/360),IPMT(Loan_Rate_2,(ROUND(DAYS360(First_Principal_2-360,I46)/360,0)),Loan_Term_2,-(SUM(J$7:J$47)*(1+COI_2)))),0)</f>
        <v>0</v>
      </c>
      <c r="M46" s="4">
        <f t="shared" si="1"/>
        <v>0</v>
      </c>
      <c r="O46" s="3">
        <f t="shared" si="9"/>
        <v>60083</v>
      </c>
      <c r="P46" s="4">
        <f>IFERROR(VLOOKUP(O46,Inputs!$A$13:$F$19,O$1+1,0),0)</f>
        <v>0</v>
      </c>
      <c r="Q46" s="4">
        <f>IFERROR(IF(SUM(P46:$P$47)&gt;0,0,PPMT(Loan_Rate_3,(ROUND(DAYS360(First_Principal_3-360,O46)/360,0)),Loan_Term_3,-(SUM(P$7:P$47)*(1+COI_3)))),0)</f>
        <v>0</v>
      </c>
      <c r="R46" s="4">
        <f>IFERROR(IF(AND(Q46=0,SUM(P46:$P$47)&gt;0),SUM(P$7:P46)*Loan_Rate_3*(DAYS360(O45,O46)/360),IPMT(Loan_Rate_3,(ROUND(DAYS360(First_Principal_3-360,O46)/360,0)),Loan_Term_3,-(SUM(P$7:P$47)*(1+COI_3)))),0)</f>
        <v>0</v>
      </c>
      <c r="S46" s="4">
        <f t="shared" si="2"/>
        <v>0</v>
      </c>
      <c r="U46" s="3">
        <f t="shared" si="10"/>
        <v>60448</v>
      </c>
      <c r="V46" s="4">
        <f>IFERROR(VLOOKUP(U46,Inputs!$A$13:$F$19,U$1+1,0),0)</f>
        <v>0</v>
      </c>
      <c r="W46" s="4">
        <f>IFERROR(IF(SUM(V46:V$47)&gt;0,0,PPMT(Loan_Rate_4,(ROUND(DAYS360(First_Principal_4-360,U46)/360,0)),Loan_Term_4,-(SUM(V$7:V$47)*(1+COI_4)))),0)</f>
        <v>0</v>
      </c>
      <c r="X46" s="4">
        <f>IFERROR(IF(AND(W46=0,SUM(V46:$V$47)&gt;0),SUM(V$7:V46)*Loan_Rate_4*(DAYS360(U45,U46)/360),IPMT(Loan_Rate_4,(ROUND(DAYS360(First_Principal_4-360,U46)/360,0)),Loan_Term_4,-(SUM(V$7:V$47)*(1+COI_4)))),0)</f>
        <v>0</v>
      </c>
      <c r="Y46" s="4">
        <f t="shared" si="3"/>
        <v>0</v>
      </c>
      <c r="AA46" s="3">
        <f t="shared" si="11"/>
        <v>61178</v>
      </c>
      <c r="AB46" s="4">
        <f>IFERROR(VLOOKUP(AA46,Inputs!$A$13:$F$19,AA$1+1,0),0)</f>
        <v>0</v>
      </c>
      <c r="AC46" s="4">
        <f>IFERROR(IF(SUM(AB46:AB$47)&gt;0,0,PPMT(Loan_Rate_5,(ROUND(DAYS360(First_Principal_5-360,AA46)/360,0)),Loan_Term_5,-(SUM(AB$7:AB$47)*(1+COI_5)))),0)</f>
        <v>0</v>
      </c>
      <c r="AD46" s="4">
        <f>IFERROR(IF(AND(AC46=0,SUM(AB46:$AB$47)&gt;0),SUM(AB$7:AB46)*Loan_Rate_5*(DAYS360(AA45,AA46)/360),IPMT(Loan_Rate_5,(ROUND(DAYS360(First_Principal_5-360,AA46)/360,0)),Loan_Term_5,-(SUM(AB$7:AB$47)*(1+COI_5)))),0)</f>
        <v>0</v>
      </c>
      <c r="AE46" s="4">
        <f t="shared" si="4"/>
        <v>0</v>
      </c>
      <c r="AG46" s="3" t="e">
        <f t="shared" si="12"/>
        <v>#REF!</v>
      </c>
      <c r="AH46" s="4">
        <f>IFERROR(VLOOKUP(AG46,Inputs!$A$13:$F$19,AG$1+1,0),0)</f>
        <v>0</v>
      </c>
      <c r="AI46" s="4">
        <f>IFERROR(IF(SUM(AH46:AH$47)&gt;0,0,PPMT(Loan_Rate_6,(ROUND(DAYS360(First_Principal_6-360,AG46)/360,0)),Loan_Term_6,-(SUM(AH$7:AH$47)*(1+COI_6)))),0)</f>
        <v>0</v>
      </c>
      <c r="AJ46" s="4">
        <f>IFERROR(IF(AND(AI46=0,SUM(AH46:$AH$47)&gt;0),SUM(AH$7:AH46)*Loan_Rate_6*(DAYS360(AG45,AG46)/360),IPMT(Loan_Rate_6,(ROUND(DAYS360(First_Principal_6-360,AG46)/360,0)),Loan_Term_6,-(SUM(AH$7:AH$47)*(1+COI_6)))),0)</f>
        <v>0</v>
      </c>
      <c r="AK46" s="4">
        <f t="shared" si="5"/>
        <v>0</v>
      </c>
      <c r="AM46" s="3" t="e">
        <f t="shared" si="13"/>
        <v>#REF!</v>
      </c>
      <c r="AN46" s="4">
        <f>IFERROR(VLOOKUP(AM46,Inputs!$A$13:$F$19,AM$1+1,0),0)</f>
        <v>0</v>
      </c>
      <c r="AO46" s="4">
        <f>IFERROR(IF(SUM(AN46:AN$47)&gt;0,0,PPMT(Loan_Rate_7,(ROUND(DAYS360(First_Principal_7-360,AM46)/360,0)),Loan_Term_7,-(SUM(AN$7:AN$47)*(1+COI_7)))),0)</f>
        <v>0</v>
      </c>
      <c r="AP46" s="4">
        <f>IFERROR(IF(AND(AO46=0,SUM(AN46:$AN$47)&gt;0),SUM(AN$7:AN46)*Loan_Rate_7*(DAYS360(AM45,AM46)/360),IPMT(Loan_Rate_7,(ROUND(DAYS360(First_Principal_7-360,AM46)/360,0)),Loan_Term_7,-(SUM(AN$7:AN$47)*(1+COI_7)))),0)</f>
        <v>0</v>
      </c>
      <c r="AQ46" s="4">
        <f t="shared" si="6"/>
        <v>0</v>
      </c>
    </row>
    <row r="47" spans="3:43" x14ac:dyDescent="0.25">
      <c r="C47" s="3">
        <f t="shared" si="7"/>
        <v>59717</v>
      </c>
      <c r="D47" s="4">
        <f>IFERROR(VLOOKUP($C47,Inputs!$A$13:$F$19,'PV &amp; WIFIA Calculation Old'!$C$1+1,0),0)</f>
        <v>0</v>
      </c>
      <c r="E47" s="4">
        <f>IFERROR(IF(SUM(D47:$D$47)&gt;0,0,PPMT(Loan_Rate_1,(ROUND(DAYS360((First_Principal_1-360),C47)/360,0)),Loan_Term_1,-(SUM($D$7:$D$47)*(1+COI_1)))),0)</f>
        <v>0</v>
      </c>
      <c r="F47" s="4">
        <f>IFERROR(IF(AND(E47=0,SUM(D47:$D$47)&gt;0),SUM($D$7:D47)*Loan_Rate_1*(DAYS360(C46,C47)/360),IPMT(Loan_Rate_1,(ROUND(DAYS360((First_Principal_1-360),C47)/360,0)),Loan_Term_1,-(SUM($D$7:$D$47)*(1+COI_1)))),0)</f>
        <v>0</v>
      </c>
      <c r="G47" s="4">
        <f t="shared" si="0"/>
        <v>0</v>
      </c>
      <c r="I47" s="3">
        <f t="shared" si="8"/>
        <v>60083</v>
      </c>
      <c r="J47" s="4">
        <f>IFERROR(VLOOKUP(I47,Inputs!$A$13:$F$19,I$1+1,0),0)</f>
        <v>0</v>
      </c>
      <c r="K47" s="4">
        <f>IFERROR(IF(SUM(J47:$J$47)&gt;0,0,PPMT(Loan_Rate_2,(ROUND(DAYS360(First_Principal_2-360,I47)/360,0)),Loan_Term_2,-(SUM(J$7:J$47)*(1+COI_2)))),0)</f>
        <v>0</v>
      </c>
      <c r="L47" s="4">
        <f>IFERROR(IF(AND(K47=0,SUM(J47:$J$47)&gt;0),SUM(J$7:J47)*Loan_Rate_2*(DAYS360(I46,I47)/360),IPMT(Loan_Rate_2,(ROUND(DAYS360(First_Principal_2-360,I47)/360,0)),Loan_Term_2,-(SUM(J$7:J$47)*(1+COI_2)))),0)</f>
        <v>0</v>
      </c>
      <c r="M47" s="4">
        <f t="shared" si="1"/>
        <v>0</v>
      </c>
      <c r="O47" s="3">
        <f t="shared" si="9"/>
        <v>60448</v>
      </c>
      <c r="P47" s="4">
        <f>IFERROR(VLOOKUP(O47,Inputs!$A$13:$F$19,O$1+1,0),0)</f>
        <v>0</v>
      </c>
      <c r="Q47" s="4">
        <f>IFERROR(IF(SUM(P47:$P$47)&gt;0,0,PPMT(Loan_Rate_3,(ROUND(DAYS360(First_Principal_3-360,O47)/360,0)),Loan_Term_3,-(SUM(P$7:P$47)*(1+COI_3)))),0)</f>
        <v>0</v>
      </c>
      <c r="R47" s="4">
        <f>IFERROR(IF(AND(Q47=0,SUM(P47:$P$47)&gt;0),SUM(P$7:P47)*Loan_Rate_3*(DAYS360(O46,O47)/360),IPMT(Loan_Rate_3,(ROUND(DAYS360(First_Principal_3-360,O47)/360,0)),Loan_Term_3,-(SUM(P$7:P$47)*(1+COI_3)))),0)</f>
        <v>0</v>
      </c>
      <c r="S47" s="4">
        <f t="shared" si="2"/>
        <v>0</v>
      </c>
      <c r="U47" s="3">
        <f t="shared" si="10"/>
        <v>60813</v>
      </c>
      <c r="V47" s="4">
        <f>IFERROR(VLOOKUP(U47,Inputs!$A$13:$F$19,U$1+1,0),0)</f>
        <v>0</v>
      </c>
      <c r="W47" s="4">
        <f>IFERROR(IF(SUM(V47:V$47)&gt;0,0,PPMT(Loan_Rate_4,(ROUND(DAYS360(First_Principal_4-360,U47)/360,0)),Loan_Term_4,-(SUM(V$7:V$47)*(1+COI_4)))),0)</f>
        <v>0</v>
      </c>
      <c r="X47" s="4">
        <f>IFERROR(IF(AND(W47=0,SUM(V47:$V$47)&gt;0),SUM(V$7:V47)*Loan_Rate_4*(DAYS360(U46,U47)/360),IPMT(Loan_Rate_4,(ROUND(DAYS360(First_Principal_4-360,U47)/360,0)),Loan_Term_4,-(SUM(V$7:V$47)*(1+COI_4)))),0)</f>
        <v>0</v>
      </c>
      <c r="Y47" s="4">
        <f t="shared" si="3"/>
        <v>0</v>
      </c>
      <c r="AA47" s="3">
        <f t="shared" si="11"/>
        <v>61544</v>
      </c>
      <c r="AB47" s="4">
        <f>IFERROR(VLOOKUP(AA47,Inputs!$A$13:$F$19,AA$1+1,0),0)</f>
        <v>0</v>
      </c>
      <c r="AC47" s="4">
        <f>IFERROR(IF(SUM(AB47:AB$47)&gt;0,0,PPMT(Loan_Rate_5,(ROUND(DAYS360(First_Principal_5-360,AA47)/360,0)),Loan_Term_5,-(SUM(AB$7:AB$47)*(1+COI_5)))),0)</f>
        <v>0</v>
      </c>
      <c r="AD47" s="4">
        <f>IFERROR(IF(AND(AC47=0,SUM(AB47:$AB$47)&gt;0),SUM(AB$7:AB47)*Loan_Rate_5*(DAYS360(AA46,AA47)/360),IPMT(Loan_Rate_5,(ROUND(DAYS360(First_Principal_5-360,AA47)/360,0)),Loan_Term_5,-(SUM(AB$7:AB$47)*(1+COI_5)))),0)</f>
        <v>0</v>
      </c>
      <c r="AE47" s="4">
        <f t="shared" si="4"/>
        <v>0</v>
      </c>
      <c r="AG47" s="3" t="e">
        <f t="shared" si="12"/>
        <v>#REF!</v>
      </c>
      <c r="AH47" s="4">
        <f>IFERROR(VLOOKUP(AG47,Inputs!$A$13:$F$19,AG$1+1,0),0)</f>
        <v>0</v>
      </c>
      <c r="AI47" s="4">
        <f>IFERROR(IF(SUM(AH47:AH$47)&gt;0,0,PPMT(Loan_Rate_6,(ROUND(DAYS360(First_Principal_6-360,AG47)/360,0)),Loan_Term_6,-(SUM(AH$7:AH$47)*(1+COI_6)))),0)</f>
        <v>0</v>
      </c>
      <c r="AJ47" s="4">
        <f>IFERROR(IF(AND(AI47=0,SUM(AH47:$AH$47)&gt;0),SUM(AH$7:AH47)*Loan_Rate_6*(DAYS360(AG46,AG47)/360),IPMT(Loan_Rate_6,(ROUND(DAYS360(First_Principal_6-360,AG47)/360,0)),Loan_Term_6,-(SUM(AH$7:AH$47)*(1+COI_6)))),0)</f>
        <v>0</v>
      </c>
      <c r="AK47" s="4">
        <f t="shared" si="5"/>
        <v>0</v>
      </c>
      <c r="AM47" s="3" t="e">
        <f t="shared" si="13"/>
        <v>#REF!</v>
      </c>
      <c r="AN47" s="4">
        <f>IFERROR(VLOOKUP(AM47,Inputs!$A$13:$F$19,AM$1+1,0),0)</f>
        <v>0</v>
      </c>
      <c r="AO47" s="4">
        <f>IFERROR(IF(SUM(AN47:AN$47)&gt;0,0,PPMT(Loan_Rate_7,(ROUND(DAYS360(First_Principal_7-360,AM47)/360,0)),Loan_Term_7,-(SUM(AN$7:AN$47)*(1+COI_7)))),0)</f>
        <v>0</v>
      </c>
      <c r="AP47" s="4">
        <f>IFERROR(IF(AND(AO47=0,SUM(AN47:$AN$47)&gt;0),SUM(AN$7:AN47)*Loan_Rate_7*(DAYS360(AM46,AM47)/360),IPMT(Loan_Rate_7,(ROUND(DAYS360(First_Principal_7-360,AM47)/360,0)),Loan_Term_7,-(SUM(AN$7:AN$47)*(1+COI_7)))),0)</f>
        <v>0</v>
      </c>
      <c r="AQ47" s="4">
        <f t="shared" si="6"/>
        <v>0</v>
      </c>
    </row>
    <row r="48" spans="3:43" x14ac:dyDescent="0.25">
      <c r="C48" s="3">
        <f t="shared" si="7"/>
        <v>60083</v>
      </c>
      <c r="D48" s="4">
        <f>IFERROR(VLOOKUP($C48,Inputs!$A$13:$F$19,'PV &amp; WIFIA Calculation Old'!$C$1+1,0),0)</f>
        <v>0</v>
      </c>
      <c r="E48" s="4">
        <f>IFERROR(IF(SUM(D$47:$D48)&gt;0,0,PPMT(Loan_Rate_1,(ROUND(DAYS360((First_Principal_1-360),C48)/360,0)),Loan_Term_1,-(SUM($D$7:$D$47)*(1+COI_1)))),0)</f>
        <v>0</v>
      </c>
      <c r="F48" s="4">
        <f>IFERROR(IF(AND(E48=0,SUM(D$47:$D48)&gt;0),SUM($D$7:D48)*Loan_Rate_1*(DAYS360(C47,C48)/360),IPMT(Loan_Rate_1,(ROUND(DAYS360((First_Principal_1-360),C48)/360,0)),Loan_Term_1,-(SUM($D$7:$D$47)*(1+COI_1)))),0)</f>
        <v>0</v>
      </c>
      <c r="G48" s="4">
        <f t="shared" ref="G48:G51" si="14">SUM(E48:F48)</f>
        <v>0</v>
      </c>
      <c r="I48" s="3">
        <f t="shared" si="8"/>
        <v>60448</v>
      </c>
      <c r="J48" s="4">
        <f>IFERROR(VLOOKUP(I48,Inputs!$A$13:$F$19,I$1+1,0),0)</f>
        <v>0</v>
      </c>
      <c r="K48" s="4">
        <f>IFERROR(IF(SUM(J$47:$J48)&gt;0,0,PPMT(Loan_Rate_2,(ROUND(DAYS360(First_Principal_2-360,I48)/360,0)),Loan_Term_2,-(SUM(J$7:J$47)*(1+COI_2)))),0)</f>
        <v>0</v>
      </c>
      <c r="L48" s="4">
        <f>IFERROR(IF(AND(K48=0,SUM(J$47:$J48)&gt;0),SUM(J$7:J48)*Loan_Rate_2*(DAYS360(I47,I48)/360),IPMT(Loan_Rate_2,(ROUND(DAYS360(First_Principal_2-360,I48)/360,0)),Loan_Term_2,-(SUM(J$7:J$47)*(1+COI_2)))),0)</f>
        <v>0</v>
      </c>
      <c r="M48" s="4">
        <f t="shared" ref="M48:M51" si="15">SUM(K48:L48)</f>
        <v>0</v>
      </c>
      <c r="O48" s="3">
        <f t="shared" si="9"/>
        <v>60813</v>
      </c>
      <c r="P48" s="4">
        <f>IFERROR(VLOOKUP(O48,Inputs!$A$13:$F$19,O$1+1,0),0)</f>
        <v>0</v>
      </c>
      <c r="Q48" s="4">
        <f>IFERROR(IF(SUM(P$47:$P48)&gt;0,0,PPMT(Loan_Rate_3,(ROUND(DAYS360(First_Principal_3-360,O48)/360,0)),Loan_Term_3,-(SUM(P$7:P$47)*(1+COI_3)))),0)</f>
        <v>0</v>
      </c>
      <c r="R48" s="4">
        <f>IFERROR(IF(AND(Q48=0,SUM(P$47:$P48)&gt;0),SUM(P$7:P48)*Loan_Rate_3*(DAYS360(O47,O48)/360),IPMT(Loan_Rate_3,(ROUND(DAYS360(First_Principal_3-360,O48)/360,0)),Loan_Term_3,-(SUM(P$7:P$47)*(1+COI_3)))),0)</f>
        <v>0</v>
      </c>
      <c r="S48" s="4">
        <f t="shared" ref="S48:S51" si="16">SUM(Q48:R48)</f>
        <v>0</v>
      </c>
      <c r="U48" s="3">
        <f t="shared" si="10"/>
        <v>61178</v>
      </c>
      <c r="V48" s="4">
        <f>IFERROR(VLOOKUP(U48,Inputs!$A$13:$F$19,U$1+1,0),0)</f>
        <v>0</v>
      </c>
      <c r="W48" s="4">
        <f>IFERROR(IF(SUM(V$47:V48)&gt;0,0,PPMT(Loan_Rate_4,(ROUND(DAYS360(First_Principal_4-360,U48)/360,0)),Loan_Term_4,-(SUM(V$7:V$47)*(1+COI_4)))),0)</f>
        <v>0</v>
      </c>
      <c r="X48" s="4">
        <f>IFERROR(IF(AND(W48=0,SUM(V$47:$V48)&gt;0),SUM(V$7:V48)*Loan_Rate_4*(DAYS360(U47,U48)/360),IPMT(Loan_Rate_4,(ROUND(DAYS360(First_Principal_4-360,U48)/360,0)),Loan_Term_4,-(SUM(V$7:V$47)*(1+COI_4)))),0)</f>
        <v>0</v>
      </c>
      <c r="Y48" s="4">
        <f t="shared" ref="Y48:Y51" si="17">SUM(W48:X48)</f>
        <v>0</v>
      </c>
      <c r="AA48" s="3">
        <f t="shared" si="11"/>
        <v>61909</v>
      </c>
      <c r="AB48" s="4">
        <f>IFERROR(VLOOKUP(AA48,Inputs!$A$13:$F$19,AA$1+1,0),0)</f>
        <v>0</v>
      </c>
      <c r="AC48" s="4">
        <f>IFERROR(IF(SUM(AB$47:AB48)&gt;0,0,PPMT(Loan_Rate_5,(ROUND(DAYS360(First_Principal_5-360,AA48)/360,0)),Loan_Term_5,-(SUM(AB$7:AB$47)*(1+COI_5)))),0)</f>
        <v>0</v>
      </c>
      <c r="AD48" s="4">
        <f>IFERROR(IF(AND(AC48=0,SUM(AB$47:$AB48)&gt;0),SUM(AB$7:AB48)*Loan_Rate_5*(DAYS360(AA47,AA48)/360),IPMT(Loan_Rate_5,(ROUND(DAYS360(First_Principal_5-360,AA48)/360,0)),Loan_Term_5,-(SUM(AB$7:AB$47)*(1+COI_5)))),0)</f>
        <v>0</v>
      </c>
      <c r="AE48" s="4">
        <f t="shared" ref="AE48:AE51" si="18">SUM(AC48:AD48)</f>
        <v>0</v>
      </c>
      <c r="AG48" s="3" t="e">
        <f t="shared" si="12"/>
        <v>#REF!</v>
      </c>
      <c r="AH48" s="4">
        <f>IFERROR(VLOOKUP(AG48,Inputs!$A$13:$F$19,AG$1+1,0),0)</f>
        <v>0</v>
      </c>
      <c r="AI48" s="4">
        <f>IFERROR(IF(SUM(AH$47:AH48)&gt;0,0,PPMT(Loan_Rate_6,(ROUND(DAYS360(First_Principal_6-360,AG48)/360,0)),Loan_Term_6,-(SUM(AH$7:AH$47)*(1+COI_6)))),0)</f>
        <v>0</v>
      </c>
      <c r="AJ48" s="4">
        <f>IFERROR(IF(AND(AI48=0,SUM(AH$47:$AH48)&gt;0),SUM(AH$7:AH48)*Loan_Rate_6*(DAYS360(AG47,AG48)/360),IPMT(Loan_Rate_6,(ROUND(DAYS360(First_Principal_6-360,AG48)/360,0)),Loan_Term_6,-(SUM(AH$7:AH$47)*(1+COI_6)))),0)</f>
        <v>0</v>
      </c>
      <c r="AK48" s="4">
        <f t="shared" ref="AK48:AK51" si="19">SUM(AI48:AJ48)</f>
        <v>0</v>
      </c>
      <c r="AM48" s="3" t="e">
        <f t="shared" si="13"/>
        <v>#REF!</v>
      </c>
      <c r="AN48" s="4">
        <f>IFERROR(VLOOKUP(AM48,Inputs!$A$13:$F$19,AM$1+1,0),0)</f>
        <v>0</v>
      </c>
      <c r="AO48" s="4">
        <f>IFERROR(IF(SUM(AN$47:AN48)&gt;0,0,PPMT(Loan_Rate_7,(ROUND(DAYS360(First_Principal_7-360,AM48)/360,0)),Loan_Term_7,-(SUM(AN$7:AN$47)*(1+COI_7)))),0)</f>
        <v>0</v>
      </c>
      <c r="AP48" s="4">
        <f>IFERROR(IF(AND(AO48=0,SUM(AN$47:$AN48)&gt;0),SUM(AN$7:AN48)*Loan_Rate_7*(DAYS360(AM47,AM48)/360),IPMT(Loan_Rate_7,(ROUND(DAYS360(First_Principal_7-360,AM48)/360,0)),Loan_Term_7,-(SUM(AN$7:AN$47)*(1+COI_7)))),0)</f>
        <v>0</v>
      </c>
      <c r="AQ48" s="4">
        <f t="shared" ref="AQ48:AQ51" si="20">SUM(AO48:AP48)</f>
        <v>0</v>
      </c>
    </row>
    <row r="49" spans="3:43" x14ac:dyDescent="0.25">
      <c r="C49" s="3">
        <f t="shared" si="7"/>
        <v>60448</v>
      </c>
      <c r="D49" s="4">
        <f>IFERROR(VLOOKUP($C49,Inputs!$A$13:$F$19,'PV &amp; WIFIA Calculation Old'!$C$1+1,0),0)</f>
        <v>0</v>
      </c>
      <c r="E49" s="4">
        <f>IFERROR(IF(SUM(D$47:$D49)&gt;0,0,PPMT(Loan_Rate_1,(ROUND(DAYS360((First_Principal_1-360),C49)/360,0)),Loan_Term_1,-(SUM($D$7:$D$47)*(1+COI_1)))),0)</f>
        <v>0</v>
      </c>
      <c r="F49" s="4">
        <f>IFERROR(IF(AND(E49=0,SUM(D$47:$D49)&gt;0),SUM($D$7:D49)*Loan_Rate_1*(DAYS360(C48,C49)/360),IPMT(Loan_Rate_1,(ROUND(DAYS360((First_Principal_1-360),C49)/360,0)),Loan_Term_1,-(SUM($D$7:$D$47)*(1+COI_1)))),0)</f>
        <v>0</v>
      </c>
      <c r="G49" s="4">
        <f t="shared" si="14"/>
        <v>0</v>
      </c>
      <c r="I49" s="3">
        <f t="shared" si="8"/>
        <v>60813</v>
      </c>
      <c r="J49" s="4">
        <f>IFERROR(VLOOKUP(I49,Inputs!$A$13:$F$19,I$1+1,0),0)</f>
        <v>0</v>
      </c>
      <c r="K49" s="4">
        <f>IFERROR(IF(SUM(J$47:$J49)&gt;0,0,PPMT(Loan_Rate_2,(ROUND(DAYS360(First_Principal_2-360,I49)/360,0)),Loan_Term_2,-(SUM(J$7:J$47)*(1+COI_2)))),0)</f>
        <v>0</v>
      </c>
      <c r="L49" s="4">
        <f>IFERROR(IF(AND(K49=0,SUM(J$47:$J49)&gt;0),SUM(J$7:J49)*Loan_Rate_2*(DAYS360(I48,I49)/360),IPMT(Loan_Rate_2,(ROUND(DAYS360(First_Principal_2-360,I49)/360,0)),Loan_Term_2,-(SUM(J$7:J$47)*(1+COI_2)))),0)</f>
        <v>0</v>
      </c>
      <c r="M49" s="4">
        <f t="shared" si="15"/>
        <v>0</v>
      </c>
      <c r="O49" s="3">
        <f t="shared" si="9"/>
        <v>61178</v>
      </c>
      <c r="P49" s="4">
        <f>IFERROR(VLOOKUP(O49,Inputs!$A$13:$F$19,O$1+1,0),0)</f>
        <v>0</v>
      </c>
      <c r="Q49" s="4">
        <f>IFERROR(IF(SUM(P$47:$P49)&gt;0,0,PPMT(Loan_Rate_3,(ROUND(DAYS360(First_Principal_3-360,O49)/360,0)),Loan_Term_3,-(SUM(P$7:P$47)*(1+COI_3)))),0)</f>
        <v>0</v>
      </c>
      <c r="R49" s="4">
        <f>IFERROR(IF(AND(Q49=0,SUM(P$47:$P49)&gt;0),SUM(P$7:P49)*Loan_Rate_3*(DAYS360(O48,O49)/360),IPMT(Loan_Rate_3,(ROUND(DAYS360(First_Principal_3-360,O49)/360,0)),Loan_Term_3,-(SUM(P$7:P$47)*(1+COI_3)))),0)</f>
        <v>0</v>
      </c>
      <c r="S49" s="4">
        <f t="shared" si="16"/>
        <v>0</v>
      </c>
      <c r="U49" s="3">
        <f t="shared" si="10"/>
        <v>61544</v>
      </c>
      <c r="V49" s="4">
        <f>IFERROR(VLOOKUP(U49,Inputs!$A$13:$F$19,U$1+1,0),0)</f>
        <v>0</v>
      </c>
      <c r="W49" s="4">
        <f>IFERROR(IF(SUM(V$47:V49)&gt;0,0,PPMT(Loan_Rate_4,(ROUND(DAYS360(First_Principal_4-360,U49)/360,0)),Loan_Term_4,-(SUM(V$7:V$47)*(1+COI_4)))),0)</f>
        <v>0</v>
      </c>
      <c r="X49" s="4">
        <f>IFERROR(IF(AND(W49=0,SUM(V$47:$V49)&gt;0),SUM(V$7:V49)*Loan_Rate_4*(DAYS360(U48,U49)/360),IPMT(Loan_Rate_4,(ROUND(DAYS360(First_Principal_4-360,U49)/360,0)),Loan_Term_4,-(SUM(V$7:V$47)*(1+COI_4)))),0)</f>
        <v>0</v>
      </c>
      <c r="Y49" s="4">
        <f t="shared" si="17"/>
        <v>0</v>
      </c>
      <c r="AA49" s="3">
        <f t="shared" si="11"/>
        <v>62274</v>
      </c>
      <c r="AB49" s="4">
        <f>IFERROR(VLOOKUP(AA49,Inputs!$A$13:$F$19,AA$1+1,0),0)</f>
        <v>0</v>
      </c>
      <c r="AC49" s="4">
        <f>IFERROR(IF(SUM(AB$47:AB49)&gt;0,0,PPMT(Loan_Rate_5,(ROUND(DAYS360(First_Principal_5-360,AA49)/360,0)),Loan_Term_5,-(SUM(AB$7:AB$47)*(1+COI_5)))),0)</f>
        <v>0</v>
      </c>
      <c r="AD49" s="4">
        <f>IFERROR(IF(AND(AC49=0,SUM(AB$47:$AB49)&gt;0),SUM(AB$7:AB49)*Loan_Rate_5*(DAYS360(AA48,AA49)/360),IPMT(Loan_Rate_5,(ROUND(DAYS360(First_Principal_5-360,AA49)/360,0)),Loan_Term_5,-(SUM(AB$7:AB$47)*(1+COI_5)))),0)</f>
        <v>0</v>
      </c>
      <c r="AE49" s="4">
        <f t="shared" si="18"/>
        <v>0</v>
      </c>
      <c r="AG49" s="3" t="e">
        <f t="shared" si="12"/>
        <v>#REF!</v>
      </c>
      <c r="AH49" s="4">
        <f>IFERROR(VLOOKUP(AG49,Inputs!$A$13:$F$19,AG$1+1,0),0)</f>
        <v>0</v>
      </c>
      <c r="AI49" s="4">
        <f>IFERROR(IF(SUM(AH$47:AH49)&gt;0,0,PPMT(Loan_Rate_6,(ROUND(DAYS360(First_Principal_6-360,AG49)/360,0)),Loan_Term_6,-(SUM(AH$7:AH$47)*(1+COI_6)))),0)</f>
        <v>0</v>
      </c>
      <c r="AJ49" s="4">
        <f>IFERROR(IF(AND(AI49=0,SUM(AH$47:$AH49)&gt;0),SUM(AH$7:AH49)*Loan_Rate_6*(DAYS360(AG48,AG49)/360),IPMT(Loan_Rate_6,(ROUND(DAYS360(First_Principal_6-360,AG49)/360,0)),Loan_Term_6,-(SUM(AH$7:AH$47)*(1+COI_6)))),0)</f>
        <v>0</v>
      </c>
      <c r="AK49" s="4">
        <f t="shared" si="19"/>
        <v>0</v>
      </c>
      <c r="AM49" s="3" t="e">
        <f t="shared" si="13"/>
        <v>#REF!</v>
      </c>
      <c r="AN49" s="4">
        <f>IFERROR(VLOOKUP(AM49,Inputs!$A$13:$F$19,AM$1+1,0),0)</f>
        <v>0</v>
      </c>
      <c r="AO49" s="4">
        <f>IFERROR(IF(SUM(AN$47:AN49)&gt;0,0,PPMT(Loan_Rate_7,(ROUND(DAYS360(First_Principal_7-360,AM49)/360,0)),Loan_Term_7,-(SUM(AN$7:AN$47)*(1+COI_7)))),0)</f>
        <v>0</v>
      </c>
      <c r="AP49" s="4">
        <f>IFERROR(IF(AND(AO49=0,SUM(AN$47:$AN49)&gt;0),SUM(AN$7:AN49)*Loan_Rate_7*(DAYS360(AM48,AM49)/360),IPMT(Loan_Rate_7,(ROUND(DAYS360(First_Principal_7-360,AM49)/360,0)),Loan_Term_7,-(SUM(AN$7:AN$47)*(1+COI_7)))),0)</f>
        <v>0</v>
      </c>
      <c r="AQ49" s="4">
        <f t="shared" si="20"/>
        <v>0</v>
      </c>
    </row>
    <row r="50" spans="3:43" x14ac:dyDescent="0.25">
      <c r="C50" s="3">
        <f t="shared" si="7"/>
        <v>60813</v>
      </c>
      <c r="D50" s="4">
        <f>IFERROR(VLOOKUP($C50,Inputs!$A$13:$F$19,'PV &amp; WIFIA Calculation Old'!$C$1+1,0),0)</f>
        <v>0</v>
      </c>
      <c r="E50" s="4">
        <f>IFERROR(IF(SUM(D$47:$D50)&gt;0,0,PPMT(Loan_Rate_1,(ROUND(DAYS360((First_Principal_1-360),C50)/360,0)),Loan_Term_1,-(SUM($D$7:$D$47)*(1+COI_1)))),0)</f>
        <v>0</v>
      </c>
      <c r="F50" s="4">
        <f>IFERROR(IF(AND(E50=0,SUM(D$47:$D50)&gt;0),SUM($D$7:D50)*Loan_Rate_1*(DAYS360(C49,C50)/360),IPMT(Loan_Rate_1,(ROUND(DAYS360((First_Principal_1-360),C50)/360,0)),Loan_Term_1,-(SUM($D$7:$D$47)*(1+COI_1)))),0)</f>
        <v>0</v>
      </c>
      <c r="G50" s="4">
        <f t="shared" si="14"/>
        <v>0</v>
      </c>
      <c r="I50" s="3">
        <f t="shared" si="8"/>
        <v>61178</v>
      </c>
      <c r="J50" s="4">
        <f>IFERROR(VLOOKUP(I50,Inputs!$A$13:$F$19,I$1+1,0),0)</f>
        <v>0</v>
      </c>
      <c r="K50" s="4">
        <f>IFERROR(IF(SUM(J$47:$J50)&gt;0,0,PPMT(Loan_Rate_2,(ROUND(DAYS360(First_Principal_2-360,I50)/360,0)),Loan_Term_2,-(SUM(J$7:J$47)*(1+COI_2)))),0)</f>
        <v>0</v>
      </c>
      <c r="L50" s="4">
        <f>IFERROR(IF(AND(K50=0,SUM(J$47:$J50)&gt;0),SUM(J$7:J50)*Loan_Rate_2*(DAYS360(I49,I50)/360),IPMT(Loan_Rate_2,(ROUND(DAYS360(First_Principal_2-360,I50)/360,0)),Loan_Term_2,-(SUM(J$7:J$47)*(1+COI_2)))),0)</f>
        <v>0</v>
      </c>
      <c r="M50" s="4">
        <f t="shared" si="15"/>
        <v>0</v>
      </c>
      <c r="O50" s="3">
        <f t="shared" si="9"/>
        <v>61544</v>
      </c>
      <c r="P50" s="4">
        <f>IFERROR(VLOOKUP(O50,Inputs!$A$13:$F$19,O$1+1,0),0)</f>
        <v>0</v>
      </c>
      <c r="Q50" s="4">
        <f>IFERROR(IF(SUM(P$47:$P50)&gt;0,0,PPMT(Loan_Rate_3,(ROUND(DAYS360(First_Principal_3-360,O50)/360,0)),Loan_Term_3,-(SUM(P$7:P$47)*(1+COI_3)))),0)</f>
        <v>0</v>
      </c>
      <c r="R50" s="4">
        <f>IFERROR(IF(AND(Q50=0,SUM(P$47:$P50)&gt;0),SUM(P$7:P50)*Loan_Rate_3*(DAYS360(O49,O50)/360),IPMT(Loan_Rate_3,(ROUND(DAYS360(First_Principal_3-360,O50)/360,0)),Loan_Term_3,-(SUM(P$7:P$47)*(1+COI_3)))),0)</f>
        <v>0</v>
      </c>
      <c r="S50" s="4">
        <f t="shared" si="16"/>
        <v>0</v>
      </c>
      <c r="U50" s="3">
        <f t="shared" si="10"/>
        <v>61909</v>
      </c>
      <c r="V50" s="4">
        <f>IFERROR(VLOOKUP(U50,Inputs!$A$13:$F$19,U$1+1,0),0)</f>
        <v>0</v>
      </c>
      <c r="W50" s="4">
        <f>IFERROR(IF(SUM(V$47:V50)&gt;0,0,PPMT(Loan_Rate_4,(ROUND(DAYS360(First_Principal_4-360,U50)/360,0)),Loan_Term_4,-(SUM(V$7:V$47)*(1+COI_4)))),0)</f>
        <v>0</v>
      </c>
      <c r="X50" s="4">
        <f>IFERROR(IF(AND(W50=0,SUM(V$47:$V50)&gt;0),SUM(V$7:V50)*Loan_Rate_4*(DAYS360(U49,U50)/360),IPMT(Loan_Rate_4,(ROUND(DAYS360(First_Principal_4-360,U50)/360,0)),Loan_Term_4,-(SUM(V$7:V$47)*(1+COI_4)))),0)</f>
        <v>0</v>
      </c>
      <c r="Y50" s="4">
        <f t="shared" si="17"/>
        <v>0</v>
      </c>
      <c r="AA50" s="3">
        <f t="shared" si="11"/>
        <v>62639</v>
      </c>
      <c r="AB50" s="4">
        <f>IFERROR(VLOOKUP(AA50,Inputs!$A$13:$F$19,AA$1+1,0),0)</f>
        <v>0</v>
      </c>
      <c r="AC50" s="4">
        <f>IFERROR(IF(SUM(AB$47:AB50)&gt;0,0,PPMT(Loan_Rate_5,(ROUND(DAYS360(First_Principal_5-360,AA50)/360,0)),Loan_Term_5,-(SUM(AB$7:AB$47)*(1+COI_5)))),0)</f>
        <v>0</v>
      </c>
      <c r="AD50" s="4">
        <f>IFERROR(IF(AND(AC50=0,SUM(AB$47:$AB50)&gt;0),SUM(AB$7:AB50)*Loan_Rate_5*(DAYS360(AA49,AA50)/360),IPMT(Loan_Rate_5,(ROUND(DAYS360(First_Principal_5-360,AA50)/360,0)),Loan_Term_5,-(SUM(AB$7:AB$47)*(1+COI_5)))),0)</f>
        <v>0</v>
      </c>
      <c r="AE50" s="4">
        <f t="shared" si="18"/>
        <v>0</v>
      </c>
      <c r="AG50" s="3" t="e">
        <f t="shared" si="12"/>
        <v>#REF!</v>
      </c>
      <c r="AH50" s="4">
        <f>IFERROR(VLOOKUP(AG50,Inputs!$A$13:$F$19,AG$1+1,0),0)</f>
        <v>0</v>
      </c>
      <c r="AI50" s="4">
        <f>IFERROR(IF(SUM(AH$47:AH50)&gt;0,0,PPMT(Loan_Rate_6,(ROUND(DAYS360(First_Principal_6-360,AG50)/360,0)),Loan_Term_6,-(SUM(AH$7:AH$47)*(1+COI_6)))),0)</f>
        <v>0</v>
      </c>
      <c r="AJ50" s="4">
        <f>IFERROR(IF(AND(AI50=0,SUM(AH$47:$AH50)&gt;0),SUM(AH$7:AH50)*Loan_Rate_6*(DAYS360(AG49,AG50)/360),IPMT(Loan_Rate_6,(ROUND(DAYS360(First_Principal_6-360,AG50)/360,0)),Loan_Term_6,-(SUM(AH$7:AH$47)*(1+COI_6)))),0)</f>
        <v>0</v>
      </c>
      <c r="AK50" s="4">
        <f t="shared" si="19"/>
        <v>0</v>
      </c>
      <c r="AM50" s="3" t="e">
        <f t="shared" si="13"/>
        <v>#REF!</v>
      </c>
      <c r="AN50" s="4">
        <f>IFERROR(VLOOKUP(AM50,Inputs!$A$13:$F$19,AM$1+1,0),0)</f>
        <v>0</v>
      </c>
      <c r="AO50" s="4">
        <f>IFERROR(IF(SUM(AN$47:AN50)&gt;0,0,PPMT(Loan_Rate_7,(ROUND(DAYS360(First_Principal_7-360,AM50)/360,0)),Loan_Term_7,-(SUM(AN$7:AN$47)*(1+COI_7)))),0)</f>
        <v>0</v>
      </c>
      <c r="AP50" s="4">
        <f>IFERROR(IF(AND(AO50=0,SUM(AN$47:$AN50)&gt;0),SUM(AN$7:AN50)*Loan_Rate_7*(DAYS360(AM49,AM50)/360),IPMT(Loan_Rate_7,(ROUND(DAYS360(First_Principal_7-360,AM50)/360,0)),Loan_Term_7,-(SUM(AN$7:AN$47)*(1+COI_7)))),0)</f>
        <v>0</v>
      </c>
      <c r="AQ50" s="4">
        <f t="shared" si="20"/>
        <v>0</v>
      </c>
    </row>
    <row r="51" spans="3:43" x14ac:dyDescent="0.25">
      <c r="C51" s="3">
        <f t="shared" si="7"/>
        <v>61178</v>
      </c>
      <c r="D51" s="4">
        <f>IFERROR(VLOOKUP($C51,Inputs!$A$13:$F$19,'PV &amp; WIFIA Calculation Old'!$C$1+1,0),0)</f>
        <v>0</v>
      </c>
      <c r="E51" s="4">
        <f>IFERROR(IF(SUM(D$47:$D51)&gt;0,0,PPMT(Loan_Rate_1,(ROUND(DAYS360((First_Principal_1-360),C51)/360,0)),Loan_Term_1,-(SUM($D$7:$D$47)*(1+COI_1)))),0)</f>
        <v>0</v>
      </c>
      <c r="F51" s="4">
        <f>IFERROR(IF(AND(E51=0,SUM(D$47:$D51)&gt;0),SUM($D$7:D51)*Loan_Rate_1*(DAYS360(C50,C51)/360),IPMT(Loan_Rate_1,(ROUND(DAYS360((First_Principal_1-360),C51)/360,0)),Loan_Term_1,-(SUM($D$7:$D$47)*(1+COI_1)))),0)</f>
        <v>0</v>
      </c>
      <c r="G51" s="4">
        <f t="shared" si="14"/>
        <v>0</v>
      </c>
      <c r="I51" s="3">
        <f t="shared" si="8"/>
        <v>61544</v>
      </c>
      <c r="J51" s="4">
        <f>IFERROR(VLOOKUP(I51,Inputs!$A$13:$F$19,I$1+1,0),0)</f>
        <v>0</v>
      </c>
      <c r="K51" s="4">
        <f>IFERROR(IF(SUM(J$47:$J51)&gt;0,0,PPMT(Loan_Rate_2,(ROUND(DAYS360(First_Principal_2-360,I51)/360,0)),Loan_Term_2,-(SUM(J$7:J$47)*(1+COI_2)))),0)</f>
        <v>0</v>
      </c>
      <c r="L51" s="4">
        <f>IFERROR(IF(AND(K51=0,SUM(J$47:$J51)&gt;0),SUM(J$7:J51)*Loan_Rate_2*(DAYS360(I50,I51)/360),IPMT(Loan_Rate_2,(ROUND(DAYS360(First_Principal_2-360,I51)/360,0)),Loan_Term_2,-(SUM(J$7:J$47)*(1+COI_2)))),0)</f>
        <v>0</v>
      </c>
      <c r="M51" s="4">
        <f t="shared" si="15"/>
        <v>0</v>
      </c>
      <c r="O51" s="3">
        <f t="shared" si="9"/>
        <v>61909</v>
      </c>
      <c r="P51" s="4">
        <f>IFERROR(VLOOKUP(O51,Inputs!$A$13:$F$19,O$1+1,0),0)</f>
        <v>0</v>
      </c>
      <c r="Q51" s="4">
        <f>IFERROR(IF(SUM(P$47:$P51)&gt;0,0,PPMT(Loan_Rate_3,(ROUND(DAYS360(First_Principal_3-360,O51)/360,0)),Loan_Term_3,-(SUM(P$7:P$47)*(1+COI_3)))),0)</f>
        <v>0</v>
      </c>
      <c r="R51" s="4">
        <f>IFERROR(IF(AND(Q51=0,SUM(P$47:$P51)&gt;0),SUM(P$7:P51)*Loan_Rate_3*(DAYS360(O50,O51)/360),IPMT(Loan_Rate_3,(ROUND(DAYS360(First_Principal_3-360,O51)/360,0)),Loan_Term_3,-(SUM(P$7:P$47)*(1+COI_3)))),0)</f>
        <v>0</v>
      </c>
      <c r="S51" s="4">
        <f t="shared" si="16"/>
        <v>0</v>
      </c>
      <c r="U51" s="3">
        <f t="shared" si="10"/>
        <v>62274</v>
      </c>
      <c r="V51" s="4">
        <f>IFERROR(VLOOKUP(U51,Inputs!$A$13:$F$19,U$1+1,0),0)</f>
        <v>0</v>
      </c>
      <c r="W51" s="4">
        <f>IFERROR(IF(SUM(V$47:V51)&gt;0,0,PPMT(Loan_Rate_4,(ROUND(DAYS360(First_Principal_4-360,U51)/360,0)),Loan_Term_4,-(SUM(V$7:V$47)*(1+COI_4)))),0)</f>
        <v>0</v>
      </c>
      <c r="X51" s="4">
        <f>IFERROR(IF(AND(W51=0,SUM(V$47:$V51)&gt;0),SUM(V$7:V51)*Loan_Rate_4*(DAYS360(U50,U51)/360),IPMT(Loan_Rate_4,(ROUND(DAYS360(First_Principal_4-360,U51)/360,0)),Loan_Term_4,-(SUM(V$7:V$47)*(1+COI_4)))),0)</f>
        <v>0</v>
      </c>
      <c r="Y51" s="4">
        <f t="shared" si="17"/>
        <v>0</v>
      </c>
      <c r="AA51" s="3">
        <f t="shared" si="11"/>
        <v>63005</v>
      </c>
      <c r="AB51" s="4">
        <f>IFERROR(VLOOKUP(AA51,Inputs!$A$13:$F$19,AA$1+1,0),0)</f>
        <v>0</v>
      </c>
      <c r="AC51" s="4">
        <f>IFERROR(IF(SUM(AB$47:AB51)&gt;0,0,PPMT(Loan_Rate_5,(ROUND(DAYS360(First_Principal_5-360,AA51)/360,0)),Loan_Term_5,-(SUM(AB$7:AB$47)*(1+COI_5)))),0)</f>
        <v>0</v>
      </c>
      <c r="AD51" s="4">
        <f>IFERROR(IF(AND(AC51=0,SUM(AB$47:$AB51)&gt;0),SUM(AB$7:AB51)*Loan_Rate_5*(DAYS360(AA50,AA51)/360),IPMT(Loan_Rate_5,(ROUND(DAYS360(First_Principal_5-360,AA51)/360,0)),Loan_Term_5,-(SUM(AB$7:AB$47)*(1+COI_5)))),0)</f>
        <v>0</v>
      </c>
      <c r="AE51" s="4">
        <f t="shared" si="18"/>
        <v>0</v>
      </c>
      <c r="AG51" s="3" t="e">
        <f t="shared" si="12"/>
        <v>#REF!</v>
      </c>
      <c r="AH51" s="4">
        <f>IFERROR(VLOOKUP(AG51,Inputs!$A$13:$F$19,AG$1+1,0),0)</f>
        <v>0</v>
      </c>
      <c r="AI51" s="4">
        <f>IFERROR(IF(SUM(AH$47:AH51)&gt;0,0,PPMT(Loan_Rate_6,(ROUND(DAYS360(First_Principal_6-360,AG51)/360,0)),Loan_Term_6,-(SUM(AH$7:AH$47)*(1+COI_6)))),0)</f>
        <v>0</v>
      </c>
      <c r="AJ51" s="4">
        <f>IFERROR(IF(AND(AI51=0,SUM(AH$47:$AH51)&gt;0),SUM(AH$7:AH51)*Loan_Rate_6*(DAYS360(AG50,AG51)/360),IPMT(Loan_Rate_6,(ROUND(DAYS360(First_Principal_6-360,AG51)/360,0)),Loan_Term_6,-(SUM(AH$7:AH$47)*(1+COI_6)))),0)</f>
        <v>0</v>
      </c>
      <c r="AK51" s="4">
        <f t="shared" si="19"/>
        <v>0</v>
      </c>
      <c r="AM51" s="3" t="e">
        <f t="shared" si="13"/>
        <v>#REF!</v>
      </c>
      <c r="AN51" s="4">
        <f>IFERROR(VLOOKUP(AM51,Inputs!$A$13:$F$19,AM$1+1,0),0)</f>
        <v>0</v>
      </c>
      <c r="AO51" s="4">
        <f>IFERROR(IF(SUM(AN$47:AN51)&gt;0,0,PPMT(Loan_Rate_7,(ROUND(DAYS360(First_Principal_7-360,AM51)/360,0)),Loan_Term_7,-(SUM(AN$7:AN$47)*(1+COI_7)))),0)</f>
        <v>0</v>
      </c>
      <c r="AP51" s="4">
        <f>IFERROR(IF(AND(AO51=0,SUM(AN$47:$AN51)&gt;0),SUM(AN$7:AN51)*Loan_Rate_7*(DAYS360(AM50,AM51)/360),IPMT(Loan_Rate_7,(ROUND(DAYS360(First_Principal_7-360,AM51)/360,0)),Loan_Term_7,-(SUM(AN$7:AN$47)*(1+COI_7)))),0)</f>
        <v>0</v>
      </c>
      <c r="AQ51" s="4">
        <f t="shared" si="20"/>
        <v>0</v>
      </c>
    </row>
    <row r="52" spans="3:43" x14ac:dyDescent="0.25">
      <c r="C52" s="7" t="s">
        <v>9</v>
      </c>
      <c r="D52" s="4">
        <f>SUM(D7:D47)</f>
        <v>39465559.009999998</v>
      </c>
      <c r="E52" s="4">
        <f t="shared" ref="E52:G52" si="21">SUM(E7:E47)</f>
        <v>0</v>
      </c>
      <c r="F52" s="4">
        <f t="shared" si="21"/>
        <v>3946555.9010000001</v>
      </c>
      <c r="G52" s="4">
        <f t="shared" si="21"/>
        <v>3946555.9010000001</v>
      </c>
      <c r="I52" s="7" t="s">
        <v>9</v>
      </c>
      <c r="J52" s="4">
        <f>SUM(J7:J47)</f>
        <v>30933000</v>
      </c>
      <c r="K52" s="4">
        <f t="shared" ref="K52" si="22">SUM(K7:K47)</f>
        <v>28263693.877221476</v>
      </c>
      <c r="L52" s="4">
        <f t="shared" ref="L52" si="23">SUM(L7:L47)</f>
        <v>18220626.695222825</v>
      </c>
      <c r="M52" s="4">
        <f t="shared" ref="M52" si="24">SUM(M7:M47)</f>
        <v>46484320.57244429</v>
      </c>
      <c r="O52" s="7" t="s">
        <v>9</v>
      </c>
      <c r="P52" s="4">
        <f>SUM(P7:P47)</f>
        <v>84904333.333333343</v>
      </c>
      <c r="Q52" s="4">
        <f t="shared" ref="Q52" si="25">SUM(Q7:Q47)</f>
        <v>77577670.648915544</v>
      </c>
      <c r="R52" s="4">
        <f t="shared" ref="R52" si="26">SUM(R7:R47)</f>
        <v>49865496.57276389</v>
      </c>
      <c r="S52" s="4">
        <f t="shared" ref="S52" si="27">SUM(S7:S47)</f>
        <v>127443167.22167939</v>
      </c>
      <c r="U52" s="7" t="s">
        <v>9</v>
      </c>
      <c r="V52" s="4">
        <f>SUM(V7:V47)</f>
        <v>143934892.34999999</v>
      </c>
      <c r="W52" s="4">
        <f t="shared" ref="W52" si="28">SUM(W7:W47)</f>
        <v>140977748.10650557</v>
      </c>
      <c r="X52" s="4">
        <f t="shared" ref="X52" si="29">SUM(X7:X47)</f>
        <v>95234159.893988892</v>
      </c>
      <c r="Y52" s="4">
        <f t="shared" ref="Y52" si="30">SUM(Y7:Y47)</f>
        <v>236211908.00049439</v>
      </c>
      <c r="AA52" s="7" t="s">
        <v>9</v>
      </c>
      <c r="AB52" s="4">
        <f>SUM(AB7:AB47)</f>
        <v>53675764.705882356</v>
      </c>
      <c r="AC52" s="4">
        <f t="shared" ref="AC52" si="31">SUM(AC7:AC47)</f>
        <v>54212522.352941155</v>
      </c>
      <c r="AD52" s="4">
        <f t="shared" ref="AD52" si="32">SUM(AD7:AD47)</f>
        <v>35466871.949696377</v>
      </c>
      <c r="AE52" s="4">
        <f t="shared" ref="AE52" si="33">SUM(AE7:AE47)</f>
        <v>89679394.302637503</v>
      </c>
      <c r="AG52" s="7" t="s">
        <v>9</v>
      </c>
      <c r="AH52" s="4">
        <f>SUM(AH7:AH47)</f>
        <v>0</v>
      </c>
      <c r="AI52" s="4">
        <f t="shared" ref="AI52" si="34">SUM(AI7:AI47)</f>
        <v>0</v>
      </c>
      <c r="AJ52" s="4">
        <f t="shared" ref="AJ52" si="35">SUM(AJ7:AJ47)</f>
        <v>0</v>
      </c>
      <c r="AK52" s="4">
        <f t="shared" ref="AK52" si="36">SUM(AK7:AK47)</f>
        <v>0</v>
      </c>
      <c r="AM52" s="7" t="s">
        <v>9</v>
      </c>
      <c r="AN52" s="4">
        <f>SUM(AN7:AN47)</f>
        <v>0</v>
      </c>
      <c r="AO52" s="4">
        <f t="shared" ref="AO52" si="37">SUM(AO7:AO47)</f>
        <v>0</v>
      </c>
      <c r="AP52" s="4">
        <f t="shared" ref="AP52" si="38">SUM(AP7:AP47)</f>
        <v>0</v>
      </c>
      <c r="AQ52" s="4">
        <f t="shared" ref="AQ52" si="39">SUM(AQ7:AQ47)</f>
        <v>0</v>
      </c>
    </row>
    <row r="53" spans="3:43" x14ac:dyDescent="0.25">
      <c r="C53" s="3"/>
      <c r="D53" s="4"/>
      <c r="E53" s="4"/>
      <c r="F53" s="4"/>
      <c r="G53" s="4"/>
    </row>
    <row r="54" spans="3:43" x14ac:dyDescent="0.25">
      <c r="C54" s="3"/>
      <c r="D54" s="4"/>
      <c r="E54" s="4"/>
      <c r="F54" s="4"/>
      <c r="G54" s="4"/>
      <c r="P54" s="4"/>
      <c r="V54" s="4"/>
      <c r="W54" s="8"/>
      <c r="AB54" s="4"/>
      <c r="AC54" s="8"/>
      <c r="AH54" s="4"/>
      <c r="AN54" s="4"/>
    </row>
    <row r="55" spans="3:43" x14ac:dyDescent="0.25">
      <c r="C55" s="3"/>
      <c r="D55" s="4"/>
      <c r="E55" s="4"/>
      <c r="F55" s="4"/>
      <c r="G55" s="4"/>
    </row>
    <row r="56" spans="3:43" x14ac:dyDescent="0.25">
      <c r="C56" s="3"/>
      <c r="D56" s="4"/>
      <c r="E56" s="4"/>
      <c r="F56" s="4"/>
      <c r="G56" s="4"/>
    </row>
    <row r="57" spans="3:43" x14ac:dyDescent="0.25">
      <c r="C57" s="3"/>
      <c r="D57" s="4"/>
      <c r="E57" s="4"/>
      <c r="F57" s="4"/>
      <c r="G57" s="4"/>
    </row>
    <row r="58" spans="3:43" x14ac:dyDescent="0.25">
      <c r="C58" s="3"/>
      <c r="D58" s="4"/>
      <c r="E58" s="4"/>
      <c r="F58" s="4"/>
      <c r="G58" s="4"/>
    </row>
    <row r="59" spans="3:43" x14ac:dyDescent="0.25">
      <c r="C59" s="3"/>
      <c r="D59" s="4"/>
      <c r="E59" s="4"/>
      <c r="F59" s="4"/>
      <c r="G59" s="4"/>
    </row>
    <row r="60" spans="3:43" x14ac:dyDescent="0.25">
      <c r="C60" s="3"/>
      <c r="D60" s="4"/>
      <c r="E60" s="4"/>
      <c r="F60" s="4"/>
      <c r="G60" s="4"/>
    </row>
    <row r="61" spans="3:43" x14ac:dyDescent="0.25">
      <c r="C61" s="3"/>
      <c r="D61" s="4"/>
      <c r="E61" s="4"/>
      <c r="F61" s="4"/>
      <c r="G61" s="4"/>
    </row>
    <row r="62" spans="3:43" x14ac:dyDescent="0.25">
      <c r="C62" s="3"/>
      <c r="D62" s="4"/>
      <c r="E62" s="4"/>
      <c r="F62" s="4"/>
      <c r="G62" s="4"/>
    </row>
    <row r="63" spans="3:43" x14ac:dyDescent="0.25">
      <c r="C63" s="3"/>
      <c r="D63" s="4"/>
      <c r="E63" s="4"/>
      <c r="F63" s="4"/>
      <c r="G63" s="4"/>
    </row>
    <row r="64" spans="3:43" x14ac:dyDescent="0.25">
      <c r="C64" s="3"/>
      <c r="D64" s="4"/>
      <c r="E64" s="4"/>
      <c r="F64" s="4"/>
      <c r="G64" s="4"/>
    </row>
    <row r="65" spans="3:7" x14ac:dyDescent="0.25">
      <c r="C65" s="3"/>
      <c r="D65" s="4"/>
      <c r="E65" s="4"/>
      <c r="F65" s="4"/>
      <c r="G65" s="4"/>
    </row>
    <row r="66" spans="3:7" x14ac:dyDescent="0.25">
      <c r="C66" s="3"/>
      <c r="D66" s="4"/>
      <c r="E66" s="4"/>
      <c r="F66" s="4"/>
      <c r="G6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F6DD-F5D7-4487-8AC3-F8ECFEF86710}">
  <sheetPr codeName="Sheet5"/>
  <dimension ref="C2:L67"/>
  <sheetViews>
    <sheetView tabSelected="1" workbookViewId="0"/>
  </sheetViews>
  <sheetFormatPr defaultRowHeight="15" x14ac:dyDescent="0.25"/>
  <cols>
    <col min="3" max="3" width="9.7109375" style="3" bestFit="1" customWidth="1"/>
    <col min="4" max="6" width="14.5703125" bestFit="1" customWidth="1"/>
    <col min="7" max="7" width="16.140625" bestFit="1" customWidth="1"/>
    <col min="8" max="12" width="16.140625" customWidth="1"/>
  </cols>
  <sheetData>
    <row r="2" spans="3:12" x14ac:dyDescent="0.25">
      <c r="C2" s="21" t="s">
        <v>9</v>
      </c>
      <c r="D2" s="22">
        <f>SUM(D8:D48)</f>
        <v>345258555.09510005</v>
      </c>
      <c r="E2" s="22">
        <f>SUM(E8:E48)</f>
        <v>324621119.99999994</v>
      </c>
      <c r="F2" s="22">
        <f>SUM(F8:F48)</f>
        <v>176680840.14280847</v>
      </c>
      <c r="G2" s="22">
        <f>SUM(G8:G48)</f>
        <v>501301960.1428085</v>
      </c>
      <c r="H2" s="22"/>
      <c r="I2" s="22"/>
      <c r="J2" s="22"/>
      <c r="K2" s="22"/>
      <c r="L2" s="22">
        <f>SUM(L8:L48)</f>
        <v>1190740134.8708227</v>
      </c>
    </row>
    <row r="3" spans="3:12" x14ac:dyDescent="0.25">
      <c r="C3" s="23" t="str">
        <f>Borrower</f>
        <v>Philadelphia Water Department</v>
      </c>
      <c r="D3" s="6"/>
      <c r="E3" s="6"/>
      <c r="F3" s="6"/>
      <c r="G3" s="6"/>
      <c r="H3" s="6"/>
      <c r="I3" s="6"/>
      <c r="J3" s="6"/>
      <c r="K3" s="6"/>
      <c r="L3" s="6"/>
    </row>
    <row r="4" spans="3:12" x14ac:dyDescent="0.25">
      <c r="C4" s="23" t="s">
        <v>11</v>
      </c>
      <c r="D4" s="6"/>
      <c r="E4" s="6"/>
      <c r="F4" s="6"/>
      <c r="G4" s="6"/>
      <c r="H4" s="6"/>
      <c r="I4" s="6"/>
      <c r="J4" s="6"/>
      <c r="K4" s="6"/>
      <c r="L4" s="6"/>
    </row>
    <row r="5" spans="3:12" x14ac:dyDescent="0.25">
      <c r="C5" s="23"/>
      <c r="D5" s="74" t="s">
        <v>56</v>
      </c>
      <c r="E5" s="6"/>
      <c r="F5" s="6"/>
      <c r="G5" s="6"/>
      <c r="H5" s="6" t="s">
        <v>19</v>
      </c>
      <c r="I5" s="6"/>
      <c r="J5" s="6"/>
      <c r="K5" s="6"/>
      <c r="L5" s="6" t="s">
        <v>12</v>
      </c>
    </row>
    <row r="6" spans="3:12" ht="29.1" customHeight="1" x14ac:dyDescent="0.25">
      <c r="C6" s="24" t="s">
        <v>5</v>
      </c>
      <c r="D6" s="16" t="s">
        <v>4</v>
      </c>
      <c r="E6" s="17" t="s">
        <v>6</v>
      </c>
      <c r="F6" s="16" t="s">
        <v>7</v>
      </c>
      <c r="G6" s="17" t="s">
        <v>8</v>
      </c>
      <c r="H6" s="16" t="s">
        <v>4</v>
      </c>
      <c r="I6" s="17" t="s">
        <v>6</v>
      </c>
      <c r="J6" s="16" t="s">
        <v>7</v>
      </c>
      <c r="K6" s="17" t="s">
        <v>8</v>
      </c>
      <c r="L6" s="18" t="s">
        <v>8</v>
      </c>
    </row>
    <row r="7" spans="3:12" x14ac:dyDescent="0.25">
      <c r="C7" s="3">
        <f>MIN(Inputs!B5:F5)</f>
        <v>44896</v>
      </c>
    </row>
    <row r="8" spans="3:12" x14ac:dyDescent="0.25">
      <c r="D8" s="4">
        <f>'PV &amp; WIFIA New'!D10</f>
        <v>0</v>
      </c>
      <c r="E8" s="4">
        <f>'PV &amp; WIFIA New'!E10</f>
        <v>0</v>
      </c>
      <c r="F8" s="4">
        <f>'PV &amp; WIFIA New'!F10</f>
        <v>0</v>
      </c>
      <c r="G8" s="4">
        <f>'PV &amp; WIFIA New'!G10</f>
        <v>0</v>
      </c>
      <c r="H8" s="4">
        <f>'PV &amp; WIFIA New'!H10</f>
        <v>0</v>
      </c>
      <c r="I8" s="4">
        <f>'PV &amp; WIFIA New'!I10</f>
        <v>0</v>
      </c>
      <c r="J8" s="4">
        <f>'PV &amp; WIFIA New'!J10</f>
        <v>0</v>
      </c>
      <c r="K8" s="4">
        <f>'PV &amp; WIFIA New'!K10</f>
        <v>0</v>
      </c>
      <c r="L8" s="9">
        <f>G8+K8</f>
        <v>0</v>
      </c>
    </row>
    <row r="9" spans="3:12" x14ac:dyDescent="0.25">
      <c r="D9" s="4">
        <f>'PV &amp; WIFIA New'!D11</f>
        <v>510000</v>
      </c>
      <c r="E9" s="4">
        <f>'PV &amp; WIFIA New'!E11</f>
        <v>0</v>
      </c>
      <c r="F9" s="4">
        <f>'PV &amp; WIFIA New'!F11</f>
        <v>0</v>
      </c>
      <c r="G9" s="4">
        <f>'PV &amp; WIFIA New'!G11</f>
        <v>0</v>
      </c>
      <c r="H9" s="4">
        <f>'PV &amp; WIFIA New'!H11</f>
        <v>490000</v>
      </c>
      <c r="I9" s="4">
        <f>'PV &amp; WIFIA New'!I11</f>
        <v>0</v>
      </c>
      <c r="J9" s="4">
        <f>'PV &amp; WIFIA New'!J11</f>
        <v>0</v>
      </c>
      <c r="K9" s="4">
        <f>'PV &amp; WIFIA New'!K11</f>
        <v>0</v>
      </c>
      <c r="L9" s="9">
        <f t="shared" ref="L9:L66" si="0">G9+K9</f>
        <v>0</v>
      </c>
    </row>
    <row r="10" spans="3:12" x14ac:dyDescent="0.25">
      <c r="D10" s="4">
        <f>'PV &amp; WIFIA New'!D12</f>
        <v>9338450.0317000002</v>
      </c>
      <c r="E10" s="4">
        <f>'PV &amp; WIFIA New'!E12</f>
        <v>0</v>
      </c>
      <c r="F10" s="4">
        <f>'PV &amp; WIFIA New'!F12</f>
        <v>0</v>
      </c>
      <c r="G10" s="4">
        <f>'PV &amp; WIFIA New'!G12</f>
        <v>0</v>
      </c>
      <c r="H10" s="4">
        <f>'PV &amp; WIFIA New'!H12</f>
        <v>9062921.3569592312</v>
      </c>
      <c r="I10" s="4">
        <f>'PV &amp; WIFIA New'!I12</f>
        <v>0</v>
      </c>
      <c r="J10" s="4">
        <f>'PV &amp; WIFIA New'!J12</f>
        <v>17150</v>
      </c>
      <c r="K10" s="4">
        <f>'PV &amp; WIFIA New'!K12</f>
        <v>17150</v>
      </c>
      <c r="L10" s="9">
        <f t="shared" si="0"/>
        <v>17150</v>
      </c>
    </row>
    <row r="11" spans="3:12" x14ac:dyDescent="0.25">
      <c r="D11" s="4">
        <f>'PV &amp; WIFIA New'!D13</f>
        <v>20957638.365033332</v>
      </c>
      <c r="E11" s="4">
        <f>'PV &amp; WIFIA New'!E13</f>
        <v>477101.91428052378</v>
      </c>
      <c r="F11" s="4">
        <f>'PV &amp; WIFIA New'!F13</f>
        <v>131465.25</v>
      </c>
      <c r="G11" s="4">
        <f>'PV &amp; WIFIA New'!G13</f>
        <v>608567.16428052378</v>
      </c>
      <c r="H11" s="4">
        <f>'PV &amp; WIFIA New'!H13</f>
        <v>20772104.108311929</v>
      </c>
      <c r="I11" s="4">
        <f>'PV &amp; WIFIA New'!I13</f>
        <v>0</v>
      </c>
      <c r="J11" s="4">
        <f>'PV &amp; WIFIA New'!J13</f>
        <v>347436.64775353589</v>
      </c>
      <c r="K11" s="4">
        <f>'PV &amp; WIFIA New'!K13</f>
        <v>347436.64775353589</v>
      </c>
      <c r="L11" s="9">
        <f t="shared" si="0"/>
        <v>956003.81203405967</v>
      </c>
    </row>
    <row r="12" spans="3:12" x14ac:dyDescent="0.25">
      <c r="D12" s="4">
        <f>'PV &amp; WIFIA New'!D14</f>
        <v>47915106.79686667</v>
      </c>
      <c r="E12" s="4">
        <f>'PV &amp; WIFIA New'!E14</f>
        <v>1933974.7856969864</v>
      </c>
      <c r="F12" s="4">
        <f>'PV &amp; WIFIA New'!F14</f>
        <v>820034.8209526405</v>
      </c>
      <c r="G12" s="4">
        <f>'PV &amp; WIFIA New'!G14</f>
        <v>2754009.606649627</v>
      </c>
      <c r="H12" s="4">
        <f>'PV &amp; WIFIA New'!H14</f>
        <v>47938917.431556121</v>
      </c>
      <c r="I12" s="4">
        <f>'PV &amp; WIFIA New'!I14</f>
        <v>911417.80450821505</v>
      </c>
      <c r="J12" s="4">
        <f>'PV &amp; WIFIA New'!J14</f>
        <v>1146090.6055611798</v>
      </c>
      <c r="K12" s="4">
        <f>'PV &amp; WIFIA New'!K14</f>
        <v>2057508.4100693949</v>
      </c>
      <c r="L12" s="9">
        <f t="shared" si="0"/>
        <v>4811518.0167190218</v>
      </c>
    </row>
    <row r="13" spans="3:12" x14ac:dyDescent="0.25">
      <c r="D13" s="4">
        <f>'PV &amp; WIFIA New'!D15</f>
        <v>58497187.647749998</v>
      </c>
      <c r="E13" s="4">
        <f>'PV &amp; WIFIA New'!E15</f>
        <v>2030673.5249818356</v>
      </c>
      <c r="F13" s="4">
        <f>'PV &amp; WIFIA New'!F15</f>
        <v>2783634.1699261246</v>
      </c>
      <c r="G13" s="4">
        <f>'PV &amp; WIFIA New'!G15</f>
        <v>4814307.6949079605</v>
      </c>
      <c r="H13" s="4">
        <f>'PV &amp; WIFIA New'!H15</f>
        <v>58563244.829716831</v>
      </c>
      <c r="I13" s="4">
        <f>'PV &amp; WIFIA New'!I15</f>
        <v>717705.9819921694</v>
      </c>
      <c r="J13" s="4">
        <f>'PV &amp; WIFIA New'!J15</f>
        <v>2999517.4731408041</v>
      </c>
      <c r="K13" s="4">
        <f>'PV &amp; WIFIA New'!K15</f>
        <v>3717223.4551329734</v>
      </c>
      <c r="L13" s="9">
        <f t="shared" si="0"/>
        <v>8531531.1500409339</v>
      </c>
    </row>
    <row r="14" spans="3:12" x14ac:dyDescent="0.25">
      <c r="D14" s="4">
        <f>'PV &amp; WIFIA New'!D16</f>
        <v>59246067.35225001</v>
      </c>
      <c r="E14" s="4">
        <f>'PV &amp; WIFIA New'!E16</f>
        <v>4486283.2323592855</v>
      </c>
      <c r="F14" s="4">
        <f>'PV &amp; WIFIA New'!F16</f>
        <v>5606959.8760645334</v>
      </c>
      <c r="G14" s="4">
        <f>'PV &amp; WIFIA New'!G16</f>
        <v>10093243.108423818</v>
      </c>
      <c r="H14" s="4">
        <f>'PV &amp; WIFIA New'!H16</f>
        <v>59126699.644517176</v>
      </c>
      <c r="I14" s="4">
        <f>'PV &amp; WIFIA New'!I16</f>
        <v>742825.69136189541</v>
      </c>
      <c r="J14" s="4">
        <f>'PV &amp; WIFIA New'!J16</f>
        <v>5316927.556959752</v>
      </c>
      <c r="K14" s="4">
        <f>'PV &amp; WIFIA New'!K16</f>
        <v>6059753.2483216468</v>
      </c>
      <c r="L14" s="9">
        <f t="shared" si="0"/>
        <v>16152996.356745465</v>
      </c>
    </row>
    <row r="15" spans="3:12" x14ac:dyDescent="0.25">
      <c r="D15" s="4">
        <f>'PV &amp; WIFIA New'!D17</f>
        <v>48123086.719681822</v>
      </c>
      <c r="E15" s="4">
        <f>'PV &amp; WIFIA New'!E17</f>
        <v>10263784.198405799</v>
      </c>
      <c r="F15" s="4">
        <f>'PV &amp; WIFIA New'!F17</f>
        <v>8344949.0820590695</v>
      </c>
      <c r="G15" s="4">
        <f>'PV &amp; WIFIA New'!G17</f>
        <v>18608733.280464869</v>
      </c>
      <c r="H15" s="4">
        <f>'PV &amp; WIFIA New'!H17</f>
        <v>47630924.669353507</v>
      </c>
      <c r="I15" s="4">
        <f>'PV &amp; WIFIA New'!I17</f>
        <v>768824.59055956174</v>
      </c>
      <c r="J15" s="4">
        <f>'PV &amp; WIFIA New'!J17</f>
        <v>7655996.6435427722</v>
      </c>
      <c r="K15" s="4">
        <f>'PV &amp; WIFIA New'!K17</f>
        <v>8424821.2341023348</v>
      </c>
      <c r="L15" s="9">
        <f t="shared" si="0"/>
        <v>27033554.514567204</v>
      </c>
    </row>
    <row r="16" spans="3:12" x14ac:dyDescent="0.25">
      <c r="D16" s="4">
        <f>'PV &amp; WIFIA New'!D18</f>
        <v>51839803.636363633</v>
      </c>
      <c r="E16" s="4">
        <f>'PV &amp; WIFIA New'!E18</f>
        <v>10776973.408326089</v>
      </c>
      <c r="F16" s="4">
        <f>'PV &amp; WIFIA New'!F18</f>
        <v>10237914.208122872</v>
      </c>
      <c r="G16" s="4">
        <f>'PV &amp; WIFIA New'!G18</f>
        <v>21014887.616448961</v>
      </c>
      <c r="H16" s="4">
        <f>'PV &amp; WIFIA New'!H18</f>
        <v>51095024.784886487</v>
      </c>
      <c r="I16" s="4">
        <f>'PV &amp; WIFIA New'!I18</f>
        <v>795733.45122914633</v>
      </c>
      <c r="J16" s="4">
        <f>'PV &amp; WIFIA New'!J18</f>
        <v>9534324.7696473282</v>
      </c>
      <c r="K16" s="4">
        <f>'PV &amp; WIFIA New'!K18</f>
        <v>10330058.220876474</v>
      </c>
      <c r="L16" s="9">
        <f t="shared" si="0"/>
        <v>31344945.837325435</v>
      </c>
    </row>
    <row r="17" spans="4:12" x14ac:dyDescent="0.25">
      <c r="D17" s="4">
        <f>'PV &amp; WIFIA New'!D19</f>
        <v>42714923.636363648</v>
      </c>
      <c r="E17" s="4">
        <f>'PV &amp; WIFIA New'!E19</f>
        <v>11315822.078742396</v>
      </c>
      <c r="F17" s="4">
        <f>'PV &amp; WIFIA New'!F19</f>
        <v>12291055.719524749</v>
      </c>
      <c r="G17" s="4">
        <f>'PV &amp; WIFIA New'!G19</f>
        <v>23606877.798267141</v>
      </c>
      <c r="H17" s="4">
        <f>'PV &amp; WIFIA New'!H19</f>
        <v>42101241.300875232</v>
      </c>
      <c r="I17" s="4">
        <f>'PV &amp; WIFIA New'!I19</f>
        <v>823584.1220221665</v>
      </c>
      <c r="J17" s="4">
        <f>'PV &amp; WIFIA New'!J19</f>
        <v>11550275.090249766</v>
      </c>
      <c r="K17" s="4">
        <f>'PV &amp; WIFIA New'!K19</f>
        <v>12373859.212271933</v>
      </c>
      <c r="L17" s="9">
        <f t="shared" si="0"/>
        <v>35980737.01053907</v>
      </c>
    </row>
    <row r="18" spans="4:12" x14ac:dyDescent="0.25">
      <c r="D18" s="4">
        <f>'PV &amp; WIFIA New'!D20</f>
        <v>6116290.909090911</v>
      </c>
      <c r="E18" s="4">
        <f>'PV &amp; WIFIA New'!E20</f>
        <v>11881613.182679515</v>
      </c>
      <c r="F18" s="4">
        <f>'PV &amp; WIFIA New'!F20</f>
        <v>13861010.797405809</v>
      </c>
      <c r="G18" s="4">
        <f>'PV &amp; WIFIA New'!G20</f>
        <v>25742623.980085324</v>
      </c>
      <c r="H18" s="4">
        <f>'PV &amp; WIFIA New'!H20</f>
        <v>6028418.5832131673</v>
      </c>
      <c r="I18" s="4">
        <f>'PV &amp; WIFIA New'!I20</f>
        <v>852409.56629294227</v>
      </c>
      <c r="J18" s="4">
        <f>'PV &amp; WIFIA New'!J20</f>
        <v>13205499.298014</v>
      </c>
      <c r="K18" s="4">
        <f>'PV &amp; WIFIA New'!K20</f>
        <v>14057908.864306943</v>
      </c>
      <c r="L18" s="9">
        <f t="shared" si="0"/>
        <v>39800532.84439227</v>
      </c>
    </row>
    <row r="19" spans="4:12" x14ac:dyDescent="0.25">
      <c r="D19" s="4">
        <f>'PV &amp; WIFIA New'!D21</f>
        <v>0</v>
      </c>
      <c r="E19" s="4">
        <f>'PV &amp; WIFIA New'!E21</f>
        <v>12475693.84181349</v>
      </c>
      <c r="F19" s="4">
        <f>'PV &amp; WIFIA New'!F21</f>
        <v>13572744.683726378</v>
      </c>
      <c r="G19" s="4">
        <f>'PV &amp; WIFIA New'!G21</f>
        <v>26048438.525539871</v>
      </c>
      <c r="H19" s="4">
        <f>'PV &amp; WIFIA New'!H21</f>
        <v>0</v>
      </c>
      <c r="I19" s="4">
        <f>'PV &amp; WIFIA New'!I21</f>
        <v>882243.90111319534</v>
      </c>
      <c r="J19" s="4">
        <f>'PV &amp; WIFIA New'!J21</f>
        <v>13416801.706522275</v>
      </c>
      <c r="K19" s="4">
        <f>'PV &amp; WIFIA New'!K21</f>
        <v>14299045.607635472</v>
      </c>
      <c r="L19" s="9">
        <f t="shared" si="0"/>
        <v>40347484.133175343</v>
      </c>
    </row>
    <row r="20" spans="4:12" x14ac:dyDescent="0.25">
      <c r="D20" s="4">
        <f>'PV &amp; WIFIA New'!D22</f>
        <v>0</v>
      </c>
      <c r="E20" s="4">
        <f>'PV &amp; WIFIA New'!E22</f>
        <v>13099478.533904165</v>
      </c>
      <c r="F20" s="4">
        <f>'PV &amp; WIFIA New'!F22</f>
        <v>12948959.991635704</v>
      </c>
      <c r="G20" s="4">
        <f>'PV &amp; WIFIA New'!G22</f>
        <v>26048438.525539868</v>
      </c>
      <c r="H20" s="4">
        <f>'PV &amp; WIFIA New'!H22</f>
        <v>0</v>
      </c>
      <c r="I20" s="4">
        <f>'PV &amp; WIFIA New'!I22</f>
        <v>913122.43765215715</v>
      </c>
      <c r="J20" s="4">
        <f>'PV &amp; WIFIA New'!J22</f>
        <v>13385923.169983312</v>
      </c>
      <c r="K20" s="4">
        <f>'PV &amp; WIFIA New'!K22</f>
        <v>14299045.607635472</v>
      </c>
      <c r="L20" s="9">
        <f t="shared" si="0"/>
        <v>40347484.133175343</v>
      </c>
    </row>
    <row r="21" spans="4:12" x14ac:dyDescent="0.25">
      <c r="D21" s="4">
        <f>'PV &amp; WIFIA New'!D23</f>
        <v>0</v>
      </c>
      <c r="E21" s="4">
        <f>'PV &amp; WIFIA New'!E23</f>
        <v>13754452.460599374</v>
      </c>
      <c r="F21" s="4">
        <f>'PV &amp; WIFIA New'!F23</f>
        <v>12293986.064940497</v>
      </c>
      <c r="G21" s="4">
        <f>'PV &amp; WIFIA New'!G23</f>
        <v>26048438.525539871</v>
      </c>
      <c r="H21" s="4">
        <f>'PV &amp; WIFIA New'!H23</f>
        <v>0</v>
      </c>
      <c r="I21" s="4">
        <f>'PV &amp; WIFIA New'!I23</f>
        <v>945081.72296998266</v>
      </c>
      <c r="J21" s="4">
        <f>'PV &amp; WIFIA New'!J23</f>
        <v>13353963.884665489</v>
      </c>
      <c r="K21" s="4">
        <f>'PV &amp; WIFIA New'!K23</f>
        <v>14299045.607635472</v>
      </c>
      <c r="L21" s="9">
        <f t="shared" si="0"/>
        <v>40347484.133175343</v>
      </c>
    </row>
    <row r="22" spans="4:12" x14ac:dyDescent="0.25">
      <c r="D22" s="4">
        <f>'PV &amp; WIFIA New'!D24</f>
        <v>0</v>
      </c>
      <c r="E22" s="4">
        <f>'PV &amp; WIFIA New'!E24</f>
        <v>14442175.083629344</v>
      </c>
      <c r="F22" s="4">
        <f>'PV &amp; WIFIA New'!F24</f>
        <v>11606263.441910528</v>
      </c>
      <c r="G22" s="4">
        <f>'PV &amp; WIFIA New'!G24</f>
        <v>26048438.525539868</v>
      </c>
      <c r="H22" s="4">
        <f>'PV &amp; WIFIA New'!H24</f>
        <v>0</v>
      </c>
      <c r="I22" s="4">
        <f>'PV &amp; WIFIA New'!I24</f>
        <v>978159.5832739321</v>
      </c>
      <c r="J22" s="4">
        <f>'PV &amp; WIFIA New'!J24</f>
        <v>13320886.02436154</v>
      </c>
      <c r="K22" s="4">
        <f>'PV &amp; WIFIA New'!K24</f>
        <v>14299045.607635472</v>
      </c>
      <c r="L22" s="9">
        <f t="shared" si="0"/>
        <v>40347484.133175343</v>
      </c>
    </row>
    <row r="23" spans="4:12" x14ac:dyDescent="0.25">
      <c r="D23" s="4">
        <f>'PV &amp; WIFIA New'!D25</f>
        <v>0</v>
      </c>
      <c r="E23" s="4">
        <f>'PV &amp; WIFIA New'!E25</f>
        <v>15164283.837810811</v>
      </c>
      <c r="F23" s="4">
        <f>'PV &amp; WIFIA New'!F25</f>
        <v>10884154.687729061</v>
      </c>
      <c r="G23" s="4">
        <f>'PV &amp; WIFIA New'!G25</f>
        <v>26048438.525539868</v>
      </c>
      <c r="H23" s="4">
        <f>'PV &amp; WIFIA New'!H25</f>
        <v>0</v>
      </c>
      <c r="I23" s="4">
        <f>'PV &amp; WIFIA New'!I25</f>
        <v>1012395.1686885196</v>
      </c>
      <c r="J23" s="4">
        <f>'PV &amp; WIFIA New'!J25</f>
        <v>13286650.438946951</v>
      </c>
      <c r="K23" s="4">
        <f>'PV &amp; WIFIA New'!K25</f>
        <v>14299045.607635472</v>
      </c>
      <c r="L23" s="9">
        <f t="shared" si="0"/>
        <v>40347484.133175343</v>
      </c>
    </row>
    <row r="24" spans="4:12" x14ac:dyDescent="0.25">
      <c r="D24" s="4">
        <f>'PV &amp; WIFIA New'!D26</f>
        <v>0</v>
      </c>
      <c r="E24" s="4">
        <f>'PV &amp; WIFIA New'!E26</f>
        <v>15922498.02970135</v>
      </c>
      <c r="F24" s="4">
        <f>'PV &amp; WIFIA New'!F26</f>
        <v>10125940.495838519</v>
      </c>
      <c r="G24" s="4">
        <f>'PV &amp; WIFIA New'!G26</f>
        <v>26048438.525539868</v>
      </c>
      <c r="H24" s="4">
        <f>'PV &amp; WIFIA New'!H26</f>
        <v>0</v>
      </c>
      <c r="I24" s="4">
        <f>'PV &amp; WIFIA New'!I26</f>
        <v>1047828.9995926179</v>
      </c>
      <c r="J24" s="4">
        <f>'PV &amp; WIFIA New'!J26</f>
        <v>13251216.608042853</v>
      </c>
      <c r="K24" s="4">
        <f>'PV &amp; WIFIA New'!K26</f>
        <v>14299045.607635472</v>
      </c>
      <c r="L24" s="9">
        <f t="shared" si="0"/>
        <v>40347484.133175343</v>
      </c>
    </row>
    <row r="25" spans="4:12" x14ac:dyDescent="0.25">
      <c r="D25" s="4">
        <f>'PV &amp; WIFIA New'!D27</f>
        <v>0</v>
      </c>
      <c r="E25" s="4">
        <f>'PV &amp; WIFIA New'!E27</f>
        <v>16718622.931186419</v>
      </c>
      <c r="F25" s="4">
        <f>'PV &amp; WIFIA New'!F27</f>
        <v>9329815.5943534523</v>
      </c>
      <c r="G25" s="4">
        <f>'PV &amp; WIFIA New'!G27</f>
        <v>26048438.525539871</v>
      </c>
      <c r="H25" s="4">
        <f>'PV &amp; WIFIA New'!H27</f>
        <v>0</v>
      </c>
      <c r="I25" s="4">
        <f>'PV &amp; WIFIA New'!I27</f>
        <v>1084503.0145783594</v>
      </c>
      <c r="J25" s="4">
        <f>'PV &amp; WIFIA New'!J27</f>
        <v>13214542.593057111</v>
      </c>
      <c r="K25" s="4">
        <f>'PV &amp; WIFIA New'!K27</f>
        <v>14299045.607635472</v>
      </c>
      <c r="L25" s="9">
        <f t="shared" si="0"/>
        <v>40347484.133175343</v>
      </c>
    </row>
    <row r="26" spans="4:12" x14ac:dyDescent="0.25">
      <c r="D26" s="4">
        <f>'PV &amp; WIFIA New'!D28</f>
        <v>0</v>
      </c>
      <c r="E26" s="4">
        <f>'PV &amp; WIFIA New'!E28</f>
        <v>17554554.077745743</v>
      </c>
      <c r="F26" s="4">
        <f>'PV &amp; WIFIA New'!F28</f>
        <v>8493884.4477941319</v>
      </c>
      <c r="G26" s="4">
        <f>'PV &amp; WIFIA New'!G28</f>
        <v>26048438.525539875</v>
      </c>
      <c r="H26" s="4">
        <f>'PV &amp; WIFIA New'!H28</f>
        <v>0</v>
      </c>
      <c r="I26" s="4">
        <f>'PV &amp; WIFIA New'!I28</f>
        <v>1122460.620088602</v>
      </c>
      <c r="J26" s="4">
        <f>'PV &amp; WIFIA New'!J28</f>
        <v>13176584.987546869</v>
      </c>
      <c r="K26" s="4">
        <f>'PV &amp; WIFIA New'!K28</f>
        <v>14299045.607635472</v>
      </c>
      <c r="L26" s="9">
        <f t="shared" si="0"/>
        <v>40347484.133175343</v>
      </c>
    </row>
    <row r="27" spans="4:12" x14ac:dyDescent="0.25">
      <c r="D27" s="4">
        <f>'PV &amp; WIFIA New'!D29</f>
        <v>0</v>
      </c>
      <c r="E27" s="4">
        <f>'PV &amp; WIFIA New'!E29</f>
        <v>18432281.781633027</v>
      </c>
      <c r="F27" s="4">
        <f>'PV &amp; WIFIA New'!F29</f>
        <v>7616156.7439068435</v>
      </c>
      <c r="G27" s="4">
        <f>'PV &amp; WIFIA New'!G29</f>
        <v>26048438.525539868</v>
      </c>
      <c r="H27" s="4">
        <f>'PV &amp; WIFIA New'!H29</f>
        <v>0</v>
      </c>
      <c r="I27" s="4">
        <f>'PV &amp; WIFIA New'!I29</f>
        <v>1161746.741791703</v>
      </c>
      <c r="J27" s="4">
        <f>'PV &amp; WIFIA New'!J29</f>
        <v>13137298.865843769</v>
      </c>
      <c r="K27" s="4">
        <f>'PV &amp; WIFIA New'!K29</f>
        <v>14299045.607635472</v>
      </c>
      <c r="L27" s="9">
        <f t="shared" si="0"/>
        <v>40347484.133175343</v>
      </c>
    </row>
    <row r="28" spans="4:12" x14ac:dyDescent="0.25">
      <c r="D28" s="4">
        <f>'PV &amp; WIFIA New'!D30</f>
        <v>0</v>
      </c>
      <c r="E28" s="4">
        <f>'PV &amp; WIFIA New'!E30</f>
        <v>19353895.870714676</v>
      </c>
      <c r="F28" s="4">
        <f>'PV &amp; WIFIA New'!F30</f>
        <v>6694542.6548251919</v>
      </c>
      <c r="G28" s="4">
        <f>'PV &amp; WIFIA New'!G30</f>
        <v>26048438.525539868</v>
      </c>
      <c r="H28" s="4">
        <f>'PV &amp; WIFIA New'!H30</f>
        <v>0</v>
      </c>
      <c r="I28" s="4">
        <f>'PV &amp; WIFIA New'!I30</f>
        <v>1202407.8777544126</v>
      </c>
      <c r="J28" s="4">
        <f>'PV &amp; WIFIA New'!J30</f>
        <v>13096637.729881059</v>
      </c>
      <c r="K28" s="4">
        <f>'PV &amp; WIFIA New'!K30</f>
        <v>14299045.607635472</v>
      </c>
      <c r="L28" s="9">
        <f t="shared" si="0"/>
        <v>40347484.133175343</v>
      </c>
    </row>
    <row r="29" spans="4:12" x14ac:dyDescent="0.25">
      <c r="D29" s="4">
        <f>'PV &amp; WIFIA New'!D31</f>
        <v>0</v>
      </c>
      <c r="E29" s="4">
        <f>'PV &amp; WIFIA New'!E31</f>
        <v>20321590.664250411</v>
      </c>
      <c r="F29" s="4">
        <f>'PV &amp; WIFIA New'!F31</f>
        <v>5726847.8612894583</v>
      </c>
      <c r="G29" s="4">
        <f>'PV &amp; WIFIA New'!G31</f>
        <v>26048438.525539868</v>
      </c>
      <c r="H29" s="4">
        <f>'PV &amp; WIFIA New'!H31</f>
        <v>0</v>
      </c>
      <c r="I29" s="4">
        <f>'PV &amp; WIFIA New'!I31</f>
        <v>1244492.1534758171</v>
      </c>
      <c r="J29" s="4">
        <f>'PV &amp; WIFIA New'!J31</f>
        <v>13054553.454159655</v>
      </c>
      <c r="K29" s="4">
        <f>'PV &amp; WIFIA New'!K31</f>
        <v>14299045.607635472</v>
      </c>
      <c r="L29" s="9">
        <f t="shared" si="0"/>
        <v>40347484.133175343</v>
      </c>
    </row>
    <row r="30" spans="4:12" x14ac:dyDescent="0.25">
      <c r="D30" s="4">
        <f>'PV &amp; WIFIA New'!D32</f>
        <v>0</v>
      </c>
      <c r="E30" s="4">
        <f>'PV &amp; WIFIA New'!E32</f>
        <v>21337670.197462935</v>
      </c>
      <c r="F30" s="4">
        <f>'PV &amp; WIFIA New'!F32</f>
        <v>4710768.3280769382</v>
      </c>
      <c r="G30" s="4">
        <f>'PV &amp; WIFIA New'!G32</f>
        <v>26048438.525539871</v>
      </c>
      <c r="H30" s="4">
        <f>'PV &amp; WIFIA New'!H32</f>
        <v>0</v>
      </c>
      <c r="I30" s="4">
        <f>'PV &amp; WIFIA New'!I32</f>
        <v>1288049.3788474707</v>
      </c>
      <c r="J30" s="4">
        <f>'PV &amp; WIFIA New'!J32</f>
        <v>13010996.228788</v>
      </c>
      <c r="K30" s="4">
        <f>'PV &amp; WIFIA New'!K32</f>
        <v>14299045.607635472</v>
      </c>
      <c r="L30" s="9">
        <f t="shared" si="0"/>
        <v>40347484.133175343</v>
      </c>
    </row>
    <row r="31" spans="4:12" x14ac:dyDescent="0.25">
      <c r="D31" s="4">
        <f>'PV &amp; WIFIA New'!D33</f>
        <v>0</v>
      </c>
      <c r="E31" s="4">
        <f>'PV &amp; WIFIA New'!E33</f>
        <v>21138660.293055557</v>
      </c>
      <c r="F31" s="4">
        <f>'PV &amp; WIFIA New'!F33</f>
        <v>3643884.8182037906</v>
      </c>
      <c r="G31" s="4">
        <f>'PV &amp; WIFIA New'!G33</f>
        <v>24782545.111259349</v>
      </c>
      <c r="H31" s="4">
        <f>'PV &amp; WIFIA New'!H33</f>
        <v>0</v>
      </c>
      <c r="I31" s="4">
        <f>'PV &amp; WIFIA New'!I33</f>
        <v>2146851.0484097484</v>
      </c>
      <c r="J31" s="4">
        <f>'PV &amp; WIFIA New'!J33</f>
        <v>12965914.500528339</v>
      </c>
      <c r="K31" s="4">
        <f>'PV &amp; WIFIA New'!K33</f>
        <v>15112765.548938088</v>
      </c>
      <c r="L31" s="9">
        <f t="shared" si="0"/>
        <v>39895310.660197437</v>
      </c>
    </row>
    <row r="32" spans="4:12" x14ac:dyDescent="0.25">
      <c r="D32" s="4">
        <f>'PV &amp; WIFIA New'!D34</f>
        <v>0</v>
      </c>
      <c r="E32" s="4">
        <f>'PV &amp; WIFIA New'!E34</f>
        <v>18393370.532005899</v>
      </c>
      <c r="F32" s="4">
        <f>'PV &amp; WIFIA New'!F34</f>
        <v>2586951.8035510127</v>
      </c>
      <c r="G32" s="4">
        <f>'PV &amp; WIFIA New'!G34</f>
        <v>20980322.335556909</v>
      </c>
      <c r="H32" s="4">
        <f>'PV &amp; WIFIA New'!H34</f>
        <v>0</v>
      </c>
      <c r="I32" s="4">
        <f>'PV &amp; WIFIA New'!I34</f>
        <v>3325861.370776278</v>
      </c>
      <c r="J32" s="4">
        <f>'PV &amp; WIFIA New'!J34</f>
        <v>12886706.114127483</v>
      </c>
      <c r="K32" s="4">
        <f>'PV &amp; WIFIA New'!K34</f>
        <v>16212567.484903764</v>
      </c>
      <c r="L32" s="9">
        <f t="shared" si="0"/>
        <v>37192889.820460677</v>
      </c>
    </row>
    <row r="33" spans="4:12" x14ac:dyDescent="0.25">
      <c r="D33" s="4">
        <f>'PV &amp; WIFIA New'!D35</f>
        <v>0</v>
      </c>
      <c r="E33" s="4">
        <f>'PV &amp; WIFIA New'!E35</f>
        <v>19313039.058606192</v>
      </c>
      <c r="F33" s="4">
        <f>'PV &amp; WIFIA New'!F35</f>
        <v>1667283.2769507179</v>
      </c>
      <c r="G33" s="4">
        <f>'PV &amp; WIFIA New'!G35</f>
        <v>20980322.335556909</v>
      </c>
      <c r="H33" s="4">
        <f>'PV &amp; WIFIA New'!H35</f>
        <v>0</v>
      </c>
      <c r="I33" s="4">
        <f>'PV &amp; WIFIA New'!I35</f>
        <v>3442266.518753448</v>
      </c>
      <c r="J33" s="4">
        <f>'PV &amp; WIFIA New'!J35</f>
        <v>12753671.659296434</v>
      </c>
      <c r="K33" s="4">
        <f>'PV &amp; WIFIA New'!K35</f>
        <v>16195938.178049881</v>
      </c>
      <c r="L33" s="9">
        <f t="shared" si="0"/>
        <v>37176260.513606787</v>
      </c>
    </row>
    <row r="34" spans="4:12" x14ac:dyDescent="0.25">
      <c r="D34" s="4">
        <f>'PV &amp; WIFIA New'!D36</f>
        <v>0</v>
      </c>
      <c r="E34" s="4">
        <f>'PV &amp; WIFIA New'!E36</f>
        <v>14032626.480408145</v>
      </c>
      <c r="F34" s="4">
        <f>'PV &amp; WIFIA New'!F36</f>
        <v>701631.32402040809</v>
      </c>
      <c r="G34" s="4">
        <f>'PV &amp; WIFIA New'!G36</f>
        <v>14734257.804428553</v>
      </c>
      <c r="H34" s="4">
        <f>'PV &amp; WIFIA New'!H36</f>
        <v>0</v>
      </c>
      <c r="I34" s="4">
        <f>'PV &amp; WIFIA New'!I36</f>
        <v>7624422.3746674936</v>
      </c>
      <c r="J34" s="4">
        <f>'PV &amp; WIFIA New'!J36</f>
        <v>12615980.998546295</v>
      </c>
      <c r="K34" s="4">
        <f>'PV &amp; WIFIA New'!K36</f>
        <v>20240403.37321379</v>
      </c>
      <c r="L34" s="9">
        <f t="shared" si="0"/>
        <v>34974661.177642345</v>
      </c>
    </row>
    <row r="35" spans="4:12" x14ac:dyDescent="0.25">
      <c r="D35" s="4">
        <f>'PV &amp; WIFIA New'!D37</f>
        <v>0</v>
      </c>
      <c r="E35" s="4">
        <f>'PV &amp; WIFIA New'!E37</f>
        <v>0</v>
      </c>
      <c r="F35" s="4">
        <f>'PV &amp; WIFIA New'!F37</f>
        <v>1.4202669262886049E-9</v>
      </c>
      <c r="G35" s="4">
        <f>'PV &amp; WIFIA New'!G37</f>
        <v>1.4202669262886049E-9</v>
      </c>
      <c r="H35" s="4">
        <f>'PV &amp; WIFIA New'!H37</f>
        <v>0</v>
      </c>
      <c r="I35" s="4">
        <f>'PV &amp; WIFIA New'!I37</f>
        <v>17270751.506203469</v>
      </c>
      <c r="J35" s="4">
        <f>'PV &amp; WIFIA New'!J37</f>
        <v>12311004.103559595</v>
      </c>
      <c r="K35" s="4">
        <f>'PV &amp; WIFIA New'!K37</f>
        <v>29581755.609763063</v>
      </c>
      <c r="L35" s="9">
        <f t="shared" si="0"/>
        <v>29581755.609763063</v>
      </c>
    </row>
    <row r="36" spans="4:12" x14ac:dyDescent="0.25">
      <c r="D36" s="4">
        <f>'PV &amp; WIFIA New'!D38</f>
        <v>0</v>
      </c>
      <c r="E36" s="4">
        <f>'PV &amp; WIFIA New'!E38</f>
        <v>0</v>
      </c>
      <c r="F36" s="4">
        <f>'PV &amp; WIFIA New'!F38</f>
        <v>1.4202669262886049E-9</v>
      </c>
      <c r="G36" s="4">
        <f>'PV &amp; WIFIA New'!G38</f>
        <v>1.4202669262886049E-9</v>
      </c>
      <c r="H36" s="4">
        <f>'PV &amp; WIFIA New'!H38</f>
        <v>0</v>
      </c>
      <c r="I36" s="4">
        <f>'PV &amp; WIFIA New'!I38</f>
        <v>17875227.808920592</v>
      </c>
      <c r="J36" s="4">
        <f>'PV &amp; WIFIA New'!J38</f>
        <v>11620174.043311456</v>
      </c>
      <c r="K36" s="4">
        <f>'PV &amp; WIFIA New'!K38</f>
        <v>29495401.852232046</v>
      </c>
      <c r="L36" s="9">
        <f t="shared" si="0"/>
        <v>29495401.852232046</v>
      </c>
    </row>
    <row r="37" spans="4:12" x14ac:dyDescent="0.25">
      <c r="D37" s="4">
        <f>'PV &amp; WIFIA New'!D39</f>
        <v>0</v>
      </c>
      <c r="E37" s="4">
        <f>'PV &amp; WIFIA New'!E39</f>
        <v>0</v>
      </c>
      <c r="F37" s="4">
        <f>'PV &amp; WIFIA New'!F39</f>
        <v>1.4202669262886049E-9</v>
      </c>
      <c r="G37" s="4">
        <f>'PV &amp; WIFIA New'!G39</f>
        <v>1.4202669262886049E-9</v>
      </c>
      <c r="H37" s="4">
        <f>'PV &amp; WIFIA New'!H39</f>
        <v>0</v>
      </c>
      <c r="I37" s="4">
        <f>'PV &amp; WIFIA New'!I39</f>
        <v>18500860.78223281</v>
      </c>
      <c r="J37" s="4">
        <f>'PV &amp; WIFIA New'!J39</f>
        <v>10905164.930954633</v>
      </c>
      <c r="K37" s="4">
        <f>'PV &amp; WIFIA New'!K39</f>
        <v>29406025.713187445</v>
      </c>
      <c r="L37" s="9">
        <f t="shared" si="0"/>
        <v>29406025.713187445</v>
      </c>
    </row>
    <row r="38" spans="4:12" x14ac:dyDescent="0.25">
      <c r="D38" s="4">
        <f>'PV &amp; WIFIA New'!D40</f>
        <v>0</v>
      </c>
      <c r="E38" s="4">
        <f>'PV &amp; WIFIA New'!E40</f>
        <v>0</v>
      </c>
      <c r="F38" s="4">
        <f>'PV &amp; WIFIA New'!F40</f>
        <v>1.4202669262886049E-9</v>
      </c>
      <c r="G38" s="4">
        <f>'PV &amp; WIFIA New'!G40</f>
        <v>1.4202669262886049E-9</v>
      </c>
      <c r="H38" s="4">
        <f>'PV &amp; WIFIA New'!H40</f>
        <v>0</v>
      </c>
      <c r="I38" s="4">
        <f>'PV &amp; WIFIA New'!I40</f>
        <v>19148390.909610961</v>
      </c>
      <c r="J38" s="4">
        <f>'PV &amp; WIFIA New'!J40</f>
        <v>10165130.49966532</v>
      </c>
      <c r="K38" s="4">
        <f>'PV &amp; WIFIA New'!K40</f>
        <v>29313521.409276284</v>
      </c>
      <c r="L38" s="9">
        <f t="shared" si="0"/>
        <v>29313521.409276284</v>
      </c>
    </row>
    <row r="39" spans="4:12" x14ac:dyDescent="0.25">
      <c r="D39" s="4">
        <f>'PV &amp; WIFIA New'!D41</f>
        <v>0</v>
      </c>
      <c r="E39" s="4">
        <f>'PV &amp; WIFIA New'!E41</f>
        <v>0</v>
      </c>
      <c r="F39" s="4">
        <f>'PV &amp; WIFIA New'!F41</f>
        <v>1.4202669262886049E-9</v>
      </c>
      <c r="G39" s="4">
        <f>'PV &amp; WIFIA New'!G41</f>
        <v>1.4202669262886049E-9</v>
      </c>
      <c r="H39" s="4">
        <f>'PV &amp; WIFIA New'!H41</f>
        <v>0</v>
      </c>
      <c r="I39" s="4">
        <f>'PV &amp; WIFIA New'!I41</f>
        <v>19818584.591447346</v>
      </c>
      <c r="J39" s="4">
        <f>'PV &amp; WIFIA New'!J41</f>
        <v>9399194.8632808812</v>
      </c>
      <c r="K39" s="4">
        <f>'PV &amp; WIFIA New'!K41</f>
        <v>29217779.454728227</v>
      </c>
      <c r="L39" s="9">
        <f t="shared" si="0"/>
        <v>29217779.454728227</v>
      </c>
    </row>
    <row r="40" spans="4:12" x14ac:dyDescent="0.25">
      <c r="D40" s="4">
        <f>'PV &amp; WIFIA New'!D42</f>
        <v>0</v>
      </c>
      <c r="E40" s="4">
        <f>'PV &amp; WIFIA New'!E42</f>
        <v>0</v>
      </c>
      <c r="F40" s="4">
        <f>'PV &amp; WIFIA New'!F42</f>
        <v>1.4202669262886049E-9</v>
      </c>
      <c r="G40" s="4">
        <f>'PV &amp; WIFIA New'!G42</f>
        <v>1.4202669262886049E-9</v>
      </c>
      <c r="H40" s="4">
        <f>'PV &amp; WIFIA New'!H42</f>
        <v>0</v>
      </c>
      <c r="I40" s="4">
        <f>'PV &amp; WIFIA New'!I42</f>
        <v>20512235.052148003</v>
      </c>
      <c r="J40" s="4">
        <f>'PV &amp; WIFIA New'!J42</f>
        <v>8606451.4796229862</v>
      </c>
      <c r="K40" s="4">
        <f>'PV &amp; WIFIA New'!K42</f>
        <v>29118686.531770989</v>
      </c>
      <c r="L40" s="9">
        <f t="shared" si="0"/>
        <v>29118686.531770989</v>
      </c>
    </row>
    <row r="41" spans="4:12" x14ac:dyDescent="0.25">
      <c r="D41" s="4">
        <f>'PV &amp; WIFIA New'!D43</f>
        <v>0</v>
      </c>
      <c r="E41" s="4">
        <f>'PV &amp; WIFIA New'!E43</f>
        <v>0</v>
      </c>
      <c r="F41" s="4">
        <f>'PV &amp; WIFIA New'!F43</f>
        <v>1.4202669262886049E-9</v>
      </c>
      <c r="G41" s="4">
        <f>'PV &amp; WIFIA New'!G43</f>
        <v>1.4202669262886049E-9</v>
      </c>
      <c r="H41" s="4">
        <f>'PV &amp; WIFIA New'!H43</f>
        <v>0</v>
      </c>
      <c r="I41" s="4">
        <f>'PV &amp; WIFIA New'!I43</f>
        <v>21230163.278973185</v>
      </c>
      <c r="J41" s="4">
        <f>'PV &amp; WIFIA New'!J43</f>
        <v>7785962.0775370672</v>
      </c>
      <c r="K41" s="4">
        <f>'PV &amp; WIFIA New'!K43</f>
        <v>29016125.356510252</v>
      </c>
      <c r="L41" s="9">
        <f t="shared" si="0"/>
        <v>29016125.356510252</v>
      </c>
    </row>
    <row r="42" spans="4:12" x14ac:dyDescent="0.25">
      <c r="D42" s="4">
        <f>'PV &amp; WIFIA New'!D44</f>
        <v>0</v>
      </c>
      <c r="E42" s="4">
        <f>'PV &amp; WIFIA New'!E44</f>
        <v>0</v>
      </c>
      <c r="F42" s="4">
        <f>'PV &amp; WIFIA New'!F44</f>
        <v>1.4202669262886049E-9</v>
      </c>
      <c r="G42" s="4">
        <f>'PV &amp; WIFIA New'!G44</f>
        <v>1.4202669262886049E-9</v>
      </c>
      <c r="H42" s="4">
        <f>'PV &amp; WIFIA New'!H44</f>
        <v>0</v>
      </c>
      <c r="I42" s="4">
        <f>'PV &amp; WIFIA New'!I44</f>
        <v>21973218.993737243</v>
      </c>
      <c r="J42" s="4">
        <f>'PV &amp; WIFIA New'!J44</f>
        <v>6936755.5463781403</v>
      </c>
      <c r="K42" s="4">
        <f>'PV &amp; WIFIA New'!K44</f>
        <v>28909974.540115386</v>
      </c>
      <c r="L42" s="9">
        <f t="shared" si="0"/>
        <v>28909974.540115386</v>
      </c>
    </row>
    <row r="43" spans="4:12" x14ac:dyDescent="0.25">
      <c r="D43" s="4">
        <f>'PV &amp; WIFIA New'!D45</f>
        <v>0</v>
      </c>
      <c r="E43" s="4">
        <f>'PV &amp; WIFIA New'!E45</f>
        <v>0</v>
      </c>
      <c r="F43" s="4">
        <f>'PV &amp; WIFIA New'!F45</f>
        <v>1.4202669262886049E-9</v>
      </c>
      <c r="G43" s="4">
        <f>'PV &amp; WIFIA New'!G45</f>
        <v>1.4202669262886049E-9</v>
      </c>
      <c r="H43" s="4">
        <f>'PV &amp; WIFIA New'!H45</f>
        <v>0</v>
      </c>
      <c r="I43" s="4">
        <f>'PV &amp; WIFIA New'!I45</f>
        <v>22742281.658518046</v>
      </c>
      <c r="J43" s="4">
        <f>'PV &amp; WIFIA New'!J45</f>
        <v>6057826.7866286505</v>
      </c>
      <c r="K43" s="4">
        <f>'PV &amp; WIFIA New'!K45</f>
        <v>28800108.445146695</v>
      </c>
      <c r="L43" s="9">
        <f t="shared" si="0"/>
        <v>28800108.445146695</v>
      </c>
    </row>
    <row r="44" spans="4:12" x14ac:dyDescent="0.25">
      <c r="D44" s="4">
        <f>'PV &amp; WIFIA New'!D46</f>
        <v>0</v>
      </c>
      <c r="E44" s="4">
        <f>'PV &amp; WIFIA New'!E46</f>
        <v>0</v>
      </c>
      <c r="F44" s="4">
        <f>'PV &amp; WIFIA New'!F46</f>
        <v>1.4202669262886049E-9</v>
      </c>
      <c r="G44" s="4">
        <f>'PV &amp; WIFIA New'!G46</f>
        <v>1.4202669262886049E-9</v>
      </c>
      <c r="H44" s="4">
        <f>'PV &amp; WIFIA New'!H46</f>
        <v>0</v>
      </c>
      <c r="I44" s="4">
        <f>'PV &amp; WIFIA New'!I46</f>
        <v>23538261.51656618</v>
      </c>
      <c r="J44" s="4">
        <f>'PV &amp; WIFIA New'!J46</f>
        <v>5148135.5202879291</v>
      </c>
      <c r="K44" s="4">
        <f>'PV &amp; WIFIA New'!K46</f>
        <v>28686397.036854107</v>
      </c>
      <c r="L44" s="9">
        <f t="shared" si="0"/>
        <v>28686397.036854107</v>
      </c>
    </row>
    <row r="45" spans="4:12" x14ac:dyDescent="0.25">
      <c r="D45" s="4">
        <f>'PV &amp; WIFIA New'!D47</f>
        <v>0</v>
      </c>
      <c r="E45" s="4">
        <f>'PV &amp; WIFIA New'!E47</f>
        <v>0</v>
      </c>
      <c r="F45" s="4">
        <f>'PV &amp; WIFIA New'!F47</f>
        <v>1.4202669262886049E-9</v>
      </c>
      <c r="G45" s="4">
        <f>'PV &amp; WIFIA New'!G47</f>
        <v>1.4202669262886049E-9</v>
      </c>
      <c r="H45" s="4">
        <f>'PV &amp; WIFIA New'!H47</f>
        <v>0</v>
      </c>
      <c r="I45" s="4">
        <f>'PV &amp; WIFIA New'!I47</f>
        <v>24362100.669645995</v>
      </c>
      <c r="J45" s="4">
        <f>'PV &amp; WIFIA New'!J47</f>
        <v>4206605.059625282</v>
      </c>
      <c r="K45" s="4">
        <f>'PV &amp; WIFIA New'!K47</f>
        <v>28568705.729271278</v>
      </c>
      <c r="L45" s="9">
        <f t="shared" si="0"/>
        <v>28568705.729271278</v>
      </c>
    </row>
    <row r="46" spans="4:12" x14ac:dyDescent="0.25">
      <c r="D46" s="4">
        <f>'PV &amp; WIFIA New'!D48</f>
        <v>0</v>
      </c>
      <c r="E46" s="4">
        <f>'PV &amp; WIFIA New'!E48</f>
        <v>0</v>
      </c>
      <c r="F46" s="4">
        <f>'PV &amp; WIFIA New'!F48</f>
        <v>1.4202669262886049E-9</v>
      </c>
      <c r="G46" s="4">
        <f>'PV &amp; WIFIA New'!G48</f>
        <v>1.4202669262886049E-9</v>
      </c>
      <c r="H46" s="4">
        <f>'PV &amp; WIFIA New'!H48</f>
        <v>0</v>
      </c>
      <c r="I46" s="4">
        <f>'PV &amp; WIFIA New'!I48</f>
        <v>23851509.440862551</v>
      </c>
      <c r="J46" s="4">
        <f>'PV &amp; WIFIA New'!J48</f>
        <v>3232121.0328394426</v>
      </c>
      <c r="K46" s="4">
        <f>'PV &amp; WIFIA New'!K48</f>
        <v>27083630.473701991</v>
      </c>
      <c r="L46" s="9">
        <f t="shared" si="0"/>
        <v>27083630.473701991</v>
      </c>
    </row>
    <row r="47" spans="4:12" x14ac:dyDescent="0.25">
      <c r="D47" s="4">
        <f>'PV &amp; WIFIA New'!D49</f>
        <v>0</v>
      </c>
      <c r="E47" s="4">
        <f>'PV &amp; WIFIA New'!E49</f>
        <v>0</v>
      </c>
      <c r="F47" s="4">
        <f>'PV &amp; WIFIA New'!F49</f>
        <v>1.4202669262886049E-9</v>
      </c>
      <c r="G47" s="4">
        <f>'PV &amp; WIFIA New'!G49</f>
        <v>1.4202669262886049E-9</v>
      </c>
      <c r="H47" s="4">
        <f>'PV &amp; WIFIA New'!H49</f>
        <v>0</v>
      </c>
      <c r="I47" s="4">
        <f>'PV &amp; WIFIA New'!I49</f>
        <v>20525313.331067711</v>
      </c>
      <c r="J47" s="4">
        <f>'PV &amp; WIFIA New'!J49</f>
        <v>2278060.6552049401</v>
      </c>
      <c r="K47" s="4">
        <f>'PV &amp; WIFIA New'!K49</f>
        <v>22803373.986272652</v>
      </c>
      <c r="L47" s="9">
        <f t="shared" si="0"/>
        <v>22803373.986272652</v>
      </c>
    </row>
    <row r="48" spans="4:12" x14ac:dyDescent="0.25">
      <c r="D48" s="4">
        <f>'PV &amp; WIFIA New'!D50</f>
        <v>0</v>
      </c>
      <c r="E48" s="4">
        <f>'PV &amp; WIFIA New'!E50</f>
        <v>0</v>
      </c>
      <c r="F48" s="4">
        <f>'PV &amp; WIFIA New'!F50</f>
        <v>1.4202669262886049E-9</v>
      </c>
      <c r="G48" s="4">
        <f>'PV &amp; WIFIA New'!G50</f>
        <v>1.4202669262886049E-9</v>
      </c>
      <c r="H48" s="4">
        <f>'PV &amp; WIFIA New'!H50</f>
        <v>0</v>
      </c>
      <c r="I48" s="4">
        <f>'PV &amp; WIFIA New'!I50</f>
        <v>21243699.297655083</v>
      </c>
      <c r="J48" s="4">
        <f>'PV &amp; WIFIA New'!J50</f>
        <v>1457048.1219622316</v>
      </c>
      <c r="K48" s="4">
        <f>'PV &amp; WIFIA New'!K50</f>
        <v>22700747.419617314</v>
      </c>
      <c r="L48" s="9">
        <f t="shared" si="0"/>
        <v>22700747.419617314</v>
      </c>
    </row>
    <row r="49" spans="4:12" x14ac:dyDescent="0.25">
      <c r="D49" s="4">
        <f>'PV &amp; WIFIA New'!D51</f>
        <v>0</v>
      </c>
      <c r="E49" s="4">
        <f>'PV &amp; WIFIA New'!E51</f>
        <v>0</v>
      </c>
      <c r="F49" s="4">
        <f>'PV &amp; WIFIA New'!F51</f>
        <v>1.4202669262886049E-9</v>
      </c>
      <c r="G49" s="4">
        <f>'PV &amp; WIFIA New'!G51</f>
        <v>1.4202669262886049E-9</v>
      </c>
      <c r="H49" s="4">
        <f>'PV &amp; WIFIA New'!H51</f>
        <v>0</v>
      </c>
      <c r="I49" s="4">
        <f>'PV &amp; WIFIA New'!I51</f>
        <v>15182503.751400692</v>
      </c>
      <c r="J49" s="4">
        <f>'PV &amp; WIFIA New'!J51</f>
        <v>607300.15005602816</v>
      </c>
      <c r="K49" s="4">
        <f>'PV &amp; WIFIA New'!K51</f>
        <v>15789803.901456721</v>
      </c>
      <c r="L49" s="9">
        <f t="shared" si="0"/>
        <v>15789803.901456723</v>
      </c>
    </row>
    <row r="50" spans="4:12" x14ac:dyDescent="0.25">
      <c r="D50" s="4">
        <f>'PV &amp; WIFIA New'!D52</f>
        <v>0</v>
      </c>
      <c r="E50" s="4">
        <f>'PV &amp; WIFIA New'!E52</f>
        <v>0</v>
      </c>
      <c r="F50" s="4">
        <f>'PV &amp; WIFIA New'!F52</f>
        <v>1.4202669262886049E-9</v>
      </c>
      <c r="G50" s="4">
        <f>'PV &amp; WIFIA New'!G52</f>
        <v>1.4202669262886049E-9</v>
      </c>
      <c r="H50" s="4">
        <f>'PV &amp; WIFIA New'!H52</f>
        <v>0</v>
      </c>
      <c r="I50" s="4">
        <f>'PV &amp; WIFIA New'!I52</f>
        <v>0</v>
      </c>
      <c r="J50" s="4">
        <f>'PV &amp; WIFIA New'!J52</f>
        <v>1.396983861923218E-10</v>
      </c>
      <c r="K50" s="4">
        <f>'PV &amp; WIFIA New'!K52</f>
        <v>1.396983861923218E-10</v>
      </c>
      <c r="L50" s="9">
        <f t="shared" si="0"/>
        <v>1.5599653124809268E-9</v>
      </c>
    </row>
    <row r="51" spans="4:12" x14ac:dyDescent="0.25">
      <c r="D51" s="4">
        <f>'PV &amp; WIFIA New'!D53</f>
        <v>0</v>
      </c>
      <c r="E51" s="4">
        <f>'PV &amp; WIFIA New'!E53</f>
        <v>0</v>
      </c>
      <c r="F51" s="4">
        <f>'PV &amp; WIFIA New'!F53</f>
        <v>1.4202669262886049E-9</v>
      </c>
      <c r="G51" s="4">
        <f>'PV &amp; WIFIA New'!G53</f>
        <v>1.4202669262886049E-9</v>
      </c>
      <c r="H51" s="4">
        <f>'PV &amp; WIFIA New'!H53</f>
        <v>0</v>
      </c>
      <c r="I51" s="4">
        <f>'PV &amp; WIFIA New'!I53</f>
        <v>0</v>
      </c>
      <c r="J51" s="4">
        <f>'PV &amp; WIFIA New'!J53</f>
        <v>1.396983861923218E-10</v>
      </c>
      <c r="K51" s="4">
        <f>'PV &amp; WIFIA New'!K53</f>
        <v>1.396983861923218E-10</v>
      </c>
      <c r="L51" s="9">
        <f t="shared" si="0"/>
        <v>1.5599653124809268E-9</v>
      </c>
    </row>
    <row r="52" spans="4:12" x14ac:dyDescent="0.25">
      <c r="D52" s="4">
        <f>'PV &amp; WIFIA New'!D54</f>
        <v>0</v>
      </c>
      <c r="E52" s="4">
        <f>'PV &amp; WIFIA New'!E54</f>
        <v>0</v>
      </c>
      <c r="F52" s="4">
        <f>'PV &amp; WIFIA New'!F54</f>
        <v>0</v>
      </c>
      <c r="G52" s="4">
        <f>'PV &amp; WIFIA New'!G54</f>
        <v>0</v>
      </c>
      <c r="H52" s="4">
        <f>'PV &amp; WIFIA New'!H54</f>
        <v>0</v>
      </c>
      <c r="I52" s="4">
        <f>'PV &amp; WIFIA New'!I54</f>
        <v>0</v>
      </c>
      <c r="J52" s="4">
        <f>'PV &amp; WIFIA New'!J54</f>
        <v>0</v>
      </c>
      <c r="K52" s="4">
        <f>'PV &amp; WIFIA New'!K54</f>
        <v>0</v>
      </c>
      <c r="L52" s="9">
        <f t="shared" si="0"/>
        <v>0</v>
      </c>
    </row>
    <row r="53" spans="4:12" x14ac:dyDescent="0.25">
      <c r="D53" s="4">
        <f>'PV &amp; WIFIA New'!D55</f>
        <v>0</v>
      </c>
      <c r="E53" s="4">
        <f>'PV &amp; WIFIA New'!E55</f>
        <v>0</v>
      </c>
      <c r="F53" s="4">
        <f>'PV &amp; WIFIA New'!F55</f>
        <v>0</v>
      </c>
      <c r="G53" s="4">
        <f>'PV &amp; WIFIA New'!G55</f>
        <v>0</v>
      </c>
      <c r="H53" s="4">
        <f>'PV &amp; WIFIA New'!H55</f>
        <v>0</v>
      </c>
      <c r="I53" s="4">
        <f>'PV &amp; WIFIA New'!I55</f>
        <v>0</v>
      </c>
      <c r="J53" s="4">
        <f>'PV &amp; WIFIA New'!J55</f>
        <v>0</v>
      </c>
      <c r="K53" s="4">
        <f>'PV &amp; WIFIA New'!K55</f>
        <v>0</v>
      </c>
      <c r="L53" s="9">
        <f t="shared" si="0"/>
        <v>0</v>
      </c>
    </row>
    <row r="54" spans="4:12" x14ac:dyDescent="0.25">
      <c r="D54" s="4">
        <f>'PV &amp; WIFIA New'!D56</f>
        <v>0</v>
      </c>
      <c r="E54" s="4">
        <f>'PV &amp; WIFIA New'!E56</f>
        <v>0</v>
      </c>
      <c r="F54" s="4">
        <f>'PV &amp; WIFIA New'!F56</f>
        <v>0</v>
      </c>
      <c r="G54" s="4">
        <f>'PV &amp; WIFIA New'!G56</f>
        <v>0</v>
      </c>
      <c r="H54" s="4">
        <f>'PV &amp; WIFIA New'!H56</f>
        <v>0</v>
      </c>
      <c r="I54" s="4">
        <f>'PV &amp; WIFIA New'!I56</f>
        <v>0</v>
      </c>
      <c r="J54" s="4">
        <f>'PV &amp; WIFIA New'!J56</f>
        <v>0</v>
      </c>
      <c r="K54" s="4">
        <f>'PV &amp; WIFIA New'!K56</f>
        <v>0</v>
      </c>
      <c r="L54" s="9">
        <f t="shared" si="0"/>
        <v>0</v>
      </c>
    </row>
    <row r="55" spans="4:12" x14ac:dyDescent="0.25">
      <c r="D55" s="4">
        <f>'PV &amp; WIFIA New'!D57</f>
        <v>0</v>
      </c>
      <c r="E55" s="4">
        <f>'PV &amp; WIFIA New'!E57</f>
        <v>0</v>
      </c>
      <c r="F55" s="4">
        <f>'PV &amp; WIFIA New'!F57</f>
        <v>0</v>
      </c>
      <c r="G55" s="4">
        <f>'PV &amp; WIFIA New'!G57</f>
        <v>0</v>
      </c>
      <c r="H55" s="4">
        <f>'PV &amp; WIFIA New'!H57</f>
        <v>0</v>
      </c>
      <c r="I55" s="4">
        <f>'PV &amp; WIFIA New'!I57</f>
        <v>0</v>
      </c>
      <c r="J55" s="4">
        <f>'PV &amp; WIFIA New'!J57</f>
        <v>0</v>
      </c>
      <c r="K55" s="4">
        <f>'PV &amp; WIFIA New'!K57</f>
        <v>0</v>
      </c>
      <c r="L55" s="9">
        <f t="shared" si="0"/>
        <v>0</v>
      </c>
    </row>
    <row r="56" spans="4:12" x14ac:dyDescent="0.25">
      <c r="D56" s="4">
        <f>'PV &amp; WIFIA New'!D58</f>
        <v>0</v>
      </c>
      <c r="E56" s="4">
        <f>'PV &amp; WIFIA New'!E58</f>
        <v>0</v>
      </c>
      <c r="F56" s="4">
        <f>'PV &amp; WIFIA New'!F58</f>
        <v>0</v>
      </c>
      <c r="G56" s="4">
        <f>'PV &amp; WIFIA New'!G58</f>
        <v>0</v>
      </c>
      <c r="H56" s="4">
        <f>'PV &amp; WIFIA New'!H58</f>
        <v>0</v>
      </c>
      <c r="I56" s="4">
        <f>'PV &amp; WIFIA New'!I58</f>
        <v>0</v>
      </c>
      <c r="J56" s="4">
        <f>'PV &amp; WIFIA New'!J58</f>
        <v>0</v>
      </c>
      <c r="K56" s="4">
        <f>'PV &amp; WIFIA New'!K58</f>
        <v>0</v>
      </c>
      <c r="L56" s="9">
        <f t="shared" si="0"/>
        <v>0</v>
      </c>
    </row>
    <row r="57" spans="4:12" x14ac:dyDescent="0.25">
      <c r="D57" s="4">
        <f>'PV &amp; WIFIA New'!D59</f>
        <v>0</v>
      </c>
      <c r="E57" s="4">
        <f>'PV &amp; WIFIA New'!E59</f>
        <v>0</v>
      </c>
      <c r="F57" s="4">
        <f>'PV &amp; WIFIA New'!F59</f>
        <v>0</v>
      </c>
      <c r="G57" s="4">
        <f>'PV &amp; WIFIA New'!G59</f>
        <v>0</v>
      </c>
      <c r="H57" s="4">
        <f>'PV &amp; WIFIA New'!H59</f>
        <v>0</v>
      </c>
      <c r="I57" s="4">
        <f>'PV &amp; WIFIA New'!I59</f>
        <v>0</v>
      </c>
      <c r="J57" s="4">
        <f>'PV &amp; WIFIA New'!J59</f>
        <v>0</v>
      </c>
      <c r="K57" s="4">
        <f>'PV &amp; WIFIA New'!K59</f>
        <v>0</v>
      </c>
      <c r="L57" s="9">
        <f t="shared" si="0"/>
        <v>0</v>
      </c>
    </row>
    <row r="58" spans="4:12" x14ac:dyDescent="0.25">
      <c r="D58" s="4">
        <f>'PV &amp; WIFIA New'!D60</f>
        <v>0</v>
      </c>
      <c r="E58" s="4">
        <f>'PV &amp; WIFIA New'!E60</f>
        <v>0</v>
      </c>
      <c r="F58" s="4">
        <f>'PV &amp; WIFIA New'!F60</f>
        <v>0</v>
      </c>
      <c r="G58" s="4">
        <f>'PV &amp; WIFIA New'!G60</f>
        <v>0</v>
      </c>
      <c r="H58" s="4">
        <f>'PV &amp; WIFIA New'!H60</f>
        <v>0</v>
      </c>
      <c r="I58" s="4">
        <f>'PV &amp; WIFIA New'!I60</f>
        <v>0</v>
      </c>
      <c r="J58" s="4">
        <f>'PV &amp; WIFIA New'!J60</f>
        <v>0</v>
      </c>
      <c r="K58" s="4">
        <f>'PV &amp; WIFIA New'!K60</f>
        <v>0</v>
      </c>
      <c r="L58" s="9">
        <f t="shared" si="0"/>
        <v>0</v>
      </c>
    </row>
    <row r="59" spans="4:12" x14ac:dyDescent="0.25">
      <c r="D59" s="4">
        <f>'PV &amp; WIFIA New'!D61</f>
        <v>0</v>
      </c>
      <c r="E59" s="4">
        <f>'PV &amp; WIFIA New'!E61</f>
        <v>0</v>
      </c>
      <c r="F59" s="4">
        <f>'PV &amp; WIFIA New'!F61</f>
        <v>0</v>
      </c>
      <c r="G59" s="4">
        <f>'PV &amp; WIFIA New'!G61</f>
        <v>0</v>
      </c>
      <c r="H59" s="4">
        <f>'PV &amp; WIFIA New'!H61</f>
        <v>0</v>
      </c>
      <c r="I59" s="4">
        <f>'PV &amp; WIFIA New'!I61</f>
        <v>0</v>
      </c>
      <c r="J59" s="4">
        <f>'PV &amp; WIFIA New'!J61</f>
        <v>0</v>
      </c>
      <c r="K59" s="4">
        <f>'PV &amp; WIFIA New'!K61</f>
        <v>0</v>
      </c>
      <c r="L59" s="9">
        <f t="shared" si="0"/>
        <v>0</v>
      </c>
    </row>
    <row r="60" spans="4:12" x14ac:dyDescent="0.25">
      <c r="D60" s="4">
        <f>'PV &amp; WIFIA New'!D62</f>
        <v>0</v>
      </c>
      <c r="E60" s="4">
        <f>'PV &amp; WIFIA New'!E62</f>
        <v>0</v>
      </c>
      <c r="F60" s="4">
        <f>'PV &amp; WIFIA New'!F62</f>
        <v>0</v>
      </c>
      <c r="G60" s="4">
        <f>'PV &amp; WIFIA New'!G62</f>
        <v>0</v>
      </c>
      <c r="H60" s="4">
        <f>'PV &amp; WIFIA New'!H62</f>
        <v>0</v>
      </c>
      <c r="I60" s="4">
        <f>'PV &amp; WIFIA New'!I62</f>
        <v>0</v>
      </c>
      <c r="J60" s="4">
        <f>'PV &amp; WIFIA New'!J62</f>
        <v>0</v>
      </c>
      <c r="K60" s="4">
        <f>'PV &amp; WIFIA New'!K62</f>
        <v>0</v>
      </c>
      <c r="L60" s="9">
        <f t="shared" si="0"/>
        <v>0</v>
      </c>
    </row>
    <row r="61" spans="4:12" x14ac:dyDescent="0.25">
      <c r="D61" s="4">
        <f>'PV &amp; WIFIA New'!D63</f>
        <v>0</v>
      </c>
      <c r="E61" s="4">
        <f>'PV &amp; WIFIA New'!E63</f>
        <v>0</v>
      </c>
      <c r="F61" s="4">
        <f>'PV &amp; WIFIA New'!F63</f>
        <v>0</v>
      </c>
      <c r="G61" s="4">
        <f>'PV &amp; WIFIA New'!G63</f>
        <v>0</v>
      </c>
      <c r="H61" s="4">
        <f>'PV &amp; WIFIA New'!H63</f>
        <v>0</v>
      </c>
      <c r="I61" s="4">
        <f>'PV &amp; WIFIA New'!I63</f>
        <v>0</v>
      </c>
      <c r="J61" s="4">
        <f>'PV &amp; WIFIA New'!J63</f>
        <v>0</v>
      </c>
      <c r="K61" s="4">
        <f>'PV &amp; WIFIA New'!K63</f>
        <v>0</v>
      </c>
      <c r="L61" s="9">
        <f t="shared" si="0"/>
        <v>0</v>
      </c>
    </row>
    <row r="62" spans="4:12" x14ac:dyDescent="0.25">
      <c r="D62" s="4">
        <f>'PV &amp; WIFIA New'!D64</f>
        <v>0</v>
      </c>
      <c r="E62" s="4">
        <f>'PV &amp; WIFIA New'!E64</f>
        <v>0</v>
      </c>
      <c r="F62" s="4">
        <f>'PV &amp; WIFIA New'!F64</f>
        <v>0</v>
      </c>
      <c r="G62" s="4">
        <f>'PV &amp; WIFIA New'!G64</f>
        <v>0</v>
      </c>
      <c r="H62" s="4">
        <f>'PV &amp; WIFIA New'!H64</f>
        <v>0</v>
      </c>
      <c r="I62" s="4">
        <f>'PV &amp; WIFIA New'!I64</f>
        <v>0</v>
      </c>
      <c r="J62" s="4">
        <f>'PV &amp; WIFIA New'!J64</f>
        <v>0</v>
      </c>
      <c r="K62" s="4">
        <f>'PV &amp; WIFIA New'!K64</f>
        <v>0</v>
      </c>
      <c r="L62" s="9">
        <f t="shared" si="0"/>
        <v>0</v>
      </c>
    </row>
    <row r="63" spans="4:12" x14ac:dyDescent="0.25">
      <c r="D63" s="4">
        <f>'PV &amp; WIFIA New'!D65</f>
        <v>0</v>
      </c>
      <c r="E63" s="4">
        <f>'PV &amp; WIFIA New'!E65</f>
        <v>0</v>
      </c>
      <c r="F63" s="4">
        <f>'PV &amp; WIFIA New'!F65</f>
        <v>0</v>
      </c>
      <c r="G63" s="4">
        <f>'PV &amp; WIFIA New'!G65</f>
        <v>0</v>
      </c>
      <c r="H63" s="4">
        <f>'PV &amp; WIFIA New'!H65</f>
        <v>0</v>
      </c>
      <c r="I63" s="4">
        <f>'PV &amp; WIFIA New'!I65</f>
        <v>0</v>
      </c>
      <c r="J63" s="4">
        <f>'PV &amp; WIFIA New'!J65</f>
        <v>0</v>
      </c>
      <c r="K63" s="4">
        <f>'PV &amp; WIFIA New'!K65</f>
        <v>0</v>
      </c>
      <c r="L63" s="9">
        <f t="shared" si="0"/>
        <v>0</v>
      </c>
    </row>
    <row r="64" spans="4:12" x14ac:dyDescent="0.25">
      <c r="D64" s="4">
        <f>'PV &amp; WIFIA New'!D66</f>
        <v>0</v>
      </c>
      <c r="E64" s="4">
        <f>'PV &amp; WIFIA New'!E66</f>
        <v>0</v>
      </c>
      <c r="F64" s="4">
        <f>'PV &amp; WIFIA New'!F66</f>
        <v>0</v>
      </c>
      <c r="G64" s="4">
        <f>'PV &amp; WIFIA New'!G66</f>
        <v>0</v>
      </c>
      <c r="H64" s="4">
        <f>'PV &amp; WIFIA New'!H66</f>
        <v>0</v>
      </c>
      <c r="I64" s="4">
        <f>'PV &amp; WIFIA New'!I66</f>
        <v>0</v>
      </c>
      <c r="J64" s="4">
        <f>'PV &amp; WIFIA New'!J66</f>
        <v>0</v>
      </c>
      <c r="K64" s="4">
        <f>'PV &amp; WIFIA New'!K66</f>
        <v>0</v>
      </c>
      <c r="L64" s="9">
        <f t="shared" si="0"/>
        <v>0</v>
      </c>
    </row>
    <row r="65" spans="4:12" x14ac:dyDescent="0.25">
      <c r="D65" s="4">
        <f>'PV &amp; WIFIA New'!D67</f>
        <v>0</v>
      </c>
      <c r="E65" s="4">
        <f>'PV &amp; WIFIA New'!E67</f>
        <v>0</v>
      </c>
      <c r="F65" s="4">
        <f>'PV &amp; WIFIA New'!F67</f>
        <v>0</v>
      </c>
      <c r="G65" s="4">
        <f>'PV &amp; WIFIA New'!G67</f>
        <v>0</v>
      </c>
      <c r="H65" s="4">
        <f>'PV &amp; WIFIA New'!H67</f>
        <v>0</v>
      </c>
      <c r="I65" s="4">
        <f>'PV &amp; WIFIA New'!I67</f>
        <v>0</v>
      </c>
      <c r="J65" s="4">
        <f>'PV &amp; WIFIA New'!J67</f>
        <v>0</v>
      </c>
      <c r="K65" s="4">
        <f>'PV &amp; WIFIA New'!K67</f>
        <v>0</v>
      </c>
      <c r="L65" s="9">
        <f t="shared" si="0"/>
        <v>0</v>
      </c>
    </row>
    <row r="66" spans="4:12" x14ac:dyDescent="0.25">
      <c r="D66" s="4">
        <f>'PV &amp; WIFIA New'!D68</f>
        <v>0</v>
      </c>
      <c r="E66" s="4">
        <f>'PV &amp; WIFIA New'!E68</f>
        <v>0</v>
      </c>
      <c r="F66" s="4">
        <f>'PV &amp; WIFIA New'!F68</f>
        <v>0</v>
      </c>
      <c r="G66" s="4">
        <f>'PV &amp; WIFIA New'!G68</f>
        <v>0</v>
      </c>
      <c r="H66" s="4">
        <f>'PV &amp; WIFIA New'!H68</f>
        <v>0</v>
      </c>
      <c r="I66" s="4">
        <f>'PV &amp; WIFIA New'!I68</f>
        <v>0</v>
      </c>
      <c r="J66" s="4">
        <f>'PV &amp; WIFIA New'!J68</f>
        <v>0</v>
      </c>
      <c r="K66" s="4">
        <f>'PV &amp; WIFIA New'!K68</f>
        <v>0</v>
      </c>
      <c r="L66" s="9">
        <f t="shared" si="0"/>
        <v>0</v>
      </c>
    </row>
    <row r="67" spans="4:12" x14ac:dyDescent="0.25">
      <c r="D67" s="4">
        <f>'PV &amp; WIFIA New'!D69</f>
        <v>0</v>
      </c>
      <c r="E67" s="4">
        <f>'PV &amp; WIFIA New'!E69</f>
        <v>0</v>
      </c>
      <c r="F67" s="4">
        <f>'PV &amp; WIFIA New'!F69</f>
        <v>0</v>
      </c>
      <c r="G67" s="4">
        <f>'PV &amp; WIFIA New'!G69</f>
        <v>0</v>
      </c>
      <c r="H67" s="4">
        <f>'PV &amp; WIFIA New'!H69</f>
        <v>0</v>
      </c>
      <c r="I67" s="4">
        <f>'PV &amp; WIFIA New'!I69</f>
        <v>0</v>
      </c>
      <c r="J67" s="4">
        <f>'PV &amp; WIFIA New'!J69</f>
        <v>0</v>
      </c>
      <c r="K67" s="4">
        <f>'PV &amp; WIFIA New'!K69</f>
        <v>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70CC0-EF47-4BEC-9737-CC920ADC3C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A35EC8-E9AD-4717-9EF6-267C705F4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0A171D-707F-48E1-9452-ADEBB9346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37</vt:i4>
      </vt:variant>
    </vt:vector>
  </HeadingPairs>
  <TitlesOfParts>
    <vt:vector size="41" baseType="lpstr">
      <vt:lpstr>Inputs</vt:lpstr>
      <vt:lpstr>PV &amp; WIFIA New</vt:lpstr>
      <vt:lpstr>PV &amp; WIFIA Calculation Old</vt:lpstr>
      <vt:lpstr>Aggregate</vt:lpstr>
      <vt:lpstr>Borrower</vt:lpstr>
      <vt:lpstr>Closing_1</vt:lpstr>
      <vt:lpstr>Closing_2</vt:lpstr>
      <vt:lpstr>Closing_3</vt:lpstr>
      <vt:lpstr>Closing_4</vt:lpstr>
      <vt:lpstr>Closing_5</vt:lpstr>
      <vt:lpstr>COI_1</vt:lpstr>
      <vt:lpstr>COI_2</vt:lpstr>
      <vt:lpstr>COI_3</vt:lpstr>
      <vt:lpstr>COI_4</vt:lpstr>
      <vt:lpstr>COI_5</vt:lpstr>
      <vt:lpstr>drawAmounts</vt:lpstr>
      <vt:lpstr>drawDates</vt:lpstr>
      <vt:lpstr>First_Principal_1</vt:lpstr>
      <vt:lpstr>First_Principal_2</vt:lpstr>
      <vt:lpstr>First_Principal_3</vt:lpstr>
      <vt:lpstr>First_Principal_4</vt:lpstr>
      <vt:lpstr>First_Principal_5</vt:lpstr>
      <vt:lpstr>Loan_Rate_1</vt:lpstr>
      <vt:lpstr>Loan_Rate_2</vt:lpstr>
      <vt:lpstr>Loan_Rate_3</vt:lpstr>
      <vt:lpstr>Loan_Rate_4</vt:lpstr>
      <vt:lpstr>Loan_Rate_5</vt:lpstr>
      <vt:lpstr>Loan_Term_1</vt:lpstr>
      <vt:lpstr>Loan_Term_2</vt:lpstr>
      <vt:lpstr>Loan_Term_3</vt:lpstr>
      <vt:lpstr>Loan_Term_4</vt:lpstr>
      <vt:lpstr>Loan_Term_5</vt:lpstr>
      <vt:lpstr>Project_1</vt:lpstr>
      <vt:lpstr>Project_2</vt:lpstr>
      <vt:lpstr>Project_3</vt:lpstr>
      <vt:lpstr>Project_4</vt:lpstr>
      <vt:lpstr>Project_5</vt:lpstr>
      <vt:lpstr>projectData</vt:lpstr>
      <vt:lpstr>projectIndex</vt:lpstr>
      <vt:lpstr>projectInfo</vt:lpstr>
      <vt:lpstr>PWTemplate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Magarity</dc:creator>
  <cp:lastModifiedBy>Home Build</cp:lastModifiedBy>
  <dcterms:created xsi:type="dcterms:W3CDTF">2022-04-07T15:31:19Z</dcterms:created>
  <dcterms:modified xsi:type="dcterms:W3CDTF">2023-04-12T22:23:04Z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