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9e39f5313cc976b/Exeter1/103822-2 PWD 2023 TAP-R/My Testimony/Schedules/"/>
    </mc:Choice>
  </mc:AlternateContent>
  <xr:revisionPtr revIDLastSave="225" documentId="8_{C04F37F5-5751-47C8-A9A5-49A97E5829F5}" xr6:coauthVersionLast="47" xr6:coauthVersionMax="47" xr10:uidLastSave="{A463C62F-66A7-4DBC-8345-956DE7FDE348}"/>
  <bookViews>
    <workbookView xWindow="-108" yWindow="-108" windowWidth="23256" windowHeight="12456" tabRatio="683" firstSheet="6" activeTab="9" xr2:uid="{00000000-000D-0000-FFFF-FFFF00000000}"/>
  </bookViews>
  <sheets>
    <sheet name="Home" sheetId="7" state="hidden" r:id="rId1"/>
    <sheet name="Table of Contents" sheetId="20" state="hidden" r:id="rId2"/>
    <sheet name="Assumptions and Inputs" sheetId="3" r:id="rId3"/>
    <sheet name="Customer" sheetId="19" r:id="rId4"/>
    <sheet name="Summary Sch LKM-1" sheetId="1" r:id="rId5"/>
    <sheet name="C-Factor Sch LKM-2" sheetId="5" r:id="rId6"/>
    <sheet name="E-FactorSchedule LKM-3" sheetId="18" r:id="rId7"/>
    <sheet name="E-Factor PRIOR Sch LKM-4" sheetId="21" r:id="rId8"/>
    <sheet name="I-Factor Sch LKM-5" sheetId="14" r:id="rId9"/>
    <sheet name="I-Factor PRIOR Sch LKM-6" sheetId="22" r:id="rId10"/>
    <sheet name="Rates" sheetId="6" state="hidden" r:id="rId11"/>
  </sheets>
  <externalReferences>
    <externalReference r:id="rId12"/>
  </externalReferences>
  <definedNames>
    <definedName name="_xlnm.Print_Area" localSheetId="5">'C-Factor Sch LKM-2'!$B$2:$K$13</definedName>
    <definedName name="_xlnm.Print_Area" localSheetId="7">'E-Factor PRIOR Sch LKM-4'!$B$2:$M$62</definedName>
    <definedName name="_xlnm.Print_Area" localSheetId="6">'E-FactorSchedule LKM-3'!$B$2:$J$74</definedName>
    <definedName name="_xlnm.Print_Area" localSheetId="9">'I-Factor PRIOR Sch LKM-6'!$B$2:$H$60</definedName>
    <definedName name="_xlnm.Print_Area" localSheetId="8">'I-Factor Sch LKM-5'!$B$2:$E$62</definedName>
    <definedName name="_xlnm.Print_Area" localSheetId="10">Rates!$B$3:$H$19</definedName>
    <definedName name="_xlnm.Print_Area" localSheetId="4">'Summary Sch LKM-1'!$B$2:$K$28</definedName>
    <definedName name="_xlnm.Print_Area" localSheetId="1">'Table of Contents'!$A$1:$B$17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40" i="19" l="1"/>
  <c r="BV40" i="19"/>
  <c r="BU40" i="19"/>
  <c r="BT40" i="19"/>
  <c r="BS40" i="19"/>
  <c r="BR40" i="19"/>
  <c r="BQ40" i="19"/>
  <c r="BP40" i="19"/>
  <c r="BO40" i="19"/>
  <c r="BN40" i="19"/>
  <c r="BM40" i="19"/>
  <c r="BL40" i="19"/>
  <c r="BK40" i="19"/>
  <c r="BJ40" i="19"/>
  <c r="BI40" i="19"/>
  <c r="BH40" i="19"/>
  <c r="BG40" i="19"/>
  <c r="BF40" i="19"/>
  <c r="BE40" i="19"/>
  <c r="BD40" i="19"/>
  <c r="BC40" i="19"/>
  <c r="BW21" i="19"/>
  <c r="BV21" i="19"/>
  <c r="BU21" i="19"/>
  <c r="BT21" i="19"/>
  <c r="BS21" i="19"/>
  <c r="BR21" i="19"/>
  <c r="BQ21" i="19"/>
  <c r="BP21" i="19"/>
  <c r="BO21" i="19"/>
  <c r="BN21" i="19"/>
  <c r="BM21" i="19"/>
  <c r="BL21" i="19"/>
  <c r="BK21" i="19"/>
  <c r="BJ21" i="19"/>
  <c r="BI21" i="19"/>
  <c r="BH21" i="19"/>
  <c r="BG21" i="19"/>
  <c r="BF21" i="19"/>
  <c r="BE21" i="19"/>
  <c r="BD21" i="19"/>
  <c r="BC21" i="19"/>
  <c r="BW11" i="19"/>
  <c r="BV11" i="19"/>
  <c r="BU11" i="19"/>
  <c r="BT11" i="19"/>
  <c r="BS11" i="19"/>
  <c r="BR11" i="19"/>
  <c r="BQ11" i="19"/>
  <c r="BP11" i="19"/>
  <c r="BO11" i="19"/>
  <c r="BN11" i="19"/>
  <c r="BM11" i="19"/>
  <c r="BL11" i="19"/>
  <c r="BK11" i="19"/>
  <c r="BJ11" i="19"/>
  <c r="BI11" i="19"/>
  <c r="BH11" i="19"/>
  <c r="BG11" i="19"/>
  <c r="BF11" i="19"/>
  <c r="BE11" i="19"/>
  <c r="BD11" i="19"/>
  <c r="BC11" i="19"/>
  <c r="BW8" i="19"/>
  <c r="BV8" i="19"/>
  <c r="BU8" i="19"/>
  <c r="BT8" i="19"/>
  <c r="BS8" i="19"/>
  <c r="BR8" i="19"/>
  <c r="BQ8" i="19"/>
  <c r="BP8" i="19"/>
  <c r="BO8" i="19"/>
  <c r="BN8" i="19"/>
  <c r="BM8" i="19"/>
  <c r="BL8" i="19"/>
  <c r="BK8" i="19"/>
  <c r="BJ8" i="19"/>
  <c r="BI8" i="19"/>
  <c r="BH8" i="19"/>
  <c r="BG8" i="19"/>
  <c r="BF8" i="19"/>
  <c r="BE8" i="19"/>
  <c r="BD8" i="19"/>
  <c r="BC8" i="19"/>
  <c r="C15" i="3" l="1"/>
  <c r="C13" i="3"/>
  <c r="C11" i="3"/>
  <c r="C9" i="3"/>
  <c r="B145" i="21" l="1"/>
  <c r="D27" i="1"/>
  <c r="D26" i="1"/>
  <c r="BC43" i="19"/>
  <c r="CA34" i="19"/>
  <c r="BC24" i="19" l="1"/>
  <c r="B72" i="18" l="1"/>
  <c r="B35" i="18"/>
  <c r="CA8" i="19" l="1"/>
  <c r="BY11" i="19" l="1"/>
  <c r="CA11" i="19"/>
  <c r="B67" i="21"/>
  <c r="B16" i="6"/>
  <c r="C59" i="18"/>
  <c r="C58" i="18"/>
  <c r="C57" i="18"/>
  <c r="C56" i="18"/>
  <c r="C55" i="18"/>
  <c r="C54" i="18"/>
  <c r="C53" i="18"/>
  <c r="C52" i="18"/>
  <c r="C51" i="18"/>
  <c r="C50" i="18"/>
  <c r="C49" i="18"/>
  <c r="C48" i="18"/>
  <c r="B48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G52" i="22"/>
  <c r="G22" i="22"/>
  <c r="L57" i="21"/>
  <c r="L22" i="21"/>
  <c r="B22" i="21"/>
  <c r="G11" i="22"/>
  <c r="C134" i="21"/>
  <c r="C57" i="21" s="1"/>
  <c r="C133" i="21"/>
  <c r="C132" i="21"/>
  <c r="C131" i="21"/>
  <c r="C130" i="21"/>
  <c r="C129" i="21"/>
  <c r="C128" i="21"/>
  <c r="C127" i="21"/>
  <c r="C126" i="21"/>
  <c r="C125" i="21"/>
  <c r="C124" i="21"/>
  <c r="C123" i="21"/>
  <c r="C24" i="18" l="1"/>
  <c r="C136" i="21"/>
  <c r="C61" i="18"/>
  <c r="I87" i="22" l="1"/>
  <c r="B84" i="22"/>
  <c r="B22" i="22" s="1"/>
  <c r="B134" i="21"/>
  <c r="B57" i="21" s="1"/>
  <c r="B133" i="21"/>
  <c r="B132" i="21"/>
  <c r="B131" i="21"/>
  <c r="B130" i="21"/>
  <c r="B129" i="21"/>
  <c r="B128" i="21"/>
  <c r="B127" i="21"/>
  <c r="B126" i="21"/>
  <c r="B125" i="21"/>
  <c r="B124" i="21"/>
  <c r="B123" i="21"/>
  <c r="S98" i="21"/>
  <c r="B113" i="22" l="1"/>
  <c r="B52" i="22" s="1"/>
  <c r="C94" i="21"/>
  <c r="C22" i="21" s="1"/>
  <c r="C93" i="21"/>
  <c r="C92" i="21"/>
  <c r="C91" i="21"/>
  <c r="C90" i="21"/>
  <c r="C89" i="21"/>
  <c r="C88" i="21"/>
  <c r="C87" i="21"/>
  <c r="C86" i="21"/>
  <c r="C85" i="21"/>
  <c r="C84" i="21"/>
  <c r="C83" i="21"/>
  <c r="BY40" i="19"/>
  <c r="BY21" i="19"/>
  <c r="BY8" i="19"/>
  <c r="CA40" i="19"/>
  <c r="CA21" i="19"/>
  <c r="BL48" i="19"/>
  <c r="BM48" i="19"/>
  <c r="BN48" i="19"/>
  <c r="BO48" i="19"/>
  <c r="BP48" i="19"/>
  <c r="BQ48" i="19"/>
  <c r="BR48" i="19"/>
  <c r="BS48" i="19"/>
  <c r="BT48" i="19"/>
  <c r="BU48" i="19"/>
  <c r="BV48" i="19"/>
  <c r="BW48" i="19"/>
  <c r="BL29" i="19"/>
  <c r="BM29" i="19"/>
  <c r="BN29" i="19"/>
  <c r="BO29" i="19"/>
  <c r="BP29" i="19"/>
  <c r="BQ29" i="19"/>
  <c r="BR29" i="19"/>
  <c r="BS29" i="19"/>
  <c r="BT29" i="19"/>
  <c r="BU29" i="19"/>
  <c r="BV29" i="19"/>
  <c r="BW29" i="19"/>
  <c r="BL14" i="19"/>
  <c r="BM14" i="19"/>
  <c r="BN14" i="19"/>
  <c r="BO14" i="19"/>
  <c r="BP14" i="19"/>
  <c r="BQ14" i="19"/>
  <c r="BR14" i="19"/>
  <c r="BS14" i="19"/>
  <c r="BT14" i="19"/>
  <c r="BU14" i="19"/>
  <c r="BV14" i="19"/>
  <c r="BW14" i="19"/>
  <c r="BL15" i="19"/>
  <c r="BM15" i="19"/>
  <c r="BN15" i="19"/>
  <c r="BO15" i="19"/>
  <c r="BP15" i="19"/>
  <c r="BQ15" i="19"/>
  <c r="BR15" i="19"/>
  <c r="BS15" i="19"/>
  <c r="BT15" i="19"/>
  <c r="BU15" i="19"/>
  <c r="BV15" i="19"/>
  <c r="BW15" i="19"/>
  <c r="BU16" i="19" l="1"/>
  <c r="BQ16" i="19"/>
  <c r="BM16" i="19"/>
  <c r="BR16" i="19"/>
  <c r="BN16" i="19"/>
  <c r="BL16" i="19"/>
  <c r="BP16" i="19"/>
  <c r="CA48" i="19"/>
  <c r="CA15" i="19"/>
  <c r="CA29" i="19"/>
  <c r="CA14" i="19"/>
  <c r="BT16" i="19"/>
  <c r="BS16" i="19"/>
  <c r="BW16" i="19"/>
  <c r="BO16" i="19"/>
  <c r="BV16" i="19"/>
  <c r="C96" i="21"/>
  <c r="CA16" i="19" l="1"/>
  <c r="AZ48" i="19"/>
  <c r="BA48" i="19"/>
  <c r="D49" i="18" s="1"/>
  <c r="BB48" i="19"/>
  <c r="D50" i="18" s="1"/>
  <c r="BC48" i="19"/>
  <c r="D51" i="18" s="1"/>
  <c r="BD48" i="19"/>
  <c r="D52" i="18" s="1"/>
  <c r="BE48" i="19"/>
  <c r="D53" i="18" s="1"/>
  <c r="BF48" i="19"/>
  <c r="D54" i="18" s="1"/>
  <c r="BG48" i="19"/>
  <c r="D55" i="18" s="1"/>
  <c r="BH48" i="19"/>
  <c r="D56" i="18" s="1"/>
  <c r="BI48" i="19"/>
  <c r="D57" i="18" s="1"/>
  <c r="BJ48" i="19"/>
  <c r="D58" i="18" s="1"/>
  <c r="BK48" i="19"/>
  <c r="D59" i="18" s="1"/>
  <c r="AZ29" i="19"/>
  <c r="BA29" i="19"/>
  <c r="D12" i="18" s="1"/>
  <c r="BB29" i="19"/>
  <c r="D13" i="18" s="1"/>
  <c r="BC29" i="19"/>
  <c r="D14" i="18" s="1"/>
  <c r="BD29" i="19"/>
  <c r="D15" i="18" s="1"/>
  <c r="BE29" i="19"/>
  <c r="D16" i="18" s="1"/>
  <c r="BF29" i="19"/>
  <c r="D17" i="18" s="1"/>
  <c r="BG29" i="19"/>
  <c r="D18" i="18" s="1"/>
  <c r="BH29" i="19"/>
  <c r="D19" i="18" s="1"/>
  <c r="BI29" i="19"/>
  <c r="D20" i="18" s="1"/>
  <c r="BJ29" i="19"/>
  <c r="D21" i="18" s="1"/>
  <c r="BK29" i="19"/>
  <c r="D22" i="18" s="1"/>
  <c r="AZ14" i="19"/>
  <c r="BA14" i="19"/>
  <c r="BB14" i="19"/>
  <c r="BC14" i="19"/>
  <c r="BD14" i="19"/>
  <c r="BE14" i="19"/>
  <c r="BF14" i="19"/>
  <c r="BG14" i="19"/>
  <c r="BH14" i="19"/>
  <c r="BI14" i="19"/>
  <c r="BJ14" i="19"/>
  <c r="BK14" i="19"/>
  <c r="AZ15" i="19"/>
  <c r="BA15" i="19"/>
  <c r="BB15" i="19"/>
  <c r="BC15" i="19"/>
  <c r="BD15" i="19"/>
  <c r="BE15" i="19"/>
  <c r="BF15" i="19"/>
  <c r="BG15" i="19"/>
  <c r="BH15" i="19"/>
  <c r="BI15" i="19"/>
  <c r="BJ15" i="19"/>
  <c r="BK15" i="19"/>
  <c r="BY15" i="19" l="1"/>
  <c r="D11" i="18"/>
  <c r="BY29" i="19"/>
  <c r="D48" i="18"/>
  <c r="BY48" i="19"/>
  <c r="BY14" i="19"/>
  <c r="BF16" i="19"/>
  <c r="BD16" i="19"/>
  <c r="BH16" i="19"/>
  <c r="AZ16" i="19"/>
  <c r="BK16" i="19"/>
  <c r="BG16" i="19"/>
  <c r="BJ16" i="19"/>
  <c r="BB16" i="19"/>
  <c r="BC16" i="19"/>
  <c r="BI16" i="19"/>
  <c r="BA16" i="19"/>
  <c r="BE16" i="19"/>
  <c r="BY16" i="19" l="1"/>
  <c r="H6" i="5" l="1"/>
  <c r="G6" i="5"/>
  <c r="I116" i="22" l="1"/>
  <c r="AN48" i="19" l="1"/>
  <c r="D123" i="21" s="1"/>
  <c r="AO48" i="19"/>
  <c r="D124" i="21" s="1"/>
  <c r="AP48" i="19"/>
  <c r="D125" i="21" s="1"/>
  <c r="AQ48" i="19"/>
  <c r="D126" i="21" s="1"/>
  <c r="AR48" i="19"/>
  <c r="D127" i="21" s="1"/>
  <c r="AS48" i="19"/>
  <c r="D128" i="21" s="1"/>
  <c r="AT48" i="19"/>
  <c r="D129" i="21" s="1"/>
  <c r="AU48" i="19"/>
  <c r="D130" i="21" s="1"/>
  <c r="AV48" i="19"/>
  <c r="D131" i="21" s="1"/>
  <c r="AW48" i="19"/>
  <c r="D132" i="21" s="1"/>
  <c r="AX48" i="19"/>
  <c r="D133" i="21" s="1"/>
  <c r="AY48" i="19"/>
  <c r="D134" i="21" s="1"/>
  <c r="D57" i="21" s="1"/>
  <c r="AN49" i="19"/>
  <c r="AO49" i="19"/>
  <c r="AO53" i="19" s="1"/>
  <c r="G124" i="21" s="1"/>
  <c r="AP49" i="19"/>
  <c r="AP53" i="19" s="1"/>
  <c r="G125" i="21" s="1"/>
  <c r="AN29" i="19"/>
  <c r="D83" i="21" s="1"/>
  <c r="AO29" i="19"/>
  <c r="D84" i="21" s="1"/>
  <c r="AP29" i="19"/>
  <c r="D85" i="21" s="1"/>
  <c r="AQ29" i="19"/>
  <c r="D86" i="21" s="1"/>
  <c r="AR29" i="19"/>
  <c r="D87" i="21" s="1"/>
  <c r="AS29" i="19"/>
  <c r="D88" i="21" s="1"/>
  <c r="AT29" i="19"/>
  <c r="D89" i="21" s="1"/>
  <c r="AU29" i="19"/>
  <c r="D90" i="21" s="1"/>
  <c r="AV29" i="19"/>
  <c r="D91" i="21" s="1"/>
  <c r="AW29" i="19"/>
  <c r="D92" i="21" s="1"/>
  <c r="AX29" i="19"/>
  <c r="D93" i="21" s="1"/>
  <c r="AY29" i="19"/>
  <c r="D94" i="21" s="1"/>
  <c r="D22" i="21" s="1"/>
  <c r="AN30" i="19"/>
  <c r="AO30" i="19"/>
  <c r="AO34" i="19" s="1"/>
  <c r="G84" i="21" s="1"/>
  <c r="AP30" i="19"/>
  <c r="AP34" i="19" s="1"/>
  <c r="G85" i="21" s="1"/>
  <c r="AN14" i="19"/>
  <c r="AO14" i="19"/>
  <c r="AP14" i="19"/>
  <c r="AQ14" i="19"/>
  <c r="AR14" i="19"/>
  <c r="AS14" i="19"/>
  <c r="AT14" i="19"/>
  <c r="AU14" i="19"/>
  <c r="AV14" i="19"/>
  <c r="AW14" i="19"/>
  <c r="AX14" i="19"/>
  <c r="AY14" i="19"/>
  <c r="AN15" i="19"/>
  <c r="AO15" i="19"/>
  <c r="AP15" i="19"/>
  <c r="AQ15" i="19"/>
  <c r="AR15" i="19"/>
  <c r="AS15" i="19"/>
  <c r="AT15" i="19"/>
  <c r="AU15" i="19"/>
  <c r="AV15" i="19"/>
  <c r="AW15" i="19"/>
  <c r="AX15" i="19"/>
  <c r="AY15" i="19"/>
  <c r="D96" i="21" l="1"/>
  <c r="D136" i="21"/>
  <c r="AN51" i="19"/>
  <c r="AN34" i="19"/>
  <c r="G83" i="21" s="1"/>
  <c r="AN53" i="19"/>
  <c r="G123" i="21" s="1"/>
  <c r="AN32" i="19"/>
  <c r="AP16" i="19"/>
  <c r="AO16" i="19"/>
  <c r="AO51" i="19"/>
  <c r="AS16" i="19"/>
  <c r="AN16" i="19"/>
  <c r="AR16" i="19"/>
  <c r="AY16" i="19"/>
  <c r="AP51" i="19"/>
  <c r="AP32" i="19"/>
  <c r="AO32" i="19"/>
  <c r="AW16" i="19"/>
  <c r="AV16" i="19"/>
  <c r="D61" i="18"/>
  <c r="AU16" i="19"/>
  <c r="AT16" i="19"/>
  <c r="AX16" i="19"/>
  <c r="AQ16" i="19"/>
  <c r="D24" i="18"/>
  <c r="AQ49" i="19"/>
  <c r="AQ51" i="19" s="1"/>
  <c r="AS49" i="19"/>
  <c r="AR49" i="19"/>
  <c r="AQ30" i="19"/>
  <c r="B151" i="21"/>
  <c r="B111" i="21"/>
  <c r="B31" i="21"/>
  <c r="B66" i="21"/>
  <c r="B63" i="21"/>
  <c r="B140" i="21"/>
  <c r="B28" i="21"/>
  <c r="B105" i="21"/>
  <c r="B100" i="21"/>
  <c r="I120" i="21"/>
  <c r="I80" i="21"/>
  <c r="F120" i="21"/>
  <c r="F80" i="21"/>
  <c r="BC44" i="19" l="1"/>
  <c r="BC46" i="19"/>
  <c r="BC26" i="19"/>
  <c r="BD26" i="19" s="1"/>
  <c r="BC25" i="19"/>
  <c r="BD25" i="19" s="1"/>
  <c r="BE25" i="19" s="1"/>
  <c r="BF25" i="19" s="1"/>
  <c r="BG25" i="19" s="1"/>
  <c r="BH25" i="19" s="1"/>
  <c r="BI25" i="19" s="1"/>
  <c r="BJ25" i="19" s="1"/>
  <c r="BK25" i="19" s="1"/>
  <c r="BL25" i="19" s="1"/>
  <c r="BM25" i="19" s="1"/>
  <c r="BN25" i="19" s="1"/>
  <c r="BO25" i="19" s="1"/>
  <c r="BP25" i="19" s="1"/>
  <c r="BQ25" i="19" s="1"/>
  <c r="BR25" i="19" s="1"/>
  <c r="BS25" i="19" s="1"/>
  <c r="BT25" i="19" s="1"/>
  <c r="BU25" i="19" s="1"/>
  <c r="BV25" i="19" s="1"/>
  <c r="BW25" i="19" s="1"/>
  <c r="AT49" i="19"/>
  <c r="AT53" i="19" s="1"/>
  <c r="G129" i="21" s="1"/>
  <c r="AZ49" i="19"/>
  <c r="AZ53" i="19" s="1"/>
  <c r="AY49" i="19"/>
  <c r="AY53" i="19" s="1"/>
  <c r="AV49" i="19"/>
  <c r="AV53" i="19" s="1"/>
  <c r="G131" i="21" s="1"/>
  <c r="AW49" i="19"/>
  <c r="AQ53" i="19"/>
  <c r="G126" i="21" s="1"/>
  <c r="AU49" i="19"/>
  <c r="AU51" i="19" s="1"/>
  <c r="AX49" i="19"/>
  <c r="AS51" i="19"/>
  <c r="AS53" i="19"/>
  <c r="G128" i="21" s="1"/>
  <c r="AR51" i="19"/>
  <c r="AR53" i="19"/>
  <c r="G127" i="21" s="1"/>
  <c r="AQ32" i="19"/>
  <c r="AQ34" i="19"/>
  <c r="G86" i="21" s="1"/>
  <c r="AR30" i="19"/>
  <c r="BD43" i="19" l="1"/>
  <c r="AX53" i="19"/>
  <c r="G133" i="21" s="1"/>
  <c r="AW53" i="19"/>
  <c r="G132" i="21" s="1"/>
  <c r="BC45" i="19"/>
  <c r="BC49" i="19" s="1"/>
  <c r="BC53" i="19" s="1"/>
  <c r="BD46" i="19"/>
  <c r="BE46" i="19" s="1"/>
  <c r="BF46" i="19" s="1"/>
  <c r="BG46" i="19" s="1"/>
  <c r="BH46" i="19" s="1"/>
  <c r="BI46" i="19" s="1"/>
  <c r="BJ46" i="19" s="1"/>
  <c r="BK46" i="19" s="1"/>
  <c r="BL46" i="19" s="1"/>
  <c r="BM46" i="19" s="1"/>
  <c r="BN46" i="19" s="1"/>
  <c r="BO46" i="19" s="1"/>
  <c r="BP46" i="19" s="1"/>
  <c r="BQ46" i="19" s="1"/>
  <c r="BR46" i="19" s="1"/>
  <c r="BS46" i="19" s="1"/>
  <c r="BT46" i="19" s="1"/>
  <c r="BU46" i="19" s="1"/>
  <c r="BV46" i="19" s="1"/>
  <c r="BW46" i="19" s="1"/>
  <c r="BD44" i="19"/>
  <c r="BE44" i="19" s="1"/>
  <c r="BF44" i="19" s="1"/>
  <c r="BG44" i="19" s="1"/>
  <c r="BH44" i="19" s="1"/>
  <c r="BI44" i="19" s="1"/>
  <c r="BJ44" i="19" s="1"/>
  <c r="BK44" i="19" s="1"/>
  <c r="BL44" i="19" s="1"/>
  <c r="BM44" i="19" s="1"/>
  <c r="BN44" i="19" s="1"/>
  <c r="BO44" i="19" s="1"/>
  <c r="BP44" i="19" s="1"/>
  <c r="BQ44" i="19" s="1"/>
  <c r="BR44" i="19" s="1"/>
  <c r="BS44" i="19" s="1"/>
  <c r="BT44" i="19" s="1"/>
  <c r="BU44" i="19" s="1"/>
  <c r="BV44" i="19" s="1"/>
  <c r="BW44" i="19" s="1"/>
  <c r="BE26" i="19"/>
  <c r="BF26" i="19" s="1"/>
  <c r="BG26" i="19" s="1"/>
  <c r="BH26" i="19" s="1"/>
  <c r="BI26" i="19" s="1"/>
  <c r="BJ26" i="19" s="1"/>
  <c r="BK26" i="19" s="1"/>
  <c r="BL26" i="19" s="1"/>
  <c r="BM26" i="19" s="1"/>
  <c r="BN26" i="19" s="1"/>
  <c r="BO26" i="19" s="1"/>
  <c r="BP26" i="19" s="1"/>
  <c r="BQ26" i="19" s="1"/>
  <c r="BR26" i="19" s="1"/>
  <c r="BS26" i="19" s="1"/>
  <c r="BT26" i="19" s="1"/>
  <c r="BU26" i="19" s="1"/>
  <c r="BV26" i="19" s="1"/>
  <c r="BW26" i="19" s="1"/>
  <c r="BC27" i="19"/>
  <c r="BD27" i="19" s="1"/>
  <c r="BE27" i="19" s="1"/>
  <c r="BF27" i="19" s="1"/>
  <c r="BG27" i="19" s="1"/>
  <c r="BH27" i="19" s="1"/>
  <c r="BI27" i="19" s="1"/>
  <c r="BJ27" i="19" s="1"/>
  <c r="BK27" i="19" s="1"/>
  <c r="BL27" i="19" s="1"/>
  <c r="BM27" i="19" s="1"/>
  <c r="BN27" i="19" s="1"/>
  <c r="BO27" i="19" s="1"/>
  <c r="BP27" i="19" s="1"/>
  <c r="BQ27" i="19" s="1"/>
  <c r="BR27" i="19" s="1"/>
  <c r="BS27" i="19" s="1"/>
  <c r="BT27" i="19" s="1"/>
  <c r="BU27" i="19" s="1"/>
  <c r="BV27" i="19" s="1"/>
  <c r="BW27" i="19" s="1"/>
  <c r="BY25" i="19"/>
  <c r="AT51" i="19"/>
  <c r="CA25" i="19"/>
  <c r="BA49" i="19"/>
  <c r="AV51" i="19"/>
  <c r="AX51" i="19"/>
  <c r="G134" i="21"/>
  <c r="G57" i="21" s="1"/>
  <c r="AY51" i="19"/>
  <c r="AW51" i="19"/>
  <c r="AU53" i="19"/>
  <c r="G130" i="21" s="1"/>
  <c r="BB49" i="19"/>
  <c r="BB53" i="19" s="1"/>
  <c r="AZ51" i="19"/>
  <c r="AR32" i="19"/>
  <c r="AR34" i="19"/>
  <c r="G87" i="21" s="1"/>
  <c r="AS30" i="19"/>
  <c r="B65" i="21"/>
  <c r="B30" i="21"/>
  <c r="BA53" i="19" l="1"/>
  <c r="G49" i="18" s="1"/>
  <c r="CA44" i="19"/>
  <c r="BY46" i="19"/>
  <c r="CA46" i="19"/>
  <c r="BD45" i="19"/>
  <c r="BY44" i="19"/>
  <c r="CA26" i="19"/>
  <c r="BY26" i="19"/>
  <c r="BY27" i="19"/>
  <c r="BA51" i="19"/>
  <c r="G136" i="21"/>
  <c r="CA27" i="19"/>
  <c r="G48" i="18"/>
  <c r="G50" i="18"/>
  <c r="BB51" i="19"/>
  <c r="AS32" i="19"/>
  <c r="AS34" i="19"/>
  <c r="G88" i="21" s="1"/>
  <c r="AT30" i="19"/>
  <c r="C12" i="5"/>
  <c r="B22" i="14"/>
  <c r="B59" i="18"/>
  <c r="B53" i="14" s="1"/>
  <c r="BE45" i="19" l="1"/>
  <c r="BF45" i="19" s="1"/>
  <c r="BG45" i="19" s="1"/>
  <c r="BH45" i="19" s="1"/>
  <c r="BI45" i="19" s="1"/>
  <c r="BJ45" i="19" s="1"/>
  <c r="BK45" i="19" s="1"/>
  <c r="BL45" i="19" s="1"/>
  <c r="BM45" i="19" s="1"/>
  <c r="BN45" i="19" s="1"/>
  <c r="BO45" i="19" s="1"/>
  <c r="BP45" i="19" s="1"/>
  <c r="BQ45" i="19" s="1"/>
  <c r="BR45" i="19" s="1"/>
  <c r="BS45" i="19" s="1"/>
  <c r="BT45" i="19" s="1"/>
  <c r="BU45" i="19" s="1"/>
  <c r="BV45" i="19" s="1"/>
  <c r="BW45" i="19" s="1"/>
  <c r="CA45" i="19" s="1"/>
  <c r="G51" i="18"/>
  <c r="BC51" i="19"/>
  <c r="BE43" i="19"/>
  <c r="BD49" i="19"/>
  <c r="BD53" i="19" s="1"/>
  <c r="AT32" i="19"/>
  <c r="AT34" i="19"/>
  <c r="G89" i="21" s="1"/>
  <c r="AU30" i="19"/>
  <c r="E100" i="22"/>
  <c r="B61" i="14"/>
  <c r="B30" i="14"/>
  <c r="E40" i="14"/>
  <c r="E9" i="14"/>
  <c r="B119" i="22"/>
  <c r="B90" i="22"/>
  <c r="B59" i="22"/>
  <c r="B29" i="22"/>
  <c r="BY45" i="19" l="1"/>
  <c r="G52" i="18"/>
  <c r="BD51" i="19"/>
  <c r="BF43" i="19"/>
  <c r="BE49" i="19"/>
  <c r="BE53" i="19" s="1"/>
  <c r="AV30" i="19"/>
  <c r="AU32" i="19"/>
  <c r="AU34" i="19"/>
  <c r="G90" i="21" s="1"/>
  <c r="G53" i="18" l="1"/>
  <c r="BE51" i="19"/>
  <c r="BG43" i="19"/>
  <c r="BF49" i="19"/>
  <c r="BF53" i="19" s="1"/>
  <c r="AV32" i="19"/>
  <c r="AV34" i="19"/>
  <c r="G91" i="21" s="1"/>
  <c r="AW30" i="19"/>
  <c r="AW34" i="19" s="1"/>
  <c r="G92" i="21" s="1"/>
  <c r="B17" i="6"/>
  <c r="B150" i="21"/>
  <c r="B110" i="21"/>
  <c r="B70" i="18"/>
  <c r="B71" i="18"/>
  <c r="B34" i="18"/>
  <c r="B33" i="18"/>
  <c r="G54" i="18" l="1"/>
  <c r="BF51" i="19"/>
  <c r="BH43" i="19"/>
  <c r="BG49" i="19"/>
  <c r="BG53" i="19" s="1"/>
  <c r="AW32" i="19"/>
  <c r="AX30" i="19"/>
  <c r="E8" i="5"/>
  <c r="C11" i="5"/>
  <c r="AX34" i="19" l="1"/>
  <c r="G93" i="21" s="1"/>
  <c r="BI43" i="19"/>
  <c r="BH49" i="19"/>
  <c r="BH53" i="19" s="1"/>
  <c r="AZ30" i="19"/>
  <c r="AZ34" i="19" s="1"/>
  <c r="G55" i="18"/>
  <c r="BG51" i="19"/>
  <c r="AX32" i="19"/>
  <c r="AY30" i="19"/>
  <c r="AY34" i="19" s="1"/>
  <c r="H8" i="18"/>
  <c r="AZ32" i="19" l="1"/>
  <c r="BA30" i="19"/>
  <c r="BA34" i="19" s="1"/>
  <c r="G56" i="18"/>
  <c r="BH51" i="19"/>
  <c r="BJ43" i="19"/>
  <c r="BI49" i="19"/>
  <c r="BI53" i="19" s="1"/>
  <c r="G94" i="21"/>
  <c r="AY32" i="19"/>
  <c r="J47" i="18"/>
  <c r="J10" i="18"/>
  <c r="BD24" i="19" l="1"/>
  <c r="BC30" i="19"/>
  <c r="BC34" i="19" s="1"/>
  <c r="G22" i="21"/>
  <c r="G96" i="21"/>
  <c r="G11" i="18"/>
  <c r="H11" i="18" s="1"/>
  <c r="BK43" i="19"/>
  <c r="BJ49" i="19"/>
  <c r="BJ53" i="19" s="1"/>
  <c r="BB30" i="19"/>
  <c r="BB34" i="19" s="1"/>
  <c r="G12" i="18"/>
  <c r="H12" i="18" s="1"/>
  <c r="BA32" i="19"/>
  <c r="G57" i="18"/>
  <c r="BI51" i="19"/>
  <c r="S138" i="21"/>
  <c r="BL43" i="19" l="1"/>
  <c r="BY43" i="19"/>
  <c r="BB32" i="19"/>
  <c r="G58" i="18"/>
  <c r="BJ51" i="19"/>
  <c r="BK49" i="19"/>
  <c r="B3" i="6"/>
  <c r="BY49" i="19" l="1"/>
  <c r="BK53" i="19"/>
  <c r="G13" i="18"/>
  <c r="BL49" i="19"/>
  <c r="BL53" i="19" s="1"/>
  <c r="BM43" i="19"/>
  <c r="BE24" i="19"/>
  <c r="BD30" i="19"/>
  <c r="BD34" i="19" s="1"/>
  <c r="G14" i="18"/>
  <c r="H14" i="18" s="1"/>
  <c r="BC32" i="19"/>
  <c r="BK51" i="19"/>
  <c r="BY51" i="19" s="1"/>
  <c r="C5" i="5"/>
  <c r="BN43" i="19" l="1"/>
  <c r="BM49" i="19"/>
  <c r="BM53" i="19" s="1"/>
  <c r="H13" i="18"/>
  <c r="BL51" i="19"/>
  <c r="G59" i="18"/>
  <c r="G61" i="18" s="1"/>
  <c r="BY53" i="19"/>
  <c r="G15" i="18"/>
  <c r="H15" i="18" s="1"/>
  <c r="BD32" i="19"/>
  <c r="BF24" i="19"/>
  <c r="BE30" i="19"/>
  <c r="BE34" i="19" s="1"/>
  <c r="AC48" i="19"/>
  <c r="AD48" i="19"/>
  <c r="AE48" i="19"/>
  <c r="AF48" i="19"/>
  <c r="AG48" i="19"/>
  <c r="AH48" i="19"/>
  <c r="AI48" i="19"/>
  <c r="AJ48" i="19"/>
  <c r="AK48" i="19"/>
  <c r="AL48" i="19"/>
  <c r="AM48" i="19"/>
  <c r="AC49" i="19"/>
  <c r="AD49" i="19"/>
  <c r="AD53" i="19" s="1"/>
  <c r="AE49" i="19"/>
  <c r="AE53" i="19" s="1"/>
  <c r="AF49" i="19"/>
  <c r="AF53" i="19" s="1"/>
  <c r="AC29" i="19"/>
  <c r="AD29" i="19"/>
  <c r="AE29" i="19"/>
  <c r="AF29" i="19"/>
  <c r="AG29" i="19"/>
  <c r="AH29" i="19"/>
  <c r="AI29" i="19"/>
  <c r="AJ29" i="19"/>
  <c r="AK29" i="19"/>
  <c r="AL29" i="19"/>
  <c r="AM29" i="19"/>
  <c r="AC30" i="19"/>
  <c r="AD30" i="19"/>
  <c r="AD34" i="19" s="1"/>
  <c r="AE30" i="19"/>
  <c r="AE34" i="19" s="1"/>
  <c r="AF30" i="19"/>
  <c r="AF34" i="19" s="1"/>
  <c r="AC14" i="19"/>
  <c r="AD14" i="19"/>
  <c r="AE14" i="19"/>
  <c r="AF14" i="19"/>
  <c r="AG14" i="19"/>
  <c r="AH14" i="19"/>
  <c r="AI14" i="19"/>
  <c r="AJ14" i="19"/>
  <c r="AK14" i="19"/>
  <c r="AL14" i="19"/>
  <c r="AM14" i="19"/>
  <c r="AC15" i="19"/>
  <c r="AD15" i="19"/>
  <c r="AE15" i="19"/>
  <c r="AF15" i="19"/>
  <c r="AG15" i="19"/>
  <c r="AH15" i="19"/>
  <c r="AI15" i="19"/>
  <c r="AJ15" i="19"/>
  <c r="AK15" i="19"/>
  <c r="AL15" i="19"/>
  <c r="AM15" i="19"/>
  <c r="BM51" i="19" l="1"/>
  <c r="BN49" i="19"/>
  <c r="BN53" i="19" s="1"/>
  <c r="BO43" i="19"/>
  <c r="AL16" i="19"/>
  <c r="G16" i="18"/>
  <c r="H16" i="18" s="1"/>
  <c r="BE32" i="19"/>
  <c r="BG24" i="19"/>
  <c r="BF30" i="19"/>
  <c r="BF34" i="19" s="1"/>
  <c r="AK16" i="19"/>
  <c r="AD16" i="19"/>
  <c r="AJ16" i="19"/>
  <c r="AI16" i="19"/>
  <c r="AG16" i="19"/>
  <c r="AH16" i="19"/>
  <c r="AF16" i="19"/>
  <c r="AC16" i="19"/>
  <c r="AM16" i="19"/>
  <c r="AE16" i="19"/>
  <c r="AC53" i="19"/>
  <c r="AC34" i="19"/>
  <c r="AF51" i="19"/>
  <c r="AC51" i="19"/>
  <c r="AE32" i="19"/>
  <c r="AD32" i="19"/>
  <c r="AD51" i="19"/>
  <c r="AF32" i="19"/>
  <c r="AC32" i="19"/>
  <c r="AE51" i="19"/>
  <c r="BN51" i="19" l="1"/>
  <c r="BP43" i="19"/>
  <c r="BO49" i="19"/>
  <c r="BO53" i="19" s="1"/>
  <c r="G17" i="18"/>
  <c r="H17" i="18" s="1"/>
  <c r="BF32" i="19"/>
  <c r="BH24" i="19"/>
  <c r="BG30" i="19"/>
  <c r="BG34" i="19" s="1"/>
  <c r="B21" i="14"/>
  <c r="B58" i="18"/>
  <c r="B52" i="14" s="1"/>
  <c r="AB48" i="19"/>
  <c r="AB14" i="19"/>
  <c r="AB15" i="19"/>
  <c r="AB29" i="19"/>
  <c r="BP49" i="19" l="1"/>
  <c r="BP53" i="19" s="1"/>
  <c r="BQ43" i="19"/>
  <c r="BO51" i="19"/>
  <c r="G18" i="18"/>
  <c r="BG32" i="19"/>
  <c r="BI24" i="19"/>
  <c r="BH30" i="19"/>
  <c r="BH34" i="19" s="1"/>
  <c r="AB16" i="19"/>
  <c r="B62" i="14"/>
  <c r="B31" i="14"/>
  <c r="H18" i="18" l="1"/>
  <c r="BR43" i="19"/>
  <c r="BQ49" i="19"/>
  <c r="BQ53" i="19" s="1"/>
  <c r="BP51" i="19"/>
  <c r="G19" i="18"/>
  <c r="H19" i="18" s="1"/>
  <c r="BH32" i="19"/>
  <c r="BJ24" i="19"/>
  <c r="BI30" i="19"/>
  <c r="BI34" i="19" s="1"/>
  <c r="G16" i="22"/>
  <c r="H37" i="22"/>
  <c r="H36" i="22"/>
  <c r="H35" i="22"/>
  <c r="G53" i="22"/>
  <c r="G55" i="22" s="1"/>
  <c r="G51" i="22"/>
  <c r="G50" i="22"/>
  <c r="G49" i="22"/>
  <c r="G48" i="22"/>
  <c r="G47" i="22"/>
  <c r="G46" i="22"/>
  <c r="G45" i="22"/>
  <c r="G44" i="22"/>
  <c r="G43" i="22"/>
  <c r="G42" i="22"/>
  <c r="G41" i="22"/>
  <c r="G38" i="22"/>
  <c r="G37" i="22"/>
  <c r="G36" i="22"/>
  <c r="G35" i="22"/>
  <c r="B53" i="22"/>
  <c r="D39" i="22"/>
  <c r="C39" i="22"/>
  <c r="E38" i="22"/>
  <c r="C38" i="22"/>
  <c r="E37" i="22"/>
  <c r="D37" i="22"/>
  <c r="C37" i="22"/>
  <c r="E36" i="22"/>
  <c r="D36" i="22"/>
  <c r="C36" i="22"/>
  <c r="B36" i="22"/>
  <c r="E35" i="22"/>
  <c r="D35" i="22"/>
  <c r="C35" i="22"/>
  <c r="B35" i="22"/>
  <c r="C34" i="22"/>
  <c r="B32" i="22"/>
  <c r="G6" i="22"/>
  <c r="H7" i="22"/>
  <c r="H6" i="22"/>
  <c r="G15" i="22"/>
  <c r="G14" i="22"/>
  <c r="G13" i="22"/>
  <c r="G12" i="22"/>
  <c r="G8" i="22"/>
  <c r="G7" i="22"/>
  <c r="B23" i="22"/>
  <c r="D9" i="22"/>
  <c r="C9" i="22"/>
  <c r="E8" i="22"/>
  <c r="C8" i="22"/>
  <c r="E7" i="22"/>
  <c r="D7" i="22"/>
  <c r="C7" i="22"/>
  <c r="E6" i="22"/>
  <c r="D6" i="22"/>
  <c r="C6" i="22"/>
  <c r="B6" i="22"/>
  <c r="H5" i="22"/>
  <c r="E5" i="22"/>
  <c r="D5" i="22"/>
  <c r="C5" i="22"/>
  <c r="B5" i="22"/>
  <c r="C4" i="22"/>
  <c r="B2" i="22"/>
  <c r="E39" i="22"/>
  <c r="E71" i="22"/>
  <c r="E9" i="22" s="1"/>
  <c r="BQ51" i="19" l="1"/>
  <c r="BR49" i="19"/>
  <c r="BR53" i="19" s="1"/>
  <c r="BS43" i="19"/>
  <c r="G20" i="18"/>
  <c r="H20" i="18" s="1"/>
  <c r="BI32" i="19"/>
  <c r="BK24" i="19"/>
  <c r="BJ30" i="19"/>
  <c r="BJ34" i="19" s="1"/>
  <c r="G17" i="22"/>
  <c r="M40" i="21"/>
  <c r="L56" i="21"/>
  <c r="L55" i="21"/>
  <c r="L54" i="21"/>
  <c r="L53" i="21"/>
  <c r="L52" i="21"/>
  <c r="L51" i="21"/>
  <c r="L50" i="21"/>
  <c r="L49" i="21"/>
  <c r="L48" i="21"/>
  <c r="L47" i="21"/>
  <c r="L46" i="21"/>
  <c r="L41" i="21"/>
  <c r="L40" i="21"/>
  <c r="L39" i="21"/>
  <c r="C39" i="21"/>
  <c r="B37" i="21"/>
  <c r="J44" i="21"/>
  <c r="G44" i="21"/>
  <c r="D44" i="21"/>
  <c r="C44" i="21"/>
  <c r="D43" i="21"/>
  <c r="I42" i="21"/>
  <c r="G42" i="21"/>
  <c r="F42" i="21"/>
  <c r="E42" i="21"/>
  <c r="D42" i="21"/>
  <c r="C42" i="21"/>
  <c r="J41" i="21"/>
  <c r="I41" i="21"/>
  <c r="H41" i="21"/>
  <c r="G41" i="21"/>
  <c r="F41" i="21"/>
  <c r="E41" i="21"/>
  <c r="D41" i="21"/>
  <c r="C41" i="21"/>
  <c r="B41" i="21"/>
  <c r="J40" i="21"/>
  <c r="I40" i="21"/>
  <c r="H40" i="21"/>
  <c r="G40" i="21"/>
  <c r="F40" i="21"/>
  <c r="E40" i="21"/>
  <c r="D40" i="21"/>
  <c r="C40" i="21"/>
  <c r="B40" i="21"/>
  <c r="L21" i="21"/>
  <c r="L20" i="21"/>
  <c r="L19" i="21"/>
  <c r="L18" i="21"/>
  <c r="L17" i="21"/>
  <c r="L16" i="21"/>
  <c r="L15" i="21"/>
  <c r="L14" i="21"/>
  <c r="L13" i="21"/>
  <c r="L12" i="21"/>
  <c r="L11" i="21"/>
  <c r="M5" i="21"/>
  <c r="L6" i="21"/>
  <c r="L5" i="21"/>
  <c r="C4" i="21"/>
  <c r="J9" i="21"/>
  <c r="G9" i="21"/>
  <c r="D9" i="21"/>
  <c r="C9" i="21"/>
  <c r="I7" i="21"/>
  <c r="G7" i="21"/>
  <c r="F7" i="21"/>
  <c r="E7" i="21"/>
  <c r="D7" i="21"/>
  <c r="J6" i="21"/>
  <c r="I6" i="21"/>
  <c r="H6" i="21"/>
  <c r="G6" i="21"/>
  <c r="F6" i="21"/>
  <c r="E6" i="21"/>
  <c r="D6" i="21"/>
  <c r="J5" i="21"/>
  <c r="I5" i="21"/>
  <c r="H5" i="21"/>
  <c r="G5" i="21"/>
  <c r="F5" i="21"/>
  <c r="E5" i="21"/>
  <c r="D5" i="21"/>
  <c r="C7" i="21"/>
  <c r="C6" i="21"/>
  <c r="C5" i="21"/>
  <c r="B21" i="21"/>
  <c r="B20" i="21"/>
  <c r="B19" i="21"/>
  <c r="B18" i="21"/>
  <c r="B17" i="21"/>
  <c r="B16" i="21"/>
  <c r="B15" i="21"/>
  <c r="B14" i="21"/>
  <c r="B13" i="21"/>
  <c r="B12" i="21"/>
  <c r="B11" i="21"/>
  <c r="B34" i="21" s="1"/>
  <c r="B6" i="21"/>
  <c r="B5" i="21"/>
  <c r="B2" i="21"/>
  <c r="L59" i="21" l="1"/>
  <c r="L61" i="21" s="1"/>
  <c r="L24" i="21"/>
  <c r="L26" i="21" s="1"/>
  <c r="BT43" i="19"/>
  <c r="BS49" i="19"/>
  <c r="BS53" i="19" s="1"/>
  <c r="BR51" i="19"/>
  <c r="BL24" i="19"/>
  <c r="BY24" i="19"/>
  <c r="G21" i="18"/>
  <c r="H21" i="18" s="1"/>
  <c r="BJ32" i="19"/>
  <c r="BK30" i="19"/>
  <c r="G18" i="22"/>
  <c r="BY30" i="19" l="1"/>
  <c r="BK34" i="19"/>
  <c r="BS51" i="19"/>
  <c r="BM24" i="19"/>
  <c r="BL30" i="19"/>
  <c r="BL34" i="19" s="1"/>
  <c r="BU43" i="19"/>
  <c r="BT49" i="19"/>
  <c r="BT53" i="19" s="1"/>
  <c r="BK32" i="19"/>
  <c r="BY32" i="19" s="1"/>
  <c r="G19" i="22"/>
  <c r="B83" i="22"/>
  <c r="B21" i="22" s="1"/>
  <c r="B82" i="22"/>
  <c r="B20" i="22" s="1"/>
  <c r="B81" i="22"/>
  <c r="B19" i="22" s="1"/>
  <c r="B80" i="22"/>
  <c r="B18" i="22" s="1"/>
  <c r="B79" i="22"/>
  <c r="B17" i="22" s="1"/>
  <c r="B78" i="22"/>
  <c r="B16" i="22" s="1"/>
  <c r="B77" i="22"/>
  <c r="B15" i="22" s="1"/>
  <c r="B76" i="22"/>
  <c r="B14" i="22" s="1"/>
  <c r="B75" i="22"/>
  <c r="B13" i="22" s="1"/>
  <c r="B74" i="22"/>
  <c r="B12" i="22" s="1"/>
  <c r="B73" i="22"/>
  <c r="B11" i="22" s="1"/>
  <c r="BU49" i="19" l="1"/>
  <c r="BU53" i="19" s="1"/>
  <c r="BV43" i="19"/>
  <c r="BT51" i="19"/>
  <c r="BN24" i="19"/>
  <c r="BM30" i="19"/>
  <c r="BM34" i="19" s="1"/>
  <c r="G22" i="18"/>
  <c r="BY34" i="19"/>
  <c r="BL32" i="19"/>
  <c r="G20" i="22"/>
  <c r="D24" i="1"/>
  <c r="BM32" i="19" l="1"/>
  <c r="BO24" i="19"/>
  <c r="BN30" i="19"/>
  <c r="BN34" i="19" s="1"/>
  <c r="BW43" i="19"/>
  <c r="BV49" i="19"/>
  <c r="BV53" i="19" s="1"/>
  <c r="BU51" i="19"/>
  <c r="H22" i="18"/>
  <c r="G24" i="18"/>
  <c r="G21" i="22"/>
  <c r="H45" i="18"/>
  <c r="E45" i="18"/>
  <c r="E8" i="18"/>
  <c r="U49" i="19"/>
  <c r="U53" i="19" s="1"/>
  <c r="T49" i="19"/>
  <c r="T53" i="19" s="1"/>
  <c r="S49" i="19"/>
  <c r="S53" i="19" s="1"/>
  <c r="R49" i="19"/>
  <c r="R53" i="19" s="1"/>
  <c r="Q49" i="19"/>
  <c r="Q53" i="19" s="1"/>
  <c r="P49" i="19"/>
  <c r="AA48" i="19"/>
  <c r="Z48" i="19"/>
  <c r="Y48" i="19"/>
  <c r="X48" i="19"/>
  <c r="W48" i="19"/>
  <c r="V48" i="19"/>
  <c r="U48" i="19"/>
  <c r="T48" i="19"/>
  <c r="S48" i="19"/>
  <c r="R48" i="19"/>
  <c r="Q48" i="19"/>
  <c r="P48" i="19"/>
  <c r="U30" i="19"/>
  <c r="U34" i="19" s="1"/>
  <c r="T30" i="19"/>
  <c r="T34" i="19" s="1"/>
  <c r="S30" i="19"/>
  <c r="S34" i="19" s="1"/>
  <c r="R30" i="19"/>
  <c r="R34" i="19" s="1"/>
  <c r="Q30" i="19"/>
  <c r="Q34" i="19" s="1"/>
  <c r="P30" i="19"/>
  <c r="AA29" i="19"/>
  <c r="Z29" i="19"/>
  <c r="Y29" i="19"/>
  <c r="X29" i="19"/>
  <c r="W29" i="19"/>
  <c r="V29" i="19"/>
  <c r="U29" i="19"/>
  <c r="T29" i="19"/>
  <c r="S29" i="19"/>
  <c r="R29" i="19"/>
  <c r="Q29" i="19"/>
  <c r="P29" i="19"/>
  <c r="J29" i="19"/>
  <c r="P14" i="19"/>
  <c r="Q14" i="19"/>
  <c r="R14" i="19"/>
  <c r="S14" i="19"/>
  <c r="T14" i="19"/>
  <c r="U14" i="19"/>
  <c r="V14" i="19"/>
  <c r="W14" i="19"/>
  <c r="X14" i="19"/>
  <c r="Y14" i="19"/>
  <c r="Z14" i="19"/>
  <c r="AA14" i="19"/>
  <c r="P15" i="19"/>
  <c r="Q15" i="19"/>
  <c r="R15" i="19"/>
  <c r="S15" i="19"/>
  <c r="T15" i="19"/>
  <c r="U15" i="19"/>
  <c r="V15" i="19"/>
  <c r="W15" i="19"/>
  <c r="X15" i="19"/>
  <c r="Y15" i="19"/>
  <c r="Z15" i="19"/>
  <c r="AA15" i="19"/>
  <c r="C56" i="21"/>
  <c r="C55" i="21"/>
  <c r="C54" i="21"/>
  <c r="C53" i="21"/>
  <c r="C52" i="21"/>
  <c r="C51" i="21"/>
  <c r="C50" i="21"/>
  <c r="C49" i="21"/>
  <c r="C48" i="21"/>
  <c r="C47" i="21"/>
  <c r="I43" i="21"/>
  <c r="H120" i="21"/>
  <c r="E120" i="21"/>
  <c r="C21" i="21"/>
  <c r="C20" i="21"/>
  <c r="C19" i="21"/>
  <c r="C18" i="21"/>
  <c r="C17" i="21"/>
  <c r="C16" i="21"/>
  <c r="C15" i="21"/>
  <c r="C14" i="21"/>
  <c r="C13" i="21"/>
  <c r="C12" i="21"/>
  <c r="I8" i="21"/>
  <c r="H80" i="21"/>
  <c r="E80" i="21"/>
  <c r="E94" i="21" s="1"/>
  <c r="BW49" i="19" l="1"/>
  <c r="BW53" i="19" s="1"/>
  <c r="CA43" i="19"/>
  <c r="F94" i="21"/>
  <c r="F22" i="21" s="1"/>
  <c r="E22" i="21"/>
  <c r="BV51" i="19"/>
  <c r="BP24" i="19"/>
  <c r="BO30" i="19"/>
  <c r="BO34" i="19" s="1"/>
  <c r="H24" i="18"/>
  <c r="BN32" i="19"/>
  <c r="E59" i="18"/>
  <c r="E48" i="18"/>
  <c r="H59" i="18"/>
  <c r="H48" i="18"/>
  <c r="E22" i="18"/>
  <c r="E11" i="18"/>
  <c r="E134" i="21"/>
  <c r="E123" i="21"/>
  <c r="H134" i="21"/>
  <c r="H123" i="21"/>
  <c r="I123" i="21" s="1"/>
  <c r="H94" i="21"/>
  <c r="H83" i="21"/>
  <c r="H93" i="21"/>
  <c r="E49" i="18"/>
  <c r="E56" i="18"/>
  <c r="E53" i="18"/>
  <c r="E50" i="18"/>
  <c r="E54" i="18"/>
  <c r="E55" i="18"/>
  <c r="E52" i="18"/>
  <c r="E51" i="18"/>
  <c r="E58" i="18"/>
  <c r="E57" i="18"/>
  <c r="E21" i="18"/>
  <c r="E91" i="21"/>
  <c r="F91" i="21" s="1"/>
  <c r="E90" i="21"/>
  <c r="F90" i="21" s="1"/>
  <c r="E84" i="21"/>
  <c r="F84" i="21" s="1"/>
  <c r="E92" i="21"/>
  <c r="F92" i="21" s="1"/>
  <c r="E83" i="21"/>
  <c r="E85" i="21"/>
  <c r="F85" i="21" s="1"/>
  <c r="E93" i="21"/>
  <c r="F93" i="21" s="1"/>
  <c r="S32" i="19"/>
  <c r="E86" i="21"/>
  <c r="F86" i="21" s="1"/>
  <c r="T32" i="19"/>
  <c r="E87" i="21"/>
  <c r="F87" i="21" s="1"/>
  <c r="E88" i="21"/>
  <c r="F88" i="21" s="1"/>
  <c r="H84" i="21"/>
  <c r="I84" i="21" s="1"/>
  <c r="E89" i="21"/>
  <c r="F89" i="21" s="1"/>
  <c r="H85" i="21"/>
  <c r="I85" i="21" s="1"/>
  <c r="H86" i="21"/>
  <c r="I86" i="21" s="1"/>
  <c r="Q16" i="19"/>
  <c r="H43" i="21"/>
  <c r="C11" i="21"/>
  <c r="C24" i="21" s="1"/>
  <c r="C46" i="21"/>
  <c r="C59" i="21" s="1"/>
  <c r="E8" i="21"/>
  <c r="E43" i="21"/>
  <c r="G23" i="22"/>
  <c r="G25" i="22" s="1"/>
  <c r="Q32" i="19"/>
  <c r="P16" i="19"/>
  <c r="Q51" i="19"/>
  <c r="U16" i="19"/>
  <c r="Y16" i="19"/>
  <c r="X16" i="19"/>
  <c r="B46" i="21"/>
  <c r="B69" i="21" s="1"/>
  <c r="B102" i="22"/>
  <c r="B41" i="22" s="1"/>
  <c r="B48" i="21"/>
  <c r="B104" i="22"/>
  <c r="B43" i="22" s="1"/>
  <c r="B50" i="21"/>
  <c r="B106" i="22"/>
  <c r="B45" i="22" s="1"/>
  <c r="B52" i="21"/>
  <c r="B108" i="22"/>
  <c r="B47" i="22" s="1"/>
  <c r="B54" i="21"/>
  <c r="B110" i="22"/>
  <c r="B49" i="22" s="1"/>
  <c r="B56" i="21"/>
  <c r="B112" i="22"/>
  <c r="B51" i="22" s="1"/>
  <c r="B47" i="21"/>
  <c r="B103" i="22"/>
  <c r="B42" i="22" s="1"/>
  <c r="B49" i="21"/>
  <c r="B105" i="22"/>
  <c r="B44" i="22" s="1"/>
  <c r="B51" i="21"/>
  <c r="B107" i="22"/>
  <c r="B46" i="22" s="1"/>
  <c r="B53" i="21"/>
  <c r="B109" i="22"/>
  <c r="B48" i="22" s="1"/>
  <c r="B55" i="21"/>
  <c r="B111" i="22"/>
  <c r="B50" i="22" s="1"/>
  <c r="I81" i="21"/>
  <c r="I9" i="21" s="1"/>
  <c r="F8" i="21"/>
  <c r="I121" i="21"/>
  <c r="I44" i="21" s="1"/>
  <c r="F43" i="21"/>
  <c r="T51" i="19"/>
  <c r="U51" i="19"/>
  <c r="R51" i="19"/>
  <c r="T16" i="19"/>
  <c r="S51" i="19"/>
  <c r="U32" i="19"/>
  <c r="P53" i="19"/>
  <c r="P34" i="19"/>
  <c r="P51" i="19"/>
  <c r="P32" i="19"/>
  <c r="AA16" i="19"/>
  <c r="W16" i="19"/>
  <c r="S16" i="19"/>
  <c r="V49" i="19"/>
  <c r="V53" i="19" s="1"/>
  <c r="Z16" i="19"/>
  <c r="V16" i="19"/>
  <c r="R16" i="19"/>
  <c r="V30" i="19"/>
  <c r="V34" i="19" s="1"/>
  <c r="R32" i="19"/>
  <c r="H81" i="21"/>
  <c r="H9" i="21" s="1"/>
  <c r="H121" i="21"/>
  <c r="H44" i="21" s="1"/>
  <c r="F121" i="21"/>
  <c r="F44" i="21" s="1"/>
  <c r="E81" i="21"/>
  <c r="E9" i="21" s="1"/>
  <c r="F81" i="21"/>
  <c r="F9" i="21" s="1"/>
  <c r="E121" i="21"/>
  <c r="E44" i="21" s="1"/>
  <c r="I134" i="21" l="1"/>
  <c r="H57" i="21"/>
  <c r="BQ24" i="19"/>
  <c r="BP30" i="19"/>
  <c r="BP34" i="19" s="1"/>
  <c r="F134" i="21"/>
  <c r="F57" i="21" s="1"/>
  <c r="E57" i="21"/>
  <c r="BO32" i="19"/>
  <c r="I94" i="21"/>
  <c r="H22" i="21"/>
  <c r="BW51" i="19"/>
  <c r="CA51" i="19" s="1"/>
  <c r="CA53" i="19"/>
  <c r="J17" i="1" s="1"/>
  <c r="CA49" i="19"/>
  <c r="I83" i="21"/>
  <c r="E96" i="21"/>
  <c r="F83" i="21"/>
  <c r="F96" i="21" s="1"/>
  <c r="J84" i="21"/>
  <c r="J85" i="21"/>
  <c r="J86" i="21"/>
  <c r="Y30" i="19"/>
  <c r="Y34" i="19" s="1"/>
  <c r="W30" i="19"/>
  <c r="W34" i="19" s="1"/>
  <c r="X30" i="19"/>
  <c r="X34" i="19" s="1"/>
  <c r="W49" i="19"/>
  <c r="V51" i="19"/>
  <c r="V32" i="19"/>
  <c r="B20" i="14"/>
  <c r="B19" i="14"/>
  <c r="B18" i="14"/>
  <c r="B17" i="14"/>
  <c r="B16" i="14"/>
  <c r="B15" i="14"/>
  <c r="B14" i="14"/>
  <c r="B13" i="14"/>
  <c r="B12" i="14"/>
  <c r="B11" i="14"/>
  <c r="BP32" i="19" l="1"/>
  <c r="BQ30" i="19"/>
  <c r="BQ34" i="19" s="1"/>
  <c r="BR24" i="19"/>
  <c r="J134" i="21"/>
  <c r="I57" i="21"/>
  <c r="J94" i="21"/>
  <c r="I22" i="21"/>
  <c r="J83" i="21"/>
  <c r="W32" i="19"/>
  <c r="Z30" i="19"/>
  <c r="Z34" i="19" s="1"/>
  <c r="Z49" i="19"/>
  <c r="Z53" i="19" s="1"/>
  <c r="Y49" i="19"/>
  <c r="Y53" i="19" s="1"/>
  <c r="X32" i="19"/>
  <c r="X49" i="19"/>
  <c r="Y32" i="19"/>
  <c r="W53" i="19"/>
  <c r="W51" i="19"/>
  <c r="AA49" i="19"/>
  <c r="BR30" i="19" l="1"/>
  <c r="BR34" i="19" s="1"/>
  <c r="BS24" i="19"/>
  <c r="BQ32" i="19"/>
  <c r="J57" i="21"/>
  <c r="M57" i="21" s="1"/>
  <c r="C113" i="22"/>
  <c r="C52" i="22" s="1"/>
  <c r="U134" i="21"/>
  <c r="J22" i="21"/>
  <c r="M22" i="21" s="1"/>
  <c r="U94" i="21"/>
  <c r="C84" i="22"/>
  <c r="C22" i="22" s="1"/>
  <c r="U83" i="21"/>
  <c r="Z32" i="19"/>
  <c r="AG49" i="19"/>
  <c r="Z51" i="19"/>
  <c r="AB49" i="19"/>
  <c r="AB51" i="19" s="1"/>
  <c r="AB30" i="19"/>
  <c r="Y51" i="19"/>
  <c r="X53" i="19"/>
  <c r="X51" i="19"/>
  <c r="AA53" i="19"/>
  <c r="AA51" i="19"/>
  <c r="BS30" i="19" l="1"/>
  <c r="BS34" i="19" s="1"/>
  <c r="BT24" i="19"/>
  <c r="BR32" i="19"/>
  <c r="AB53" i="19"/>
  <c r="AG30" i="19"/>
  <c r="AH49" i="19"/>
  <c r="AA30" i="19"/>
  <c r="AA32" i="19" s="1"/>
  <c r="AB34" i="19"/>
  <c r="AG51" i="19"/>
  <c r="AG53" i="19"/>
  <c r="AB32" i="19"/>
  <c r="B57" i="18"/>
  <c r="B56" i="18"/>
  <c r="B55" i="18"/>
  <c r="B54" i="18"/>
  <c r="B53" i="18"/>
  <c r="B52" i="18"/>
  <c r="B51" i="18"/>
  <c r="B50" i="18"/>
  <c r="B49" i="18"/>
  <c r="BU24" i="19" l="1"/>
  <c r="BT30" i="19"/>
  <c r="BT34" i="19" s="1"/>
  <c r="BS32" i="19"/>
  <c r="AA34" i="19"/>
  <c r="AI49" i="19"/>
  <c r="AG34" i="19"/>
  <c r="H87" i="21" s="1"/>
  <c r="AG32" i="19"/>
  <c r="AH30" i="19"/>
  <c r="AH53" i="19"/>
  <c r="AH51" i="19"/>
  <c r="B51" i="14"/>
  <c r="B50" i="14"/>
  <c r="B49" i="14"/>
  <c r="B48" i="14"/>
  <c r="B47" i="14"/>
  <c r="B46" i="14"/>
  <c r="B45" i="14"/>
  <c r="B44" i="14"/>
  <c r="B43" i="14"/>
  <c r="B42" i="14"/>
  <c r="BT32" i="19" l="1"/>
  <c r="BU30" i="19"/>
  <c r="BU34" i="19" s="1"/>
  <c r="BV24" i="19"/>
  <c r="I87" i="21"/>
  <c r="AH34" i="19"/>
  <c r="H88" i="21" s="1"/>
  <c r="I88" i="21" s="1"/>
  <c r="J88" i="21" s="1"/>
  <c r="AH32" i="19"/>
  <c r="AI30" i="19"/>
  <c r="AI51" i="19"/>
  <c r="AI53" i="19"/>
  <c r="AJ49" i="19"/>
  <c r="B68" i="18"/>
  <c r="B31" i="18"/>
  <c r="BW24" i="19" l="1"/>
  <c r="BV30" i="19"/>
  <c r="BV34" i="19" s="1"/>
  <c r="BU32" i="19"/>
  <c r="J87" i="21"/>
  <c r="AJ30" i="19"/>
  <c r="AI32" i="19"/>
  <c r="AI34" i="19"/>
  <c r="H89" i="21" s="1"/>
  <c r="AK49" i="19"/>
  <c r="AJ53" i="19"/>
  <c r="AJ51" i="19"/>
  <c r="B15" i="19"/>
  <c r="B14" i="19"/>
  <c r="BV32" i="19" l="1"/>
  <c r="BW30" i="19"/>
  <c r="BW34" i="19" s="1"/>
  <c r="CA24" i="19"/>
  <c r="I89" i="21"/>
  <c r="AL49" i="19"/>
  <c r="AJ32" i="19"/>
  <c r="AJ34" i="19"/>
  <c r="H90" i="21" s="1"/>
  <c r="I90" i="21" s="1"/>
  <c r="J90" i="21" s="1"/>
  <c r="U90" i="21" s="1"/>
  <c r="AK53" i="19"/>
  <c r="AK51" i="19"/>
  <c r="AK30" i="19"/>
  <c r="I45" i="18"/>
  <c r="F45" i="18"/>
  <c r="F8" i="18"/>
  <c r="I8" i="18"/>
  <c r="J48" i="19"/>
  <c r="K48" i="19"/>
  <c r="L48" i="19"/>
  <c r="M48" i="19"/>
  <c r="N48" i="19"/>
  <c r="O48" i="19"/>
  <c r="N29" i="19"/>
  <c r="I29" i="19"/>
  <c r="K29" i="19"/>
  <c r="O29" i="19"/>
  <c r="I49" i="19"/>
  <c r="H49" i="19"/>
  <c r="G49" i="19"/>
  <c r="F49" i="19"/>
  <c r="E49" i="19"/>
  <c r="D49" i="19"/>
  <c r="I48" i="19"/>
  <c r="H48" i="19"/>
  <c r="G48" i="19"/>
  <c r="F48" i="19"/>
  <c r="E48" i="19"/>
  <c r="D48" i="19"/>
  <c r="F29" i="19"/>
  <c r="G29" i="19"/>
  <c r="E30" i="19"/>
  <c r="F30" i="19"/>
  <c r="G30" i="19"/>
  <c r="H30" i="19"/>
  <c r="I30" i="19"/>
  <c r="D30" i="19"/>
  <c r="I48" i="18" l="1"/>
  <c r="I59" i="18"/>
  <c r="G17" i="1"/>
  <c r="BW32" i="19"/>
  <c r="CA32" i="19" s="1"/>
  <c r="CA30" i="19"/>
  <c r="F59" i="18"/>
  <c r="F48" i="18"/>
  <c r="F11" i="18"/>
  <c r="F22" i="18"/>
  <c r="I11" i="18"/>
  <c r="I22" i="18"/>
  <c r="J89" i="21"/>
  <c r="F21" i="18"/>
  <c r="AM49" i="19"/>
  <c r="AM53" i="19" s="1"/>
  <c r="AK34" i="19"/>
  <c r="H91" i="21" s="1"/>
  <c r="I91" i="21" s="1"/>
  <c r="J91" i="21" s="1"/>
  <c r="U91" i="21" s="1"/>
  <c r="AK32" i="19"/>
  <c r="AL53" i="19"/>
  <c r="AL51" i="19"/>
  <c r="AL30" i="19"/>
  <c r="D46" i="21"/>
  <c r="I46" i="18"/>
  <c r="F58" i="18"/>
  <c r="I9" i="18"/>
  <c r="E125" i="21"/>
  <c r="D48" i="21"/>
  <c r="E133" i="21"/>
  <c r="D56" i="21"/>
  <c r="E129" i="21"/>
  <c r="D52" i="21"/>
  <c r="E126" i="21"/>
  <c r="D49" i="21"/>
  <c r="E132" i="21"/>
  <c r="D55" i="21"/>
  <c r="E127" i="21"/>
  <c r="D50" i="21"/>
  <c r="E131" i="21"/>
  <c r="D54" i="21"/>
  <c r="E124" i="21"/>
  <c r="D47" i="21"/>
  <c r="E128" i="21"/>
  <c r="D51" i="21"/>
  <c r="E130" i="21"/>
  <c r="D53" i="21"/>
  <c r="D17" i="21"/>
  <c r="D18" i="21"/>
  <c r="D14" i="21"/>
  <c r="D16" i="21"/>
  <c r="D13" i="21"/>
  <c r="D21" i="21"/>
  <c r="E20" i="18"/>
  <c r="F20" i="18" s="1"/>
  <c r="E13" i="18"/>
  <c r="F13" i="18" s="1"/>
  <c r="E16" i="18"/>
  <c r="F16" i="18" s="1"/>
  <c r="E12" i="18"/>
  <c r="F12" i="18" s="1"/>
  <c r="E17" i="18"/>
  <c r="F17" i="18" s="1"/>
  <c r="E15" i="18"/>
  <c r="F15" i="18" s="1"/>
  <c r="I34" i="19"/>
  <c r="E34" i="19"/>
  <c r="G53" i="19"/>
  <c r="D34" i="19"/>
  <c r="H34" i="19"/>
  <c r="D53" i="19"/>
  <c r="H53" i="19"/>
  <c r="G34" i="19"/>
  <c r="E53" i="19"/>
  <c r="I53" i="19"/>
  <c r="F34" i="19"/>
  <c r="F53" i="19"/>
  <c r="M15" i="19"/>
  <c r="M29" i="19"/>
  <c r="E15" i="19"/>
  <c r="E29" i="19"/>
  <c r="D15" i="19"/>
  <c r="L14" i="19"/>
  <c r="L29" i="19"/>
  <c r="H15" i="19"/>
  <c r="H29" i="19"/>
  <c r="O15" i="19"/>
  <c r="K15" i="19"/>
  <c r="G15" i="19"/>
  <c r="N15" i="19"/>
  <c r="J15" i="19"/>
  <c r="F15" i="19"/>
  <c r="M14" i="19"/>
  <c r="I14" i="19"/>
  <c r="E14" i="19"/>
  <c r="L15" i="19"/>
  <c r="D14" i="19"/>
  <c r="I15" i="19"/>
  <c r="H14" i="19"/>
  <c r="F9" i="18"/>
  <c r="F46" i="18"/>
  <c r="O14" i="19"/>
  <c r="K14" i="19"/>
  <c r="G14" i="19"/>
  <c r="N14" i="19"/>
  <c r="J14" i="19"/>
  <c r="F14" i="19"/>
  <c r="J49" i="19"/>
  <c r="J53" i="19" s="1"/>
  <c r="G32" i="19"/>
  <c r="J30" i="19"/>
  <c r="J34" i="19" s="1"/>
  <c r="G17" i="21" s="1"/>
  <c r="F32" i="19"/>
  <c r="I32" i="19"/>
  <c r="D51" i="19"/>
  <c r="H51" i="19"/>
  <c r="E51" i="19"/>
  <c r="I51" i="19"/>
  <c r="F51" i="19"/>
  <c r="G51" i="19"/>
  <c r="J11" i="18" l="1"/>
  <c r="D59" i="21"/>
  <c r="J59" i="18"/>
  <c r="C53" i="14" s="1"/>
  <c r="J22" i="18"/>
  <c r="J48" i="18"/>
  <c r="U89" i="21"/>
  <c r="E136" i="21"/>
  <c r="E61" i="18"/>
  <c r="AM51" i="19"/>
  <c r="AM30" i="19"/>
  <c r="H58" i="18"/>
  <c r="I58" i="18" s="1"/>
  <c r="J58" i="18" s="1"/>
  <c r="C52" i="14" s="1"/>
  <c r="AL32" i="19"/>
  <c r="AL34" i="19"/>
  <c r="H92" i="21" s="1"/>
  <c r="E46" i="21"/>
  <c r="F130" i="21"/>
  <c r="F53" i="21" s="1"/>
  <c r="E53" i="21"/>
  <c r="F128" i="21"/>
  <c r="F51" i="21" s="1"/>
  <c r="E51" i="21"/>
  <c r="F131" i="21"/>
  <c r="F54" i="21" s="1"/>
  <c r="E54" i="21"/>
  <c r="F132" i="21"/>
  <c r="F55" i="21" s="1"/>
  <c r="E55" i="21"/>
  <c r="F129" i="21"/>
  <c r="F52" i="21" s="1"/>
  <c r="E52" i="21"/>
  <c r="F125" i="21"/>
  <c r="F48" i="21" s="1"/>
  <c r="E48" i="21"/>
  <c r="H129" i="21"/>
  <c r="G52" i="21"/>
  <c r="F124" i="21"/>
  <c r="F47" i="21" s="1"/>
  <c r="E47" i="21"/>
  <c r="F127" i="21"/>
  <c r="F50" i="21" s="1"/>
  <c r="E50" i="21"/>
  <c r="F126" i="21"/>
  <c r="F49" i="21" s="1"/>
  <c r="E49" i="21"/>
  <c r="F133" i="21"/>
  <c r="F56" i="21" s="1"/>
  <c r="E56" i="21"/>
  <c r="D20" i="21"/>
  <c r="F13" i="21"/>
  <c r="E13" i="21"/>
  <c r="F14" i="21"/>
  <c r="E14" i="21"/>
  <c r="F17" i="21"/>
  <c r="E17" i="21"/>
  <c r="D15" i="21"/>
  <c r="D12" i="21"/>
  <c r="F21" i="21"/>
  <c r="E21" i="21"/>
  <c r="F16" i="21"/>
  <c r="E16" i="21"/>
  <c r="F18" i="21"/>
  <c r="E18" i="21"/>
  <c r="D19" i="21"/>
  <c r="H51" i="18"/>
  <c r="I51" i="18" s="1"/>
  <c r="H52" i="18"/>
  <c r="I52" i="18" s="1"/>
  <c r="I14" i="18"/>
  <c r="I15" i="18"/>
  <c r="J15" i="18" s="1"/>
  <c r="I12" i="18"/>
  <c r="H50" i="18"/>
  <c r="I50" i="18" s="1"/>
  <c r="H49" i="18"/>
  <c r="I49" i="18" s="1"/>
  <c r="I13" i="18"/>
  <c r="J13" i="18" s="1"/>
  <c r="F123" i="21"/>
  <c r="J123" i="21" s="1"/>
  <c r="H17" i="21"/>
  <c r="F57" i="18"/>
  <c r="D16" i="19"/>
  <c r="E18" i="18"/>
  <c r="F18" i="18" s="1"/>
  <c r="E19" i="18"/>
  <c r="F19" i="18" s="1"/>
  <c r="E14" i="18"/>
  <c r="E16" i="19"/>
  <c r="L16" i="19"/>
  <c r="F51" i="18"/>
  <c r="F56" i="18"/>
  <c r="H16" i="19"/>
  <c r="M16" i="19"/>
  <c r="G16" i="19"/>
  <c r="E32" i="19"/>
  <c r="F16" i="19"/>
  <c r="K16" i="19"/>
  <c r="D29" i="19"/>
  <c r="H32" i="19"/>
  <c r="F50" i="18"/>
  <c r="K49" i="19"/>
  <c r="K30" i="19"/>
  <c r="K34" i="19" s="1"/>
  <c r="F53" i="18"/>
  <c r="N16" i="19"/>
  <c r="F52" i="18"/>
  <c r="F54" i="18"/>
  <c r="I16" i="19"/>
  <c r="F55" i="18"/>
  <c r="F49" i="18"/>
  <c r="J16" i="19"/>
  <c r="O16" i="19"/>
  <c r="H53" i="18"/>
  <c r="I53" i="18" s="1"/>
  <c r="J32" i="19"/>
  <c r="J51" i="19"/>
  <c r="E59" i="21" l="1"/>
  <c r="J12" i="18"/>
  <c r="C12" i="14" s="1"/>
  <c r="I92" i="21"/>
  <c r="H96" i="21"/>
  <c r="F136" i="21"/>
  <c r="F14" i="18"/>
  <c r="E24" i="18"/>
  <c r="F61" i="18"/>
  <c r="I21" i="18"/>
  <c r="J21" i="18" s="1"/>
  <c r="C22" i="14"/>
  <c r="AM34" i="19"/>
  <c r="I93" i="21" s="1"/>
  <c r="J93" i="21" s="1"/>
  <c r="AM32" i="19"/>
  <c r="D11" i="21"/>
  <c r="D24" i="21" s="1"/>
  <c r="G46" i="21"/>
  <c r="I129" i="21"/>
  <c r="H52" i="21"/>
  <c r="F46" i="21"/>
  <c r="F59" i="21" s="1"/>
  <c r="H128" i="21"/>
  <c r="G51" i="21"/>
  <c r="H125" i="21"/>
  <c r="G48" i="21"/>
  <c r="H126" i="21"/>
  <c r="G49" i="21"/>
  <c r="H124" i="21"/>
  <c r="G47" i="21"/>
  <c r="H127" i="21"/>
  <c r="G50" i="21"/>
  <c r="G18" i="21"/>
  <c r="G11" i="21"/>
  <c r="F12" i="21"/>
  <c r="E12" i="21"/>
  <c r="G16" i="21"/>
  <c r="G14" i="21"/>
  <c r="G12" i="21"/>
  <c r="F19" i="21"/>
  <c r="E19" i="21"/>
  <c r="F15" i="21"/>
  <c r="E15" i="21"/>
  <c r="F20" i="21"/>
  <c r="E20" i="21"/>
  <c r="G13" i="21"/>
  <c r="G15" i="21"/>
  <c r="J52" i="18"/>
  <c r="C46" i="14" s="1"/>
  <c r="J51" i="18"/>
  <c r="C45" i="14" s="1"/>
  <c r="J50" i="18"/>
  <c r="J49" i="18"/>
  <c r="I17" i="21"/>
  <c r="C13" i="14"/>
  <c r="C15" i="14"/>
  <c r="K51" i="19"/>
  <c r="K53" i="19"/>
  <c r="J53" i="18"/>
  <c r="D32" i="19"/>
  <c r="K32" i="19"/>
  <c r="I17" i="18"/>
  <c r="J17" i="18" s="1"/>
  <c r="L30" i="19"/>
  <c r="L49" i="19"/>
  <c r="L53" i="19" s="1"/>
  <c r="C43" i="14" l="1"/>
  <c r="J92" i="21"/>
  <c r="J96" i="21" s="1"/>
  <c r="I96" i="21"/>
  <c r="U93" i="21"/>
  <c r="F24" i="18"/>
  <c r="J14" i="18"/>
  <c r="C14" i="14" s="1"/>
  <c r="C11" i="14"/>
  <c r="D11" i="14" s="1"/>
  <c r="E11" i="14" s="1"/>
  <c r="E11" i="21"/>
  <c r="E24" i="21" s="1"/>
  <c r="H46" i="21"/>
  <c r="H131" i="21"/>
  <c r="G54" i="21"/>
  <c r="I128" i="21"/>
  <c r="H51" i="21"/>
  <c r="J129" i="21"/>
  <c r="U129" i="21" s="1"/>
  <c r="I52" i="21"/>
  <c r="I124" i="21"/>
  <c r="J124" i="21" s="1"/>
  <c r="H47" i="21"/>
  <c r="I125" i="21"/>
  <c r="H48" i="21"/>
  <c r="H130" i="21"/>
  <c r="G53" i="21"/>
  <c r="I127" i="21"/>
  <c r="H50" i="21"/>
  <c r="I126" i="21"/>
  <c r="H49" i="21"/>
  <c r="H13" i="21"/>
  <c r="H12" i="21"/>
  <c r="H16" i="21"/>
  <c r="H11" i="21"/>
  <c r="H15" i="21"/>
  <c r="H14" i="21"/>
  <c r="H18" i="21"/>
  <c r="C44" i="14"/>
  <c r="J17" i="21"/>
  <c r="M17" i="21" s="1"/>
  <c r="C17" i="14"/>
  <c r="C47" i="14"/>
  <c r="H54" i="18"/>
  <c r="L32" i="19"/>
  <c r="L34" i="19"/>
  <c r="M49" i="19"/>
  <c r="L51" i="19"/>
  <c r="M30" i="19"/>
  <c r="M34" i="19" s="1"/>
  <c r="C42" i="14" l="1"/>
  <c r="D42" i="14" s="1"/>
  <c r="U92" i="21"/>
  <c r="C21" i="14"/>
  <c r="I54" i="18"/>
  <c r="G19" i="21"/>
  <c r="I46" i="21"/>
  <c r="F11" i="21"/>
  <c r="F24" i="21" s="1"/>
  <c r="I11" i="21"/>
  <c r="J125" i="21"/>
  <c r="U125" i="21" s="1"/>
  <c r="I48" i="21"/>
  <c r="J52" i="21"/>
  <c r="M52" i="21" s="1"/>
  <c r="C108" i="22"/>
  <c r="C47" i="22" s="1"/>
  <c r="I131" i="21"/>
  <c r="H54" i="21"/>
  <c r="J126" i="21"/>
  <c r="U126" i="21" s="1"/>
  <c r="I49" i="21"/>
  <c r="I130" i="21"/>
  <c r="H53" i="21"/>
  <c r="U124" i="21"/>
  <c r="I47" i="21"/>
  <c r="J128" i="21"/>
  <c r="U128" i="21" s="1"/>
  <c r="I51" i="21"/>
  <c r="J127" i="21"/>
  <c r="I50" i="21"/>
  <c r="I14" i="21"/>
  <c r="I12" i="21"/>
  <c r="I18" i="21"/>
  <c r="I15" i="21"/>
  <c r="I16" i="21"/>
  <c r="I13" i="21"/>
  <c r="G20" i="21"/>
  <c r="C79" i="22"/>
  <c r="C17" i="22" s="1"/>
  <c r="I16" i="18"/>
  <c r="N30" i="19"/>
  <c r="N34" i="19" s="1"/>
  <c r="M51" i="19"/>
  <c r="M53" i="19"/>
  <c r="I19" i="18"/>
  <c r="J19" i="18" s="1"/>
  <c r="M32" i="19"/>
  <c r="O49" i="19"/>
  <c r="N49" i="19"/>
  <c r="N53" i="19" s="1"/>
  <c r="E42" i="14" l="1"/>
  <c r="D43" i="14"/>
  <c r="U96" i="21"/>
  <c r="J98" i="21"/>
  <c r="U98" i="21" s="1"/>
  <c r="U123" i="21"/>
  <c r="U127" i="21"/>
  <c r="J54" i="18"/>
  <c r="J16" i="18"/>
  <c r="H19" i="21"/>
  <c r="J11" i="21"/>
  <c r="H133" i="21"/>
  <c r="G56" i="21"/>
  <c r="C102" i="22"/>
  <c r="C41" i="22" s="1"/>
  <c r="J46" i="21"/>
  <c r="J51" i="21"/>
  <c r="M51" i="21" s="1"/>
  <c r="C107" i="22"/>
  <c r="C46" i="22" s="1"/>
  <c r="J130" i="21"/>
  <c r="I53" i="21"/>
  <c r="J131" i="21"/>
  <c r="U131" i="21" s="1"/>
  <c r="I54" i="21"/>
  <c r="J50" i="21"/>
  <c r="M50" i="21" s="1"/>
  <c r="C106" i="22"/>
  <c r="C45" i="22" s="1"/>
  <c r="J47" i="21"/>
  <c r="M47" i="21" s="1"/>
  <c r="C103" i="22"/>
  <c r="C42" i="22" s="1"/>
  <c r="J49" i="21"/>
  <c r="M49" i="21" s="1"/>
  <c r="C105" i="22"/>
  <c r="C44" i="22" s="1"/>
  <c r="J48" i="21"/>
  <c r="M48" i="21" s="1"/>
  <c r="C104" i="22"/>
  <c r="C43" i="22" s="1"/>
  <c r="J13" i="21"/>
  <c r="M13" i="21" s="1"/>
  <c r="U85" i="21"/>
  <c r="C75" i="22"/>
  <c r="C13" i="22" s="1"/>
  <c r="J15" i="21"/>
  <c r="M15" i="21" s="1"/>
  <c r="C77" i="22"/>
  <c r="C15" i="22" s="1"/>
  <c r="U87" i="21"/>
  <c r="J12" i="21"/>
  <c r="M12" i="21" s="1"/>
  <c r="C74" i="22"/>
  <c r="C12" i="22" s="1"/>
  <c r="U84" i="21"/>
  <c r="G21" i="21"/>
  <c r="G24" i="21" s="1"/>
  <c r="H20" i="21"/>
  <c r="J16" i="21"/>
  <c r="M16" i="21" s="1"/>
  <c r="C78" i="22"/>
  <c r="C16" i="22" s="1"/>
  <c r="U88" i="21"/>
  <c r="J18" i="21"/>
  <c r="M18" i="21" s="1"/>
  <c r="C80" i="22"/>
  <c r="C18" i="22" s="1"/>
  <c r="J14" i="21"/>
  <c r="M14" i="21" s="1"/>
  <c r="U86" i="21"/>
  <c r="C76" i="22"/>
  <c r="C14" i="22" s="1"/>
  <c r="C73" i="22"/>
  <c r="C11" i="22" s="1"/>
  <c r="H56" i="18"/>
  <c r="I56" i="18" s="1"/>
  <c r="J56" i="18" s="1"/>
  <c r="C50" i="14" s="1"/>
  <c r="C19" i="14"/>
  <c r="N32" i="19"/>
  <c r="O51" i="19"/>
  <c r="O53" i="19"/>
  <c r="H57" i="18"/>
  <c r="I57" i="18" s="1"/>
  <c r="J57" i="18" s="1"/>
  <c r="I20" i="18"/>
  <c r="J20" i="18" s="1"/>
  <c r="N51" i="19"/>
  <c r="H55" i="18"/>
  <c r="O30" i="19"/>
  <c r="C48" i="14" l="1"/>
  <c r="U130" i="21"/>
  <c r="H61" i="18"/>
  <c r="I55" i="18"/>
  <c r="I61" i="18" s="1"/>
  <c r="M11" i="21"/>
  <c r="I19" i="21"/>
  <c r="G55" i="21"/>
  <c r="G59" i="21" s="1"/>
  <c r="M46" i="21"/>
  <c r="J54" i="21"/>
  <c r="M54" i="21" s="1"/>
  <c r="C110" i="22"/>
  <c r="C49" i="22" s="1"/>
  <c r="I133" i="21"/>
  <c r="H56" i="21"/>
  <c r="J53" i="21"/>
  <c r="M53" i="21" s="1"/>
  <c r="C109" i="22"/>
  <c r="C48" i="22" s="1"/>
  <c r="H21" i="21"/>
  <c r="H24" i="21" s="1"/>
  <c r="I20" i="21"/>
  <c r="H132" i="21"/>
  <c r="H136" i="21" s="1"/>
  <c r="C20" i="14"/>
  <c r="C51" i="14"/>
  <c r="C16" i="14"/>
  <c r="I18" i="18"/>
  <c r="I24" i="18" s="1"/>
  <c r="O32" i="19"/>
  <c r="O34" i="19"/>
  <c r="J55" i="18" l="1"/>
  <c r="J61" i="18" s="1"/>
  <c r="J65" i="18" s="1"/>
  <c r="J18" i="18"/>
  <c r="J24" i="18" s="1"/>
  <c r="J19" i="21"/>
  <c r="H55" i="21"/>
  <c r="H59" i="21" s="1"/>
  <c r="J133" i="21"/>
  <c r="I56" i="21"/>
  <c r="J20" i="21"/>
  <c r="M20" i="21" s="1"/>
  <c r="C82" i="22"/>
  <c r="C20" i="22" s="1"/>
  <c r="I21" i="21"/>
  <c r="I24" i="21" s="1"/>
  <c r="C81" i="22"/>
  <c r="C19" i="22" s="1"/>
  <c r="I132" i="21"/>
  <c r="I136" i="21" s="1"/>
  <c r="E46" i="18"/>
  <c r="H46" i="18"/>
  <c r="H9" i="18"/>
  <c r="U133" i="21" l="1"/>
  <c r="C49" i="14"/>
  <c r="M19" i="21"/>
  <c r="I55" i="21"/>
  <c r="I59" i="21" s="1"/>
  <c r="J56" i="21"/>
  <c r="M56" i="21" s="1"/>
  <c r="C112" i="22"/>
  <c r="C51" i="22" s="1"/>
  <c r="J21" i="21"/>
  <c r="M21" i="21" s="1"/>
  <c r="C83" i="22"/>
  <c r="C21" i="22" s="1"/>
  <c r="J132" i="21"/>
  <c r="J136" i="21" s="1"/>
  <c r="C18" i="14"/>
  <c r="E9" i="18"/>
  <c r="M24" i="21" l="1"/>
  <c r="J24" i="21"/>
  <c r="J26" i="21" s="1"/>
  <c r="M26" i="21" s="1"/>
  <c r="J138" i="21"/>
  <c r="U132" i="21"/>
  <c r="J55" i="21"/>
  <c r="C111" i="22"/>
  <c r="C50" i="22" s="1"/>
  <c r="M55" i="21" l="1"/>
  <c r="M59" i="21" s="1"/>
  <c r="J59" i="21"/>
  <c r="J61" i="21" s="1"/>
  <c r="M61" i="21" s="1"/>
  <c r="U138" i="21"/>
  <c r="U136" i="21"/>
  <c r="B8" i="6"/>
  <c r="B9" i="6" s="1"/>
  <c r="B10" i="6" s="1"/>
  <c r="B13" i="6" s="1"/>
  <c r="J63" i="18" l="1"/>
  <c r="J26" i="18" l="1"/>
  <c r="J28" i="18" s="1"/>
  <c r="D73" i="22"/>
  <c r="D11" i="22" s="1"/>
  <c r="D74" i="22" l="1"/>
  <c r="E74" i="22" s="1"/>
  <c r="E73" i="22"/>
  <c r="G8" i="5"/>
  <c r="G9" i="1" s="1"/>
  <c r="D12" i="22" l="1"/>
  <c r="E12" i="22"/>
  <c r="H12" i="22" s="1"/>
  <c r="K73" i="22"/>
  <c r="E11" i="22"/>
  <c r="H11" i="22" s="1"/>
  <c r="D75" i="22"/>
  <c r="E75" i="22" s="1"/>
  <c r="D102" i="22"/>
  <c r="D41" i="22" s="1"/>
  <c r="H8" i="5"/>
  <c r="J9" i="1" s="1"/>
  <c r="K74" i="22" l="1"/>
  <c r="D13" i="22"/>
  <c r="K75" i="22"/>
  <c r="D76" i="22"/>
  <c r="E76" i="22" s="1"/>
  <c r="D103" i="22"/>
  <c r="D42" i="22" s="1"/>
  <c r="E102" i="22"/>
  <c r="D12" i="14"/>
  <c r="E12" i="14" s="1"/>
  <c r="E9" i="1"/>
  <c r="K102" i="22" l="1"/>
  <c r="E41" i="22"/>
  <c r="H41" i="22" s="1"/>
  <c r="E14" i="22"/>
  <c r="H14" i="22" s="1"/>
  <c r="D14" i="22"/>
  <c r="E13" i="22"/>
  <c r="H13" i="22" s="1"/>
  <c r="D77" i="22"/>
  <c r="E77" i="22" s="1"/>
  <c r="E103" i="22"/>
  <c r="D104" i="22"/>
  <c r="D43" i="22" s="1"/>
  <c r="D13" i="14"/>
  <c r="E13" i="14" s="1"/>
  <c r="J11" i="1"/>
  <c r="K103" i="22" l="1"/>
  <c r="E42" i="22"/>
  <c r="H42" i="22" s="1"/>
  <c r="K76" i="22"/>
  <c r="D15" i="22"/>
  <c r="E15" i="22"/>
  <c r="H15" i="22" s="1"/>
  <c r="E104" i="22"/>
  <c r="D105" i="22"/>
  <c r="D44" i="22" s="1"/>
  <c r="D78" i="22"/>
  <c r="E78" i="22" s="1"/>
  <c r="D14" i="14"/>
  <c r="E14" i="14" s="1"/>
  <c r="E43" i="14"/>
  <c r="G11" i="1"/>
  <c r="K104" i="22" l="1"/>
  <c r="E43" i="22"/>
  <c r="H43" i="22" s="1"/>
  <c r="D16" i="22"/>
  <c r="K78" i="22"/>
  <c r="K77" i="22"/>
  <c r="D79" i="22"/>
  <c r="E79" i="22" s="1"/>
  <c r="E105" i="22"/>
  <c r="D106" i="22"/>
  <c r="D45" i="22" s="1"/>
  <c r="D15" i="14"/>
  <c r="E15" i="14" s="1"/>
  <c r="E11" i="1"/>
  <c r="D44" i="14"/>
  <c r="E44" i="14" s="1"/>
  <c r="K105" i="22" l="1"/>
  <c r="E44" i="22"/>
  <c r="H44" i="22" s="1"/>
  <c r="D17" i="22"/>
  <c r="E17" i="22"/>
  <c r="H17" i="22" s="1"/>
  <c r="E16" i="22"/>
  <c r="H16" i="22" s="1"/>
  <c r="D80" i="22"/>
  <c r="E80" i="22" s="1"/>
  <c r="E106" i="22"/>
  <c r="D107" i="22"/>
  <c r="D46" i="22" s="1"/>
  <c r="D16" i="14"/>
  <c r="E16" i="14" s="1"/>
  <c r="D45" i="14"/>
  <c r="E45" i="14" s="1"/>
  <c r="K106" i="22" l="1"/>
  <c r="E45" i="22"/>
  <c r="H45" i="22" s="1"/>
  <c r="K79" i="22"/>
  <c r="D18" i="22"/>
  <c r="E107" i="22"/>
  <c r="D108" i="22"/>
  <c r="D47" i="22" s="1"/>
  <c r="D81" i="22"/>
  <c r="E81" i="22" s="1"/>
  <c r="D46" i="14"/>
  <c r="E46" i="14" s="1"/>
  <c r="D17" i="14"/>
  <c r="E17" i="14" s="1"/>
  <c r="K107" i="22" l="1"/>
  <c r="E46" i="22"/>
  <c r="H46" i="22" s="1"/>
  <c r="E18" i="22"/>
  <c r="H18" i="22" s="1"/>
  <c r="D19" i="22"/>
  <c r="E19" i="22"/>
  <c r="H19" i="22" s="1"/>
  <c r="K80" i="22"/>
  <c r="D82" i="22"/>
  <c r="E82" i="22" s="1"/>
  <c r="E108" i="22"/>
  <c r="D109" i="22"/>
  <c r="D48" i="22" s="1"/>
  <c r="D18" i="14"/>
  <c r="E18" i="14" s="1"/>
  <c r="D47" i="14"/>
  <c r="E47" i="14" s="1"/>
  <c r="K108" i="22" l="1"/>
  <c r="E47" i="22"/>
  <c r="H47" i="22" s="1"/>
  <c r="K81" i="22"/>
  <c r="D20" i="22"/>
  <c r="E20" i="22"/>
  <c r="H20" i="22" s="1"/>
  <c r="E109" i="22"/>
  <c r="D110" i="22"/>
  <c r="D49" i="22" s="1"/>
  <c r="D83" i="22"/>
  <c r="D48" i="14"/>
  <c r="E48" i="14" s="1"/>
  <c r="D19" i="14"/>
  <c r="E19" i="14" s="1"/>
  <c r="E83" i="22" l="1"/>
  <c r="E21" i="22" s="1"/>
  <c r="H21" i="22" s="1"/>
  <c r="D84" i="22"/>
  <c r="K109" i="22"/>
  <c r="E48" i="22"/>
  <c r="H48" i="22" s="1"/>
  <c r="K82" i="22"/>
  <c r="D21" i="22"/>
  <c r="E110" i="22"/>
  <c r="D111" i="22"/>
  <c r="D50" i="22" s="1"/>
  <c r="D20" i="14"/>
  <c r="D21" i="14" s="1"/>
  <c r="D22" i="14" s="1"/>
  <c r="E22" i="14" s="1"/>
  <c r="D49" i="14"/>
  <c r="E49" i="14" s="1"/>
  <c r="E84" i="22" l="1"/>
  <c r="K84" i="22" s="1"/>
  <c r="D22" i="22"/>
  <c r="E20" i="14"/>
  <c r="K110" i="22"/>
  <c r="E49" i="22"/>
  <c r="H49" i="22" s="1"/>
  <c r="K83" i="22"/>
  <c r="E111" i="22"/>
  <c r="D112" i="22"/>
  <c r="D50" i="14"/>
  <c r="E50" i="14" s="1"/>
  <c r="E22" i="22" l="1"/>
  <c r="H22" i="22" s="1"/>
  <c r="E85" i="22"/>
  <c r="E23" i="22" s="1"/>
  <c r="D51" i="22"/>
  <c r="D113" i="22"/>
  <c r="E21" i="14"/>
  <c r="E23" i="14" s="1"/>
  <c r="K111" i="22"/>
  <c r="E50" i="22"/>
  <c r="H50" i="22" s="1"/>
  <c r="E112" i="22"/>
  <c r="D51" i="14"/>
  <c r="E113" i="22" l="1"/>
  <c r="E52" i="22" s="1"/>
  <c r="H52" i="22" s="1"/>
  <c r="D52" i="22"/>
  <c r="K85" i="22"/>
  <c r="E51" i="14"/>
  <c r="D52" i="14"/>
  <c r="D53" i="14" s="1"/>
  <c r="E53" i="14" s="1"/>
  <c r="K112" i="22"/>
  <c r="E51" i="22"/>
  <c r="H51" i="22" s="1"/>
  <c r="E114" i="22" l="1"/>
  <c r="E87" i="22"/>
  <c r="E52" i="14"/>
  <c r="E54" i="14" s="1"/>
  <c r="K114" i="22" l="1"/>
  <c r="E53" i="22"/>
  <c r="H53" i="22" s="1"/>
  <c r="K87" i="22"/>
  <c r="H23" i="22"/>
  <c r="E25" i="22"/>
  <c r="H25" i="22" s="1"/>
  <c r="E116" i="22"/>
  <c r="E55" i="22" l="1"/>
  <c r="H55" i="22" s="1"/>
  <c r="E25" i="14"/>
  <c r="K116" i="22"/>
  <c r="E56" i="14" l="1"/>
  <c r="E58" i="14" s="1"/>
  <c r="J13" i="1" s="1"/>
  <c r="E27" i="14"/>
  <c r="G13" i="1" s="1"/>
  <c r="J15" i="1" l="1"/>
  <c r="G15" i="1"/>
  <c r="E13" i="1"/>
  <c r="J19" i="1" l="1"/>
  <c r="G19" i="1"/>
  <c r="E15" i="1"/>
  <c r="E13" i="6" l="1"/>
  <c r="F13" i="6" s="1"/>
  <c r="E7" i="6"/>
  <c r="F7" i="6" s="1"/>
  <c r="E10" i="6"/>
  <c r="F10" i="6" s="1"/>
  <c r="E8" i="6"/>
  <c r="F8" i="6" s="1"/>
  <c r="E9" i="6"/>
  <c r="F9" i="6" s="1"/>
</calcChain>
</file>

<file path=xl/sharedStrings.xml><?xml version="1.0" encoding="utf-8"?>
<sst xmlns="http://schemas.openxmlformats.org/spreadsheetml/2006/main" count="794" uniqueCount="305">
  <si>
    <t>CONFIDENTIAL</t>
  </si>
  <si>
    <t>DO NOT DUPLICATE</t>
  </si>
  <si>
    <t>TAP RATE RIDER 
RECONCILIATION MODEL</t>
  </si>
  <si>
    <t>Last Revised</t>
  </si>
  <si>
    <t xml:space="preserve">©Black &amp; Veatch Corporation, 2015. All Rights Reserved. The Black &amp; Veatch </t>
  </si>
  <si>
    <t>name and logo are registered trademarks of Black &amp; Veatch Holding Company.</t>
  </si>
  <si>
    <t>PHILADELPHIA WATER DEPARTMENT</t>
  </si>
  <si>
    <t>TAP RATE RIDER RECONCILATION WORKBOOK - SHEET INDEX</t>
  </si>
  <si>
    <t>Sheet Title</t>
  </si>
  <si>
    <t xml:space="preserve">Description </t>
  </si>
  <si>
    <t>Home</t>
  </si>
  <si>
    <t>Home screen with model revision and data input dates</t>
  </si>
  <si>
    <t>Table of Contents</t>
  </si>
  <si>
    <t xml:space="preserve">Assumptions and Inputs </t>
  </si>
  <si>
    <t>Summary of assumptions and inputs including codified factors and adjustment dashboard</t>
  </si>
  <si>
    <t>Customer</t>
  </si>
  <si>
    <t xml:space="preserve">Customer data including actual and estimated TAP Program Discounts, Billed Water and Sewer Volume for the Most Recent Rate Period </t>
  </si>
  <si>
    <t xml:space="preserve">Summary </t>
  </si>
  <si>
    <t>Table 1 - Summary of TAP rate rider reconciliation calculations / Derivation of TAP-R Surcharges</t>
  </si>
  <si>
    <t>C-Factor</t>
  </si>
  <si>
    <t>Table 2 - Calculation of Projected TAP Lost Billings for the Next Rate Period</t>
  </si>
  <si>
    <t>E-Factor</t>
  </si>
  <si>
    <t>Table 3 - Calculation of Experienced &amp; Estimated Net Over/(Under) Collection (E-Factor) for Most Recent Period</t>
  </si>
  <si>
    <t>E-Factor Prior</t>
  </si>
  <si>
    <t>Table 3-A - Calculation of Experienced &amp; Estimated Net Over/(Under) Collection (E-Factor) for Prior Reconciliation Most Recent Period</t>
  </si>
  <si>
    <t>I-Factor</t>
  </si>
  <si>
    <t>Table 4 - Calculation of Interest on Experienced &amp; Estimated Net Over/(Under) Collection (I-Factor) for Most Recent Period</t>
  </si>
  <si>
    <t>I-Factor Prior</t>
  </si>
  <si>
    <t>Table 4-A - Calculation of Interest on Experienced &amp; Estimated Net Over/(Under) Collection (I-Factor) for Prior Reconciliation Most Recent Period</t>
  </si>
  <si>
    <t>Rates</t>
  </si>
  <si>
    <t xml:space="preserve">Table 5 - Application of TAP-R surcharge to adopted water and sewer quantity charges </t>
  </si>
  <si>
    <t xml:space="preserve">Philadelphia Water Department </t>
  </si>
  <si>
    <t>Tap Rate Rider - Assumptions and Inputs</t>
  </si>
  <si>
    <t>Description</t>
  </si>
  <si>
    <t>Source / Notes</t>
  </si>
  <si>
    <t xml:space="preserve">Location </t>
  </si>
  <si>
    <t>Additional Notes</t>
  </si>
  <si>
    <t>TAP Program Inputs</t>
  </si>
  <si>
    <t>Average Monthly Discount - Most Recent Period ($)</t>
  </si>
  <si>
    <t>Raftelis Financial Consultants</t>
  </si>
  <si>
    <t>TRR_Assumptions</t>
  </si>
  <si>
    <t xml:space="preserve">Average Monthly Usage - Most Recent Period (cf) </t>
  </si>
  <si>
    <t xml:space="preserve">Not used in reconciliation calculations </t>
  </si>
  <si>
    <t xml:space="preserve">Estimated TAP Participants - Next Rate Period </t>
  </si>
  <si>
    <t>TRR_Summary</t>
  </si>
  <si>
    <t>Estimated TAP Total Discount</t>
  </si>
  <si>
    <t>Volume Projections</t>
  </si>
  <si>
    <t>Non-TAP Sales Adjustment Next Rate Period</t>
  </si>
  <si>
    <t>Not used at this time</t>
  </si>
  <si>
    <t>Convert CCF to MCF (Divide by)</t>
  </si>
  <si>
    <t>TAP Rider Rates</t>
  </si>
  <si>
    <t>Prior Rates September 1, 2021</t>
  </si>
  <si>
    <t>Water TAP-R ($/MCF)</t>
  </si>
  <si>
    <t>per MCF</t>
  </si>
  <si>
    <t>PWD Regulations - Rates and Charges Effective September 1, 2021</t>
  </si>
  <si>
    <t>Section 10.3(a)(1)</t>
  </si>
  <si>
    <t>Sewer TAP-R ($/MCF)</t>
  </si>
  <si>
    <t>Section 10.3(b)(1)</t>
  </si>
  <si>
    <t>Current Rates Effective September 1, 2022</t>
  </si>
  <si>
    <t>PWD Regulations - Rates and Charges Effective September 1, 2022</t>
  </si>
  <si>
    <t xml:space="preserve">Codified Factors </t>
  </si>
  <si>
    <t xml:space="preserve">Collection Factor </t>
  </si>
  <si>
    <t>Section 10.1(b)(3)</t>
  </si>
  <si>
    <t>Water TAP Cost Allocation (%)</t>
  </si>
  <si>
    <t>Section 10.1(a)(i)</t>
  </si>
  <si>
    <t>Sewer TAP Cost Allocation (%)</t>
  </si>
  <si>
    <t>Section 10.1(a)(ii)</t>
  </si>
  <si>
    <t>Prior Reconciliation Proceeding</t>
  </si>
  <si>
    <t>Interest Rate (%)</t>
  </si>
  <si>
    <t>Section 10.1(b)(4)</t>
  </si>
  <si>
    <r>
      <t xml:space="preserve">Downloaded from: </t>
    </r>
    <r>
      <rPr>
        <u val="singleAccounting"/>
        <sz val="11"/>
        <color theme="3"/>
        <rFont val="Calibri Light"/>
        <family val="2"/>
      </rPr>
      <t xml:space="preserve">https://www.federalreserve.gov/releases/h15/  </t>
    </r>
  </si>
  <si>
    <t>as of</t>
  </si>
  <si>
    <t>Current Reconciliation Proceeding</t>
  </si>
  <si>
    <t>PWD Regulations - Rates and Charges Effective September 1, 2023</t>
  </si>
  <si>
    <t>Reconciliation Period</t>
  </si>
  <si>
    <t>Number of Months</t>
  </si>
  <si>
    <t>Other Inputs</t>
  </si>
  <si>
    <t>TAP Rider Rate Effective Date</t>
  </si>
  <si>
    <t>Next Rate Period End Date</t>
  </si>
  <si>
    <t>Cost of Service Study Start Year</t>
  </si>
  <si>
    <t>FY 2024</t>
  </si>
  <si>
    <t>Cost of Service Study End Year</t>
  </si>
  <si>
    <t>FY 2025</t>
  </si>
  <si>
    <t>Estimate Period Start</t>
  </si>
  <si>
    <t>December 2022</t>
  </si>
  <si>
    <t>Estimate Period End</t>
  </si>
  <si>
    <t>August 2023</t>
  </si>
  <si>
    <t>Prior Reconciliation Factors</t>
  </si>
  <si>
    <t xml:space="preserve">E-Factor Adjustment </t>
  </si>
  <si>
    <t>Water</t>
  </si>
  <si>
    <t>From 2022 Annual Rate Adjustment Table 3-W</t>
  </si>
  <si>
    <t>Sewer</t>
  </si>
  <si>
    <t>From 2022 Annual Rate Adjustment Table 3-WW</t>
  </si>
  <si>
    <t xml:space="preserve">I-Factor Adjustment </t>
  </si>
  <si>
    <t>From 2022 Annual Rate Adjustment Table 4-W</t>
  </si>
  <si>
    <t>From 2022 Annual Rate Adjustment Table 4-WW</t>
  </si>
  <si>
    <t xml:space="preserve">2019 Reconciliation Most Recent Period </t>
  </si>
  <si>
    <t xml:space="preserve">Prior Reconciliation Most Recent Period </t>
  </si>
  <si>
    <t xml:space="preserve">2020 Reconciliation Most Recent Period </t>
  </si>
  <si>
    <t xml:space="preserve">2021 Prior Reconciliation Period </t>
  </si>
  <si>
    <t>Most Recent Period</t>
  </si>
  <si>
    <t>Next Rate Period</t>
  </si>
  <si>
    <t>September</t>
  </si>
  <si>
    <t xml:space="preserve">October </t>
  </si>
  <si>
    <t>November</t>
  </si>
  <si>
    <t xml:space="preserve">December </t>
  </si>
  <si>
    <t xml:space="preserve">January </t>
  </si>
  <si>
    <t>February</t>
  </si>
  <si>
    <t>March</t>
  </si>
  <si>
    <t>April</t>
  </si>
  <si>
    <t xml:space="preserve">May </t>
  </si>
  <si>
    <t>June</t>
  </si>
  <si>
    <t xml:space="preserve">July </t>
  </si>
  <si>
    <t>August</t>
  </si>
  <si>
    <t>October</t>
  </si>
  <si>
    <t>December</t>
  </si>
  <si>
    <t>January</t>
  </si>
  <si>
    <t xml:space="preserve">February </t>
  </si>
  <si>
    <t>May</t>
  </si>
  <si>
    <t>July</t>
  </si>
  <si>
    <t>MOST RECENT PERIOD TOTAL</t>
  </si>
  <si>
    <t>NEXT RATE PERIOD TOTAL</t>
  </si>
  <si>
    <t>Source</t>
  </si>
  <si>
    <t>Notes</t>
  </si>
  <si>
    <t xml:space="preserve">TAP Program </t>
  </si>
  <si>
    <t>Actual</t>
  </si>
  <si>
    <t>Actuals (Prior Reconcilation Period)</t>
  </si>
  <si>
    <t xml:space="preserve">Actuals (Reconilation Period) </t>
  </si>
  <si>
    <t xml:space="preserve">Estimated (Reconcilation Period) </t>
  </si>
  <si>
    <t xml:space="preserve">Estimated (Next Rate Period) </t>
  </si>
  <si>
    <t>Participants (#)</t>
  </si>
  <si>
    <t>Raftelis DR_3A &amp; TRR_Projections</t>
  </si>
  <si>
    <t>Totals</t>
  </si>
  <si>
    <t>Estimates reflect Raftelis' projections.</t>
  </si>
  <si>
    <t>TAP Discounts ($)</t>
  </si>
  <si>
    <t>Raftelis DR_4 &amp; TRR_Projections</t>
  </si>
  <si>
    <t>Allocated TAP Discounts</t>
  </si>
  <si>
    <t xml:space="preserve">Allocated share to Water </t>
  </si>
  <si>
    <t>Allocated share to Sewer</t>
  </si>
  <si>
    <t>check</t>
  </si>
  <si>
    <t>Water - Monthly Billed Water Volume (CCF)</t>
  </si>
  <si>
    <t>TAP</t>
  </si>
  <si>
    <t>Raftelis DR_1 &amp; TRR_Projections</t>
  </si>
  <si>
    <t>TAP Participants</t>
  </si>
  <si>
    <t>Non-TAP</t>
  </si>
  <si>
    <t>Raftelis DR_1</t>
  </si>
  <si>
    <t>Senior Discount</t>
  </si>
  <si>
    <t xml:space="preserve">Estimates assume constant monthly average based upon prior 12 months </t>
  </si>
  <si>
    <t>PHA Discount</t>
  </si>
  <si>
    <t>Non-PHA Discount (Other discount)</t>
  </si>
  <si>
    <t>No Additional Discount</t>
  </si>
  <si>
    <t>Total</t>
  </si>
  <si>
    <t>USE NON-TAP SALES</t>
  </si>
  <si>
    <t>Jul 2022 - Aug 2023 Adjusted to reflect decrease in Non-Tap Customers</t>
  </si>
  <si>
    <t>Sewer - Monthly Billed Water Volume (CCF)</t>
  </si>
  <si>
    <t>Raftelis DR_2 &amp; TRR_Projections</t>
  </si>
  <si>
    <t>Raftelis DR_2</t>
  </si>
  <si>
    <t>TOTAL</t>
  </si>
  <si>
    <t xml:space="preserve">Water </t>
  </si>
  <si>
    <t xml:space="preserve">Wastewater </t>
  </si>
  <si>
    <t xml:space="preserve">Amount </t>
  </si>
  <si>
    <t>(1)</t>
  </si>
  <si>
    <t>(2)</t>
  </si>
  <si>
    <t>(3)</t>
  </si>
  <si>
    <t>(4)</t>
  </si>
  <si>
    <t>(5)</t>
  </si>
  <si>
    <t>(6)</t>
  </si>
  <si>
    <t>/MCF</t>
  </si>
  <si>
    <t xml:space="preserve">Notes: </t>
  </si>
  <si>
    <t>a</t>
  </si>
  <si>
    <t xml:space="preserve">Recoverable TAP Billing Loss for the Next Rate Period.  Refer to Table 2 for additional information. </t>
  </si>
  <si>
    <t>b</t>
  </si>
  <si>
    <t xml:space="preserve">Actual TAP Discounts versus TAP Revenue Collection for the Most Recent Period.  Refer to Tables 3-W and 3-WW for further information. </t>
  </si>
  <si>
    <t>c</t>
  </si>
  <si>
    <t>d</t>
  </si>
  <si>
    <t>Net Recoverable Costs.</t>
  </si>
  <si>
    <t>e</t>
  </si>
  <si>
    <t>f</t>
  </si>
  <si>
    <t>TAP-R Surcharge for the Next Rate Period.</t>
  </si>
  <si>
    <t>Period</t>
  </si>
  <si>
    <t>Billing</t>
  </si>
  <si>
    <t>Total Actual TAP</t>
  </si>
  <si>
    <t>Billed TAP</t>
  </si>
  <si>
    <t>Total TAP-R</t>
  </si>
  <si>
    <t>Adjusted Actual TAP</t>
  </si>
  <si>
    <t>Billed Non-TAP</t>
  </si>
  <si>
    <t>TAP-R Billed</t>
  </si>
  <si>
    <t>Estimated TAP-R</t>
  </si>
  <si>
    <t>Over/(Under)</t>
  </si>
  <si>
    <t>Discounts</t>
  </si>
  <si>
    <t>Water Sales</t>
  </si>
  <si>
    <t xml:space="preserve">Billed </t>
  </si>
  <si>
    <t>Non-Tap Water Sales</t>
  </si>
  <si>
    <t xml:space="preserve">Revenues </t>
  </si>
  <si>
    <t>Collection</t>
  </si>
  <si>
    <t xml:space="preserve">(Credits) </t>
  </si>
  <si>
    <t>(Mcf)</t>
  </si>
  <si>
    <t>to TAP Participants</t>
  </si>
  <si>
    <t>Experienced</t>
  </si>
  <si>
    <t>(8) = (7) - (4)</t>
  </si>
  <si>
    <t>Prior E &amp; I Factor Adjustments</t>
  </si>
  <si>
    <t>(a)</t>
  </si>
  <si>
    <t>(e)</t>
  </si>
  <si>
    <t>Adjustment for Prior Estimates</t>
  </si>
  <si>
    <t>From Table 3-W-A</t>
  </si>
  <si>
    <t>Notes:</t>
  </si>
  <si>
    <t>Total E-Factor Recovery</t>
  </si>
  <si>
    <t>Line 2 in Summary Table</t>
  </si>
  <si>
    <t>(a) - Actuals</t>
  </si>
  <si>
    <t>(e) - Estimated</t>
  </si>
  <si>
    <t>(2) - TAP Discounts and billed sales volume reflect projections developed by Raftelis.  Refer to Schedule RFC-3.</t>
  </si>
  <si>
    <t xml:space="preserve">(8) - Over/(Under) Collection is based upon Rates that are inclusive of Prior E-Factor and I-Factor.  The presented "Prior E &amp; I Factor Adjustments" includes these amounts from 2022 Annual Rate Adjustment.  </t>
  </si>
  <si>
    <t>Billed</t>
  </si>
  <si>
    <t>Sewer Volume</t>
  </si>
  <si>
    <t>From Table 3-WW-A</t>
  </si>
  <si>
    <t>(8) - Over/(Under) Collection is based upon Rates that are inclusive of Prior E-Factor and I-Factor.  The presented "Prior E &amp; I Factor Adjustments" includes these amounts from 2022 Annual Rate Adjustment.</t>
  </si>
  <si>
    <t>Original Estimates</t>
  </si>
  <si>
    <t>Adjustment</t>
  </si>
  <si>
    <t>(9)</t>
  </si>
  <si>
    <t>(10) = (8) - (9)</t>
  </si>
  <si>
    <t xml:space="preserve">Total </t>
  </si>
  <si>
    <t xml:space="preserve"> Included in Table 3-W</t>
  </si>
  <si>
    <t>(2) - Updated TAP Discounts and billed sales volume to reflect actuals for January 2022 through August 2022 as provided by Raftelis.  Refer to Schedule RFC-3.</t>
  </si>
  <si>
    <t xml:space="preserve">(5) - Billed Non-TAP Water Sales, updated to reflect actual billed water sales volumes for January 2022 through August 2022. </t>
  </si>
  <si>
    <t xml:space="preserve">(8) - Updated Over/(Under) Collection </t>
  </si>
  <si>
    <t xml:space="preserve">(10) - Difference between Updated Over/(Under) Collection and Original Estimates. </t>
  </si>
  <si>
    <r>
      <rPr>
        <b/>
        <sz val="10"/>
        <color theme="1"/>
        <rFont val="Calibri Light"/>
        <family val="2"/>
      </rPr>
      <t>Adjustment for Prior Estimates</t>
    </r>
    <r>
      <rPr>
        <sz val="10"/>
        <color theme="1"/>
        <rFont val="Calibri Light"/>
        <family val="2"/>
      </rPr>
      <t xml:space="preserve"> </t>
    </r>
  </si>
  <si>
    <t>Included in Table 3-WW</t>
  </si>
  <si>
    <t>DETAILED VIEW - MAKE EDITS BELOW FIRST</t>
  </si>
  <si>
    <t>Table 3-W-A - Prior Reconciliation Adjustment - Experienced &amp; Estimated Net Over/(Under) Collection (E-Factor) for Most Recent Period</t>
  </si>
  <si>
    <t>Prior Reconciliation Period with Updated Actuals</t>
  </si>
  <si>
    <t>Prior Reconciliation Period with Original Estimates</t>
  </si>
  <si>
    <t xml:space="preserve">Delta </t>
  </si>
  <si>
    <t>Prior Period</t>
  </si>
  <si>
    <t>(3) = (2) * $ 0.570/Mcf</t>
  </si>
  <si>
    <t>(4) = [(1) - (3)]* 0.9654</t>
  </si>
  <si>
    <t>(6) = (5) * $ 0.570/Mcf</t>
  </si>
  <si>
    <t>(7) = (6) * 0.9654</t>
  </si>
  <si>
    <t>(17) = (8) - (16)</t>
  </si>
  <si>
    <t xml:space="preserve">Prior Reconciliation with Updated Actuals </t>
  </si>
  <si>
    <t>(5) - Updated to reflect actual billed water sales volumes for January 2022 through August 2022.</t>
  </si>
  <si>
    <t>Prior Reconciliation with Original Estimates</t>
  </si>
  <si>
    <t xml:space="preserve">(10) - TAP Discounts and billed sales volume reflect projections developed by Raftelis.  Refer to 2022 Annual Rate Adjustment. </t>
  </si>
  <si>
    <t>(13) - Estimated billed water sales volumes for January 2022 through August 2022 based upon average sales for prior 12 month period.</t>
  </si>
  <si>
    <t>All Calculations</t>
  </si>
  <si>
    <t xml:space="preserve">Table 3-WW-A - Prior Reconciliation Adjustment - Experienced &amp; Estimated Net Over/(Under) Collection (E-Factor) for Most Recent Period </t>
  </si>
  <si>
    <t>(3) = (2) * $ 0.780/Mcf</t>
  </si>
  <si>
    <t>(6) = (5) * $ 0.780/Mcf</t>
  </si>
  <si>
    <t>(5) - Updated to reflect actual billed sewer volumes for January 2022 through August 2022.</t>
  </si>
  <si>
    <t>(13) - Estimated billed sewer volumes for January 2022 through August 2022 based upon average sales for prior 12 month period.</t>
  </si>
  <si>
    <t>Difference in</t>
  </si>
  <si>
    <t xml:space="preserve">Cumulative </t>
  </si>
  <si>
    <t xml:space="preserve">Estimated Monthly </t>
  </si>
  <si>
    <t>Over/(Under) Collection</t>
  </si>
  <si>
    <t>Interest Owed/</t>
  </si>
  <si>
    <t>Water Portion</t>
  </si>
  <si>
    <t>(Interest to be Recouped)</t>
  </si>
  <si>
    <t>From Table 3-W</t>
  </si>
  <si>
    <t xml:space="preserve">(2) </t>
  </si>
  <si>
    <t>Total I-Factor Recovery</t>
  </si>
  <si>
    <t>Line 3 in Summary Table</t>
  </si>
  <si>
    <t>(1) Difference in collection from Total of Column 8 - Table 3-W.</t>
  </si>
  <si>
    <t>Sewer Portion</t>
  </si>
  <si>
    <t>From Table 3-WW</t>
  </si>
  <si>
    <t>(1) Difference in collection from Total of Column 8 - Table 3-WW.</t>
  </si>
  <si>
    <t>(5) = (3) - (4)</t>
  </si>
  <si>
    <t>Included in Table 4-W</t>
  </si>
  <si>
    <t>(1) Difference in collection from Total of Column 8 - Table 3-W-A.</t>
  </si>
  <si>
    <t>(4) Difference in collection from Total of Column 8 - Table 3-W (Prior Reconciliation).</t>
  </si>
  <si>
    <t>Included in Table 4-WW</t>
  </si>
  <si>
    <t>(1) Difference in collection from Total of Column 8 - Table 3-WW-A.</t>
  </si>
  <si>
    <t>(4) Difference in collection from Total of Column 8 - Table 3-WW (Prior Reconciliation).</t>
  </si>
  <si>
    <t xml:space="preserve">Table 4 -W-A - Interest on Experienced &amp; Estimated Net Over/(Under) Collection (I-Factor) for Most Recent Period </t>
  </si>
  <si>
    <t>Estimates</t>
  </si>
  <si>
    <t>(3) = (2) * [0.25% / 12]</t>
  </si>
  <si>
    <t>(7) = (3) - (6)</t>
  </si>
  <si>
    <t>Table 4 -WW-A - Interest on Experienced &amp; Estimated Net Over/(Under) Collection (I-Factor) for Most Recent Period</t>
  </si>
  <si>
    <t xml:space="preserve">Base </t>
  </si>
  <si>
    <t>TAP-R  Surcharge</t>
  </si>
  <si>
    <t>Proposed</t>
  </si>
  <si>
    <t>Water Quantity Charges</t>
  </si>
  <si>
    <t>($/Mcf)</t>
  </si>
  <si>
    <t>0 to 2 Mcf</t>
  </si>
  <si>
    <t>2.1 to 100 Mcf</t>
  </si>
  <si>
    <t>100.1 to 2,000 Mcf</t>
  </si>
  <si>
    <t>2,000 + Mcf</t>
  </si>
  <si>
    <t xml:space="preserve">Sewer Quantity Charges </t>
  </si>
  <si>
    <t>Sewer Volume Rate</t>
  </si>
  <si>
    <t xml:space="preserve">The final quantity charges (including the TAP-R surcharge) will be in the final PWD Rates and Charges, if approved. </t>
  </si>
  <si>
    <t xml:space="preserve">C = Projected TAP Billing Loss </t>
  </si>
  <si>
    <t xml:space="preserve">E = Experienced &amp; Estimated Net Over/Under Collection </t>
  </si>
  <si>
    <t xml:space="preserve">I = Interest on Experienced &amp; Estimated Net Over/Under Collection </t>
  </si>
  <si>
    <t>Net Recoverable Costs: (C) - (E + I)</t>
  </si>
  <si>
    <t>S = Projected Non-TAP Sales for Next Rate Period (MCF)</t>
  </si>
  <si>
    <r>
      <t>TAP-R Surcharge:</t>
    </r>
    <r>
      <rPr>
        <sz val="11"/>
        <color theme="1"/>
        <rFont val="Gisha"/>
        <family val="2"/>
      </rPr>
      <t xml:space="preserve">   (4)/(5)</t>
    </r>
  </si>
  <si>
    <t>Projected TAP Billing Loss</t>
  </si>
  <si>
    <t xml:space="preserve"> Calculation of TAP Rider Rates Effective September 01, 2023 (FY 2024)</t>
  </si>
  <si>
    <t xml:space="preserve">Projected TAP Lost Revenue (C-Factor) for Next Rate Period </t>
  </si>
  <si>
    <t>Water - Experienced &amp; Estimated Net Over/(Under) Collection (E-Factor) for Most Recent Period</t>
  </si>
  <si>
    <t>Wastewater - Experienced &amp; Estimated Net Over/(Under) Collection (E-Factor) for Most Recent Period</t>
  </si>
  <si>
    <t>Water - Prior Reconciliation Adjustment - Experienced &amp; Estimated Net Over/(Under) Collection (E-Factor) for Most Recent Period</t>
  </si>
  <si>
    <t xml:space="preserve">Wastewater - Prior Reconciliation Adjustment - Experienced &amp; Estimated Net Over/(Under) Collection (E-Factor) for Most Recent Period </t>
  </si>
  <si>
    <t>Water - Interest on Experienced &amp; Estimated Net Over/(Under) Collection (I-Factor) for Most Recent Period</t>
  </si>
  <si>
    <t>Wastewater - Interest on Experienced &amp; Estimated Net Over/(Under) Collection (I-Factor) for Most Recent Period</t>
  </si>
  <si>
    <t xml:space="preserve">Water - Interest on Experienced &amp; Estimated Net Over/(Under) Collection (I-Factor) for Most Recent Period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</si>
</sst>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&quot;$&quot;* #,##0_);_(&quot;$&quot;* \(#,##0\);_(&quot;$&quot;* &quot;-&quot;??_);_(@_)"/>
    <numFmt numFmtId="168" formatCode="0.0%"/>
    <numFmt numFmtId="169" formatCode="[$-409]mmm\-yy;@"/>
    <numFmt numFmtId="170" formatCode="_(&quot;$&quot;* #,##0.00000_);_(&quot;$&quot;* \(#,##0.00000\);_(&quot;$&quot;* &quot;-&quot;??_);_(@_)"/>
    <numFmt numFmtId="171" formatCode="#\ ##/12"/>
  </numFmts>
  <fonts count="8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6"/>
      <color rgb="FF626662"/>
      <name val="Cambria"/>
      <family val="2"/>
      <scheme val="major"/>
    </font>
    <font>
      <sz val="16"/>
      <color rgb="FF626662"/>
      <name val="Cambria"/>
      <family val="2"/>
      <scheme val="major"/>
    </font>
    <font>
      <sz val="12"/>
      <color rgb="FF626662"/>
      <name val="Arial Black"/>
      <family val="2"/>
    </font>
    <font>
      <b/>
      <sz val="11"/>
      <color theme="1"/>
      <name val="Times New Roman"/>
      <family val="1"/>
    </font>
    <font>
      <sz val="12"/>
      <color theme="6"/>
      <name val="Cambria"/>
      <family val="2"/>
      <scheme val="major"/>
    </font>
    <font>
      <u/>
      <sz val="11"/>
      <color theme="10"/>
      <name val="Calibri"/>
      <family val="2"/>
      <scheme val="minor"/>
    </font>
    <font>
      <b/>
      <sz val="12"/>
      <color rgb="FF626662"/>
      <name val="Cambria"/>
      <family val="2"/>
      <scheme val="major"/>
    </font>
    <font>
      <sz val="12"/>
      <color rgb="FF626662"/>
      <name val="Cambria"/>
      <family val="2"/>
      <scheme val="major"/>
    </font>
    <font>
      <sz val="12"/>
      <color theme="0"/>
      <name val="Cambria"/>
      <family val="2"/>
      <scheme val="major"/>
    </font>
    <font>
      <sz val="12"/>
      <color theme="1"/>
      <name val="Cambria"/>
      <family val="2"/>
      <scheme val="major"/>
    </font>
    <font>
      <sz val="10"/>
      <name val="Cambria"/>
      <family val="2"/>
      <scheme val="major"/>
    </font>
    <font>
      <b/>
      <sz val="16"/>
      <color rgb="FF626662"/>
      <name val="Calibri"/>
      <family val="2"/>
      <scheme val="minor"/>
    </font>
    <font>
      <sz val="16"/>
      <color rgb="FF626662"/>
      <name val="Calibri"/>
      <family val="2"/>
      <scheme val="minor"/>
    </font>
    <font>
      <sz val="12"/>
      <color rgb="FF626662"/>
      <name val="Calibri"/>
      <family val="2"/>
      <scheme val="minor"/>
    </font>
    <font>
      <b/>
      <sz val="12"/>
      <color rgb="FF626662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28"/>
      <color theme="6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name val="Calibri Light"/>
      <family val="2"/>
    </font>
    <font>
      <b/>
      <sz val="11"/>
      <color theme="0"/>
      <name val="Calibri Light"/>
      <family val="2"/>
    </font>
    <font>
      <sz val="11"/>
      <color theme="3"/>
      <name val="Calibri Light"/>
      <family val="2"/>
    </font>
    <font>
      <sz val="11"/>
      <name val="Calibri Light"/>
      <family val="2"/>
    </font>
    <font>
      <sz val="11"/>
      <color rgb="FF0000FF"/>
      <name val="Calibri Light"/>
      <family val="2"/>
    </font>
    <font>
      <i/>
      <sz val="11"/>
      <color theme="1"/>
      <name val="Calibri Light"/>
      <family val="2"/>
    </font>
    <font>
      <i/>
      <sz val="11"/>
      <name val="Calibri Light"/>
      <family val="2"/>
    </font>
    <font>
      <sz val="11"/>
      <color theme="10"/>
      <name val="Calibri Light"/>
      <family val="2"/>
    </font>
    <font>
      <u val="singleAccounting"/>
      <sz val="11"/>
      <color theme="3"/>
      <name val="Calibri Light"/>
      <family val="2"/>
    </font>
    <font>
      <b/>
      <sz val="11"/>
      <color theme="3"/>
      <name val="Calibri Light"/>
      <family val="2"/>
    </font>
    <font>
      <b/>
      <sz val="11"/>
      <color theme="5"/>
      <name val="Calibri Light"/>
      <family val="2"/>
    </font>
    <font>
      <u/>
      <sz val="11"/>
      <color theme="10"/>
      <name val="Calibri Light"/>
      <family val="2"/>
    </font>
    <font>
      <sz val="10"/>
      <color theme="1"/>
      <name val="Calibri Light"/>
      <family val="2"/>
    </font>
    <font>
      <vertAlign val="superscript"/>
      <sz val="10"/>
      <color theme="1"/>
      <name val="Calibri Light"/>
      <family val="2"/>
    </font>
    <font>
      <b/>
      <sz val="11"/>
      <color rgb="FFFF0000"/>
      <name val="Calibri Light"/>
      <family val="2"/>
    </font>
    <font>
      <b/>
      <sz val="11"/>
      <color theme="2"/>
      <name val="Calibri Light"/>
      <family val="2"/>
    </font>
    <font>
      <b/>
      <sz val="10"/>
      <name val="Calibri Light"/>
      <family val="2"/>
    </font>
    <font>
      <b/>
      <sz val="10"/>
      <color theme="1" tint="4.9989318521683403E-2"/>
      <name val="Calibri Light"/>
      <family val="2"/>
    </font>
    <font>
      <b/>
      <i/>
      <sz val="11"/>
      <color theme="0" tint="-0.499984740745262"/>
      <name val="Calibri Light"/>
      <family val="2"/>
    </font>
    <font>
      <sz val="11"/>
      <color theme="0" tint="-0.499984740745262"/>
      <name val="Calibri Light"/>
      <family val="2"/>
    </font>
    <font>
      <b/>
      <sz val="10"/>
      <color theme="1"/>
      <name val="Calibri Light"/>
      <family val="2"/>
    </font>
    <font>
      <sz val="11"/>
      <color theme="0"/>
      <name val="Calibri Light"/>
      <family val="2"/>
    </font>
    <font>
      <sz val="9"/>
      <color theme="0"/>
      <name val="Calibri Light"/>
      <family val="2"/>
    </font>
    <font>
      <sz val="8"/>
      <color theme="1"/>
      <name val="Calibri Light"/>
      <family val="2"/>
    </font>
    <font>
      <b/>
      <u/>
      <sz val="12"/>
      <color theme="3"/>
      <name val="Calibri Light"/>
      <family val="2"/>
    </font>
    <font>
      <b/>
      <sz val="11"/>
      <color theme="1" tint="0.499984740745262"/>
      <name val="Calibri Light"/>
      <family val="2"/>
    </font>
    <font>
      <b/>
      <i/>
      <sz val="11"/>
      <color theme="1" tint="0.499984740745262"/>
      <name val="Calibri Light"/>
      <family val="2"/>
    </font>
    <font>
      <b/>
      <sz val="11"/>
      <color rgb="FFC00000"/>
      <name val="Calibri Light"/>
      <family val="2"/>
    </font>
    <font>
      <u/>
      <sz val="10"/>
      <color theme="1"/>
      <name val="Calibri Light"/>
      <family val="2"/>
    </font>
    <font>
      <sz val="8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 Light"/>
      <family val="2"/>
    </font>
    <font>
      <i/>
      <sz val="11"/>
      <color rgb="FFFF0000"/>
      <name val="Calibri Light"/>
      <family val="2"/>
    </font>
    <font>
      <b/>
      <sz val="11"/>
      <color theme="1"/>
      <name val="Gisha"/>
      <family val="2"/>
    </font>
    <font>
      <sz val="11"/>
      <color theme="1"/>
      <name val="Gisha"/>
      <family val="2"/>
    </font>
    <font>
      <b/>
      <sz val="12"/>
      <color theme="1"/>
      <name val="Gisha"/>
      <family val="2"/>
    </font>
    <font>
      <b/>
      <sz val="11"/>
      <name val="Gisha"/>
      <family val="2"/>
    </font>
    <font>
      <sz val="11"/>
      <color theme="3"/>
      <name val="Gisha"/>
      <family val="2"/>
    </font>
    <font>
      <sz val="11"/>
      <name val="Gisha"/>
      <family val="2"/>
    </font>
    <font>
      <sz val="10"/>
      <color theme="1"/>
      <name val="Gisha"/>
      <family val="2"/>
    </font>
    <font>
      <b/>
      <u val="singleAccounting"/>
      <sz val="11"/>
      <color theme="1"/>
      <name val="Gisha"/>
      <family val="2"/>
    </font>
    <font>
      <sz val="9"/>
      <name val="Calibri Light"/>
      <family val="2"/>
    </font>
    <font>
      <sz val="10"/>
      <color theme="0"/>
      <name val="Calibri Light"/>
      <family val="2"/>
    </font>
  </fonts>
  <fills count="5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9" fillId="0" borderId="0" applyNumberFormat="0" applyFill="0" applyBorder="0" applyAlignment="0" applyProtection="0"/>
    <xf numFmtId="0" fontId="3" fillId="0" borderId="0"/>
    <xf numFmtId="0" fontId="54" fillId="0" borderId="0" applyNumberFormat="0" applyFill="0" applyBorder="0" applyAlignment="0" applyProtection="0"/>
    <xf numFmtId="0" fontId="55" fillId="0" borderId="22" applyNumberFormat="0" applyFill="0" applyAlignment="0" applyProtection="0"/>
    <xf numFmtId="0" fontId="56" fillId="0" borderId="23" applyNumberFormat="0" applyFill="0" applyAlignment="0" applyProtection="0"/>
    <xf numFmtId="0" fontId="57" fillId="0" borderId="24" applyNumberFormat="0" applyFill="0" applyAlignment="0" applyProtection="0"/>
    <xf numFmtId="0" fontId="57" fillId="0" borderId="0" applyNumberFormat="0" applyFill="0" applyBorder="0" applyAlignment="0" applyProtection="0"/>
    <xf numFmtId="0" fontId="58" fillId="19" borderId="0" applyNumberFormat="0" applyBorder="0" applyAlignment="0" applyProtection="0"/>
    <xf numFmtId="0" fontId="59" fillId="20" borderId="0" applyNumberFormat="0" applyBorder="0" applyAlignment="0" applyProtection="0"/>
    <xf numFmtId="0" fontId="60" fillId="22" borderId="25" applyNumberFormat="0" applyAlignment="0" applyProtection="0"/>
    <xf numFmtId="0" fontId="61" fillId="23" borderId="26" applyNumberFormat="0" applyAlignment="0" applyProtection="0"/>
    <xf numFmtId="0" fontId="62" fillId="23" borderId="25" applyNumberFormat="0" applyAlignment="0" applyProtection="0"/>
    <xf numFmtId="0" fontId="63" fillId="0" borderId="27" applyNumberFormat="0" applyFill="0" applyAlignment="0" applyProtection="0"/>
    <xf numFmtId="0" fontId="64" fillId="24" borderId="28" applyNumberFormat="0" applyAlignment="0" applyProtection="0"/>
    <xf numFmtId="0" fontId="65" fillId="0" borderId="0" applyNumberFormat="0" applyFill="0" applyBorder="0" applyAlignment="0" applyProtection="0"/>
    <xf numFmtId="0" fontId="1" fillId="25" borderId="2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30" applyNumberFormat="0" applyFill="0" applyAlignment="0" applyProtection="0"/>
    <xf numFmtId="0" fontId="6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6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68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68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68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68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69" fillId="21" borderId="0" applyNumberFormat="0" applyBorder="0" applyAlignment="0" applyProtection="0"/>
    <xf numFmtId="0" fontId="68" fillId="29" borderId="0" applyNumberFormat="0" applyBorder="0" applyAlignment="0" applyProtection="0"/>
    <xf numFmtId="0" fontId="68" fillId="33" borderId="0" applyNumberFormat="0" applyBorder="0" applyAlignment="0" applyProtection="0"/>
    <xf numFmtId="0" fontId="68" fillId="37" borderId="0" applyNumberFormat="0" applyBorder="0" applyAlignment="0" applyProtection="0"/>
    <xf numFmtId="0" fontId="68" fillId="41" borderId="0" applyNumberFormat="0" applyBorder="0" applyAlignment="0" applyProtection="0"/>
    <xf numFmtId="0" fontId="68" fillId="45" borderId="0" applyNumberFormat="0" applyBorder="0" applyAlignment="0" applyProtection="0"/>
    <xf numFmtId="0" fontId="68" fillId="49" borderId="0" applyNumberFormat="0" applyBorder="0" applyAlignment="0" applyProtection="0"/>
    <xf numFmtId="0" fontId="3" fillId="0" borderId="0"/>
    <xf numFmtId="0" fontId="3" fillId="0" borderId="0"/>
  </cellStyleXfs>
  <cellXfs count="399">
    <xf numFmtId="0" fontId="0" fillId="0" borderId="0" xfId="0"/>
    <xf numFmtId="0" fontId="10" fillId="0" borderId="0" xfId="0" applyFont="1"/>
    <xf numFmtId="0" fontId="11" fillId="0" borderId="0" xfId="0" applyFont="1"/>
    <xf numFmtId="0" fontId="6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14" fontId="19" fillId="8" borderId="0" xfId="0" applyNumberFormat="1" applyFont="1" applyFill="1"/>
    <xf numFmtId="0" fontId="21" fillId="0" borderId="0" xfId="0" applyFont="1" applyAlignment="1">
      <alignment horizontal="right"/>
    </xf>
    <xf numFmtId="14" fontId="19" fillId="0" borderId="0" xfId="0" applyNumberFormat="1" applyFont="1"/>
    <xf numFmtId="0" fontId="22" fillId="0" borderId="0" xfId="0" applyFont="1"/>
    <xf numFmtId="0" fontId="23" fillId="2" borderId="0" xfId="0" applyFont="1" applyFill="1" applyAlignment="1">
      <alignment horizontal="centerContinuous"/>
    </xf>
    <xf numFmtId="0" fontId="24" fillId="0" borderId="10" xfId="5" applyFont="1" applyBorder="1" applyAlignment="1">
      <alignment horizontal="center"/>
    </xf>
    <xf numFmtId="0" fontId="25" fillId="6" borderId="0" xfId="0" applyFont="1" applyFill="1"/>
    <xf numFmtId="0" fontId="22" fillId="6" borderId="0" xfId="0" applyFont="1" applyFill="1"/>
    <xf numFmtId="0" fontId="23" fillId="0" borderId="0" xfId="0" applyFont="1" applyAlignment="1">
      <alignment horizontal="left" indent="1"/>
    </xf>
    <xf numFmtId="0" fontId="26" fillId="0" borderId="0" xfId="0" applyFont="1"/>
    <xf numFmtId="9" fontId="26" fillId="0" borderId="0" xfId="3" applyFont="1" applyFill="1"/>
    <xf numFmtId="9" fontId="27" fillId="0" borderId="0" xfId="3" applyFont="1" applyFill="1" applyAlignment="1">
      <alignment horizontal="left"/>
    </xf>
    <xf numFmtId="167" fontId="27" fillId="0" borderId="0" xfId="2" applyNumberFormat="1" applyFont="1" applyFill="1" applyAlignment="1">
      <alignment horizontal="left"/>
    </xf>
    <xf numFmtId="44" fontId="26" fillId="0" borderId="0" xfId="2" applyFont="1" applyFill="1"/>
    <xf numFmtId="1" fontId="26" fillId="0" borderId="0" xfId="2" applyNumberFormat="1" applyFont="1" applyFill="1"/>
    <xf numFmtId="0" fontId="24" fillId="10" borderId="0" xfId="0" applyFont="1" applyFill="1"/>
    <xf numFmtId="0" fontId="27" fillId="10" borderId="0" xfId="0" applyFont="1" applyFill="1"/>
    <xf numFmtId="10" fontId="28" fillId="8" borderId="0" xfId="3" applyNumberFormat="1" applyFont="1" applyFill="1"/>
    <xf numFmtId="0" fontId="29" fillId="0" borderId="0" xfId="0" applyFont="1"/>
    <xf numFmtId="0" fontId="28" fillId="8" borderId="0" xfId="0" applyFont="1" applyFill="1"/>
    <xf numFmtId="0" fontId="22" fillId="0" borderId="0" xfId="0" applyFont="1" applyAlignment="1">
      <alignment horizontal="left" indent="1"/>
    </xf>
    <xf numFmtId="44" fontId="28" fillId="8" borderId="0" xfId="1" applyNumberFormat="1" applyFont="1" applyFill="1"/>
    <xf numFmtId="167" fontId="30" fillId="0" borderId="0" xfId="2" applyNumberFormat="1" applyFont="1" applyFill="1" applyAlignment="1">
      <alignment horizontal="left"/>
    </xf>
    <xf numFmtId="0" fontId="25" fillId="7" borderId="0" xfId="0" applyFont="1" applyFill="1"/>
    <xf numFmtId="0" fontId="22" fillId="7" borderId="0" xfId="0" applyFont="1" applyFill="1"/>
    <xf numFmtId="9" fontId="28" fillId="8" borderId="0" xfId="3" applyFont="1" applyFill="1"/>
    <xf numFmtId="0" fontId="22" fillId="0" borderId="0" xfId="0" applyFont="1" applyAlignment="1">
      <alignment horizontal="right"/>
    </xf>
    <xf numFmtId="167" fontId="31" fillId="0" borderId="0" xfId="6" applyNumberFormat="1" applyFont="1" applyFill="1" applyAlignment="1">
      <alignment horizontal="left"/>
    </xf>
    <xf numFmtId="14" fontId="28" fillId="8" borderId="0" xfId="0" applyNumberFormat="1" applyFont="1" applyFill="1"/>
    <xf numFmtId="0" fontId="23" fillId="0" borderId="0" xfId="0" applyFont="1" applyAlignment="1">
      <alignment horizontal="centerContinuous"/>
    </xf>
    <xf numFmtId="0" fontId="23" fillId="0" borderId="0" xfId="0" applyFont="1" applyAlignment="1">
      <alignment horizontal="right"/>
    </xf>
    <xf numFmtId="0" fontId="28" fillId="8" borderId="0" xfId="0" applyFont="1" applyFill="1" applyAlignment="1">
      <alignment horizontal="right"/>
    </xf>
    <xf numFmtId="0" fontId="25" fillId="0" borderId="0" xfId="0" applyFont="1"/>
    <xf numFmtId="0" fontId="33" fillId="0" borderId="0" xfId="0" applyFont="1"/>
    <xf numFmtId="14" fontId="28" fillId="0" borderId="0" xfId="0" applyNumberFormat="1" applyFont="1"/>
    <xf numFmtId="10" fontId="34" fillId="8" borderId="0" xfId="3" applyNumberFormat="1" applyFont="1" applyFill="1"/>
    <xf numFmtId="14" fontId="34" fillId="8" borderId="0" xfId="0" applyNumberFormat="1" applyFont="1" applyFill="1"/>
    <xf numFmtId="0" fontId="25" fillId="0" borderId="0" xfId="0" applyFont="1" applyAlignment="1">
      <alignment horizontal="center"/>
    </xf>
    <xf numFmtId="0" fontId="23" fillId="0" borderId="0" xfId="0" applyFont="1"/>
    <xf numFmtId="0" fontId="35" fillId="0" borderId="0" xfId="6" quotePrefix="1" applyFont="1"/>
    <xf numFmtId="0" fontId="35" fillId="0" borderId="0" xfId="6" quotePrefix="1" applyFont="1" applyFill="1"/>
    <xf numFmtId="0" fontId="35" fillId="0" borderId="0" xfId="6" applyFont="1" applyFill="1"/>
    <xf numFmtId="0" fontId="22" fillId="0" borderId="0" xfId="0" applyFont="1" applyAlignment="1">
      <alignment horizontal="centerContinuous"/>
    </xf>
    <xf numFmtId="0" fontId="36" fillId="0" borderId="0" xfId="0" applyFont="1"/>
    <xf numFmtId="0" fontId="37" fillId="0" borderId="0" xfId="0" applyFont="1" applyAlignment="1">
      <alignment horizontal="right"/>
    </xf>
    <xf numFmtId="164" fontId="22" fillId="0" borderId="0" xfId="0" applyNumberFormat="1" applyFont="1"/>
    <xf numFmtId="0" fontId="36" fillId="0" borderId="0" xfId="0" applyFont="1" applyAlignment="1">
      <alignment horizontal="right"/>
    </xf>
    <xf numFmtId="167" fontId="22" fillId="0" borderId="0" xfId="2" applyNumberFormat="1" applyFont="1"/>
    <xf numFmtId="44" fontId="22" fillId="0" borderId="0" xfId="0" applyNumberFormat="1" applyFont="1"/>
    <xf numFmtId="167" fontId="38" fillId="0" borderId="0" xfId="0" quotePrefix="1" applyNumberFormat="1" applyFont="1" applyAlignment="1">
      <alignment horizontal="right"/>
    </xf>
    <xf numFmtId="44" fontId="22" fillId="0" borderId="0" xfId="2" applyFont="1"/>
    <xf numFmtId="0" fontId="22" fillId="0" borderId="0" xfId="0" applyFont="1" applyAlignment="1">
      <alignment horizontal="center"/>
    </xf>
    <xf numFmtId="165" fontId="22" fillId="0" borderId="0" xfId="0" applyNumberFormat="1" applyFont="1"/>
    <xf numFmtId="0" fontId="23" fillId="0" borderId="10" xfId="0" applyFont="1" applyBorder="1" applyAlignment="1">
      <alignment horizontal="center"/>
    </xf>
    <xf numFmtId="165" fontId="23" fillId="0" borderId="10" xfId="0" applyNumberFormat="1" applyFont="1" applyBorder="1" applyAlignment="1">
      <alignment horizontal="center"/>
    </xf>
    <xf numFmtId="0" fontId="24" fillId="0" borderId="0" xfId="5" applyFont="1" applyAlignment="1">
      <alignment horizontal="center"/>
    </xf>
    <xf numFmtId="0" fontId="23" fillId="0" borderId="0" xfId="0" applyFont="1" applyAlignment="1">
      <alignment horizontal="center"/>
    </xf>
    <xf numFmtId="0" fontId="25" fillId="13" borderId="9" xfId="5" applyFont="1" applyFill="1" applyBorder="1"/>
    <xf numFmtId="0" fontId="23" fillId="13" borderId="9" xfId="5" applyFont="1" applyFill="1" applyBorder="1" applyAlignment="1">
      <alignment horizontal="center"/>
    </xf>
    <xf numFmtId="0" fontId="23" fillId="13" borderId="9" xfId="5" applyFont="1" applyFill="1" applyBorder="1" applyAlignment="1">
      <alignment horizontal="left"/>
    </xf>
    <xf numFmtId="0" fontId="23" fillId="13" borderId="9" xfId="5" applyFont="1" applyFill="1" applyBorder="1"/>
    <xf numFmtId="0" fontId="22" fillId="13" borderId="9" xfId="5" applyFont="1" applyFill="1" applyBorder="1"/>
    <xf numFmtId="165" fontId="22" fillId="13" borderId="9" xfId="5" applyNumberFormat="1" applyFont="1" applyFill="1" applyBorder="1"/>
    <xf numFmtId="165" fontId="23" fillId="0" borderId="0" xfId="0" applyNumberFormat="1" applyFont="1" applyAlignment="1">
      <alignment horizontal="centerContinuous"/>
    </xf>
    <xf numFmtId="0" fontId="24" fillId="10" borderId="0" xfId="5" applyFont="1" applyFill="1" applyAlignment="1">
      <alignment horizontal="left"/>
    </xf>
    <xf numFmtId="0" fontId="24" fillId="10" borderId="0" xfId="5" applyFont="1" applyFill="1" applyAlignment="1">
      <alignment horizontal="center"/>
    </xf>
    <xf numFmtId="0" fontId="23" fillId="10" borderId="0" xfId="0" applyFont="1" applyFill="1" applyAlignment="1">
      <alignment horizontal="center"/>
    </xf>
    <xf numFmtId="165" fontId="23" fillId="10" borderId="0" xfId="0" applyNumberFormat="1" applyFont="1" applyFill="1" applyAlignment="1">
      <alignment horizontal="center"/>
    </xf>
    <xf numFmtId="0" fontId="40" fillId="10" borderId="0" xfId="5" applyFont="1" applyFill="1" applyAlignment="1">
      <alignment horizontal="center"/>
    </xf>
    <xf numFmtId="0" fontId="24" fillId="0" borderId="0" xfId="5" applyFont="1" applyAlignment="1">
      <alignment horizontal="left"/>
    </xf>
    <xf numFmtId="0" fontId="41" fillId="0" borderId="0" xfId="5" applyFont="1" applyAlignment="1">
      <alignment horizontal="center"/>
    </xf>
    <xf numFmtId="165" fontId="28" fillId="8" borderId="0" xfId="1" applyNumberFormat="1" applyFont="1" applyFill="1" applyBorder="1" applyAlignment="1">
      <alignment horizontal="center"/>
    </xf>
    <xf numFmtId="0" fontId="41" fillId="0" borderId="0" xfId="5" applyFont="1" applyAlignment="1">
      <alignment horizontal="left"/>
    </xf>
    <xf numFmtId="44" fontId="28" fillId="8" borderId="0" xfId="2" applyFont="1" applyFill="1" applyBorder="1" applyAlignment="1">
      <alignment horizontal="center"/>
    </xf>
    <xf numFmtId="165" fontId="23" fillId="0" borderId="0" xfId="0" applyNumberFormat="1" applyFont="1"/>
    <xf numFmtId="43" fontId="23" fillId="0" borderId="0" xfId="2" applyNumberFormat="1" applyFont="1" applyBorder="1" applyAlignment="1">
      <alignment horizontal="center"/>
    </xf>
    <xf numFmtId="0" fontId="27" fillId="0" borderId="0" xfId="5" applyFont="1" applyAlignment="1">
      <alignment horizontal="left" indent="1"/>
    </xf>
    <xf numFmtId="44" fontId="22" fillId="0" borderId="0" xfId="2" applyFont="1" applyBorder="1" applyAlignment="1">
      <alignment horizontal="center"/>
    </xf>
    <xf numFmtId="43" fontId="22" fillId="0" borderId="0" xfId="2" applyNumberFormat="1" applyFont="1" applyBorder="1" applyAlignment="1">
      <alignment horizontal="center"/>
    </xf>
    <xf numFmtId="0" fontId="42" fillId="0" borderId="0" xfId="5" applyFont="1" applyAlignment="1">
      <alignment horizontal="center"/>
    </xf>
    <xf numFmtId="43" fontId="43" fillId="0" borderId="0" xfId="2" applyNumberFormat="1" applyFont="1" applyBorder="1" applyAlignment="1">
      <alignment horizontal="center"/>
    </xf>
    <xf numFmtId="0" fontId="25" fillId="5" borderId="9" xfId="5" applyFont="1" applyFill="1" applyBorder="1"/>
    <xf numFmtId="0" fontId="23" fillId="5" borderId="9" xfId="5" applyFont="1" applyFill="1" applyBorder="1" applyAlignment="1">
      <alignment horizontal="center"/>
    </xf>
    <xf numFmtId="0" fontId="23" fillId="5" borderId="9" xfId="5" applyFont="1" applyFill="1" applyBorder="1" applyAlignment="1">
      <alignment horizontal="left"/>
    </xf>
    <xf numFmtId="0" fontId="23" fillId="5" borderId="9" xfId="5" applyFont="1" applyFill="1" applyBorder="1"/>
    <xf numFmtId="0" fontId="22" fillId="5" borderId="9" xfId="5" applyFont="1" applyFill="1" applyBorder="1"/>
    <xf numFmtId="165" fontId="22" fillId="5" borderId="9" xfId="5" applyNumberFormat="1" applyFont="1" applyFill="1" applyBorder="1"/>
    <xf numFmtId="0" fontId="40" fillId="10" borderId="0" xfId="5" applyFont="1" applyFill="1" applyAlignment="1">
      <alignment horizontal="left"/>
    </xf>
    <xf numFmtId="3" fontId="28" fillId="8" borderId="0" xfId="0" applyNumberFormat="1" applyFont="1" applyFill="1"/>
    <xf numFmtId="3" fontId="22" fillId="0" borderId="0" xfId="0" applyNumberFormat="1" applyFont="1"/>
    <xf numFmtId="3" fontId="26" fillId="0" borderId="0" xfId="0" applyNumberFormat="1" applyFont="1"/>
    <xf numFmtId="43" fontId="22" fillId="0" borderId="0" xfId="0" applyNumberFormat="1" applyFont="1"/>
    <xf numFmtId="0" fontId="23" fillId="0" borderId="0" xfId="0" applyFont="1" applyAlignment="1">
      <alignment horizontal="left"/>
    </xf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left"/>
    </xf>
    <xf numFmtId="0" fontId="25" fillId="4" borderId="9" xfId="5" applyFont="1" applyFill="1" applyBorder="1"/>
    <xf numFmtId="0" fontId="23" fillId="4" borderId="9" xfId="5" applyFont="1" applyFill="1" applyBorder="1" applyAlignment="1">
      <alignment horizontal="center"/>
    </xf>
    <xf numFmtId="0" fontId="23" fillId="4" borderId="9" xfId="5" applyFont="1" applyFill="1" applyBorder="1" applyAlignment="1">
      <alignment horizontal="left"/>
    </xf>
    <xf numFmtId="0" fontId="23" fillId="4" borderId="9" xfId="5" applyFont="1" applyFill="1" applyBorder="1"/>
    <xf numFmtId="0" fontId="22" fillId="4" borderId="9" xfId="5" applyFont="1" applyFill="1" applyBorder="1"/>
    <xf numFmtId="165" fontId="22" fillId="4" borderId="9" xfId="5" applyNumberFormat="1" applyFont="1" applyFill="1" applyBorder="1"/>
    <xf numFmtId="0" fontId="23" fillId="3" borderId="0" xfId="0" applyFont="1" applyFill="1" applyAlignment="1">
      <alignment horizontal="centerContinuous"/>
    </xf>
    <xf numFmtId="0" fontId="36" fillId="0" borderId="2" xfId="0" applyFont="1" applyBorder="1" applyAlignment="1">
      <alignment horizontal="left" indent="1"/>
    </xf>
    <xf numFmtId="0" fontId="22" fillId="0" borderId="2" xfId="0" applyFont="1" applyBorder="1"/>
    <xf numFmtId="0" fontId="36" fillId="0" borderId="0" xfId="0" applyFont="1" applyAlignment="1">
      <alignment horizontal="left"/>
    </xf>
    <xf numFmtId="0" fontId="45" fillId="5" borderId="11" xfId="0" applyFont="1" applyFill="1" applyBorder="1" applyAlignment="1">
      <alignment horizontal="center"/>
    </xf>
    <xf numFmtId="0" fontId="45" fillId="5" borderId="12" xfId="0" applyFont="1" applyFill="1" applyBorder="1" applyAlignment="1">
      <alignment horizontal="center"/>
    </xf>
    <xf numFmtId="0" fontId="46" fillId="5" borderId="12" xfId="0" applyFont="1" applyFill="1" applyBorder="1" applyAlignment="1">
      <alignment horizontal="center"/>
    </xf>
    <xf numFmtId="166" fontId="46" fillId="5" borderId="12" xfId="2" applyNumberFormat="1" applyFont="1" applyFill="1" applyBorder="1"/>
    <xf numFmtId="10" fontId="46" fillId="5" borderId="12" xfId="3" applyNumberFormat="1" applyFont="1" applyFill="1" applyBorder="1" applyAlignment="1">
      <alignment horizontal="center"/>
    </xf>
    <xf numFmtId="168" fontId="46" fillId="5" borderId="12" xfId="0" applyNumberFormat="1" applyFont="1" applyFill="1" applyBorder="1" applyAlignment="1">
      <alignment horizontal="center"/>
    </xf>
    <xf numFmtId="0" fontId="45" fillId="5" borderId="13" xfId="0" applyFont="1" applyFill="1" applyBorder="1" applyAlignment="1">
      <alignment horizontal="center"/>
    </xf>
    <xf numFmtId="0" fontId="46" fillId="5" borderId="13" xfId="0" quotePrefix="1" applyFont="1" applyFill="1" applyBorder="1" applyAlignment="1">
      <alignment horizontal="center"/>
    </xf>
    <xf numFmtId="0" fontId="46" fillId="5" borderId="13" xfId="0" applyFont="1" applyFill="1" applyBorder="1" applyAlignment="1">
      <alignment horizontal="center"/>
    </xf>
    <xf numFmtId="0" fontId="23" fillId="11" borderId="0" xfId="0" applyFont="1" applyFill="1"/>
    <xf numFmtId="0" fontId="22" fillId="11" borderId="0" xfId="0" applyFont="1" applyFill="1"/>
    <xf numFmtId="169" fontId="22" fillId="10" borderId="0" xfId="0" applyNumberFormat="1" applyFont="1" applyFill="1" applyAlignment="1">
      <alignment horizontal="right"/>
    </xf>
    <xf numFmtId="167" fontId="22" fillId="10" borderId="0" xfId="0" applyNumberFormat="1" applyFont="1" applyFill="1"/>
    <xf numFmtId="165" fontId="22" fillId="10" borderId="0" xfId="1" applyNumberFormat="1" applyFont="1" applyFill="1"/>
    <xf numFmtId="167" fontId="22" fillId="10" borderId="0" xfId="2" applyNumberFormat="1" applyFont="1" applyFill="1"/>
    <xf numFmtId="169" fontId="22" fillId="3" borderId="0" xfId="0" applyNumberFormat="1" applyFont="1" applyFill="1" applyAlignment="1">
      <alignment horizontal="right"/>
    </xf>
    <xf numFmtId="167" fontId="22" fillId="3" borderId="0" xfId="2" applyNumberFormat="1" applyFont="1" applyFill="1"/>
    <xf numFmtId="165" fontId="22" fillId="3" borderId="0" xfId="1" applyNumberFormat="1" applyFont="1" applyFill="1"/>
    <xf numFmtId="167" fontId="22" fillId="3" borderId="0" xfId="0" applyNumberFormat="1" applyFont="1" applyFill="1"/>
    <xf numFmtId="165" fontId="22" fillId="10" borderId="0" xfId="1" applyNumberFormat="1" applyFont="1" applyFill="1" applyBorder="1"/>
    <xf numFmtId="167" fontId="22" fillId="10" borderId="0" xfId="2" applyNumberFormat="1" applyFont="1" applyFill="1" applyBorder="1"/>
    <xf numFmtId="167" fontId="22" fillId="3" borderId="0" xfId="2" applyNumberFormat="1" applyFont="1" applyFill="1" applyBorder="1"/>
    <xf numFmtId="165" fontId="22" fillId="3" borderId="0" xfId="1" applyNumberFormat="1" applyFont="1" applyFill="1" applyBorder="1"/>
    <xf numFmtId="167" fontId="22" fillId="0" borderId="0" xfId="2" applyNumberFormat="1" applyFont="1" applyFill="1"/>
    <xf numFmtId="165" fontId="22" fillId="0" borderId="0" xfId="1" applyNumberFormat="1" applyFont="1" applyFill="1"/>
    <xf numFmtId="167" fontId="22" fillId="0" borderId="0" xfId="0" applyNumberFormat="1" applyFont="1"/>
    <xf numFmtId="0" fontId="23" fillId="2" borderId="14" xfId="0" applyFont="1" applyFill="1" applyBorder="1"/>
    <xf numFmtId="167" fontId="23" fillId="2" borderId="15" xfId="0" applyNumberFormat="1" applyFont="1" applyFill="1" applyBorder="1"/>
    <xf numFmtId="0" fontId="47" fillId="0" borderId="0" xfId="0" applyFont="1" applyAlignment="1">
      <alignment horizontal="left" indent="1"/>
    </xf>
    <xf numFmtId="0" fontId="36" fillId="0" borderId="0" xfId="0" applyFont="1" applyAlignment="1">
      <alignment horizontal="left" indent="1"/>
    </xf>
    <xf numFmtId="10" fontId="46" fillId="5" borderId="12" xfId="0" applyNumberFormat="1" applyFont="1" applyFill="1" applyBorder="1" applyAlignment="1">
      <alignment horizontal="center"/>
    </xf>
    <xf numFmtId="165" fontId="22" fillId="0" borderId="0" xfId="1" applyNumberFormat="1" applyFont="1"/>
    <xf numFmtId="0" fontId="23" fillId="16" borderId="16" xfId="0" applyFont="1" applyFill="1" applyBorder="1" applyAlignment="1">
      <alignment horizontal="centerContinuous"/>
    </xf>
    <xf numFmtId="0" fontId="23" fillId="16" borderId="17" xfId="0" applyFont="1" applyFill="1" applyBorder="1" applyAlignment="1">
      <alignment horizontal="centerContinuous"/>
    </xf>
    <xf numFmtId="0" fontId="23" fillId="16" borderId="18" xfId="0" applyFont="1" applyFill="1" applyBorder="1" applyAlignment="1">
      <alignment horizontal="centerContinuous"/>
    </xf>
    <xf numFmtId="167" fontId="23" fillId="2" borderId="19" xfId="0" applyNumberFormat="1" applyFont="1" applyFill="1" applyBorder="1"/>
    <xf numFmtId="0" fontId="36" fillId="0" borderId="0" xfId="0" quotePrefix="1" applyFont="1" applyAlignment="1">
      <alignment horizontal="left" indent="1"/>
    </xf>
    <xf numFmtId="0" fontId="33" fillId="18" borderId="0" xfId="0" applyFont="1" applyFill="1" applyAlignment="1">
      <alignment horizontal="centerContinuous"/>
    </xf>
    <xf numFmtId="0" fontId="36" fillId="18" borderId="0" xfId="0" quotePrefix="1" applyFont="1" applyFill="1" applyAlignment="1">
      <alignment horizontal="centerContinuous"/>
    </xf>
    <xf numFmtId="0" fontId="22" fillId="18" borderId="0" xfId="0" applyFont="1" applyFill="1" applyAlignment="1">
      <alignment horizontal="centerContinuous"/>
    </xf>
    <xf numFmtId="0" fontId="23" fillId="17" borderId="16" xfId="0" applyFont="1" applyFill="1" applyBorder="1" applyAlignment="1">
      <alignment horizontal="centerContinuous"/>
    </xf>
    <xf numFmtId="0" fontId="23" fillId="17" borderId="17" xfId="0" applyFont="1" applyFill="1" applyBorder="1" applyAlignment="1">
      <alignment horizontal="centerContinuous"/>
    </xf>
    <xf numFmtId="0" fontId="23" fillId="17" borderId="18" xfId="0" applyFont="1" applyFill="1" applyBorder="1" applyAlignment="1">
      <alignment horizontal="centerContinuous"/>
    </xf>
    <xf numFmtId="167" fontId="22" fillId="10" borderId="0" xfId="0" applyNumberFormat="1" applyFont="1" applyFill="1" applyAlignment="1">
      <alignment horizontal="right"/>
    </xf>
    <xf numFmtId="44" fontId="22" fillId="10" borderId="0" xfId="0" applyNumberFormat="1" applyFont="1" applyFill="1" applyAlignment="1">
      <alignment horizontal="right"/>
    </xf>
    <xf numFmtId="0" fontId="22" fillId="0" borderId="0" xfId="0" quotePrefix="1" applyFont="1"/>
    <xf numFmtId="167" fontId="22" fillId="3" borderId="0" xfId="0" applyNumberFormat="1" applyFont="1" applyFill="1" applyAlignment="1">
      <alignment horizontal="right"/>
    </xf>
    <xf numFmtId="44" fontId="22" fillId="3" borderId="0" xfId="0" applyNumberFormat="1" applyFont="1" applyFill="1" applyAlignment="1">
      <alignment horizontal="right"/>
    </xf>
    <xf numFmtId="167" fontId="22" fillId="0" borderId="0" xfId="3" applyNumberFormat="1" applyFont="1" applyFill="1"/>
    <xf numFmtId="171" fontId="22" fillId="0" borderId="0" xfId="0" applyNumberFormat="1" applyFont="1"/>
    <xf numFmtId="0" fontId="22" fillId="16" borderId="17" xfId="0" applyFont="1" applyFill="1" applyBorder="1" applyAlignment="1">
      <alignment horizontal="centerContinuous"/>
    </xf>
    <xf numFmtId="0" fontId="22" fillId="16" borderId="18" xfId="0" applyFont="1" applyFill="1" applyBorder="1" applyAlignment="1">
      <alignment horizontal="centerContinuous"/>
    </xf>
    <xf numFmtId="0" fontId="22" fillId="17" borderId="17" xfId="0" applyFont="1" applyFill="1" applyBorder="1" applyAlignment="1">
      <alignment horizontal="centerContinuous"/>
    </xf>
    <xf numFmtId="0" fontId="22" fillId="17" borderId="18" xfId="0" applyFont="1" applyFill="1" applyBorder="1" applyAlignment="1">
      <alignment horizontal="centerContinuous"/>
    </xf>
    <xf numFmtId="0" fontId="48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25" fillId="12" borderId="9" xfId="0" applyFont="1" applyFill="1" applyBorder="1" applyAlignment="1">
      <alignment horizontal="center"/>
    </xf>
    <xf numFmtId="0" fontId="23" fillId="10" borderId="0" xfId="0" applyFont="1" applyFill="1" applyAlignment="1">
      <alignment horizontal="left" indent="2"/>
    </xf>
    <xf numFmtId="0" fontId="36" fillId="1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44" fontId="26" fillId="8" borderId="0" xfId="2" applyFont="1" applyFill="1" applyBorder="1"/>
    <xf numFmtId="44" fontId="26" fillId="0" borderId="0" xfId="2" applyFont="1" applyFill="1" applyBorder="1"/>
    <xf numFmtId="44" fontId="23" fillId="0" borderId="0" xfId="0" applyNumberFormat="1" applyFont="1" applyAlignment="1">
      <alignment horizontal="center"/>
    </xf>
    <xf numFmtId="44" fontId="36" fillId="10" borderId="0" xfId="0" applyNumberFormat="1" applyFont="1" applyFill="1" applyAlignment="1">
      <alignment horizontal="center"/>
    </xf>
    <xf numFmtId="0" fontId="51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67" fontId="23" fillId="2" borderId="20" xfId="0" applyNumberFormat="1" applyFont="1" applyFill="1" applyBorder="1" applyAlignment="1">
      <alignment horizontal="center" vertical="center"/>
    </xf>
    <xf numFmtId="0" fontId="52" fillId="0" borderId="0" xfId="0" applyFont="1" applyAlignment="1">
      <alignment horizontal="left" indent="1"/>
    </xf>
    <xf numFmtId="44" fontId="22" fillId="0" borderId="0" xfId="0" applyNumberFormat="1" applyFont="1" applyAlignment="1">
      <alignment horizontal="right"/>
    </xf>
    <xf numFmtId="0" fontId="44" fillId="0" borderId="0" xfId="0" applyFont="1"/>
    <xf numFmtId="165" fontId="23" fillId="0" borderId="10" xfId="0" applyNumberFormat="1" applyFont="1" applyBorder="1" applyAlignment="1">
      <alignment horizontal="center" wrapText="1"/>
    </xf>
    <xf numFmtId="49" fontId="28" fillId="8" borderId="0" xfId="0" applyNumberFormat="1" applyFont="1" applyFill="1" applyAlignment="1">
      <alignment horizontal="right"/>
    </xf>
    <xf numFmtId="14" fontId="28" fillId="8" borderId="0" xfId="0" applyNumberFormat="1" applyFont="1" applyFill="1" applyAlignment="1">
      <alignment horizontal="right"/>
    </xf>
    <xf numFmtId="167" fontId="28" fillId="8" borderId="0" xfId="2" applyNumberFormat="1" applyFont="1" applyFill="1" applyAlignment="1">
      <alignment horizontal="right"/>
    </xf>
    <xf numFmtId="167" fontId="23" fillId="11" borderId="0" xfId="2" applyNumberFormat="1" applyFont="1" applyFill="1"/>
    <xf numFmtId="0" fontId="23" fillId="11" borderId="0" xfId="0" applyFont="1" applyFill="1" applyAlignment="1">
      <alignment horizontal="right"/>
    </xf>
    <xf numFmtId="2" fontId="22" fillId="0" borderId="0" xfId="2" applyNumberFormat="1" applyFont="1"/>
    <xf numFmtId="14" fontId="22" fillId="0" borderId="0" xfId="0" applyNumberFormat="1" applyFont="1"/>
    <xf numFmtId="169" fontId="22" fillId="0" borderId="0" xfId="0" applyNumberFormat="1" applyFont="1"/>
    <xf numFmtId="41" fontId="22" fillId="0" borderId="0" xfId="0" applyNumberFormat="1" applyFont="1"/>
    <xf numFmtId="0" fontId="23" fillId="10" borderId="0" xfId="0" applyFont="1" applyFill="1"/>
    <xf numFmtId="167" fontId="22" fillId="10" borderId="0" xfId="3" applyNumberFormat="1" applyFont="1" applyFill="1"/>
    <xf numFmtId="10" fontId="22" fillId="10" borderId="0" xfId="3" applyNumberFormat="1" applyFont="1" applyFill="1"/>
    <xf numFmtId="43" fontId="0" fillId="0" borderId="0" xfId="0" applyNumberFormat="1"/>
    <xf numFmtId="167" fontId="36" fillId="0" borderId="0" xfId="0" applyNumberFormat="1" applyFont="1"/>
    <xf numFmtId="44" fontId="22" fillId="10" borderId="0" xfId="2" applyFont="1" applyFill="1"/>
    <xf numFmtId="0" fontId="70" fillId="0" borderId="0" xfId="0" applyFont="1"/>
    <xf numFmtId="167" fontId="71" fillId="0" borderId="0" xfId="2" applyNumberFormat="1" applyFont="1" applyFill="1" applyAlignment="1">
      <alignment horizontal="left"/>
    </xf>
    <xf numFmtId="1" fontId="28" fillId="8" borderId="0" xfId="2" applyNumberFormat="1" applyFont="1" applyFill="1"/>
    <xf numFmtId="165" fontId="28" fillId="8" borderId="0" xfId="1" applyNumberFormat="1" applyFont="1" applyFill="1"/>
    <xf numFmtId="167" fontId="28" fillId="8" borderId="0" xfId="2" applyNumberFormat="1" applyFont="1" applyFill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5" fillId="14" borderId="0" xfId="0" applyFont="1" applyFill="1" applyAlignment="1">
      <alignment horizontal="center"/>
    </xf>
    <xf numFmtId="0" fontId="25" fillId="9" borderId="0" xfId="0" applyFont="1" applyFill="1" applyAlignment="1">
      <alignment horizontal="center"/>
    </xf>
    <xf numFmtId="0" fontId="24" fillId="10" borderId="0" xfId="0" applyFont="1" applyFill="1" applyAlignment="1">
      <alignment horizontal="center"/>
    </xf>
    <xf numFmtId="0" fontId="23" fillId="50" borderId="0" xfId="0" applyFont="1" applyFill="1" applyAlignment="1">
      <alignment horizontal="center"/>
    </xf>
    <xf numFmtId="0" fontId="23" fillId="0" borderId="6" xfId="0" applyFont="1" applyBorder="1" applyAlignment="1">
      <alignment horizontal="center"/>
    </xf>
    <xf numFmtId="0" fontId="39" fillId="15" borderId="21" xfId="0" applyFont="1" applyFill="1" applyBorder="1" applyAlignment="1">
      <alignment horizontal="center"/>
    </xf>
    <xf numFmtId="0" fontId="23" fillId="51" borderId="21" xfId="0" applyFont="1" applyFill="1" applyBorder="1" applyAlignment="1">
      <alignment horizontal="center"/>
    </xf>
    <xf numFmtId="8" fontId="28" fillId="8" borderId="0" xfId="2" applyNumberFormat="1" applyFont="1" applyFill="1" applyAlignment="1">
      <alignment horizontal="right"/>
    </xf>
    <xf numFmtId="0" fontId="23" fillId="52" borderId="10" xfId="0" applyFont="1" applyFill="1" applyBorder="1" applyAlignment="1">
      <alignment horizontal="center"/>
    </xf>
    <xf numFmtId="0" fontId="73" fillId="0" borderId="0" xfId="0" applyFont="1"/>
    <xf numFmtId="0" fontId="73" fillId="0" borderId="0" xfId="0" applyFont="1" applyAlignment="1">
      <alignment horizontal="right"/>
    </xf>
    <xf numFmtId="0" fontId="72" fillId="0" borderId="0" xfId="0" applyFont="1" applyAlignment="1">
      <alignment horizontal="centerContinuous"/>
    </xf>
    <xf numFmtId="0" fontId="73" fillId="0" borderId="0" xfId="0" applyFont="1" applyAlignment="1">
      <alignment horizontal="centerContinuous"/>
    </xf>
    <xf numFmtId="0" fontId="73" fillId="0" borderId="1" xfId="0" applyFont="1" applyFill="1" applyBorder="1"/>
    <xf numFmtId="0" fontId="73" fillId="0" borderId="2" xfId="0" applyFont="1" applyFill="1" applyBorder="1" applyAlignment="1">
      <alignment horizontal="right"/>
    </xf>
    <xf numFmtId="0" fontId="73" fillId="0" borderId="2" xfId="0" applyFont="1" applyFill="1" applyBorder="1"/>
    <xf numFmtId="0" fontId="74" fillId="0" borderId="2" xfId="0" applyFont="1" applyFill="1" applyBorder="1" applyAlignment="1">
      <alignment horizontal="centerContinuous"/>
    </xf>
    <xf numFmtId="0" fontId="74" fillId="0" borderId="2" xfId="0" applyFont="1" applyFill="1" applyBorder="1"/>
    <xf numFmtId="0" fontId="74" fillId="0" borderId="3" xfId="0" applyFont="1" applyFill="1" applyBorder="1" applyAlignment="1">
      <alignment horizontal="centerContinuous"/>
    </xf>
    <xf numFmtId="0" fontId="73" fillId="0" borderId="4" xfId="0" applyFont="1" applyFill="1" applyBorder="1"/>
    <xf numFmtId="0" fontId="73" fillId="0" borderId="0" xfId="0" applyFont="1" applyFill="1" applyAlignment="1">
      <alignment horizontal="right"/>
    </xf>
    <xf numFmtId="0" fontId="73" fillId="0" borderId="0" xfId="0" applyFont="1" applyFill="1"/>
    <xf numFmtId="0" fontId="74" fillId="0" borderId="0" xfId="0" applyFont="1" applyFill="1" applyAlignment="1">
      <alignment horizontal="centerContinuous"/>
    </xf>
    <xf numFmtId="0" fontId="74" fillId="0" borderId="0" xfId="0" applyFont="1" applyFill="1" applyAlignment="1">
      <alignment horizontal="center"/>
    </xf>
    <xf numFmtId="0" fontId="74" fillId="0" borderId="0" xfId="0" applyFont="1" applyFill="1"/>
    <xf numFmtId="0" fontId="74" fillId="0" borderId="5" xfId="0" applyFont="1" applyFill="1" applyBorder="1" applyAlignment="1">
      <alignment horizontal="center"/>
    </xf>
    <xf numFmtId="0" fontId="74" fillId="0" borderId="5" xfId="0" applyFont="1" applyFill="1" applyBorder="1" applyAlignment="1">
      <alignment horizontal="centerContinuous"/>
    </xf>
    <xf numFmtId="0" fontId="72" fillId="0" borderId="6" xfId="0" applyFont="1" applyFill="1" applyBorder="1" applyAlignment="1">
      <alignment horizontal="center"/>
    </xf>
    <xf numFmtId="0" fontId="72" fillId="0" borderId="6" xfId="0" applyFont="1" applyFill="1" applyBorder="1" applyAlignment="1">
      <alignment horizontal="center"/>
    </xf>
    <xf numFmtId="0" fontId="72" fillId="0" borderId="0" xfId="0" applyFont="1" applyFill="1" applyAlignment="1">
      <alignment horizontal="center"/>
    </xf>
    <xf numFmtId="0" fontId="72" fillId="0" borderId="8" xfId="0" applyFont="1" applyFill="1" applyBorder="1" applyAlignment="1">
      <alignment horizontal="center"/>
    </xf>
    <xf numFmtId="0" fontId="73" fillId="0" borderId="4" xfId="0" quotePrefix="1" applyFont="1" applyFill="1" applyBorder="1" applyAlignment="1">
      <alignment horizontal="center"/>
    </xf>
    <xf numFmtId="0" fontId="73" fillId="0" borderId="0" xfId="0" quotePrefix="1" applyFont="1" applyFill="1" applyAlignment="1">
      <alignment horizontal="right"/>
    </xf>
    <xf numFmtId="0" fontId="73" fillId="0" borderId="0" xfId="0" quotePrefix="1" applyFont="1" applyFill="1"/>
    <xf numFmtId="167" fontId="73" fillId="0" borderId="0" xfId="0" quotePrefix="1" applyNumberFormat="1" applyFont="1" applyFill="1"/>
    <xf numFmtId="167" fontId="73" fillId="0" borderId="0" xfId="2" applyNumberFormat="1" applyFont="1" applyFill="1" applyBorder="1"/>
    <xf numFmtId="164" fontId="73" fillId="0" borderId="0" xfId="2" applyNumberFormat="1" applyFont="1" applyFill="1" applyBorder="1" applyAlignment="1">
      <alignment horizontal="left" indent="2"/>
    </xf>
    <xf numFmtId="164" fontId="73" fillId="0" borderId="5" xfId="2" applyNumberFormat="1" applyFont="1" applyFill="1" applyBorder="1" applyAlignment="1">
      <alignment horizontal="left" indent="2"/>
    </xf>
    <xf numFmtId="0" fontId="73" fillId="0" borderId="4" xfId="0" applyFont="1" applyFill="1" applyBorder="1" applyAlignment="1">
      <alignment horizontal="center"/>
    </xf>
    <xf numFmtId="167" fontId="73" fillId="0" borderId="0" xfId="2" applyNumberFormat="1" applyFont="1" applyFill="1" applyBorder="1" applyAlignment="1">
      <alignment horizontal="left" indent="2"/>
    </xf>
    <xf numFmtId="167" fontId="73" fillId="0" borderId="0" xfId="0" applyNumberFormat="1" applyFont="1" applyFill="1"/>
    <xf numFmtId="167" fontId="73" fillId="0" borderId="0" xfId="0" applyNumberFormat="1" applyFont="1" applyFill="1" applyAlignment="1">
      <alignment horizontal="left" indent="3"/>
    </xf>
    <xf numFmtId="167" fontId="73" fillId="0" borderId="0" xfId="0" applyNumberFormat="1" applyFont="1" applyFill="1" applyAlignment="1">
      <alignment horizontal="left" indent="2"/>
    </xf>
    <xf numFmtId="0" fontId="73" fillId="0" borderId="5" xfId="0" applyFont="1" applyFill="1" applyBorder="1" applyAlignment="1">
      <alignment horizontal="left" indent="2"/>
    </xf>
    <xf numFmtId="0" fontId="73" fillId="0" borderId="0" xfId="0" applyFont="1" applyFill="1" applyAlignment="1">
      <alignment horizontal="left" indent="3"/>
    </xf>
    <xf numFmtId="0" fontId="73" fillId="0" borderId="0" xfId="0" applyFont="1" applyFill="1" applyAlignment="1">
      <alignment horizontal="left" indent="2"/>
    </xf>
    <xf numFmtId="165" fontId="73" fillId="0" borderId="0" xfId="1" applyNumberFormat="1" applyFont="1" applyFill="1" applyBorder="1"/>
    <xf numFmtId="0" fontId="73" fillId="0" borderId="5" xfId="0" applyFont="1" applyFill="1" applyBorder="1"/>
    <xf numFmtId="0" fontId="72" fillId="0" borderId="0" xfId="0" quotePrefix="1" applyFont="1" applyFill="1" applyAlignment="1">
      <alignment horizontal="right"/>
    </xf>
    <xf numFmtId="0" fontId="72" fillId="0" borderId="0" xfId="0" applyFont="1" applyFill="1"/>
    <xf numFmtId="44" fontId="72" fillId="0" borderId="2" xfId="2" applyFont="1" applyFill="1" applyBorder="1"/>
    <xf numFmtId="0" fontId="72" fillId="0" borderId="2" xfId="0" quotePrefix="1" applyFont="1" applyFill="1" applyBorder="1"/>
    <xf numFmtId="0" fontId="72" fillId="0" borderId="0" xfId="0" quotePrefix="1" applyFont="1" applyFill="1"/>
    <xf numFmtId="0" fontId="72" fillId="0" borderId="3" xfId="0" quotePrefix="1" applyFont="1" applyFill="1" applyBorder="1"/>
    <xf numFmtId="0" fontId="73" fillId="0" borderId="7" xfId="0" applyFont="1" applyFill="1" applyBorder="1"/>
    <xf numFmtId="0" fontId="73" fillId="0" borderId="6" xfId="0" applyFont="1" applyFill="1" applyBorder="1" applyAlignment="1">
      <alignment horizontal="right"/>
    </xf>
    <xf numFmtId="0" fontId="73" fillId="0" borderId="6" xfId="0" applyFont="1" applyFill="1" applyBorder="1"/>
    <xf numFmtId="170" fontId="73" fillId="0" borderId="6" xfId="0" applyNumberFormat="1" applyFont="1" applyFill="1" applyBorder="1"/>
    <xf numFmtId="0" fontId="72" fillId="0" borderId="6" xfId="0" quotePrefix="1" applyFont="1" applyFill="1" applyBorder="1"/>
    <xf numFmtId="0" fontId="72" fillId="0" borderId="8" xfId="0" quotePrefix="1" applyFont="1" applyFill="1" applyBorder="1"/>
    <xf numFmtId="0" fontId="72" fillId="0" borderId="0" xfId="0" applyFont="1" applyFill="1" applyAlignment="1">
      <alignment horizontal="center"/>
    </xf>
    <xf numFmtId="0" fontId="72" fillId="0" borderId="0" xfId="0" applyFont="1" applyFill="1" applyAlignment="1">
      <alignment horizontal="centerContinuous"/>
    </xf>
    <xf numFmtId="0" fontId="23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applyFont="1" applyFill="1"/>
    <xf numFmtId="0" fontId="73" fillId="0" borderId="0" xfId="0" applyFont="1" applyFill="1" applyAlignment="1">
      <alignment horizontal="centerContinuous"/>
    </xf>
    <xf numFmtId="0" fontId="73" fillId="0" borderId="1" xfId="0" applyFont="1" applyFill="1" applyBorder="1" applyAlignment="1">
      <alignment horizontal="center" vertical="center"/>
    </xf>
    <xf numFmtId="0" fontId="75" fillId="0" borderId="2" xfId="0" applyFont="1" applyFill="1" applyBorder="1" applyAlignment="1">
      <alignment horizontal="left" vertical="center"/>
    </xf>
    <xf numFmtId="0" fontId="76" fillId="0" borderId="3" xfId="0" applyFont="1" applyFill="1" applyBorder="1" applyAlignment="1">
      <alignment horizontal="center"/>
    </xf>
    <xf numFmtId="0" fontId="76" fillId="0" borderId="0" xfId="0" applyFont="1" applyFill="1" applyAlignment="1">
      <alignment horizontal="center"/>
    </xf>
    <xf numFmtId="9" fontId="77" fillId="0" borderId="0" xfId="3" applyFont="1" applyFill="1" applyBorder="1" applyAlignment="1">
      <alignment horizontal="center"/>
    </xf>
    <xf numFmtId="0" fontId="76" fillId="0" borderId="5" xfId="0" applyFont="1" applyFill="1" applyBorder="1" applyAlignment="1">
      <alignment horizontal="center"/>
    </xf>
    <xf numFmtId="168" fontId="73" fillId="0" borderId="0" xfId="3" applyNumberFormat="1" applyFont="1" applyFill="1" applyBorder="1" applyAlignment="1">
      <alignment horizontal="center"/>
    </xf>
    <xf numFmtId="0" fontId="73" fillId="0" borderId="0" xfId="0" applyFont="1" applyFill="1" applyAlignment="1">
      <alignment horizontal="left" indent="1"/>
    </xf>
    <xf numFmtId="167" fontId="77" fillId="0" borderId="0" xfId="2" applyNumberFormat="1" applyFont="1" applyFill="1" applyBorder="1"/>
    <xf numFmtId="0" fontId="78" fillId="0" borderId="0" xfId="0" applyFont="1" applyFill="1" applyAlignment="1">
      <alignment horizontal="left" indent="1"/>
    </xf>
    <xf numFmtId="0" fontId="73" fillId="0" borderId="7" xfId="0" applyFont="1" applyFill="1" applyBorder="1" applyAlignment="1">
      <alignment horizontal="center"/>
    </xf>
    <xf numFmtId="0" fontId="73" fillId="0" borderId="6" xfId="0" applyFont="1" applyFill="1" applyBorder="1" applyAlignment="1">
      <alignment horizontal="left" indent="1"/>
    </xf>
    <xf numFmtId="167" fontId="73" fillId="0" borderId="6" xfId="0" applyNumberFormat="1" applyFont="1" applyFill="1" applyBorder="1"/>
    <xf numFmtId="0" fontId="73" fillId="0" borderId="8" xfId="0" applyFont="1" applyFill="1" applyBorder="1"/>
    <xf numFmtId="0" fontId="79" fillId="0" borderId="2" xfId="0" applyFont="1" applyFill="1" applyBorder="1" applyAlignment="1">
      <alignment horizontal="center"/>
    </xf>
    <xf numFmtId="0" fontId="45" fillId="0" borderId="0" xfId="0" applyFont="1"/>
    <xf numFmtId="0" fontId="45" fillId="0" borderId="0" xfId="0" applyFont="1" applyAlignment="1">
      <alignment horizontal="right"/>
    </xf>
    <xf numFmtId="0" fontId="23" fillId="0" borderId="19" xfId="0" applyFont="1" applyFill="1" applyBorder="1"/>
    <xf numFmtId="0" fontId="22" fillId="0" borderId="19" xfId="0" applyFont="1" applyFill="1" applyBorder="1"/>
    <xf numFmtId="167" fontId="23" fillId="0" borderId="19" xfId="2" applyNumberFormat="1" applyFont="1" applyFill="1" applyBorder="1"/>
    <xf numFmtId="169" fontId="22" fillId="0" borderId="19" xfId="0" applyNumberFormat="1" applyFont="1" applyFill="1" applyBorder="1" applyAlignment="1">
      <alignment horizontal="right"/>
    </xf>
    <xf numFmtId="167" fontId="22" fillId="0" borderId="19" xfId="0" applyNumberFormat="1" applyFont="1" applyFill="1" applyBorder="1"/>
    <xf numFmtId="165" fontId="22" fillId="0" borderId="19" xfId="1" applyNumberFormat="1" applyFont="1" applyFill="1" applyBorder="1"/>
    <xf numFmtId="167" fontId="22" fillId="0" borderId="19" xfId="2" applyNumberFormat="1" applyFont="1" applyFill="1" applyBorder="1"/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169" fontId="22" fillId="0" borderId="33" xfId="0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center"/>
    </xf>
    <xf numFmtId="0" fontId="23" fillId="0" borderId="33" xfId="0" applyFont="1" applyFill="1" applyBorder="1"/>
    <xf numFmtId="0" fontId="27" fillId="0" borderId="1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3" fillId="0" borderId="7" xfId="0" applyFont="1" applyFill="1" applyBorder="1"/>
    <xf numFmtId="167" fontId="22" fillId="0" borderId="33" xfId="0" applyNumberFormat="1" applyFont="1" applyFill="1" applyBorder="1"/>
    <xf numFmtId="0" fontId="80" fillId="0" borderId="0" xfId="0" applyFont="1" applyFill="1" applyBorder="1" applyAlignment="1">
      <alignment horizontal="center"/>
    </xf>
    <xf numFmtId="0" fontId="80" fillId="0" borderId="0" xfId="0" quotePrefix="1" applyFont="1" applyFill="1" applyBorder="1" applyAlignment="1">
      <alignment horizontal="center"/>
    </xf>
    <xf numFmtId="0" fontId="80" fillId="0" borderId="32" xfId="0" applyFont="1" applyFill="1" applyBorder="1" applyAlignment="1">
      <alignment horizontal="center"/>
    </xf>
    <xf numFmtId="0" fontId="80" fillId="0" borderId="32" xfId="0" quotePrefix="1" applyFont="1" applyFill="1" applyBorder="1" applyAlignment="1">
      <alignment horizontal="center"/>
    </xf>
    <xf numFmtId="0" fontId="22" fillId="0" borderId="33" xfId="0" applyFont="1" applyFill="1" applyBorder="1"/>
    <xf numFmtId="0" fontId="23" fillId="0" borderId="33" xfId="0" applyFont="1" applyFill="1" applyBorder="1" applyAlignment="1">
      <alignment horizontal="right"/>
    </xf>
    <xf numFmtId="10" fontId="80" fillId="0" borderId="0" xfId="3" applyNumberFormat="1" applyFont="1" applyFill="1" applyBorder="1" applyAlignment="1">
      <alignment horizontal="center"/>
    </xf>
    <xf numFmtId="10" fontId="80" fillId="0" borderId="32" xfId="3" applyNumberFormat="1" applyFont="1" applyFill="1" applyBorder="1" applyAlignment="1">
      <alignment horizontal="center"/>
    </xf>
    <xf numFmtId="0" fontId="80" fillId="0" borderId="33" xfId="0" applyFont="1" applyFill="1" applyBorder="1" applyAlignment="1">
      <alignment horizontal="center"/>
    </xf>
    <xf numFmtId="0" fontId="23" fillId="0" borderId="0" xfId="0" applyFont="1" applyFill="1"/>
    <xf numFmtId="167" fontId="23" fillId="0" borderId="0" xfId="2" applyNumberFormat="1" applyFont="1" applyFill="1" applyAlignment="1">
      <alignment horizontal="right"/>
    </xf>
    <xf numFmtId="167" fontId="22" fillId="0" borderId="0" xfId="0" applyNumberFormat="1" applyFont="1" applyFill="1"/>
    <xf numFmtId="43" fontId="22" fillId="0" borderId="0" xfId="0" applyNumberFormat="1" applyFont="1" applyFill="1"/>
    <xf numFmtId="0" fontId="23" fillId="0" borderId="14" xfId="0" applyFont="1" applyFill="1" applyBorder="1"/>
    <xf numFmtId="167" fontId="23" fillId="0" borderId="15" xfId="0" applyNumberFormat="1" applyFont="1" applyFill="1" applyBorder="1"/>
    <xf numFmtId="0" fontId="45" fillId="0" borderId="0" xfId="0" applyFont="1" applyFill="1"/>
    <xf numFmtId="0" fontId="23" fillId="0" borderId="0" xfId="0" applyFont="1" applyFill="1" applyAlignment="1">
      <alignment horizontal="right"/>
    </xf>
    <xf numFmtId="167" fontId="23" fillId="0" borderId="0" xfId="2" applyNumberFormat="1" applyFont="1" applyFill="1"/>
    <xf numFmtId="165" fontId="22" fillId="0" borderId="0" xfId="0" applyNumberFormat="1" applyFont="1" applyFill="1"/>
    <xf numFmtId="0" fontId="27" fillId="0" borderId="3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80" fillId="0" borderId="5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80" fillId="0" borderId="8" xfId="0" applyFont="1" applyFill="1" applyBorder="1" applyAlignment="1">
      <alignment horizontal="center"/>
    </xf>
    <xf numFmtId="168" fontId="80" fillId="0" borderId="32" xfId="0" applyNumberFormat="1" applyFont="1" applyFill="1" applyBorder="1" applyAlignment="1">
      <alignment horizontal="center"/>
    </xf>
    <xf numFmtId="0" fontId="80" fillId="0" borderId="33" xfId="0" quotePrefix="1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80" fillId="0" borderId="35" xfId="0" quotePrefix="1" applyFont="1" applyFill="1" applyBorder="1" applyAlignment="1">
      <alignment horizontal="center"/>
    </xf>
    <xf numFmtId="166" fontId="80" fillId="0" borderId="32" xfId="2" applyNumberFormat="1" applyFont="1" applyFill="1" applyBorder="1"/>
    <xf numFmtId="166" fontId="80" fillId="0" borderId="35" xfId="2" applyNumberFormat="1" applyFont="1" applyFill="1" applyBorder="1"/>
    <xf numFmtId="0" fontId="23" fillId="0" borderId="16" xfId="0" applyFont="1" applyFill="1" applyBorder="1" applyAlignment="1">
      <alignment horizontal="centerContinuous"/>
    </xf>
    <xf numFmtId="0" fontId="23" fillId="0" borderId="17" xfId="0" applyFont="1" applyFill="1" applyBorder="1" applyAlignment="1">
      <alignment horizontal="centerContinuous"/>
    </xf>
    <xf numFmtId="0" fontId="23" fillId="0" borderId="18" xfId="0" applyFont="1" applyFill="1" applyBorder="1" applyAlignment="1">
      <alignment horizontal="centerContinuous"/>
    </xf>
    <xf numFmtId="0" fontId="23" fillId="0" borderId="20" xfId="0" applyFont="1" applyFill="1" applyBorder="1" applyAlignment="1">
      <alignment horizontal="centerContinuous"/>
    </xf>
    <xf numFmtId="167" fontId="23" fillId="0" borderId="20" xfId="0" applyNumberFormat="1" applyFont="1" applyFill="1" applyBorder="1" applyAlignment="1">
      <alignment horizontal="center" vertical="center"/>
    </xf>
    <xf numFmtId="167" fontId="23" fillId="0" borderId="19" xfId="0" applyNumberFormat="1" applyFont="1" applyFill="1" applyBorder="1"/>
    <xf numFmtId="0" fontId="81" fillId="0" borderId="0" xfId="0" applyFont="1" applyAlignment="1">
      <alignment horizontal="left" indent="1"/>
    </xf>
    <xf numFmtId="0" fontId="81" fillId="0" borderId="0" xfId="0" quotePrefix="1" applyFont="1" applyAlignment="1">
      <alignment horizontal="left" indent="1"/>
    </xf>
    <xf numFmtId="44" fontId="22" fillId="0" borderId="0" xfId="0" applyNumberFormat="1" applyFont="1" applyFill="1"/>
    <xf numFmtId="0" fontId="24" fillId="0" borderId="0" xfId="0" applyFont="1" applyFill="1" applyAlignment="1">
      <alignment horizontal="centerContinuous"/>
    </xf>
    <xf numFmtId="0" fontId="27" fillId="0" borderId="0" xfId="0" applyFont="1" applyFill="1" applyAlignment="1">
      <alignment horizontal="centerContinuous"/>
    </xf>
    <xf numFmtId="0" fontId="27" fillId="0" borderId="0" xfId="0" applyFont="1" applyFill="1"/>
    <xf numFmtId="0" fontId="24" fillId="0" borderId="0" xfId="0" applyFont="1" applyFill="1"/>
    <xf numFmtId="167" fontId="27" fillId="0" borderId="0" xfId="2" applyNumberFormat="1" applyFont="1" applyFill="1"/>
    <xf numFmtId="167" fontId="27" fillId="0" borderId="0" xfId="3" applyNumberFormat="1" applyFont="1" applyFill="1"/>
    <xf numFmtId="167" fontId="27" fillId="0" borderId="0" xfId="0" applyNumberFormat="1" applyFont="1" applyFill="1"/>
    <xf numFmtId="44" fontId="27" fillId="0" borderId="0" xfId="0" applyNumberFormat="1" applyFont="1" applyFill="1"/>
    <xf numFmtId="0" fontId="24" fillId="0" borderId="14" xfId="0" applyFont="1" applyFill="1" applyBorder="1"/>
    <xf numFmtId="167" fontId="24" fillId="0" borderId="15" xfId="0" applyNumberFormat="1" applyFont="1" applyFill="1" applyBorder="1"/>
    <xf numFmtId="0" fontId="80" fillId="0" borderId="6" xfId="0" quotePrefix="1" applyFont="1" applyFill="1" applyBorder="1" applyAlignment="1">
      <alignment horizontal="center"/>
    </xf>
    <xf numFmtId="0" fontId="80" fillId="0" borderId="8" xfId="0" quotePrefix="1" applyFont="1" applyFill="1" applyBorder="1" applyAlignment="1">
      <alignment horizontal="center"/>
    </xf>
    <xf numFmtId="0" fontId="24" fillId="0" borderId="19" xfId="0" applyFont="1" applyFill="1" applyBorder="1"/>
    <xf numFmtId="0" fontId="27" fillId="0" borderId="19" xfId="0" applyFont="1" applyFill="1" applyBorder="1"/>
    <xf numFmtId="169" fontId="27" fillId="0" borderId="19" xfId="0" applyNumberFormat="1" applyFont="1" applyFill="1" applyBorder="1" applyAlignment="1">
      <alignment horizontal="right"/>
    </xf>
    <xf numFmtId="167" fontId="27" fillId="0" borderId="19" xfId="0" applyNumberFormat="1" applyFont="1" applyFill="1" applyBorder="1" applyAlignment="1">
      <alignment horizontal="right"/>
    </xf>
    <xf numFmtId="44" fontId="27" fillId="0" borderId="19" xfId="0" applyNumberFormat="1" applyFont="1" applyFill="1" applyBorder="1" applyAlignment="1">
      <alignment horizontal="right"/>
    </xf>
    <xf numFmtId="167" fontId="27" fillId="0" borderId="19" xfId="2" applyNumberFormat="1" applyFont="1" applyFill="1" applyBorder="1"/>
    <xf numFmtId="167" fontId="27" fillId="0" borderId="19" xfId="3" applyNumberFormat="1" applyFont="1" applyFill="1" applyBorder="1"/>
    <xf numFmtId="167" fontId="24" fillId="0" borderId="14" xfId="2" applyNumberFormat="1" applyFont="1" applyFill="1" applyBorder="1" applyAlignment="1">
      <alignment horizontal="right"/>
    </xf>
    <xf numFmtId="167" fontId="27" fillId="0" borderId="15" xfId="2" applyNumberFormat="1" applyFont="1" applyFill="1" applyBorder="1"/>
    <xf numFmtId="167" fontId="23" fillId="0" borderId="14" xfId="2" applyNumberFormat="1" applyFont="1" applyFill="1" applyBorder="1" applyAlignment="1">
      <alignment horizontal="right"/>
    </xf>
    <xf numFmtId="167" fontId="22" fillId="0" borderId="15" xfId="2" applyNumberFormat="1" applyFont="1" applyFill="1" applyBorder="1"/>
    <xf numFmtId="0" fontId="81" fillId="0" borderId="0" xfId="0" applyFont="1"/>
    <xf numFmtId="0" fontId="81" fillId="0" borderId="0" xfId="0" applyFont="1" applyAlignment="1">
      <alignment horizontal="left" indent="3"/>
    </xf>
    <xf numFmtId="0" fontId="22" fillId="0" borderId="37" xfId="0" applyFont="1" applyFill="1" applyBorder="1" applyAlignment="1">
      <alignment horizontal="centerContinuous"/>
    </xf>
    <xf numFmtId="0" fontId="22" fillId="0" borderId="36" xfId="0" applyFont="1" applyFill="1" applyBorder="1" applyAlignment="1">
      <alignment horizontal="centerContinuous"/>
    </xf>
    <xf numFmtId="0" fontId="27" fillId="0" borderId="34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0" fontId="80" fillId="0" borderId="38" xfId="0" applyFont="1" applyFill="1" applyBorder="1" applyAlignment="1">
      <alignment horizontal="center"/>
    </xf>
    <xf numFmtId="0" fontId="80" fillId="0" borderId="38" xfId="0" quotePrefix="1" applyFont="1" applyFill="1" applyBorder="1" applyAlignment="1">
      <alignment horizontal="center"/>
    </xf>
    <xf numFmtId="167" fontId="22" fillId="0" borderId="19" xfId="0" applyNumberFormat="1" applyFont="1" applyFill="1" applyBorder="1" applyAlignment="1">
      <alignment horizontal="right"/>
    </xf>
    <xf numFmtId="44" fontId="22" fillId="0" borderId="19" xfId="0" applyNumberFormat="1" applyFont="1" applyFill="1" applyBorder="1" applyAlignment="1">
      <alignment horizontal="right"/>
    </xf>
    <xf numFmtId="167" fontId="22" fillId="0" borderId="19" xfId="3" applyNumberFormat="1" applyFont="1" applyFill="1" applyBorder="1"/>
    <xf numFmtId="0" fontId="23" fillId="0" borderId="16" xfId="0" applyFont="1" applyFill="1" applyBorder="1"/>
    <xf numFmtId="167" fontId="23" fillId="0" borderId="18" xfId="0" applyNumberFormat="1" applyFont="1" applyFill="1" applyBorder="1"/>
    <xf numFmtId="0" fontId="47" fillId="0" borderId="0" xfId="0" applyFont="1" applyFill="1" applyAlignment="1">
      <alignment horizontal="left" indent="1"/>
    </xf>
    <xf numFmtId="167" fontId="23" fillId="0" borderId="20" xfId="0" applyNumberFormat="1" applyFont="1" applyFill="1" applyBorder="1" applyAlignment="1">
      <alignment horizontal="centerContinuous"/>
    </xf>
    <xf numFmtId="0" fontId="80" fillId="0" borderId="20" xfId="0" quotePrefix="1" applyFont="1" applyFill="1" applyBorder="1" applyAlignment="1">
      <alignment horizontal="center"/>
    </xf>
    <xf numFmtId="0" fontId="80" fillId="0" borderId="34" xfId="0" quotePrefix="1" applyFont="1" applyFill="1" applyBorder="1" applyAlignment="1">
      <alignment horizontal="center"/>
    </xf>
    <xf numFmtId="0" fontId="81" fillId="0" borderId="0" xfId="0" applyFont="1" applyFill="1"/>
    <xf numFmtId="0" fontId="81" fillId="0" borderId="0" xfId="0" applyFont="1" applyFill="1" applyAlignment="1">
      <alignment horizontal="left" indent="1"/>
    </xf>
  </cellXfs>
  <cellStyles count="51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3" xr:uid="{445D9C41-1D5E-455F-8CC7-232339A7C810}"/>
    <cellStyle name="60% - Accent2 2" xfId="44" xr:uid="{D90867AF-A2F1-4059-9EF4-670490571792}"/>
    <cellStyle name="60% - Accent3 2" xfId="45" xr:uid="{1B109D9E-BBF3-4CB8-84AD-A6BF78F62F4E}"/>
    <cellStyle name="60% - Accent4 2" xfId="46" xr:uid="{25E7A770-9DDD-4CCE-BCCF-B32A5C5559F4}"/>
    <cellStyle name="60% - Accent5 2" xfId="47" xr:uid="{7EE7BFFF-A37F-4F5D-BB55-5B9966A72C71}"/>
    <cellStyle name="60% - Accent6 2" xfId="48" xr:uid="{0E1E6B63-CD11-42DA-BE77-F4137442402F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Calculation" xfId="17" builtinId="22" customBuiltin="1"/>
    <cellStyle name="Check Cell" xfId="19" builtinId="23" customBuiltin="1"/>
    <cellStyle name="Comma" xfId="1" builtinId="3"/>
    <cellStyle name="Currency" xfId="2" builtinId="4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Hyperlink" xfId="6" builtinId="8"/>
    <cellStyle name="Input" xfId="15" builtinId="20" customBuiltin="1"/>
    <cellStyle name="Linked Cell" xfId="18" builtinId="24" customBuiltin="1"/>
    <cellStyle name="Neutral 2" xfId="42" xr:uid="{2D142405-B321-4954-B25A-E1E8AD5DD3AB}"/>
    <cellStyle name="Normal" xfId="0" builtinId="0"/>
    <cellStyle name="Normal 10" xfId="5" xr:uid="{00000000-0005-0000-0000-000004000000}"/>
    <cellStyle name="Normal 2" xfId="4" xr:uid="{00000000-0005-0000-0000-000005000000}"/>
    <cellStyle name="Normal 2 2" xfId="49" xr:uid="{AC821D66-A76D-485E-B325-AFEAB4FD5A56}"/>
    <cellStyle name="Normal 3" xfId="7" xr:uid="{00000000-0005-0000-0000-000006000000}"/>
    <cellStyle name="Normal 3 2" xfId="50" xr:uid="{650E7019-F95F-4365-8F79-787ADC58021D}"/>
    <cellStyle name="Note" xfId="21" builtinId="10" customBuiltin="1"/>
    <cellStyle name="Output" xfId="16" builtinId="21" customBuiltin="1"/>
    <cellStyle name="Percent" xfId="3" builtinId="5"/>
    <cellStyle name="Title" xfId="8" builtinId="15" customBuiltin="1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0000FF"/>
      <color rgb="FFFFFFCC"/>
      <color rgb="FF006699"/>
      <color rgb="FFADC3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627062</xdr:colOff>
      <xdr:row>9</xdr:row>
      <xdr:rowOff>142875</xdr:rowOff>
    </xdr:from>
    <xdr:to>
      <xdr:col>12</xdr:col>
      <xdr:colOff>676274</xdr:colOff>
      <xdr:row>11</xdr:row>
      <xdr:rowOff>165099</xdr:rowOff>
    </xdr:to>
    <xdr:pic>
      <xdr:nvPicPr>
        <xdr:cNvPr id="3" name="Picture 2" descr="2011 Logo Horizontal Color">
          <a:extLst>
            <a:ext uri="{FF2B5EF4-FFF2-40B4-BE49-F238E27FC236}">
              <a16:creationId xmlns:a16="http://schemas.microsoft.com/office/drawing/2014/main" id="{CA9C3C71-BDA5-40F5-A117-F01869B698D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746875" y="3825875"/>
          <a:ext cx="3033712" cy="4667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35719</xdr:colOff>
      <xdr:row>0</xdr:row>
      <xdr:rowOff>51594</xdr:rowOff>
    </xdr:from>
    <xdr:ext cx="1587843" cy="700519"/>
    <xdr:pic>
      <xdr:nvPicPr>
        <xdr:cNvPr id="5" name="Picture 4">
          <a:extLst>
            <a:ext uri="{FF2B5EF4-FFF2-40B4-BE49-F238E27FC236}">
              <a16:creationId xmlns:a16="http://schemas.microsoft.com/office/drawing/2014/main" id="{5899742D-38A3-482D-BBEB-5E69DF0915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280" t="25429" r="17442" b="26888"/>
        <a:stretch/>
      </xdr:blipFill>
      <xdr:spPr>
        <a:xfrm>
          <a:off x="35719" y="51594"/>
          <a:ext cx="1587843" cy="700519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29e39f5313cc976b/Exeter1/103822-2%20PWD%202023%20TAP-R/My%20Testimony/Schedules/Response%20PA-TAP-2(Raftelis%20Wkprs).xlsx" TargetMode="External"/><Relationship Id="rId1" Type="http://schemas.openxmlformats.org/officeDocument/2006/relationships/externalLinkPath" Target="Response%20PA-TAP-2(Raftelis%20Wkpr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ver"/>
      <sheetName val="Table of Contents"/>
      <sheetName val="TRR_Summary"/>
      <sheetName val="TRR_Projections"/>
      <sheetName val="Data Source"/>
      <sheetName val="DR_1"/>
      <sheetName val="DR_2"/>
      <sheetName val="DR_3A Participants"/>
      <sheetName val="DR_4"/>
      <sheetName val="051018 Model_Applications"/>
      <sheetName val="051018 Model_Assumptions"/>
      <sheetName val="051018 Model_Model"/>
      <sheetName val="051018 Model_Cost Estimates"/>
    </sheetNames>
    <sheetDataSet>
      <sheetData sheetId="0" refreshError="1"/>
      <sheetData sheetId="1" refreshError="1"/>
      <sheetData sheetId="2">
        <row r="4">
          <cell r="B4" t="str">
            <v>$50.31</v>
          </cell>
        </row>
        <row r="5">
          <cell r="B5">
            <v>735</v>
          </cell>
        </row>
        <row r="13">
          <cell r="E13">
            <v>15482.787685676738</v>
          </cell>
          <cell r="G13">
            <v>9347268.5815967619</v>
          </cell>
        </row>
      </sheetData>
      <sheetData sheetId="3">
        <row r="5">
          <cell r="AK5">
            <v>14684</v>
          </cell>
          <cell r="AL5">
            <v>15032</v>
          </cell>
          <cell r="AM5">
            <v>15064.905027674391</v>
          </cell>
          <cell r="AN5">
            <v>15097.88208440987</v>
          </cell>
          <cell r="AO5">
            <v>15130.931327877952</v>
          </cell>
          <cell r="AP5">
            <v>15164.052916095297</v>
          </cell>
          <cell r="AQ5">
            <v>15197.247007424467</v>
          </cell>
          <cell r="AR5">
            <v>15230.513760574671</v>
          </cell>
          <cell r="AS5">
            <v>15263.85333460254</v>
          </cell>
          <cell r="AT5">
            <v>15297.265888912874</v>
          </cell>
          <cell r="AU5">
            <v>15330.751583259416</v>
          </cell>
          <cell r="AV5">
            <v>15364.310577745604</v>
          </cell>
          <cell r="AW5">
            <v>15397.943032825346</v>
          </cell>
          <cell r="AX5">
            <v>15431.64910930378</v>
          </cell>
          <cell r="AY5">
            <v>15465.42896833805</v>
          </cell>
          <cell r="AZ5">
            <v>15499.282771438071</v>
          </cell>
          <cell r="BA5">
            <v>15533.210680467302</v>
          </cell>
          <cell r="BB5">
            <v>15567.212857643523</v>
          </cell>
          <cell r="BC5">
            <v>15601.289465539605</v>
          </cell>
          <cell r="BD5">
            <v>15635.440667084295</v>
          </cell>
          <cell r="BE5">
            <v>15669.666625562988</v>
          </cell>
        </row>
        <row r="7">
          <cell r="AK7">
            <v>785264.4</v>
          </cell>
          <cell r="AL7">
            <v>881508.8</v>
          </cell>
          <cell r="AM7">
            <v>757915.3719422986</v>
          </cell>
          <cell r="AN7">
            <v>759574.44766666065</v>
          </cell>
          <cell r="AO7">
            <v>761237.15510553983</v>
          </cell>
          <cell r="AP7">
            <v>762903.50220875442</v>
          </cell>
          <cell r="AQ7">
            <v>764573.49694352492</v>
          </cell>
          <cell r="AR7">
            <v>766247.14729451179</v>
          </cell>
          <cell r="AS7">
            <v>767924.46126385382</v>
          </cell>
          <cell r="AT7">
            <v>769605.44687120675</v>
          </cell>
          <cell r="AU7">
            <v>771290.11215378123</v>
          </cell>
          <cell r="AV7">
            <v>772978.46516638133</v>
          </cell>
          <cell r="AW7">
            <v>774670.51398144313</v>
          </cell>
          <cell r="AX7">
            <v>776366.26668907318</v>
          </cell>
          <cell r="AY7">
            <v>778065.73139708734</v>
          </cell>
          <cell r="AZ7">
            <v>779768.91623104934</v>
          </cell>
          <cell r="BA7">
            <v>781475.82933431002</v>
          </cell>
          <cell r="BB7">
            <v>783186.47886804561</v>
          </cell>
          <cell r="BC7">
            <v>784900.87301129755</v>
          </cell>
          <cell r="BD7">
            <v>786619.0199610109</v>
          </cell>
          <cell r="BE7">
            <v>788340.92793207394</v>
          </cell>
        </row>
        <row r="9">
          <cell r="AK9">
            <v>107584</v>
          </cell>
          <cell r="AL9">
            <v>121409</v>
          </cell>
          <cell r="AM9">
            <v>110727.05195340679</v>
          </cell>
          <cell r="AN9">
            <v>110969.43332041254</v>
          </cell>
          <cell r="AO9">
            <v>111212.34525990294</v>
          </cell>
          <cell r="AP9">
            <v>111455.78893330043</v>
          </cell>
          <cell r="AQ9">
            <v>111699.76550456982</v>
          </cell>
          <cell r="AR9">
            <v>111944.27614022384</v>
          </cell>
          <cell r="AS9">
            <v>112189.32200932867</v>
          </cell>
          <cell r="AT9">
            <v>112434.90428350963</v>
          </cell>
          <cell r="AU9">
            <v>112681.02413695671</v>
          </cell>
          <cell r="AV9">
            <v>112927.68274643019</v>
          </cell>
          <cell r="AW9">
            <v>113174.88129126628</v>
          </cell>
          <cell r="AX9">
            <v>113422.62095338279</v>
          </cell>
          <cell r="AY9">
            <v>113670.90291728466</v>
          </cell>
          <cell r="AZ9">
            <v>113919.72837006982</v>
          </cell>
          <cell r="BA9">
            <v>114169.09850143468</v>
          </cell>
          <cell r="BB9">
            <v>114419.01450367989</v>
          </cell>
          <cell r="BC9">
            <v>114669.47757171611</v>
          </cell>
          <cell r="BD9">
            <v>114920.48890306958</v>
          </cell>
          <cell r="BE9">
            <v>115172.04969788795</v>
          </cell>
        </row>
        <row r="11">
          <cell r="AK11">
            <v>107927.4</v>
          </cell>
          <cell r="AL11">
            <v>110485.2</v>
          </cell>
          <cell r="AM11">
            <v>110727.05195340679</v>
          </cell>
          <cell r="AN11">
            <v>110969.43332041254</v>
          </cell>
          <cell r="AO11">
            <v>111212.34525990294</v>
          </cell>
          <cell r="AP11">
            <v>111455.78893330043</v>
          </cell>
          <cell r="AQ11">
            <v>111699.76550456982</v>
          </cell>
          <cell r="AR11">
            <v>111944.27614022384</v>
          </cell>
          <cell r="AS11">
            <v>112189.32200932867</v>
          </cell>
          <cell r="AT11">
            <v>112434.90428350963</v>
          </cell>
          <cell r="AU11">
            <v>112681.02413695671</v>
          </cell>
          <cell r="AV11">
            <v>112927.68274643019</v>
          </cell>
          <cell r="AW11">
            <v>113174.88129126628</v>
          </cell>
          <cell r="AX11">
            <v>113422.62095338279</v>
          </cell>
          <cell r="AY11">
            <v>113670.90291728466</v>
          </cell>
          <cell r="AZ11">
            <v>113919.72837006982</v>
          </cell>
          <cell r="BA11">
            <v>114169.09850143468</v>
          </cell>
          <cell r="BB11">
            <v>114419.01450367989</v>
          </cell>
          <cell r="BC11">
            <v>114669.47757171611</v>
          </cell>
          <cell r="BD11">
            <v>114920.48890306958</v>
          </cell>
          <cell r="BE11">
            <v>115172.04969788795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ederalreserve.gov/releases/h15/" TargetMode="External"/><Relationship Id="rId1" Type="http://schemas.openxmlformats.org/officeDocument/2006/relationships/hyperlink" Target="https://www.federalreserve.gov/releases/h15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-0.249977111117893"/>
  </sheetPr>
  <dimension ref="A1:M13"/>
  <sheetViews>
    <sheetView showGridLines="0" zoomScaleNormal="100" workbookViewId="0">
      <selection activeCell="D8" sqref="D8"/>
    </sheetView>
  </sheetViews>
  <sheetFormatPr defaultColWidth="0" defaultRowHeight="15.75" customHeight="1" zeroHeight="1" x14ac:dyDescent="0.3"/>
  <cols>
    <col min="1" max="3" width="11.109375" customWidth="1"/>
    <col min="4" max="4" width="13.44140625" customWidth="1"/>
    <col min="5" max="13" width="11.109375" customWidth="1"/>
    <col min="14" max="16384" width="9.109375" hidden="1"/>
  </cols>
  <sheetData>
    <row r="1" spans="1:13" ht="18.600000000000001" x14ac:dyDescent="0.4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16" t="s">
        <v>0</v>
      </c>
    </row>
    <row r="2" spans="1:13" ht="18.600000000000001" x14ac:dyDescent="0.45">
      <c r="A2" s="1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16" t="s">
        <v>1</v>
      </c>
    </row>
    <row r="3" spans="1:13" ht="21.6" x14ac:dyDescent="0.45">
      <c r="A3" s="5"/>
      <c r="B3" s="6"/>
      <c r="C3" s="3"/>
      <c r="M3" s="7"/>
    </row>
    <row r="4" spans="1:13" ht="21.6" x14ac:dyDescent="0.45">
      <c r="A4" s="1"/>
      <c r="B4" s="6"/>
      <c r="C4" s="3"/>
      <c r="M4" s="7"/>
    </row>
    <row r="5" spans="1:13" ht="114.75" customHeight="1" x14ac:dyDescent="0.3">
      <c r="A5" s="212" t="s">
        <v>2</v>
      </c>
      <c r="B5" s="212"/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</row>
    <row r="6" spans="1:13" ht="21" x14ac:dyDescent="0.4">
      <c r="A6" s="11"/>
      <c r="B6" s="12"/>
      <c r="C6" s="13"/>
      <c r="M6" s="7"/>
    </row>
    <row r="7" spans="1:13" ht="21" x14ac:dyDescent="0.4">
      <c r="A7" s="11"/>
      <c r="B7" s="12"/>
      <c r="C7" s="13"/>
      <c r="M7" s="7"/>
    </row>
    <row r="8" spans="1:13" ht="15.6" x14ac:dyDescent="0.3">
      <c r="A8" s="14" t="s">
        <v>3</v>
      </c>
      <c r="B8" s="13"/>
      <c r="C8" s="13"/>
      <c r="D8" s="15">
        <v>44937</v>
      </c>
      <c r="E8" s="4"/>
      <c r="F8" s="4"/>
      <c r="G8" s="4"/>
      <c r="H8" s="4"/>
      <c r="M8" s="7"/>
    </row>
    <row r="9" spans="1:13" ht="15.6" x14ac:dyDescent="0.3">
      <c r="A9" s="14"/>
      <c r="B9" s="13"/>
      <c r="C9" s="13"/>
      <c r="D9" s="17"/>
      <c r="E9" s="4"/>
      <c r="F9" s="4"/>
      <c r="G9" s="4"/>
      <c r="H9" s="4"/>
      <c r="M9" s="7"/>
    </row>
    <row r="10" spans="1:13" ht="18.600000000000001" x14ac:dyDescent="0.45">
      <c r="A10" s="1"/>
      <c r="B10" s="2"/>
      <c r="C10" s="3"/>
      <c r="D10" s="4"/>
      <c r="E10" s="4"/>
      <c r="F10" s="4"/>
      <c r="G10" s="4"/>
      <c r="H10" s="4"/>
      <c r="M10" s="7"/>
    </row>
    <row r="11" spans="1:13" ht="15.6" x14ac:dyDescent="0.3">
      <c r="A11" s="213" t="s">
        <v>4</v>
      </c>
      <c r="B11" s="214"/>
      <c r="C11" s="214"/>
      <c r="D11" s="214"/>
      <c r="E11" s="214"/>
      <c r="F11" s="214"/>
      <c r="G11" s="215"/>
      <c r="H11" s="215"/>
      <c r="M11" s="7"/>
    </row>
    <row r="12" spans="1:13" ht="15.6" x14ac:dyDescent="0.3">
      <c r="A12" s="10" t="s">
        <v>5</v>
      </c>
      <c r="B12" s="8"/>
      <c r="C12" s="8"/>
      <c r="D12" s="8"/>
      <c r="E12" s="8"/>
      <c r="F12" s="8"/>
      <c r="G12" s="9"/>
      <c r="H12" s="9"/>
      <c r="M12" s="7"/>
    </row>
    <row r="13" spans="1:13" ht="14.4" hidden="1" x14ac:dyDescent="0.3"/>
  </sheetData>
  <mergeCells count="2">
    <mergeCell ref="A5:M5"/>
    <mergeCell ref="A11:H1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30EC7-FD91-4EDE-B640-AB737F953BE9}">
  <sheetPr codeName="Sheet10">
    <tabColor theme="4" tint="-0.249977111117893"/>
    <pageSetUpPr fitToPage="1"/>
  </sheetPr>
  <dimension ref="A1:K173"/>
  <sheetViews>
    <sheetView showGridLines="0" tabSelected="1" topLeftCell="C1" zoomScale="112" zoomScaleNormal="112" zoomScaleSheetLayoutView="70" workbookViewId="0">
      <selection activeCell="I35" sqref="I35"/>
    </sheetView>
  </sheetViews>
  <sheetFormatPr defaultColWidth="9.109375" defaultRowHeight="14.4" zeroHeight="1" x14ac:dyDescent="0.3"/>
  <cols>
    <col min="1" max="1" width="9.109375" style="18" customWidth="1"/>
    <col min="2" max="2" width="20.6640625" style="18" customWidth="1"/>
    <col min="3" max="5" width="30.6640625" style="18" customWidth="1"/>
    <col min="6" max="6" width="1.88671875" style="18" customWidth="1"/>
    <col min="7" max="7" width="24" style="18" customWidth="1"/>
    <col min="8" max="8" width="23.5546875" style="18" customWidth="1"/>
    <col min="9" max="9" width="30.88671875" style="18" customWidth="1"/>
    <col min="10" max="10" width="1.6640625" style="18" customWidth="1"/>
    <col min="11" max="11" width="15.109375" style="18" customWidth="1"/>
    <col min="12" max="13" width="9.109375" style="18" customWidth="1"/>
    <col min="14" max="16384" width="9.109375" style="18"/>
  </cols>
  <sheetData>
    <row r="1" spans="2:9" x14ac:dyDescent="0.3"/>
    <row r="2" spans="2:9" x14ac:dyDescent="0.3">
      <c r="B2" s="279" t="str">
        <f>B64</f>
        <v xml:space="preserve">Philadelphia Water Department </v>
      </c>
      <c r="C2" s="279"/>
      <c r="D2" s="279"/>
      <c r="E2" s="279"/>
      <c r="F2" s="279"/>
      <c r="G2" s="279"/>
      <c r="H2" s="279"/>
      <c r="I2"/>
    </row>
    <row r="3" spans="2:9" ht="15" thickBot="1" x14ac:dyDescent="0.35">
      <c r="B3" s="279" t="s">
        <v>304</v>
      </c>
      <c r="C3" s="279"/>
      <c r="D3" s="279"/>
      <c r="E3" s="279"/>
      <c r="F3" s="279"/>
      <c r="G3" s="279"/>
      <c r="H3" s="279"/>
      <c r="I3"/>
    </row>
    <row r="4" spans="2:9" ht="15" thickBot="1" x14ac:dyDescent="0.35">
      <c r="B4" s="281"/>
      <c r="C4" s="347" t="str">
        <f t="shared" ref="C4:C9" si="0">C66</f>
        <v>Prior Reconciliation Period with Updated Actuals</v>
      </c>
      <c r="D4" s="381"/>
      <c r="E4" s="382"/>
      <c r="F4" s="281"/>
      <c r="G4" s="350" t="s">
        <v>216</v>
      </c>
      <c r="H4" s="351" t="s">
        <v>217</v>
      </c>
      <c r="I4"/>
    </row>
    <row r="5" spans="2:9" x14ac:dyDescent="0.3">
      <c r="B5" s="383" t="str">
        <f>B67</f>
        <v>Billing</v>
      </c>
      <c r="C5" s="383" t="str">
        <f t="shared" si="0"/>
        <v>Difference in</v>
      </c>
      <c r="D5" s="383" t="str">
        <f t="shared" ref="D5:E7" si="1">D67</f>
        <v xml:space="preserve">Cumulative </v>
      </c>
      <c r="E5" s="383" t="str">
        <f t="shared" si="1"/>
        <v xml:space="preserve">Estimated Monthly </v>
      </c>
      <c r="F5" s="358"/>
      <c r="G5" s="383" t="s">
        <v>252</v>
      </c>
      <c r="H5" s="383" t="str">
        <f>H67</f>
        <v xml:space="preserve">Cumulative </v>
      </c>
      <c r="I5"/>
    </row>
    <row r="6" spans="2:9" x14ac:dyDescent="0.3">
      <c r="B6" s="384" t="str">
        <f>B68</f>
        <v>Period</v>
      </c>
      <c r="C6" s="384" t="str">
        <f t="shared" si="0"/>
        <v>Collection</v>
      </c>
      <c r="D6" s="384" t="str">
        <f t="shared" si="1"/>
        <v>Over/(Under) Collection</v>
      </c>
      <c r="E6" s="384" t="str">
        <f t="shared" si="1"/>
        <v>Interest Owed/</v>
      </c>
      <c r="F6" s="358"/>
      <c r="G6" s="384" t="str">
        <f>I68</f>
        <v>Interest Owed/</v>
      </c>
      <c r="H6" s="384" t="str">
        <f t="shared" ref="H6" si="2">H68</f>
        <v>Over/(Under) Collection</v>
      </c>
      <c r="I6"/>
    </row>
    <row r="7" spans="2:9" x14ac:dyDescent="0.3">
      <c r="B7" s="384"/>
      <c r="C7" s="384" t="str">
        <f t="shared" si="0"/>
        <v>Water Portion</v>
      </c>
      <c r="D7" s="384" t="str">
        <f t="shared" si="1"/>
        <v>Water Portion</v>
      </c>
      <c r="E7" s="384" t="str">
        <f t="shared" si="1"/>
        <v>(Interest to be Recouped)</v>
      </c>
      <c r="F7" s="358"/>
      <c r="G7" s="384" t="str">
        <f>I69</f>
        <v>(Interest to be Recouped)</v>
      </c>
      <c r="H7" s="384" t="str">
        <f t="shared" ref="H7" si="3">H69</f>
        <v>Water Portion</v>
      </c>
      <c r="I7"/>
    </row>
    <row r="8" spans="2:9" ht="15" thickBot="1" x14ac:dyDescent="0.35">
      <c r="B8" s="384"/>
      <c r="C8" s="384" t="str">
        <f t="shared" si="0"/>
        <v>From Table 3-W-A</v>
      </c>
      <c r="D8" s="386"/>
      <c r="E8" s="384" t="str">
        <f>E70</f>
        <v>Water Portion</v>
      </c>
      <c r="F8" s="358"/>
      <c r="G8" s="384" t="str">
        <f>I70</f>
        <v>Water Portion</v>
      </c>
      <c r="H8" s="385"/>
      <c r="I8"/>
    </row>
    <row r="9" spans="2:9" ht="15" thickBot="1" x14ac:dyDescent="0.35">
      <c r="B9" s="384"/>
      <c r="C9" s="387" t="str">
        <f t="shared" si="0"/>
        <v>(1)</v>
      </c>
      <c r="D9" s="387" t="str">
        <f>D71</f>
        <v xml:space="preserve">(2) </v>
      </c>
      <c r="E9" s="387" t="str">
        <f>E71</f>
        <v>(3) = (2) * [0.25% / 12]</v>
      </c>
      <c r="F9" s="358"/>
      <c r="G9" s="387" t="s">
        <v>164</v>
      </c>
      <c r="H9" s="395" t="s">
        <v>265</v>
      </c>
      <c r="I9"/>
    </row>
    <row r="10" spans="2:9" x14ac:dyDescent="0.3">
      <c r="B10" s="300"/>
      <c r="C10" s="301"/>
      <c r="D10" s="301"/>
      <c r="E10" s="301"/>
      <c r="F10" s="301"/>
      <c r="G10" s="301"/>
      <c r="H10" s="301"/>
      <c r="I10"/>
    </row>
    <row r="11" spans="2:9" x14ac:dyDescent="0.3">
      <c r="B11" s="303">
        <f t="shared" ref="B11:E22" si="4">B73</f>
        <v>44440</v>
      </c>
      <c r="C11" s="388">
        <f t="shared" si="4"/>
        <v>21917.488779599953</v>
      </c>
      <c r="D11" s="388">
        <f t="shared" si="4"/>
        <v>21917.488779599953</v>
      </c>
      <c r="E11" s="389">
        <f t="shared" si="4"/>
        <v>4.5661434957499898</v>
      </c>
      <c r="F11" s="301"/>
      <c r="G11" s="389">
        <f t="shared" ref="G11:G23" si="5">I73</f>
        <v>4.5660443510000066</v>
      </c>
      <c r="H11" s="389">
        <f>E11-G11</f>
        <v>9.9144749983182123E-5</v>
      </c>
      <c r="I11" s="189"/>
    </row>
    <row r="12" spans="2:9" x14ac:dyDescent="0.3">
      <c r="B12" s="303">
        <f t="shared" si="4"/>
        <v>44470</v>
      </c>
      <c r="C12" s="388">
        <f t="shared" si="4"/>
        <v>-10016.66878560005</v>
      </c>
      <c r="D12" s="388">
        <f t="shared" si="4"/>
        <v>11900.819993999903</v>
      </c>
      <c r="E12" s="389">
        <f t="shared" si="4"/>
        <v>2.4793374987499797</v>
      </c>
      <c r="F12" s="301"/>
      <c r="G12" s="389">
        <f t="shared" si="5"/>
        <v>2.4792148349999965</v>
      </c>
      <c r="H12" s="389">
        <f t="shared" ref="H12:H23" si="6">E12-G12</f>
        <v>1.2266374998315399E-4</v>
      </c>
      <c r="I12" s="189"/>
    </row>
    <row r="13" spans="2:9" x14ac:dyDescent="0.3">
      <c r="B13" s="303">
        <f t="shared" si="4"/>
        <v>44501</v>
      </c>
      <c r="C13" s="388">
        <f t="shared" si="4"/>
        <v>-12836.224798800074</v>
      </c>
      <c r="D13" s="388">
        <f t="shared" si="4"/>
        <v>-935.40480480017141</v>
      </c>
      <c r="E13" s="389">
        <f t="shared" si="4"/>
        <v>-0.19487600100003569</v>
      </c>
      <c r="F13" s="301"/>
      <c r="G13" s="389">
        <f t="shared" si="5"/>
        <v>-0.19503901200001564</v>
      </c>
      <c r="H13" s="389">
        <f t="shared" si="6"/>
        <v>1.6301099997995117E-4</v>
      </c>
      <c r="I13" s="189"/>
    </row>
    <row r="14" spans="2:9" x14ac:dyDescent="0.3">
      <c r="B14" s="303">
        <f t="shared" si="4"/>
        <v>44531</v>
      </c>
      <c r="C14" s="388">
        <f t="shared" si="4"/>
        <v>-3659.6903772001388</v>
      </c>
      <c r="D14" s="388">
        <f t="shared" si="4"/>
        <v>-4595.0951820003102</v>
      </c>
      <c r="E14" s="389">
        <f t="shared" si="4"/>
        <v>-0.95731149625006473</v>
      </c>
      <c r="F14" s="301"/>
      <c r="G14" s="389">
        <f t="shared" si="5"/>
        <v>-0.95751850400003613</v>
      </c>
      <c r="H14" s="389">
        <f t="shared" si="6"/>
        <v>2.0700774997139959E-4</v>
      </c>
      <c r="I14" s="189"/>
    </row>
    <row r="15" spans="2:9" x14ac:dyDescent="0.3">
      <c r="B15" s="303">
        <f t="shared" si="4"/>
        <v>44562</v>
      </c>
      <c r="C15" s="388">
        <f t="shared" si="4"/>
        <v>24531.202287599968</v>
      </c>
      <c r="D15" s="388">
        <f t="shared" si="4"/>
        <v>19936.107105599658</v>
      </c>
      <c r="E15" s="389">
        <f t="shared" si="4"/>
        <v>4.1533556469999287</v>
      </c>
      <c r="F15" s="301"/>
      <c r="G15" s="389">
        <f t="shared" si="5"/>
        <v>-1.0229585292355599</v>
      </c>
      <c r="H15" s="389">
        <f t="shared" si="6"/>
        <v>5.1763141762354881</v>
      </c>
      <c r="I15" s="189"/>
    </row>
    <row r="16" spans="2:9" x14ac:dyDescent="0.3">
      <c r="B16" s="303">
        <f t="shared" si="4"/>
        <v>44593</v>
      </c>
      <c r="C16" s="388">
        <f t="shared" si="4"/>
        <v>45027.410323199962</v>
      </c>
      <c r="D16" s="388">
        <f t="shared" si="4"/>
        <v>64963.51742879962</v>
      </c>
      <c r="E16" s="389">
        <f t="shared" si="4"/>
        <v>13.53406613099992</v>
      </c>
      <c r="F16" s="301"/>
      <c r="G16" s="389">
        <f t="shared" si="5"/>
        <v>-1.0883985544710837</v>
      </c>
      <c r="H16" s="389">
        <f t="shared" si="6"/>
        <v>14.622464685471003</v>
      </c>
      <c r="I16" s="189"/>
    </row>
    <row r="17" spans="2:11" x14ac:dyDescent="0.3">
      <c r="B17" s="303">
        <f t="shared" si="4"/>
        <v>44621</v>
      </c>
      <c r="C17" s="388">
        <f t="shared" si="4"/>
        <v>81962.504014799953</v>
      </c>
      <c r="D17" s="388">
        <f t="shared" si="4"/>
        <v>146926.02144359957</v>
      </c>
      <c r="E17" s="389">
        <f t="shared" si="4"/>
        <v>30.60958780074991</v>
      </c>
      <c r="F17" s="301"/>
      <c r="G17" s="389">
        <f t="shared" si="5"/>
        <v>-1.1538385797066075</v>
      </c>
      <c r="H17" s="389">
        <f t="shared" si="6"/>
        <v>31.763426380456519</v>
      </c>
      <c r="I17" s="189"/>
    </row>
    <row r="18" spans="2:11" x14ac:dyDescent="0.3">
      <c r="B18" s="303">
        <f t="shared" si="4"/>
        <v>44652</v>
      </c>
      <c r="C18" s="388">
        <f t="shared" si="4"/>
        <v>119572.98974759993</v>
      </c>
      <c r="D18" s="388">
        <f t="shared" si="4"/>
        <v>266499.01119119953</v>
      </c>
      <c r="E18" s="389">
        <f t="shared" si="4"/>
        <v>55.520627331499902</v>
      </c>
      <c r="F18" s="301"/>
      <c r="G18" s="389">
        <f t="shared" si="5"/>
        <v>-1.2192786049421314</v>
      </c>
      <c r="H18" s="389">
        <f t="shared" si="6"/>
        <v>56.739905936442035</v>
      </c>
      <c r="I18" s="189"/>
    </row>
    <row r="19" spans="2:11" x14ac:dyDescent="0.3">
      <c r="B19" s="303">
        <f t="shared" si="4"/>
        <v>44682</v>
      </c>
      <c r="C19" s="388">
        <f t="shared" si="4"/>
        <v>121699.75874279995</v>
      </c>
      <c r="D19" s="388">
        <f t="shared" si="4"/>
        <v>388198.76993399952</v>
      </c>
      <c r="E19" s="389">
        <f t="shared" si="4"/>
        <v>80.874743736249897</v>
      </c>
      <c r="F19" s="301"/>
      <c r="G19" s="389">
        <f t="shared" si="5"/>
        <v>-1.2847186301776552</v>
      </c>
      <c r="H19" s="389">
        <f t="shared" si="6"/>
        <v>82.159462366427547</v>
      </c>
      <c r="I19" s="189"/>
    </row>
    <row r="20" spans="2:11" x14ac:dyDescent="0.3">
      <c r="B20" s="303">
        <f t="shared" si="4"/>
        <v>44713</v>
      </c>
      <c r="C20" s="388">
        <f t="shared" si="4"/>
        <v>136392.37130039997</v>
      </c>
      <c r="D20" s="388">
        <f t="shared" si="4"/>
        <v>524591.14123439952</v>
      </c>
      <c r="E20" s="389">
        <f t="shared" si="4"/>
        <v>109.2898210904999</v>
      </c>
      <c r="F20" s="301"/>
      <c r="G20" s="389">
        <f t="shared" si="5"/>
        <v>-1.350158655413179</v>
      </c>
      <c r="H20" s="389">
        <f t="shared" si="6"/>
        <v>110.63997974591308</v>
      </c>
      <c r="I20" s="189"/>
    </row>
    <row r="21" spans="2:11" x14ac:dyDescent="0.3">
      <c r="B21" s="303">
        <f t="shared" si="4"/>
        <v>44743</v>
      </c>
      <c r="C21" s="388">
        <f t="shared" si="4"/>
        <v>133137.95449199993</v>
      </c>
      <c r="D21" s="388">
        <f t="shared" si="4"/>
        <v>657729.09572639945</v>
      </c>
      <c r="E21" s="389">
        <f t="shared" si="4"/>
        <v>137.02689494299989</v>
      </c>
      <c r="F21" s="301"/>
      <c r="G21" s="389">
        <f t="shared" si="5"/>
        <v>-5.3378648501865849</v>
      </c>
      <c r="H21" s="389">
        <f t="shared" si="6"/>
        <v>142.36475979318647</v>
      </c>
      <c r="I21" s="189"/>
    </row>
    <row r="22" spans="2:11" x14ac:dyDescent="0.3">
      <c r="B22" s="303">
        <f t="shared" si="4"/>
        <v>44774</v>
      </c>
      <c r="C22" s="388">
        <f t="shared" si="4"/>
        <v>125988.96645959999</v>
      </c>
      <c r="D22" s="388">
        <f t="shared" si="4"/>
        <v>783718.06218599947</v>
      </c>
      <c r="E22" s="389">
        <f t="shared" si="4"/>
        <v>163.2745962887499</v>
      </c>
      <c r="F22" s="301"/>
      <c r="G22" s="389">
        <f t="shared" si="5"/>
        <v>-17.17010338403573</v>
      </c>
      <c r="H22" s="389">
        <f>E22-G22</f>
        <v>180.44469967278565</v>
      </c>
      <c r="I22" s="189"/>
    </row>
    <row r="23" spans="2:11" x14ac:dyDescent="0.3">
      <c r="B23" s="300" t="str">
        <f>B85</f>
        <v>Total</v>
      </c>
      <c r="C23" s="306"/>
      <c r="D23" s="390"/>
      <c r="E23" s="306">
        <f>E85</f>
        <v>600.17698646599911</v>
      </c>
      <c r="F23" s="301"/>
      <c r="G23" s="306">
        <f t="shared" si="5"/>
        <v>-6.5645147341328496</v>
      </c>
      <c r="H23" s="306">
        <f t="shared" si="6"/>
        <v>606.74150120013201</v>
      </c>
      <c r="I23" s="143"/>
    </row>
    <row r="24" spans="2:11" ht="5.0999999999999996" customHeight="1" thickBot="1" x14ac:dyDescent="0.35">
      <c r="C24" s="145"/>
      <c r="E24" s="63"/>
      <c r="G24" s="63"/>
      <c r="H24" s="145"/>
      <c r="I24" s="145"/>
    </row>
    <row r="25" spans="2:11" ht="15" thickBot="1" x14ac:dyDescent="0.35">
      <c r="D25" s="391" t="s">
        <v>151</v>
      </c>
      <c r="E25" s="392">
        <f>E23</f>
        <v>600.17698646599911</v>
      </c>
      <c r="F25" s="393"/>
      <c r="G25" s="394">
        <f>G23</f>
        <v>-6.5645147341328496</v>
      </c>
      <c r="H25" s="351">
        <f>E25-G25</f>
        <v>606.74150120013201</v>
      </c>
      <c r="I25" s="53" t="s">
        <v>203</v>
      </c>
    </row>
    <row r="26" spans="2:11" x14ac:dyDescent="0.3">
      <c r="B26" s="58"/>
      <c r="E26" s="63"/>
      <c r="G26" s="58"/>
      <c r="I26" s="63" t="s">
        <v>266</v>
      </c>
      <c r="K26" s="145"/>
    </row>
    <row r="27" spans="2:11" x14ac:dyDescent="0.3">
      <c r="B27" s="379" t="s">
        <v>205</v>
      </c>
      <c r="G27" s="149"/>
    </row>
    <row r="28" spans="2:11" x14ac:dyDescent="0.3">
      <c r="B28" s="353" t="s">
        <v>267</v>
      </c>
    </row>
    <row r="29" spans="2:11" x14ac:dyDescent="0.3">
      <c r="B29" s="353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December 01, 2021.</v>
      </c>
    </row>
    <row r="30" spans="2:11" x14ac:dyDescent="0.3">
      <c r="B30" s="353" t="s">
        <v>268</v>
      </c>
    </row>
    <row r="31" spans="2:11" x14ac:dyDescent="0.3">
      <c r="B31" s="353"/>
    </row>
    <row r="32" spans="2:11" x14ac:dyDescent="0.3">
      <c r="B32" s="279" t="str">
        <f>B93</f>
        <v xml:space="preserve">Philadelphia Water Department </v>
      </c>
      <c r="C32" s="279"/>
      <c r="D32" s="279"/>
      <c r="E32" s="279"/>
      <c r="F32" s="279"/>
      <c r="G32" s="279"/>
      <c r="H32" s="279"/>
      <c r="I32"/>
    </row>
    <row r="33" spans="2:9" ht="15" thickBot="1" x14ac:dyDescent="0.35">
      <c r="B33" s="279" t="s">
        <v>303</v>
      </c>
      <c r="C33" s="279"/>
      <c r="D33" s="279"/>
      <c r="E33" s="279"/>
      <c r="F33" s="279"/>
      <c r="G33" s="279"/>
      <c r="H33" s="279"/>
      <c r="I33"/>
    </row>
    <row r="34" spans="2:9" ht="15" thickBot="1" x14ac:dyDescent="0.35">
      <c r="B34" s="281"/>
      <c r="C34" s="347" t="str">
        <f>C95</f>
        <v>Prior Reconciliation Period with Updated Actuals</v>
      </c>
      <c r="D34" s="381"/>
      <c r="E34" s="382"/>
      <c r="F34" s="281"/>
      <c r="G34" s="350" t="s">
        <v>216</v>
      </c>
      <c r="H34" s="351" t="s">
        <v>217</v>
      </c>
      <c r="I34"/>
    </row>
    <row r="35" spans="2:9" x14ac:dyDescent="0.3">
      <c r="B35" s="383" t="str">
        <f>B96</f>
        <v>Billing</v>
      </c>
      <c r="C35" s="383" t="str">
        <f t="shared" ref="C35:E35" si="7">C96</f>
        <v>Difference in</v>
      </c>
      <c r="D35" s="383" t="str">
        <f t="shared" si="7"/>
        <v xml:space="preserve">Cumulative </v>
      </c>
      <c r="E35" s="383" t="str">
        <f t="shared" si="7"/>
        <v xml:space="preserve">Estimated Monthly </v>
      </c>
      <c r="F35" s="358"/>
      <c r="G35" s="383" t="str">
        <f>I96</f>
        <v xml:space="preserve">Estimated Monthly </v>
      </c>
      <c r="H35" s="383" t="str">
        <f>K96</f>
        <v xml:space="preserve">Delta </v>
      </c>
      <c r="I35"/>
    </row>
    <row r="36" spans="2:9" x14ac:dyDescent="0.3">
      <c r="B36" s="384" t="str">
        <f t="shared" ref="B36:E36" si="8">B97</f>
        <v>Period</v>
      </c>
      <c r="C36" s="384" t="str">
        <f t="shared" si="8"/>
        <v>Collection</v>
      </c>
      <c r="D36" s="384" t="str">
        <f t="shared" si="8"/>
        <v>Over/(Under) Collection</v>
      </c>
      <c r="E36" s="384" t="str">
        <f t="shared" si="8"/>
        <v>Interest Owed/</v>
      </c>
      <c r="F36" s="358"/>
      <c r="G36" s="384" t="str">
        <f>I97</f>
        <v>Interest Owed/</v>
      </c>
      <c r="H36" s="384" t="str">
        <f>K97</f>
        <v>Prior Period</v>
      </c>
      <c r="I36"/>
    </row>
    <row r="37" spans="2:9" x14ac:dyDescent="0.3">
      <c r="B37" s="384"/>
      <c r="C37" s="384" t="str">
        <f>C98</f>
        <v>Sewer Portion</v>
      </c>
      <c r="D37" s="384" t="str">
        <f>D98</f>
        <v>Sewer Portion</v>
      </c>
      <c r="E37" s="384" t="str">
        <f>E98</f>
        <v>(Interest to be Recouped)</v>
      </c>
      <c r="F37" s="358"/>
      <c r="G37" s="384" t="str">
        <f>I98</f>
        <v>(Interest to be Recouped)</v>
      </c>
      <c r="H37" s="384" t="str">
        <f>K98</f>
        <v>Estimates</v>
      </c>
      <c r="I37"/>
    </row>
    <row r="38" spans="2:9" ht="15" thickBot="1" x14ac:dyDescent="0.35">
      <c r="B38" s="384"/>
      <c r="C38" s="384" t="str">
        <f>C99</f>
        <v>From Table 3-WW-A</v>
      </c>
      <c r="D38" s="386"/>
      <c r="E38" s="384" t="str">
        <f>E99</f>
        <v>Sewer Portion</v>
      </c>
      <c r="F38" s="358"/>
      <c r="G38" s="384" t="str">
        <f>I99</f>
        <v>Sewer Portion</v>
      </c>
      <c r="H38" s="385"/>
      <c r="I38"/>
    </row>
    <row r="39" spans="2:9" x14ac:dyDescent="0.3">
      <c r="B39" s="384"/>
      <c r="C39" s="387" t="str">
        <f>C100</f>
        <v>(1)</v>
      </c>
      <c r="D39" s="387" t="str">
        <f>D100</f>
        <v xml:space="preserve">(2) </v>
      </c>
      <c r="E39" s="387" t="str">
        <f>E100</f>
        <v>(3) = (2) * [0.25% / 12]</v>
      </c>
      <c r="F39" s="358"/>
      <c r="G39" s="387" t="s">
        <v>164</v>
      </c>
      <c r="H39" s="396" t="s">
        <v>265</v>
      </c>
      <c r="I39"/>
    </row>
    <row r="40" spans="2:9" x14ac:dyDescent="0.3">
      <c r="B40" s="300"/>
      <c r="C40" s="301"/>
      <c r="D40" s="301"/>
      <c r="E40" s="301"/>
      <c r="F40" s="301"/>
      <c r="G40" s="301"/>
      <c r="H40" s="301"/>
    </row>
    <row r="41" spans="2:9" x14ac:dyDescent="0.3">
      <c r="B41" s="303">
        <f t="shared" ref="B41:E41" si="9">B102</f>
        <v>44440</v>
      </c>
      <c r="C41" s="388">
        <f t="shared" si="9"/>
        <v>28602.518310000014</v>
      </c>
      <c r="D41" s="388">
        <f t="shared" si="9"/>
        <v>28602.518310000014</v>
      </c>
      <c r="E41" s="389">
        <f t="shared" si="9"/>
        <v>5.9588579812500031</v>
      </c>
      <c r="F41" s="301"/>
      <c r="G41" s="389">
        <f t="shared" ref="G41:G51" si="10">I102</f>
        <v>5.9587912765000022</v>
      </c>
      <c r="H41" s="389">
        <f>E41-G41</f>
        <v>6.6704750000923241E-5</v>
      </c>
      <c r="I41" s="189"/>
    </row>
    <row r="42" spans="2:9" x14ac:dyDescent="0.3">
      <c r="B42" s="303">
        <f t="shared" ref="B42:E42" si="11">B103</f>
        <v>44470</v>
      </c>
      <c r="C42" s="388">
        <f t="shared" si="11"/>
        <v>-19539.676031999988</v>
      </c>
      <c r="D42" s="388">
        <f t="shared" si="11"/>
        <v>9062.8422780000255</v>
      </c>
      <c r="E42" s="389">
        <f t="shared" si="11"/>
        <v>1.8880921412500056</v>
      </c>
      <c r="F42" s="301"/>
      <c r="G42" s="389">
        <f t="shared" si="10"/>
        <v>1.8879897524999978</v>
      </c>
      <c r="H42" s="389">
        <f t="shared" ref="H42:H53" si="12">E42-G42</f>
        <v>1.0238875000778691E-4</v>
      </c>
      <c r="I42" s="189"/>
    </row>
    <row r="43" spans="2:9" x14ac:dyDescent="0.3">
      <c r="B43" s="303">
        <f t="shared" ref="B43:E43" si="13">B104</f>
        <v>44501</v>
      </c>
      <c r="C43" s="388">
        <f t="shared" si="13"/>
        <v>-21275.306215199991</v>
      </c>
      <c r="D43" s="388">
        <f t="shared" si="13"/>
        <v>-12212.463937199966</v>
      </c>
      <c r="E43" s="389">
        <f t="shared" si="13"/>
        <v>-2.5442633202499931</v>
      </c>
      <c r="F43" s="301"/>
      <c r="G43" s="389">
        <f t="shared" si="10"/>
        <v>-2.5444013929999953</v>
      </c>
      <c r="H43" s="389">
        <f t="shared" si="12"/>
        <v>1.3807275000221608E-4</v>
      </c>
      <c r="I43" s="189"/>
    </row>
    <row r="44" spans="2:9" x14ac:dyDescent="0.3">
      <c r="B44" s="303">
        <f t="shared" ref="B44:E44" si="14">B105</f>
        <v>44531</v>
      </c>
      <c r="C44" s="388">
        <f t="shared" si="14"/>
        <v>-3985.2092327999999</v>
      </c>
      <c r="D44" s="388">
        <f t="shared" si="14"/>
        <v>-16197.673169999965</v>
      </c>
      <c r="E44" s="389">
        <f t="shared" si="14"/>
        <v>-3.3745152437499928</v>
      </c>
      <c r="F44" s="301"/>
      <c r="G44" s="389">
        <f t="shared" si="10"/>
        <v>-3.3746691309999974</v>
      </c>
      <c r="H44" s="389">
        <f t="shared" si="12"/>
        <v>1.5388725000464731E-4</v>
      </c>
      <c r="I44" s="189"/>
    </row>
    <row r="45" spans="2:9" x14ac:dyDescent="0.3">
      <c r="B45" s="303">
        <f t="shared" ref="B45:E45" si="15">B106</f>
        <v>44562</v>
      </c>
      <c r="C45" s="388">
        <f t="shared" si="15"/>
        <v>37106.017780800059</v>
      </c>
      <c r="D45" s="388">
        <f t="shared" si="15"/>
        <v>20908.344610800094</v>
      </c>
      <c r="E45" s="389">
        <f t="shared" si="15"/>
        <v>4.3559051272500193</v>
      </c>
      <c r="F45" s="301"/>
      <c r="G45" s="389">
        <f t="shared" si="10"/>
        <v>-3.9224272938532767</v>
      </c>
      <c r="H45" s="389">
        <f t="shared" si="12"/>
        <v>8.2783324211032969</v>
      </c>
      <c r="I45" s="189"/>
    </row>
    <row r="46" spans="2:9" x14ac:dyDescent="0.3">
      <c r="B46" s="303">
        <f t="shared" ref="B46:E46" si="16">B107</f>
        <v>44593</v>
      </c>
      <c r="C46" s="388">
        <f t="shared" si="16"/>
        <v>69863.31569160003</v>
      </c>
      <c r="D46" s="388">
        <f t="shared" si="16"/>
        <v>90771.660302400123</v>
      </c>
      <c r="E46" s="389">
        <f t="shared" si="16"/>
        <v>18.910762563000027</v>
      </c>
      <c r="F46" s="301"/>
      <c r="G46" s="389">
        <f t="shared" si="10"/>
        <v>-4.4701854567065551</v>
      </c>
      <c r="H46" s="389">
        <f t="shared" si="12"/>
        <v>23.380948019706583</v>
      </c>
      <c r="I46" s="189"/>
    </row>
    <row r="47" spans="2:9" x14ac:dyDescent="0.3">
      <c r="B47" s="303">
        <f t="shared" ref="B47:E47" si="17">B108</f>
        <v>44621</v>
      </c>
      <c r="C47" s="388">
        <f t="shared" si="17"/>
        <v>125927.24124960008</v>
      </c>
      <c r="D47" s="388">
        <f t="shared" si="17"/>
        <v>216698.9015520002</v>
      </c>
      <c r="E47" s="389">
        <f t="shared" si="17"/>
        <v>45.145604490000039</v>
      </c>
      <c r="F47" s="301"/>
      <c r="G47" s="389">
        <f t="shared" si="10"/>
        <v>-5.0179436195598344</v>
      </c>
      <c r="H47" s="389">
        <f t="shared" si="12"/>
        <v>50.163548109559876</v>
      </c>
      <c r="I47" s="189"/>
    </row>
    <row r="48" spans="2:9" x14ac:dyDescent="0.3">
      <c r="B48" s="303">
        <f t="shared" ref="B48:E48" si="18">B109</f>
        <v>44652</v>
      </c>
      <c r="C48" s="388">
        <f t="shared" si="18"/>
        <v>179158.25265119999</v>
      </c>
      <c r="D48" s="388">
        <f t="shared" si="18"/>
        <v>395857.15420320019</v>
      </c>
      <c r="E48" s="389">
        <f t="shared" si="18"/>
        <v>82.470240459000038</v>
      </c>
      <c r="F48" s="301"/>
      <c r="G48" s="389">
        <f t="shared" si="10"/>
        <v>-5.5657017824131136</v>
      </c>
      <c r="H48" s="389">
        <f t="shared" si="12"/>
        <v>88.035942241413153</v>
      </c>
      <c r="I48" s="189"/>
    </row>
    <row r="49" spans="1:11" x14ac:dyDescent="0.3">
      <c r="B49" s="303">
        <f t="shared" ref="B49:E49" si="19">B110</f>
        <v>44682</v>
      </c>
      <c r="C49" s="388">
        <f t="shared" si="19"/>
        <v>183070.34828760006</v>
      </c>
      <c r="D49" s="388">
        <f t="shared" si="19"/>
        <v>578927.50249080022</v>
      </c>
      <c r="E49" s="389">
        <f t="shared" si="19"/>
        <v>120.60989635225006</v>
      </c>
      <c r="F49" s="301"/>
      <c r="G49" s="389">
        <f t="shared" si="10"/>
        <v>-6.113459945266392</v>
      </c>
      <c r="H49" s="389">
        <f t="shared" si="12"/>
        <v>126.72335629751646</v>
      </c>
      <c r="I49" s="189"/>
    </row>
    <row r="50" spans="1:11" x14ac:dyDescent="0.3">
      <c r="B50" s="303">
        <f t="shared" ref="B50:E52" si="20">B111</f>
        <v>44713</v>
      </c>
      <c r="C50" s="388">
        <f t="shared" si="20"/>
        <v>202472.18611080002</v>
      </c>
      <c r="D50" s="388">
        <f t="shared" si="20"/>
        <v>781399.68860160024</v>
      </c>
      <c r="E50" s="389">
        <f t="shared" si="20"/>
        <v>162.79160179200005</v>
      </c>
      <c r="F50" s="301"/>
      <c r="G50" s="389">
        <f t="shared" si="10"/>
        <v>-6.6612181081196704</v>
      </c>
      <c r="H50" s="389">
        <f t="shared" si="12"/>
        <v>169.45281990011972</v>
      </c>
      <c r="I50" s="189"/>
    </row>
    <row r="51" spans="1:11" x14ac:dyDescent="0.3">
      <c r="B51" s="303">
        <f t="shared" ref="B51:E51" si="21">B112</f>
        <v>44743</v>
      </c>
      <c r="C51" s="388">
        <f t="shared" si="21"/>
        <v>194958.50792279997</v>
      </c>
      <c r="D51" s="388">
        <f t="shared" si="21"/>
        <v>976358.19652440026</v>
      </c>
      <c r="E51" s="389">
        <f t="shared" si="21"/>
        <v>203.40795760925005</v>
      </c>
      <c r="F51" s="301"/>
      <c r="G51" s="389">
        <f t="shared" si="10"/>
        <v>-13.092375525279749</v>
      </c>
      <c r="H51" s="389">
        <f t="shared" si="12"/>
        <v>216.5003331345298</v>
      </c>
      <c r="I51" s="189"/>
    </row>
    <row r="52" spans="1:11" x14ac:dyDescent="0.3">
      <c r="B52" s="303">
        <f t="shared" si="20"/>
        <v>44774</v>
      </c>
      <c r="C52" s="388">
        <f t="shared" si="20"/>
        <v>177450.60294119996</v>
      </c>
      <c r="D52" s="388">
        <f t="shared" si="20"/>
        <v>1153808.7994656002</v>
      </c>
      <c r="E52" s="389">
        <f t="shared" si="20"/>
        <v>240.37683322200004</v>
      </c>
      <c r="F52" s="301"/>
      <c r="G52" s="389">
        <f t="shared" ref="G52" si="22">I113</f>
        <v>-31.290331451053451</v>
      </c>
      <c r="H52" s="389">
        <f>E52-G52</f>
        <v>271.66716467305349</v>
      </c>
      <c r="I52" s="189"/>
    </row>
    <row r="53" spans="1:11" x14ac:dyDescent="0.3">
      <c r="B53" s="300" t="str">
        <f t="shared" ref="B53" si="23">B114</f>
        <v>Total</v>
      </c>
      <c r="C53" s="306"/>
      <c r="D53" s="390"/>
      <c r="E53" s="306">
        <f>E114</f>
        <v>879.99697317325047</v>
      </c>
      <c r="F53" s="301"/>
      <c r="G53" s="306">
        <f>I114</f>
        <v>-42.915601226198582</v>
      </c>
      <c r="H53" s="306">
        <f t="shared" si="12"/>
        <v>922.912574399449</v>
      </c>
      <c r="I53" s="143"/>
    </row>
    <row r="54" spans="1:11" ht="5.0999999999999996" customHeight="1" thickBot="1" x14ac:dyDescent="0.35">
      <c r="C54" s="145"/>
      <c r="E54" s="63"/>
      <c r="G54" s="63"/>
      <c r="H54" s="145"/>
      <c r="I54" s="145"/>
    </row>
    <row r="55" spans="1:11" ht="15" thickBot="1" x14ac:dyDescent="0.35">
      <c r="D55" s="391" t="s">
        <v>151</v>
      </c>
      <c r="E55" s="392">
        <f>E53</f>
        <v>879.99697317325047</v>
      </c>
      <c r="F55" s="393"/>
      <c r="G55" s="394">
        <f>G53</f>
        <v>-42.915601226198582</v>
      </c>
      <c r="H55" s="351">
        <f>E55-G55</f>
        <v>922.912574399449</v>
      </c>
      <c r="I55" s="53" t="s">
        <v>203</v>
      </c>
    </row>
    <row r="56" spans="1:11" x14ac:dyDescent="0.3">
      <c r="B56" s="58"/>
      <c r="E56" s="63"/>
      <c r="G56" s="58"/>
      <c r="I56" s="63" t="s">
        <v>269</v>
      </c>
    </row>
    <row r="57" spans="1:11" x14ac:dyDescent="0.3">
      <c r="B57" s="397" t="s">
        <v>205</v>
      </c>
      <c r="C57" s="298"/>
      <c r="D57" s="298"/>
      <c r="E57" s="298"/>
      <c r="F57" s="298"/>
      <c r="G57" s="353"/>
      <c r="H57" s="298"/>
    </row>
    <row r="58" spans="1:11" x14ac:dyDescent="0.3">
      <c r="B58" s="398" t="s">
        <v>270</v>
      </c>
      <c r="C58" s="298"/>
      <c r="D58" s="298"/>
      <c r="E58" s="298"/>
      <c r="F58" s="298"/>
      <c r="G58" s="298"/>
      <c r="H58" s="298"/>
    </row>
    <row r="59" spans="1:11" x14ac:dyDescent="0.3">
      <c r="B59" s="398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December 01, 2021.</v>
      </c>
      <c r="C59" s="298"/>
      <c r="D59" s="298"/>
      <c r="E59" s="298"/>
      <c r="F59" s="298"/>
      <c r="G59" s="298"/>
      <c r="H59" s="298"/>
    </row>
    <row r="60" spans="1:11" x14ac:dyDescent="0.3">
      <c r="B60" s="398" t="s">
        <v>271</v>
      </c>
      <c r="C60" s="298"/>
      <c r="D60" s="298"/>
      <c r="E60" s="298"/>
      <c r="F60" s="298"/>
      <c r="G60" s="298"/>
      <c r="H60" s="298"/>
    </row>
    <row r="61" spans="1:11" x14ac:dyDescent="0.3"/>
    <row r="62" spans="1:11" x14ac:dyDescent="0.3">
      <c r="A62" s="157" t="s">
        <v>228</v>
      </c>
      <c r="B62" s="157"/>
      <c r="C62" s="157"/>
      <c r="D62" s="157"/>
      <c r="E62" s="157"/>
      <c r="F62" s="157"/>
      <c r="G62" s="157"/>
      <c r="H62" s="157"/>
      <c r="I62" s="157"/>
      <c r="J62" s="157"/>
      <c r="K62" s="157"/>
    </row>
    <row r="63" spans="1:11" x14ac:dyDescent="0.3"/>
    <row r="64" spans="1:11" x14ac:dyDescent="0.3">
      <c r="B64" s="116" t="s">
        <v>31</v>
      </c>
      <c r="C64" s="116"/>
      <c r="D64" s="116"/>
      <c r="E64" s="116"/>
      <c r="F64" s="116"/>
      <c r="G64" s="116"/>
      <c r="H64" s="116"/>
      <c r="I64" s="116"/>
      <c r="J64" s="116"/>
      <c r="K64" s="116"/>
    </row>
    <row r="65" spans="2:11" ht="15" thickBot="1" x14ac:dyDescent="0.35">
      <c r="B65" s="116" t="s">
        <v>272</v>
      </c>
      <c r="C65" s="116"/>
      <c r="D65" s="116"/>
      <c r="E65" s="116"/>
      <c r="F65" s="116"/>
      <c r="G65" s="116"/>
      <c r="H65" s="116"/>
      <c r="I65" s="116"/>
      <c r="J65" s="116"/>
      <c r="K65" s="116"/>
    </row>
    <row r="66" spans="2:11" ht="15" thickBot="1" x14ac:dyDescent="0.35">
      <c r="C66" s="152" t="s">
        <v>230</v>
      </c>
      <c r="D66" s="170"/>
      <c r="E66" s="171"/>
      <c r="G66" s="160" t="s">
        <v>231</v>
      </c>
      <c r="H66" s="172"/>
      <c r="I66" s="173"/>
      <c r="K66" s="187" t="s">
        <v>217</v>
      </c>
    </row>
    <row r="67" spans="2:11" x14ac:dyDescent="0.3">
      <c r="B67" s="120" t="s">
        <v>180</v>
      </c>
      <c r="C67" s="121" t="s">
        <v>250</v>
      </c>
      <c r="D67" s="121" t="s">
        <v>251</v>
      </c>
      <c r="E67" s="121" t="s">
        <v>252</v>
      </c>
      <c r="G67" s="121" t="s">
        <v>250</v>
      </c>
      <c r="H67" s="121" t="s">
        <v>251</v>
      </c>
      <c r="I67" s="121" t="s">
        <v>252</v>
      </c>
      <c r="K67" s="121" t="s">
        <v>232</v>
      </c>
    </row>
    <row r="68" spans="2:11" x14ac:dyDescent="0.3">
      <c r="B68" s="121" t="s">
        <v>179</v>
      </c>
      <c r="C68" s="121" t="s">
        <v>194</v>
      </c>
      <c r="D68" s="121" t="s">
        <v>253</v>
      </c>
      <c r="E68" s="121" t="s">
        <v>254</v>
      </c>
      <c r="G68" s="121" t="s">
        <v>194</v>
      </c>
      <c r="H68" s="121" t="s">
        <v>253</v>
      </c>
      <c r="I68" s="121" t="s">
        <v>254</v>
      </c>
      <c r="K68" s="121" t="s">
        <v>233</v>
      </c>
    </row>
    <row r="69" spans="2:11" x14ac:dyDescent="0.3">
      <c r="B69" s="121"/>
      <c r="C69" s="121" t="s">
        <v>255</v>
      </c>
      <c r="D69" s="121" t="s">
        <v>255</v>
      </c>
      <c r="E69" s="121" t="s">
        <v>256</v>
      </c>
      <c r="G69" s="121" t="s">
        <v>255</v>
      </c>
      <c r="H69" s="121" t="s">
        <v>255</v>
      </c>
      <c r="I69" s="121" t="s">
        <v>256</v>
      </c>
      <c r="K69" s="121" t="s">
        <v>273</v>
      </c>
    </row>
    <row r="70" spans="2:11" x14ac:dyDescent="0.3">
      <c r="B70" s="121"/>
      <c r="C70" s="121" t="s">
        <v>204</v>
      </c>
      <c r="D70" s="122"/>
      <c r="E70" s="121" t="s">
        <v>255</v>
      </c>
      <c r="G70" s="121" t="s">
        <v>257</v>
      </c>
      <c r="H70" s="122"/>
      <c r="I70" s="121" t="s">
        <v>255</v>
      </c>
      <c r="K70" s="121"/>
    </row>
    <row r="71" spans="2:11" x14ac:dyDescent="0.3">
      <c r="B71" s="126"/>
      <c r="C71" s="127" t="s">
        <v>161</v>
      </c>
      <c r="D71" s="127" t="s">
        <v>258</v>
      </c>
      <c r="E71" s="127" t="str">
        <f>"(3) = (2) * ["&amp;FIXED('Assumptions and Inputs'!$C$52*100,2,TRUE)&amp;"% / 12]"</f>
        <v>(3) = (2) * [0.25% / 12]</v>
      </c>
      <c r="G71" s="127" t="s">
        <v>161</v>
      </c>
      <c r="H71" s="127" t="s">
        <v>258</v>
      </c>
      <c r="I71" s="127" t="s">
        <v>274</v>
      </c>
      <c r="K71" s="127" t="s">
        <v>275</v>
      </c>
    </row>
    <row r="72" spans="2:11" x14ac:dyDescent="0.3">
      <c r="B72" s="129"/>
      <c r="C72" s="130"/>
      <c r="D72" s="130"/>
      <c r="E72" s="130"/>
      <c r="G72" s="130"/>
      <c r="H72" s="130"/>
      <c r="I72" s="130"/>
      <c r="K72" s="130"/>
    </row>
    <row r="73" spans="2:11" x14ac:dyDescent="0.3">
      <c r="B73" s="131">
        <f>'E-Factor PRIOR Sch LKM-4'!B83</f>
        <v>44440</v>
      </c>
      <c r="C73" s="163">
        <f>'E-Factor PRIOR Sch LKM-4'!J83</f>
        <v>21917.488779599953</v>
      </c>
      <c r="D73" s="163">
        <f>C73</f>
        <v>21917.488779599953</v>
      </c>
      <c r="E73" s="164">
        <f>D73*('Assumptions and Inputs'!$C$52)/12</f>
        <v>4.5661434957499898</v>
      </c>
      <c r="G73" s="163">
        <v>21917.012884800031</v>
      </c>
      <c r="H73" s="163">
        <v>21917.012884800031</v>
      </c>
      <c r="I73" s="164">
        <v>4.5660443510000066</v>
      </c>
      <c r="K73" s="164">
        <f t="shared" ref="K73:K85" si="24">E73-I73</f>
        <v>9.9144749983182123E-5</v>
      </c>
    </row>
    <row r="74" spans="2:11" x14ac:dyDescent="0.3">
      <c r="B74" s="135">
        <f>'E-Factor PRIOR Sch LKM-4'!B84</f>
        <v>44470</v>
      </c>
      <c r="C74" s="166">
        <f>'E-Factor PRIOR Sch LKM-4'!J84</f>
        <v>-10016.66878560005</v>
      </c>
      <c r="D74" s="166">
        <f>D73+C74</f>
        <v>11900.819993999903</v>
      </c>
      <c r="E74" s="167">
        <f>D74*('Assumptions and Inputs'!$C$52)/12</f>
        <v>2.4793374987499797</v>
      </c>
      <c r="G74" s="166">
        <v>-10016.781676800048</v>
      </c>
      <c r="H74" s="166">
        <v>11900.231207999983</v>
      </c>
      <c r="I74" s="167">
        <v>2.4792148349999965</v>
      </c>
      <c r="K74" s="167">
        <f t="shared" si="24"/>
        <v>1.2266374998315399E-4</v>
      </c>
    </row>
    <row r="75" spans="2:11" x14ac:dyDescent="0.3">
      <c r="B75" s="131">
        <f>'E-Factor PRIOR Sch LKM-4'!B85</f>
        <v>44501</v>
      </c>
      <c r="C75" s="163">
        <f>'E-Factor PRIOR Sch LKM-4'!J85</f>
        <v>-12836.224798800074</v>
      </c>
      <c r="D75" s="163">
        <f t="shared" ref="D75:D83" si="25">D74+C75</f>
        <v>-935.40480480017141</v>
      </c>
      <c r="E75" s="164">
        <f>D75*('Assumptions and Inputs'!$C$52)/12</f>
        <v>-0.19487600100003569</v>
      </c>
      <c r="G75" s="163">
        <v>-12836.418465600058</v>
      </c>
      <c r="H75" s="163">
        <v>-936.1872576000751</v>
      </c>
      <c r="I75" s="164">
        <v>-0.19503901200001564</v>
      </c>
      <c r="K75" s="164">
        <f t="shared" si="24"/>
        <v>1.6301099997995117E-4</v>
      </c>
    </row>
    <row r="76" spans="2:11" x14ac:dyDescent="0.3">
      <c r="B76" s="135">
        <f>'E-Factor PRIOR Sch LKM-4'!B86</f>
        <v>44531</v>
      </c>
      <c r="C76" s="166">
        <f>'E-Factor PRIOR Sch LKM-4'!J86</f>
        <v>-3659.6903772001388</v>
      </c>
      <c r="D76" s="166">
        <f t="shared" si="25"/>
        <v>-4595.0951820003102</v>
      </c>
      <c r="E76" s="167">
        <f>D76*('Assumptions and Inputs'!$C$52)/12</f>
        <v>-0.95731149625006473</v>
      </c>
      <c r="G76" s="166">
        <v>-3659.9015616000979</v>
      </c>
      <c r="H76" s="166">
        <v>-4596.088819200173</v>
      </c>
      <c r="I76" s="167">
        <v>-0.95751850400003613</v>
      </c>
      <c r="K76" s="167">
        <f t="shared" si="24"/>
        <v>2.0700774997139959E-4</v>
      </c>
    </row>
    <row r="77" spans="2:11" x14ac:dyDescent="0.3">
      <c r="B77" s="131">
        <f>'E-Factor PRIOR Sch LKM-4'!B87</f>
        <v>44562</v>
      </c>
      <c r="C77" s="163">
        <f>'E-Factor PRIOR Sch LKM-4'!J87</f>
        <v>24531.202287599968</v>
      </c>
      <c r="D77" s="163">
        <f t="shared" si="25"/>
        <v>19936.107105599658</v>
      </c>
      <c r="E77" s="164">
        <f>D77*('Assumptions and Inputs'!$C$52)/12</f>
        <v>4.1533556469999287</v>
      </c>
      <c r="G77" s="163">
        <v>-314.11212113051442</v>
      </c>
      <c r="H77" s="163">
        <v>-4910.2009403306874</v>
      </c>
      <c r="I77" s="164">
        <v>-1.0229585292355599</v>
      </c>
      <c r="K77" s="164">
        <f t="shared" si="24"/>
        <v>5.1763141762354881</v>
      </c>
    </row>
    <row r="78" spans="2:11" x14ac:dyDescent="0.3">
      <c r="B78" s="135">
        <f>'E-Factor PRIOR Sch LKM-4'!B88</f>
        <v>44593</v>
      </c>
      <c r="C78" s="166">
        <f>'E-Factor PRIOR Sch LKM-4'!J88</f>
        <v>45027.410323199962</v>
      </c>
      <c r="D78" s="166">
        <f t="shared" si="25"/>
        <v>64963.51742879962</v>
      </c>
      <c r="E78" s="167">
        <f>D78*('Assumptions and Inputs'!$C$52)/12</f>
        <v>13.53406613099992</v>
      </c>
      <c r="G78" s="166">
        <v>-314.11212113051442</v>
      </c>
      <c r="H78" s="166">
        <v>-5224.3130614612019</v>
      </c>
      <c r="I78" s="167">
        <v>-1.0883985544710837</v>
      </c>
      <c r="K78" s="167">
        <f t="shared" si="24"/>
        <v>14.622464685471003</v>
      </c>
    </row>
    <row r="79" spans="2:11" x14ac:dyDescent="0.3">
      <c r="B79" s="131">
        <f>'E-Factor PRIOR Sch LKM-4'!B89</f>
        <v>44621</v>
      </c>
      <c r="C79" s="163">
        <f>'E-Factor PRIOR Sch LKM-4'!J89</f>
        <v>81962.504014799953</v>
      </c>
      <c r="D79" s="163">
        <f t="shared" si="25"/>
        <v>146926.02144359957</v>
      </c>
      <c r="E79" s="164">
        <f>D79*('Assumptions and Inputs'!$C$52)/12</f>
        <v>30.60958780074991</v>
      </c>
      <c r="G79" s="163">
        <v>-314.11212113051442</v>
      </c>
      <c r="H79" s="163">
        <v>-5538.4251825917163</v>
      </c>
      <c r="I79" s="164">
        <v>-1.1538385797066075</v>
      </c>
      <c r="K79" s="164">
        <f t="shared" si="24"/>
        <v>31.763426380456519</v>
      </c>
    </row>
    <row r="80" spans="2:11" x14ac:dyDescent="0.3">
      <c r="B80" s="135">
        <f>'E-Factor PRIOR Sch LKM-4'!B90</f>
        <v>44652</v>
      </c>
      <c r="C80" s="166">
        <f>'E-Factor PRIOR Sch LKM-4'!J90</f>
        <v>119572.98974759993</v>
      </c>
      <c r="D80" s="166">
        <f t="shared" si="25"/>
        <v>266499.01119119953</v>
      </c>
      <c r="E80" s="167">
        <f>D80*('Assumptions and Inputs'!$C$52)/12</f>
        <v>55.520627331499902</v>
      </c>
      <c r="G80" s="166">
        <v>-314.11212113051442</v>
      </c>
      <c r="H80" s="166">
        <v>-5852.5373037222307</v>
      </c>
      <c r="I80" s="167">
        <v>-1.2192786049421314</v>
      </c>
      <c r="K80" s="167">
        <f t="shared" si="24"/>
        <v>56.739905936442035</v>
      </c>
    </row>
    <row r="81" spans="2:11" x14ac:dyDescent="0.3">
      <c r="B81" s="131">
        <f>'E-Factor PRIOR Sch LKM-4'!B91</f>
        <v>44682</v>
      </c>
      <c r="C81" s="163">
        <f>'E-Factor PRIOR Sch LKM-4'!J91</f>
        <v>121699.75874279995</v>
      </c>
      <c r="D81" s="163">
        <f t="shared" si="25"/>
        <v>388198.76993399952</v>
      </c>
      <c r="E81" s="164">
        <f>D81*('Assumptions and Inputs'!$C$52)/12</f>
        <v>80.874743736249897</v>
      </c>
      <c r="G81" s="163">
        <v>-314.11212113051442</v>
      </c>
      <c r="H81" s="163">
        <v>-6166.6494248527451</v>
      </c>
      <c r="I81" s="164">
        <v>-1.2847186301776552</v>
      </c>
      <c r="K81" s="164">
        <f t="shared" si="24"/>
        <v>82.159462366427547</v>
      </c>
    </row>
    <row r="82" spans="2:11" x14ac:dyDescent="0.3">
      <c r="B82" s="135">
        <f>'E-Factor PRIOR Sch LKM-4'!B92</f>
        <v>44713</v>
      </c>
      <c r="C82" s="166">
        <f>'E-Factor PRIOR Sch LKM-4'!J92</f>
        <v>136392.37130039997</v>
      </c>
      <c r="D82" s="166">
        <f t="shared" si="25"/>
        <v>524591.14123439952</v>
      </c>
      <c r="E82" s="167">
        <f>D82*('Assumptions and Inputs'!$C$52)/12</f>
        <v>109.2898210904999</v>
      </c>
      <c r="G82" s="166">
        <v>-314.11212113051442</v>
      </c>
      <c r="H82" s="166">
        <v>-6480.7615459832596</v>
      </c>
      <c r="I82" s="167">
        <v>-1.350158655413179</v>
      </c>
      <c r="K82" s="167">
        <f t="shared" si="24"/>
        <v>110.63997974591308</v>
      </c>
    </row>
    <row r="83" spans="2:11" x14ac:dyDescent="0.3">
      <c r="B83" s="131">
        <f>'E-Factor PRIOR Sch LKM-4'!B93</f>
        <v>44743</v>
      </c>
      <c r="C83" s="163">
        <f>'E-Factor PRIOR Sch LKM-4'!J93</f>
        <v>133137.95449199993</v>
      </c>
      <c r="D83" s="163">
        <f t="shared" si="25"/>
        <v>657729.09572639945</v>
      </c>
      <c r="E83" s="164">
        <f>D83*('Assumptions and Inputs'!$C$52)/12</f>
        <v>137.02689494299989</v>
      </c>
      <c r="G83" s="163">
        <v>-19140.989734912349</v>
      </c>
      <c r="H83" s="163">
        <v>-25621.751280895609</v>
      </c>
      <c r="I83" s="164">
        <v>-5.3378648501865849</v>
      </c>
      <c r="K83" s="164">
        <f t="shared" si="24"/>
        <v>142.36475979318647</v>
      </c>
    </row>
    <row r="84" spans="2:11" x14ac:dyDescent="0.3">
      <c r="B84" s="135">
        <f>'E-Factor PRIOR Sch LKM-4'!B94</f>
        <v>44774</v>
      </c>
      <c r="C84" s="166">
        <f>'E-Factor PRIOR Sch LKM-4'!J94</f>
        <v>125988.96645959999</v>
      </c>
      <c r="D84" s="166">
        <f t="shared" ref="D84" si="26">D83+C84</f>
        <v>783718.06218599947</v>
      </c>
      <c r="E84" s="167">
        <f>D84*('Assumptions and Inputs'!$C$52)/12</f>
        <v>163.2745962887499</v>
      </c>
      <c r="G84" s="166">
        <v>-56794.744962475903</v>
      </c>
      <c r="H84" s="166">
        <v>-82416.496243371512</v>
      </c>
      <c r="I84" s="167">
        <v>-17.17010338403573</v>
      </c>
      <c r="K84" s="167">
        <f t="shared" si="24"/>
        <v>180.44469967278565</v>
      </c>
    </row>
    <row r="85" spans="2:11" x14ac:dyDescent="0.3">
      <c r="B85" s="201" t="s">
        <v>151</v>
      </c>
      <c r="C85" s="134"/>
      <c r="D85" s="202"/>
      <c r="E85" s="134">
        <f>SUM(E73:E84)</f>
        <v>600.17698646599911</v>
      </c>
      <c r="G85" s="134"/>
      <c r="H85" s="202"/>
      <c r="I85" s="134">
        <v>-6.5645147341328496</v>
      </c>
      <c r="K85" s="206">
        <f t="shared" si="24"/>
        <v>606.74150120013201</v>
      </c>
    </row>
    <row r="86" spans="2:11" x14ac:dyDescent="0.3">
      <c r="C86" s="145"/>
      <c r="E86" s="63"/>
      <c r="G86" s="145"/>
      <c r="I86" s="63"/>
      <c r="K86" s="145"/>
    </row>
    <row r="87" spans="2:11" x14ac:dyDescent="0.3">
      <c r="D87" s="146" t="s">
        <v>259</v>
      </c>
      <c r="E87" s="147">
        <f>E85</f>
        <v>600.17698646599911</v>
      </c>
      <c r="F87" s="148"/>
      <c r="H87" s="146" t="s">
        <v>259</v>
      </c>
      <c r="I87" s="147">
        <f>I85</f>
        <v>-6.5645147341328496</v>
      </c>
      <c r="K87" s="155">
        <f>E87-I87</f>
        <v>606.74150120013201</v>
      </c>
    </row>
    <row r="88" spans="2:11" x14ac:dyDescent="0.3">
      <c r="B88" s="58" t="s">
        <v>205</v>
      </c>
      <c r="E88" s="63"/>
      <c r="G88" s="58"/>
      <c r="I88" s="63"/>
      <c r="K88" s="145"/>
    </row>
    <row r="89" spans="2:11" x14ac:dyDescent="0.3">
      <c r="B89" s="149" t="s">
        <v>267</v>
      </c>
      <c r="G89" s="149"/>
    </row>
    <row r="90" spans="2:11" x14ac:dyDescent="0.3">
      <c r="B90" s="149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December 01, 2021.</v>
      </c>
    </row>
    <row r="91" spans="2:11" x14ac:dyDescent="0.3">
      <c r="B91" s="149" t="s">
        <v>268</v>
      </c>
    </row>
    <row r="92" spans="2:11" x14ac:dyDescent="0.3">
      <c r="B92" s="149"/>
    </row>
    <row r="93" spans="2:11" x14ac:dyDescent="0.3">
      <c r="B93" s="116" t="s">
        <v>31</v>
      </c>
      <c r="C93" s="116"/>
      <c r="D93" s="116"/>
      <c r="E93" s="116"/>
      <c r="F93" s="116"/>
      <c r="G93" s="116"/>
      <c r="H93" s="116"/>
      <c r="I93" s="116"/>
      <c r="J93" s="116"/>
      <c r="K93" s="116"/>
    </row>
    <row r="94" spans="2:11" ht="15" thickBot="1" x14ac:dyDescent="0.35">
      <c r="B94" s="116" t="s">
        <v>276</v>
      </c>
      <c r="C94" s="116"/>
      <c r="D94" s="116"/>
      <c r="E94" s="116"/>
      <c r="F94" s="116"/>
      <c r="G94" s="116"/>
      <c r="H94" s="116"/>
      <c r="I94" s="116"/>
      <c r="J94" s="116"/>
      <c r="K94" s="116"/>
    </row>
    <row r="95" spans="2:11" ht="15" thickBot="1" x14ac:dyDescent="0.35">
      <c r="C95" s="152" t="s">
        <v>230</v>
      </c>
      <c r="D95" s="170"/>
      <c r="E95" s="171"/>
      <c r="G95" s="160" t="s">
        <v>231</v>
      </c>
      <c r="H95" s="172"/>
      <c r="I95" s="173"/>
      <c r="K95" s="187" t="s">
        <v>217</v>
      </c>
    </row>
    <row r="96" spans="2:11" x14ac:dyDescent="0.3">
      <c r="B96" s="120" t="s">
        <v>180</v>
      </c>
      <c r="C96" s="120" t="s">
        <v>250</v>
      </c>
      <c r="D96" s="120" t="s">
        <v>251</v>
      </c>
      <c r="E96" s="120" t="s">
        <v>252</v>
      </c>
      <c r="G96" s="120" t="s">
        <v>250</v>
      </c>
      <c r="H96" s="120" t="s">
        <v>251</v>
      </c>
      <c r="I96" s="120" t="s">
        <v>252</v>
      </c>
      <c r="K96" s="121" t="s">
        <v>232</v>
      </c>
    </row>
    <row r="97" spans="2:11" x14ac:dyDescent="0.3">
      <c r="B97" s="121" t="s">
        <v>179</v>
      </c>
      <c r="C97" s="121" t="s">
        <v>194</v>
      </c>
      <c r="D97" s="121" t="s">
        <v>253</v>
      </c>
      <c r="E97" s="121" t="s">
        <v>254</v>
      </c>
      <c r="G97" s="121" t="s">
        <v>194</v>
      </c>
      <c r="H97" s="121" t="s">
        <v>253</v>
      </c>
      <c r="I97" s="121" t="s">
        <v>254</v>
      </c>
      <c r="K97" s="121" t="s">
        <v>233</v>
      </c>
    </row>
    <row r="98" spans="2:11" x14ac:dyDescent="0.3">
      <c r="B98" s="121"/>
      <c r="C98" s="121" t="s">
        <v>262</v>
      </c>
      <c r="D98" s="121" t="s">
        <v>262</v>
      </c>
      <c r="E98" s="121" t="s">
        <v>256</v>
      </c>
      <c r="G98" s="121" t="s">
        <v>262</v>
      </c>
      <c r="H98" s="121" t="s">
        <v>262</v>
      </c>
      <c r="I98" s="121" t="s">
        <v>256</v>
      </c>
      <c r="K98" s="121" t="s">
        <v>273</v>
      </c>
    </row>
    <row r="99" spans="2:11" x14ac:dyDescent="0.3">
      <c r="B99" s="121"/>
      <c r="C99" s="121" t="s">
        <v>214</v>
      </c>
      <c r="D99" s="122"/>
      <c r="E99" s="121" t="s">
        <v>262</v>
      </c>
      <c r="G99" s="121" t="s">
        <v>263</v>
      </c>
      <c r="H99" s="122"/>
      <c r="I99" s="121" t="s">
        <v>262</v>
      </c>
      <c r="K99" s="121"/>
    </row>
    <row r="100" spans="2:11" x14ac:dyDescent="0.3">
      <c r="B100" s="126"/>
      <c r="C100" s="127" t="s">
        <v>161</v>
      </c>
      <c r="D100" s="127" t="s">
        <v>258</v>
      </c>
      <c r="E100" s="127" t="str">
        <f>"(3) = (2) * ["&amp;FIXED('Assumptions and Inputs'!$C$52*100,2,TRUE)&amp;"% / 12]"</f>
        <v>(3) = (2) * [0.25% / 12]</v>
      </c>
      <c r="G100" s="127" t="s">
        <v>161</v>
      </c>
      <c r="H100" s="127" t="s">
        <v>258</v>
      </c>
      <c r="I100" s="127" t="s">
        <v>274</v>
      </c>
      <c r="K100" s="127" t="s">
        <v>275</v>
      </c>
    </row>
    <row r="101" spans="2:11" x14ac:dyDescent="0.3">
      <c r="B101" s="129"/>
      <c r="C101" s="130"/>
      <c r="D101" s="130"/>
      <c r="E101" s="130"/>
      <c r="G101" s="130"/>
      <c r="H101" s="130"/>
      <c r="I101" s="130"/>
      <c r="K101" s="130"/>
    </row>
    <row r="102" spans="2:11" x14ac:dyDescent="0.3">
      <c r="B102" s="131">
        <f>+'E-Factor PRIOR Sch LKM-4'!B123</f>
        <v>44440</v>
      </c>
      <c r="C102" s="163">
        <f>'E-Factor PRIOR Sch LKM-4'!J123</f>
        <v>28602.518310000014</v>
      </c>
      <c r="D102" s="163">
        <f>C102</f>
        <v>28602.518310000014</v>
      </c>
      <c r="E102" s="164">
        <f>D102*('Assumptions and Inputs'!$C$52)/12</f>
        <v>5.9588579812500031</v>
      </c>
      <c r="G102" s="163">
        <v>28602.198127200012</v>
      </c>
      <c r="H102" s="163">
        <v>28602.198127200012</v>
      </c>
      <c r="I102" s="164">
        <v>5.9587912765000022</v>
      </c>
      <c r="K102" s="164">
        <f t="shared" ref="K102:K112" si="27">E102-I102</f>
        <v>6.6704750000923241E-5</v>
      </c>
    </row>
    <row r="103" spans="2:11" x14ac:dyDescent="0.3">
      <c r="B103" s="135">
        <f>+'E-Factor PRIOR Sch LKM-4'!B124</f>
        <v>44470</v>
      </c>
      <c r="C103" s="166">
        <f>'E-Factor PRIOR Sch LKM-4'!J124</f>
        <v>-19539.676031999988</v>
      </c>
      <c r="D103" s="166">
        <f>D102+C103</f>
        <v>9062.8422780000255</v>
      </c>
      <c r="E103" s="167">
        <f>D103*('Assumptions and Inputs'!$C$52)/12</f>
        <v>1.8880921412500056</v>
      </c>
      <c r="G103" s="166">
        <v>-19539.847315200022</v>
      </c>
      <c r="H103" s="166">
        <v>9062.3508119999897</v>
      </c>
      <c r="I103" s="167">
        <v>1.8879897524999978</v>
      </c>
      <c r="K103" s="167">
        <f t="shared" si="27"/>
        <v>1.0238875000778691E-4</v>
      </c>
    </row>
    <row r="104" spans="2:11" x14ac:dyDescent="0.3">
      <c r="B104" s="131">
        <f>+'E-Factor PRIOR Sch LKM-4'!B125</f>
        <v>44501</v>
      </c>
      <c r="C104" s="163">
        <f>'E-Factor PRIOR Sch LKM-4'!J125</f>
        <v>-21275.306215199991</v>
      </c>
      <c r="D104" s="163">
        <f t="shared" ref="D104:D112" si="28">D103+C104</f>
        <v>-12212.463937199966</v>
      </c>
      <c r="E104" s="164">
        <f>D104*('Assumptions and Inputs'!$C$52)/12</f>
        <v>-2.5442633202499931</v>
      </c>
      <c r="G104" s="163">
        <v>-21275.477498399967</v>
      </c>
      <c r="H104" s="163">
        <v>-12213.126686399977</v>
      </c>
      <c r="I104" s="164">
        <v>-2.5444013929999953</v>
      </c>
      <c r="K104" s="164">
        <f t="shared" si="27"/>
        <v>1.3807275000221608E-4</v>
      </c>
    </row>
    <row r="105" spans="2:11" x14ac:dyDescent="0.3">
      <c r="B105" s="135">
        <f>+'E-Factor PRIOR Sch LKM-4'!B126</f>
        <v>44531</v>
      </c>
      <c r="C105" s="166">
        <f>'E-Factor PRIOR Sch LKM-4'!J126</f>
        <v>-3985.2092327999999</v>
      </c>
      <c r="D105" s="166">
        <f t="shared" si="28"/>
        <v>-16197.673169999965</v>
      </c>
      <c r="E105" s="167">
        <f>D105*('Assumptions and Inputs'!$C$52)/12</f>
        <v>-3.3745152437499928</v>
      </c>
      <c r="G105" s="166">
        <v>-3985.285142400011</v>
      </c>
      <c r="H105" s="166">
        <v>-16198.411828799988</v>
      </c>
      <c r="I105" s="167">
        <v>-3.3746691309999974</v>
      </c>
      <c r="K105" s="167">
        <f t="shared" si="27"/>
        <v>1.5388725000464731E-4</v>
      </c>
    </row>
    <row r="106" spans="2:11" x14ac:dyDescent="0.3">
      <c r="B106" s="131">
        <f>+'E-Factor PRIOR Sch LKM-4'!B127</f>
        <v>44562</v>
      </c>
      <c r="C106" s="163">
        <f>'E-Factor PRIOR Sch LKM-4'!J127</f>
        <v>37106.017780800059</v>
      </c>
      <c r="D106" s="163">
        <f t="shared" si="28"/>
        <v>20908.344610800094</v>
      </c>
      <c r="E106" s="164">
        <f>D106*('Assumptions and Inputs'!$C$52)/12</f>
        <v>4.3559051272500193</v>
      </c>
      <c r="G106" s="163">
        <v>-2629.2391816957388</v>
      </c>
      <c r="H106" s="163">
        <v>-18827.651010495727</v>
      </c>
      <c r="I106" s="164">
        <v>-3.9224272938532767</v>
      </c>
      <c r="K106" s="164">
        <f t="shared" si="27"/>
        <v>8.2783324211032969</v>
      </c>
    </row>
    <row r="107" spans="2:11" x14ac:dyDescent="0.3">
      <c r="B107" s="135">
        <f>+'E-Factor PRIOR Sch LKM-4'!B128</f>
        <v>44593</v>
      </c>
      <c r="C107" s="166">
        <f>'E-Factor PRIOR Sch LKM-4'!J128</f>
        <v>69863.31569160003</v>
      </c>
      <c r="D107" s="166">
        <f t="shared" si="28"/>
        <v>90771.660302400123</v>
      </c>
      <c r="E107" s="167">
        <f>D107*('Assumptions and Inputs'!$C$52)/12</f>
        <v>18.910762563000027</v>
      </c>
      <c r="G107" s="166">
        <v>-2629.2391816957388</v>
      </c>
      <c r="H107" s="166">
        <v>-21456.890192191466</v>
      </c>
      <c r="I107" s="167">
        <v>-4.4701854567065551</v>
      </c>
      <c r="K107" s="167">
        <f t="shared" si="27"/>
        <v>23.380948019706583</v>
      </c>
    </row>
    <row r="108" spans="2:11" x14ac:dyDescent="0.3">
      <c r="B108" s="131">
        <f>+'E-Factor PRIOR Sch LKM-4'!B129</f>
        <v>44621</v>
      </c>
      <c r="C108" s="163">
        <f>'E-Factor PRIOR Sch LKM-4'!J129</f>
        <v>125927.24124960008</v>
      </c>
      <c r="D108" s="163">
        <f t="shared" si="28"/>
        <v>216698.9015520002</v>
      </c>
      <c r="E108" s="164">
        <f>D108*('Assumptions and Inputs'!$C$52)/12</f>
        <v>45.145604490000039</v>
      </c>
      <c r="G108" s="163">
        <v>-2629.2391816957388</v>
      </c>
      <c r="H108" s="163">
        <v>-24086.129373887205</v>
      </c>
      <c r="I108" s="164">
        <v>-5.0179436195598344</v>
      </c>
      <c r="K108" s="164">
        <f t="shared" si="27"/>
        <v>50.163548109559876</v>
      </c>
    </row>
    <row r="109" spans="2:11" x14ac:dyDescent="0.3">
      <c r="B109" s="135">
        <f>+'E-Factor PRIOR Sch LKM-4'!B130</f>
        <v>44652</v>
      </c>
      <c r="C109" s="166">
        <f>'E-Factor PRIOR Sch LKM-4'!J130</f>
        <v>179158.25265119999</v>
      </c>
      <c r="D109" s="166">
        <f t="shared" si="28"/>
        <v>395857.15420320019</v>
      </c>
      <c r="E109" s="167">
        <f>D109*('Assumptions and Inputs'!$C$52)/12</f>
        <v>82.470240459000038</v>
      </c>
      <c r="G109" s="166">
        <v>-2629.2391816957388</v>
      </c>
      <c r="H109" s="166">
        <v>-26715.368555582943</v>
      </c>
      <c r="I109" s="167">
        <v>-5.5657017824131136</v>
      </c>
      <c r="K109" s="167">
        <f t="shared" si="27"/>
        <v>88.035942241413153</v>
      </c>
    </row>
    <row r="110" spans="2:11" x14ac:dyDescent="0.3">
      <c r="B110" s="131">
        <f>+'E-Factor PRIOR Sch LKM-4'!B131</f>
        <v>44682</v>
      </c>
      <c r="C110" s="163">
        <f>'E-Factor PRIOR Sch LKM-4'!J131</f>
        <v>183070.34828760006</v>
      </c>
      <c r="D110" s="163">
        <f t="shared" si="28"/>
        <v>578927.50249080022</v>
      </c>
      <c r="E110" s="164">
        <f>D110*('Assumptions and Inputs'!$C$52)/12</f>
        <v>120.60989635225006</v>
      </c>
      <c r="G110" s="163">
        <v>-2629.2391816957388</v>
      </c>
      <c r="H110" s="163">
        <v>-29344.607737278682</v>
      </c>
      <c r="I110" s="164">
        <v>-6.113459945266392</v>
      </c>
      <c r="K110" s="164">
        <f t="shared" si="27"/>
        <v>126.72335629751646</v>
      </c>
    </row>
    <row r="111" spans="2:11" x14ac:dyDescent="0.3">
      <c r="B111" s="135">
        <f>+'E-Factor PRIOR Sch LKM-4'!B132</f>
        <v>44713</v>
      </c>
      <c r="C111" s="166">
        <f>'E-Factor PRIOR Sch LKM-4'!J132</f>
        <v>202472.18611080002</v>
      </c>
      <c r="D111" s="166">
        <f t="shared" si="28"/>
        <v>781399.68860160024</v>
      </c>
      <c r="E111" s="167">
        <f>D111*('Assumptions and Inputs'!$C$52)/12</f>
        <v>162.79160179200005</v>
      </c>
      <c r="G111" s="166">
        <v>-2629.2391816957388</v>
      </c>
      <c r="H111" s="166">
        <v>-31973.846918974421</v>
      </c>
      <c r="I111" s="167">
        <v>-6.6612181081196704</v>
      </c>
      <c r="K111" s="167">
        <f t="shared" si="27"/>
        <v>169.45281990011972</v>
      </c>
    </row>
    <row r="112" spans="2:11" x14ac:dyDescent="0.3">
      <c r="B112" s="131">
        <f>+'E-Factor PRIOR Sch LKM-4'!B133</f>
        <v>44743</v>
      </c>
      <c r="C112" s="163">
        <f>'E-Factor PRIOR Sch LKM-4'!J133</f>
        <v>194958.50792279997</v>
      </c>
      <c r="D112" s="163">
        <f t="shared" si="28"/>
        <v>976358.19652440026</v>
      </c>
      <c r="E112" s="164">
        <f>D112*('Assumptions and Inputs'!$C$52)/12</f>
        <v>203.40795760925005</v>
      </c>
      <c r="G112" s="163">
        <v>-30869.555602368375</v>
      </c>
      <c r="H112" s="163">
        <v>-62843.402521342796</v>
      </c>
      <c r="I112" s="164">
        <v>-13.092375525279749</v>
      </c>
      <c r="K112" s="164">
        <f t="shared" si="27"/>
        <v>216.5003331345298</v>
      </c>
    </row>
    <row r="113" spans="2:11" x14ac:dyDescent="0.3">
      <c r="B113" s="135">
        <f>+'E-Factor PRIOR Sch LKM-4'!B134</f>
        <v>44774</v>
      </c>
      <c r="C113" s="166">
        <f>'E-Factor PRIOR Sch LKM-4'!J134</f>
        <v>177450.60294119996</v>
      </c>
      <c r="D113" s="166">
        <f t="shared" ref="D113" si="29">D112+C113</f>
        <v>1153808.7994656002</v>
      </c>
      <c r="E113" s="167">
        <f>D113*('Assumptions and Inputs'!$C$52)/12</f>
        <v>240.37683322200004</v>
      </c>
      <c r="G113" s="166">
        <v>-87350.188443713763</v>
      </c>
      <c r="H113" s="166">
        <v>-150193.59096505656</v>
      </c>
      <c r="I113" s="167">
        <v>-31.290331451053451</v>
      </c>
      <c r="K113" s="167">
        <v>60.408494999279803</v>
      </c>
    </row>
    <row r="114" spans="2:11" x14ac:dyDescent="0.3">
      <c r="B114" s="201" t="s">
        <v>151</v>
      </c>
      <c r="C114" s="134"/>
      <c r="D114" s="203"/>
      <c r="E114" s="134">
        <f>SUM(E102:E113)</f>
        <v>879.99697317325047</v>
      </c>
      <c r="G114" s="134"/>
      <c r="H114" s="203"/>
      <c r="I114" s="134">
        <v>-42.915601226198582</v>
      </c>
      <c r="K114" s="134">
        <f>E114-I114</f>
        <v>922.912574399449</v>
      </c>
    </row>
    <row r="115" spans="2:11" x14ac:dyDescent="0.3">
      <c r="E115" s="63"/>
      <c r="I115" s="63"/>
      <c r="K115" s="63"/>
    </row>
    <row r="116" spans="2:11" x14ac:dyDescent="0.3">
      <c r="D116" s="146" t="s">
        <v>259</v>
      </c>
      <c r="E116" s="147">
        <f>E114</f>
        <v>879.99697317325047</v>
      </c>
      <c r="F116" s="148"/>
      <c r="H116" s="146" t="s">
        <v>259</v>
      </c>
      <c r="I116" s="147">
        <f>I114</f>
        <v>-42.915601226198582</v>
      </c>
      <c r="K116" s="155">
        <f>E116-I116</f>
        <v>922.912574399449</v>
      </c>
    </row>
    <row r="117" spans="2:11" x14ac:dyDescent="0.3">
      <c r="B117" s="58" t="s">
        <v>205</v>
      </c>
      <c r="E117" s="63"/>
      <c r="G117" s="58"/>
      <c r="I117" s="63"/>
    </row>
    <row r="118" spans="2:11" x14ac:dyDescent="0.3">
      <c r="B118" s="149" t="s">
        <v>270</v>
      </c>
    </row>
    <row r="119" spans="2:11" x14ac:dyDescent="0.3">
      <c r="B119" s="149" t="str">
        <f>"(3) Interest calculated monthly based on 1-year interest rate for constant maturity U.S. Treasury Securities as published in the Federal Reserve Statistical Release H.15 (519) on "&amp;TEXT('Assumptions and Inputs'!$C$53,"MMMM DD, YYYY")&amp;"."</f>
        <v>(3) Interest calculated monthly based on 1-year interest rate for constant maturity U.S. Treasury Securities as published in the Federal Reserve Statistical Release H.15 (519) on December 01, 2021.</v>
      </c>
    </row>
    <row r="120" spans="2:11" x14ac:dyDescent="0.3">
      <c r="B120" s="149" t="s">
        <v>271</v>
      </c>
    </row>
    <row r="121" spans="2:11" x14ac:dyDescent="0.3"/>
    <row r="122" spans="2:11" x14ac:dyDescent="0.3"/>
    <row r="123" spans="2:11" x14ac:dyDescent="0.3"/>
    <row r="124" spans="2:11" x14ac:dyDescent="0.3"/>
    <row r="125" spans="2:11" x14ac:dyDescent="0.3"/>
    <row r="126" spans="2:11" x14ac:dyDescent="0.3"/>
    <row r="127" spans="2:11" x14ac:dyDescent="0.3"/>
    <row r="128" spans="2:11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  <row r="151" x14ac:dyDescent="0.3"/>
    <row r="152" x14ac:dyDescent="0.3"/>
    <row r="153" x14ac:dyDescent="0.3"/>
    <row r="154" x14ac:dyDescent="0.3"/>
    <row r="155" x14ac:dyDescent="0.3"/>
    <row r="156" x14ac:dyDescent="0.3"/>
    <row r="157" x14ac:dyDescent="0.3"/>
    <row r="158" x14ac:dyDescent="0.3"/>
    <row r="159" x14ac:dyDescent="0.3"/>
    <row r="160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  <row r="173" x14ac:dyDescent="0.3"/>
  </sheetData>
  <printOptions horizontalCentered="1"/>
  <pageMargins left="0.7" right="0.7" top="0.75" bottom="0.5" header="0.3" footer="0.3"/>
  <pageSetup scale="61" orientation="landscape" r:id="rId1"/>
  <headerFooter>
    <oddHeader xml:space="preserve">&amp;R&amp;"Gisha,Regular"Schedule LKM-6
</oddHeader>
  </headerFooter>
  <ignoredErrors>
    <ignoredError sqref="C71:D71 G9 G39 C100:D100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theme="4" tint="-0.249977111117893"/>
  </sheetPr>
  <dimension ref="B2:F19"/>
  <sheetViews>
    <sheetView showGridLines="0" zoomScaleNormal="100" workbookViewId="0">
      <selection activeCell="D7" sqref="D7"/>
    </sheetView>
  </sheetViews>
  <sheetFormatPr defaultColWidth="9.109375" defaultRowHeight="14.4" x14ac:dyDescent="0.3"/>
  <cols>
    <col min="1" max="1" width="9.109375" style="18"/>
    <col min="2" max="2" width="8.5546875" style="18" customWidth="1"/>
    <col min="3" max="3" width="27.109375" style="18" customWidth="1"/>
    <col min="4" max="4" width="18.88671875" style="18" customWidth="1"/>
    <col min="5" max="5" width="20.88671875" style="18" bestFit="1" customWidth="1"/>
    <col min="6" max="6" width="15" style="18" customWidth="1"/>
    <col min="7" max="7" width="4.109375" style="18" customWidth="1"/>
    <col min="8" max="8" width="4.44140625" style="18" customWidth="1"/>
    <col min="9" max="16384" width="9.109375" style="18"/>
  </cols>
  <sheetData>
    <row r="2" spans="2:6" hidden="1" x14ac:dyDescent="0.3">
      <c r="B2" s="19" t="s">
        <v>31</v>
      </c>
      <c r="C2" s="19"/>
      <c r="D2" s="19"/>
      <c r="E2" s="19"/>
      <c r="F2" s="19"/>
    </row>
    <row r="3" spans="2:6" x14ac:dyDescent="0.3">
      <c r="B3" s="19" t="str">
        <f>"Table 5 - Application of TAP Rate Rider Adjustment Effective "&amp;TEXT('Assumptions and Inputs'!C65,"MMMM DD, YYYY")</f>
        <v>Table 5 - Application of TAP Rate Rider Adjustment Effective September 01, 2023</v>
      </c>
      <c r="C3" s="19"/>
      <c r="D3" s="19"/>
      <c r="E3" s="19"/>
      <c r="F3" s="19"/>
    </row>
    <row r="4" spans="2:6" ht="15.6" x14ac:dyDescent="0.3">
      <c r="B4" s="66"/>
      <c r="C4" s="174"/>
      <c r="D4" s="175" t="s">
        <v>277</v>
      </c>
      <c r="E4" s="175" t="s">
        <v>278</v>
      </c>
      <c r="F4" s="176" t="s">
        <v>151</v>
      </c>
    </row>
    <row r="5" spans="2:6" x14ac:dyDescent="0.3">
      <c r="B5" s="177"/>
      <c r="C5" s="177" t="s">
        <v>29</v>
      </c>
      <c r="D5" s="177" t="s">
        <v>279</v>
      </c>
      <c r="E5" s="177" t="s">
        <v>279</v>
      </c>
      <c r="F5" s="177" t="s">
        <v>151</v>
      </c>
    </row>
    <row r="6" spans="2:6" x14ac:dyDescent="0.3">
      <c r="B6" s="178"/>
      <c r="C6" s="81" t="s">
        <v>280</v>
      </c>
      <c r="D6" s="179" t="s">
        <v>281</v>
      </c>
      <c r="E6" s="179" t="s">
        <v>281</v>
      </c>
      <c r="F6" s="179" t="s">
        <v>281</v>
      </c>
    </row>
    <row r="7" spans="2:6" x14ac:dyDescent="0.3">
      <c r="B7" s="180">
        <v>1</v>
      </c>
      <c r="C7" s="180" t="s">
        <v>282</v>
      </c>
      <c r="D7" s="181">
        <v>61.14</v>
      </c>
      <c r="E7" s="182">
        <f>'Summary Sch LKM-1'!$G$19</f>
        <v>0.09</v>
      </c>
      <c r="F7" s="182">
        <f>D7+E7</f>
        <v>61.230000000000004</v>
      </c>
    </row>
    <row r="8" spans="2:6" x14ac:dyDescent="0.3">
      <c r="B8" s="180">
        <f>B7+1</f>
        <v>2</v>
      </c>
      <c r="C8" s="180" t="s">
        <v>283</v>
      </c>
      <c r="D8" s="181">
        <v>54.93</v>
      </c>
      <c r="E8" s="182">
        <f>'Summary Sch LKM-1'!$G$19</f>
        <v>0.09</v>
      </c>
      <c r="F8" s="182">
        <f t="shared" ref="F8:F10" si="0">D8+E8</f>
        <v>55.02</v>
      </c>
    </row>
    <row r="9" spans="2:6" x14ac:dyDescent="0.3">
      <c r="B9" s="180">
        <f>B8+1</f>
        <v>3</v>
      </c>
      <c r="C9" s="180" t="s">
        <v>284</v>
      </c>
      <c r="D9" s="181">
        <v>42.55</v>
      </c>
      <c r="E9" s="182">
        <f>'Summary Sch LKM-1'!$G$19</f>
        <v>0.09</v>
      </c>
      <c r="F9" s="182">
        <f t="shared" si="0"/>
        <v>42.64</v>
      </c>
    </row>
    <row r="10" spans="2:6" x14ac:dyDescent="0.3">
      <c r="B10" s="180">
        <f>B9+1</f>
        <v>4</v>
      </c>
      <c r="C10" s="180" t="s">
        <v>285</v>
      </c>
      <c r="D10" s="181">
        <v>41.4</v>
      </c>
      <c r="E10" s="182">
        <f>'Summary Sch LKM-1'!$G$19</f>
        <v>0.09</v>
      </c>
      <c r="F10" s="182">
        <f t="shared" si="0"/>
        <v>41.49</v>
      </c>
    </row>
    <row r="11" spans="2:6" ht="15.6" x14ac:dyDescent="0.3">
      <c r="B11" s="66"/>
      <c r="C11" s="174"/>
      <c r="D11" s="71"/>
      <c r="E11" s="183"/>
      <c r="F11" s="183"/>
    </row>
    <row r="12" spans="2:6" x14ac:dyDescent="0.3">
      <c r="B12" s="178"/>
      <c r="C12" s="178" t="s">
        <v>286</v>
      </c>
      <c r="D12" s="179" t="s">
        <v>281</v>
      </c>
      <c r="E12" s="184" t="s">
        <v>281</v>
      </c>
      <c r="F12" s="184" t="s">
        <v>281</v>
      </c>
    </row>
    <row r="13" spans="2:6" x14ac:dyDescent="0.3">
      <c r="B13" s="66">
        <f>B10+1</f>
        <v>5</v>
      </c>
      <c r="C13" s="66" t="s">
        <v>287</v>
      </c>
      <c r="D13" s="181">
        <v>39.61</v>
      </c>
      <c r="E13" s="182">
        <f>'Summary Sch LKM-1'!$J$19</f>
        <v>0.14000000000000001</v>
      </c>
      <c r="F13" s="182">
        <f>D13+E13</f>
        <v>39.75</v>
      </c>
    </row>
    <row r="14" spans="2:6" x14ac:dyDescent="0.3">
      <c r="B14" s="66"/>
      <c r="C14" s="66"/>
      <c r="D14" s="182"/>
      <c r="E14" s="182"/>
      <c r="F14" s="182"/>
    </row>
    <row r="15" spans="2:6" x14ac:dyDescent="0.3">
      <c r="B15" s="58" t="s">
        <v>205</v>
      </c>
      <c r="D15" s="185"/>
    </row>
    <row r="16" spans="2:6" x14ac:dyDescent="0.3">
      <c r="B16" s="149" t="str">
        <f>"Proposed Base Rates reflect the quantity charges, per the "&amp;TEXT('Assumptions and Inputs'!C69,)&amp;" and "&amp;TEXT('Assumptions and Inputs'!C71,)&amp;" Rate Proceeding."</f>
        <v>Proposed Base Rates reflect the quantity charges, per the FY 2024 and FY 2025 Rate Proceeding.</v>
      </c>
    </row>
    <row r="17" spans="2:2" x14ac:dyDescent="0.3">
      <c r="B17" s="149" t="str">
        <f>"Rates are proposed to be effective on "&amp;TEXT('Assumptions and Inputs'!C65,"MMMM DD, YYYY")&amp;"."</f>
        <v>Rates are proposed to be effective on September 01, 2023.</v>
      </c>
    </row>
    <row r="18" spans="2:2" x14ac:dyDescent="0.3">
      <c r="B18" s="149" t="s">
        <v>288</v>
      </c>
    </row>
    <row r="19" spans="2:2" x14ac:dyDescent="0.3">
      <c r="B19" s="186"/>
    </row>
  </sheetData>
  <printOptions horizontalCentered="1"/>
  <pageMargins left="0.7" right="0.7" top="0.75" bottom="0.75" header="0.3" footer="0.3"/>
  <pageSetup scale="97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499984740745262"/>
    <pageSetUpPr fitToPage="1"/>
  </sheetPr>
  <dimension ref="A1:B19"/>
  <sheetViews>
    <sheetView showGridLines="0" topLeftCell="A7" zoomScale="110" zoomScaleNormal="110" zoomScaleSheetLayoutView="100" workbookViewId="0">
      <selection activeCell="A2" sqref="A2:B2"/>
    </sheetView>
  </sheetViews>
  <sheetFormatPr defaultColWidth="0" defaultRowHeight="14.4" zeroHeight="1" x14ac:dyDescent="0.3"/>
  <cols>
    <col min="1" max="1" width="43.6640625" style="18" customWidth="1"/>
    <col min="2" max="2" width="124" style="18" bestFit="1" customWidth="1"/>
    <col min="3" max="16384" width="9.109375" style="18" hidden="1"/>
  </cols>
  <sheetData>
    <row r="1" spans="1:2" x14ac:dyDescent="0.3">
      <c r="A1" s="216" t="s">
        <v>6</v>
      </c>
      <c r="B1" s="216"/>
    </row>
    <row r="2" spans="1:2" x14ac:dyDescent="0.3">
      <c r="A2" s="217" t="s">
        <v>7</v>
      </c>
      <c r="B2" s="217"/>
    </row>
    <row r="3" spans="1:2" x14ac:dyDescent="0.3">
      <c r="A3" s="218"/>
      <c r="B3" s="218"/>
    </row>
    <row r="4" spans="1:2" x14ac:dyDescent="0.3">
      <c r="A4" s="219"/>
      <c r="B4" s="219"/>
    </row>
    <row r="5" spans="1:2" x14ac:dyDescent="0.3">
      <c r="A5" s="52"/>
      <c r="B5" s="52"/>
    </row>
    <row r="6" spans="1:2" x14ac:dyDescent="0.3">
      <c r="A6" s="53" t="s">
        <v>8</v>
      </c>
      <c r="B6" s="53" t="s">
        <v>9</v>
      </c>
    </row>
    <row r="7" spans="1:2" x14ac:dyDescent="0.3">
      <c r="A7" s="54" t="s">
        <v>10</v>
      </c>
      <c r="B7" s="18" t="s">
        <v>11</v>
      </c>
    </row>
    <row r="8" spans="1:2" x14ac:dyDescent="0.3">
      <c r="A8" s="55" t="s">
        <v>12</v>
      </c>
      <c r="B8" s="18" t="s">
        <v>12</v>
      </c>
    </row>
    <row r="9" spans="1:2" x14ac:dyDescent="0.3">
      <c r="A9" s="55" t="s">
        <v>13</v>
      </c>
      <c r="B9" s="18" t="s">
        <v>14</v>
      </c>
    </row>
    <row r="10" spans="1:2" x14ac:dyDescent="0.3">
      <c r="A10" s="56" t="s">
        <v>15</v>
      </c>
      <c r="B10" s="18" t="s">
        <v>16</v>
      </c>
    </row>
    <row r="11" spans="1:2" x14ac:dyDescent="0.3">
      <c r="A11" s="56" t="s">
        <v>17</v>
      </c>
      <c r="B11" s="18" t="s">
        <v>18</v>
      </c>
    </row>
    <row r="12" spans="1:2" x14ac:dyDescent="0.3">
      <c r="A12" s="56" t="s">
        <v>19</v>
      </c>
      <c r="B12" s="18" t="s">
        <v>20</v>
      </c>
    </row>
    <row r="13" spans="1:2" x14ac:dyDescent="0.3">
      <c r="A13" s="56" t="s">
        <v>21</v>
      </c>
      <c r="B13" s="18" t="s">
        <v>22</v>
      </c>
    </row>
    <row r="14" spans="1:2" x14ac:dyDescent="0.3">
      <c r="A14" s="56" t="s">
        <v>23</v>
      </c>
      <c r="B14" s="18" t="s">
        <v>24</v>
      </c>
    </row>
    <row r="15" spans="1:2" x14ac:dyDescent="0.3">
      <c r="A15" s="56" t="s">
        <v>25</v>
      </c>
      <c r="B15" s="18" t="s">
        <v>26</v>
      </c>
    </row>
    <row r="16" spans="1:2" x14ac:dyDescent="0.3">
      <c r="A16" s="56" t="s">
        <v>27</v>
      </c>
      <c r="B16" s="18" t="s">
        <v>28</v>
      </c>
    </row>
    <row r="17" spans="1:2" x14ac:dyDescent="0.3">
      <c r="A17" s="56" t="s">
        <v>29</v>
      </c>
      <c r="B17" s="18" t="s">
        <v>30</v>
      </c>
    </row>
    <row r="18" spans="1:2" x14ac:dyDescent="0.3"/>
    <row r="19" spans="1:2" x14ac:dyDescent="0.3"/>
  </sheetData>
  <mergeCells count="4">
    <mergeCell ref="A1:B1"/>
    <mergeCell ref="A2:B2"/>
    <mergeCell ref="A3:B3"/>
    <mergeCell ref="A4:B4"/>
  </mergeCells>
  <hyperlinks>
    <hyperlink ref="A7" location="Home!A1" display="Home" xr:uid="{00000000-0004-0000-0100-000000000000}"/>
    <hyperlink ref="A8" location="'Table of Contents'!A1" display="Table of Contents" xr:uid="{00000000-0004-0000-0100-000001000000}"/>
    <hyperlink ref="A9" location="'Assumptions and Inputs'!A1" display="Assumptions and Inputs " xr:uid="{00000000-0004-0000-0100-000002000000}"/>
    <hyperlink ref="A10" location="Customer!A1" display="Customer" xr:uid="{00000000-0004-0000-0100-000003000000}"/>
    <hyperlink ref="A11" location="Summary!A1" display="Summary " xr:uid="{00000000-0004-0000-0100-000004000000}"/>
    <hyperlink ref="A12" location="'C-Factor'!A1" display="C-Factor" xr:uid="{00000000-0004-0000-0100-000005000000}"/>
    <hyperlink ref="A13" location="'E-Factor'!A1" display="E-Factor" xr:uid="{00000000-0004-0000-0100-000006000000}"/>
    <hyperlink ref="A15" location="'I-Factor'!A1" display="I-Factor" xr:uid="{00000000-0004-0000-0100-000007000000}"/>
    <hyperlink ref="A17" location="Rates!A1" display="Rates" xr:uid="{00000000-0004-0000-0100-000008000000}"/>
    <hyperlink ref="A14" location="'E-Factor PRIOR'!A1" display="E-Factor Prior" xr:uid="{D98F2539-414F-44E7-AD81-67F9A6AE3DB6}"/>
    <hyperlink ref="A16" location="'I-Factor PRIOR'!A1" display="I-Factor Prior" xr:uid="{80DC8295-C8A1-4AF9-86EA-2F65B4B95CC8}"/>
  </hyperlinks>
  <pageMargins left="0.7" right="0.7" top="0.75" bottom="0.75" header="0.3" footer="0.3"/>
  <pageSetup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Z126"/>
  <sheetViews>
    <sheetView zoomScale="90" zoomScaleNormal="90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B45" sqref="B45"/>
    </sheetView>
  </sheetViews>
  <sheetFormatPr defaultColWidth="0" defaultRowHeight="14.4" zeroHeight="1" x14ac:dyDescent="0.3"/>
  <cols>
    <col min="1" max="1" width="4.88671875" style="18" customWidth="1"/>
    <col min="2" max="2" width="53.109375" style="18" customWidth="1"/>
    <col min="3" max="3" width="20.88671875" style="18" customWidth="1"/>
    <col min="4" max="4" width="12.6640625" style="18" customWidth="1"/>
    <col min="5" max="5" width="3.109375" style="18" customWidth="1"/>
    <col min="6" max="6" width="66.5546875" style="18" customWidth="1"/>
    <col min="7" max="7" width="33" style="18" customWidth="1"/>
    <col min="8" max="8" width="62.109375" style="18" customWidth="1"/>
    <col min="9" max="25" width="9.109375" style="18" customWidth="1"/>
    <col min="26" max="26" width="0" style="18" hidden="1" customWidth="1"/>
    <col min="27" max="16384" width="9.109375" style="18" hidden="1"/>
  </cols>
  <sheetData>
    <row r="1" spans="2:8" x14ac:dyDescent="0.3"/>
    <row r="2" spans="2:8" x14ac:dyDescent="0.3">
      <c r="B2" s="19" t="s">
        <v>31</v>
      </c>
      <c r="C2" s="19"/>
      <c r="D2" s="19"/>
      <c r="E2" s="19"/>
      <c r="F2" s="19"/>
      <c r="G2" s="19"/>
      <c r="H2" s="19"/>
    </row>
    <row r="3" spans="2:8" x14ac:dyDescent="0.3">
      <c r="B3" s="19" t="s">
        <v>32</v>
      </c>
      <c r="C3" s="19"/>
      <c r="D3" s="19"/>
      <c r="E3" s="19"/>
      <c r="F3" s="19"/>
      <c r="G3" s="19"/>
      <c r="H3" s="19"/>
    </row>
    <row r="4" spans="2:8" x14ac:dyDescent="0.3"/>
    <row r="5" spans="2:8" x14ac:dyDescent="0.3">
      <c r="B5" s="20" t="s">
        <v>33</v>
      </c>
      <c r="C5" s="20"/>
      <c r="D5" s="20"/>
      <c r="E5" s="20"/>
      <c r="F5" s="20" t="s">
        <v>34</v>
      </c>
      <c r="G5" s="20" t="s">
        <v>35</v>
      </c>
      <c r="H5" s="20" t="s">
        <v>36</v>
      </c>
    </row>
    <row r="6" spans="2:8" x14ac:dyDescent="0.3"/>
    <row r="7" spans="2:8" x14ac:dyDescent="0.3">
      <c r="B7" s="21" t="s">
        <v>37</v>
      </c>
      <c r="C7" s="22"/>
      <c r="D7" s="22"/>
      <c r="E7" s="22"/>
      <c r="F7" s="22"/>
      <c r="G7" s="22"/>
      <c r="H7" s="22"/>
    </row>
    <row r="8" spans="2:8" x14ac:dyDescent="0.3">
      <c r="B8" s="23"/>
      <c r="D8" s="24"/>
      <c r="E8" s="25"/>
      <c r="F8" s="26"/>
      <c r="G8" s="27"/>
      <c r="H8" s="27"/>
    </row>
    <row r="9" spans="2:8" x14ac:dyDescent="0.3">
      <c r="B9" s="23" t="s">
        <v>38</v>
      </c>
      <c r="C9" s="224" t="str">
        <f>[1]TRR_Summary!$B$4</f>
        <v>$50.31</v>
      </c>
      <c r="E9" s="25"/>
      <c r="F9" s="27" t="s">
        <v>39</v>
      </c>
      <c r="G9" s="27" t="s">
        <v>40</v>
      </c>
      <c r="H9" s="27"/>
    </row>
    <row r="10" spans="2:8" x14ac:dyDescent="0.3">
      <c r="B10" s="23"/>
      <c r="C10" s="28"/>
      <c r="E10" s="25"/>
      <c r="F10" s="26"/>
      <c r="G10" s="27"/>
      <c r="H10" s="27"/>
    </row>
    <row r="11" spans="2:8" x14ac:dyDescent="0.3">
      <c r="B11" s="23" t="s">
        <v>41</v>
      </c>
      <c r="C11" s="209">
        <f>[1]TRR_Summary!$B$5</f>
        <v>735</v>
      </c>
      <c r="E11" s="25"/>
      <c r="F11" s="27" t="s">
        <v>39</v>
      </c>
      <c r="G11" s="27" t="s">
        <v>40</v>
      </c>
      <c r="H11" s="27" t="s">
        <v>42</v>
      </c>
    </row>
    <row r="12" spans="2:8" x14ac:dyDescent="0.3">
      <c r="B12" s="23"/>
      <c r="C12" s="29"/>
      <c r="E12" s="25"/>
      <c r="F12" s="27"/>
      <c r="G12" s="27"/>
      <c r="H12" s="27"/>
    </row>
    <row r="13" spans="2:8" x14ac:dyDescent="0.3">
      <c r="B13" s="23" t="s">
        <v>43</v>
      </c>
      <c r="C13" s="210">
        <f>[1]TRR_Summary!$E$13</f>
        <v>15482.787685676738</v>
      </c>
      <c r="E13" s="25"/>
      <c r="F13" s="27" t="s">
        <v>39</v>
      </c>
      <c r="G13" s="27" t="s">
        <v>44</v>
      </c>
      <c r="H13" s="27"/>
    </row>
    <row r="14" spans="2:8" x14ac:dyDescent="0.3">
      <c r="B14" s="23"/>
      <c r="E14" s="25"/>
      <c r="F14" s="27"/>
      <c r="G14" s="27"/>
      <c r="H14" s="27"/>
    </row>
    <row r="15" spans="2:8" x14ac:dyDescent="0.3">
      <c r="B15" s="23" t="s">
        <v>45</v>
      </c>
      <c r="C15" s="211">
        <f>[1]TRR_Summary!$G$13</f>
        <v>9347268.5815967619</v>
      </c>
      <c r="E15" s="25"/>
      <c r="F15" s="27" t="s">
        <v>39</v>
      </c>
      <c r="G15" s="27" t="s">
        <v>44</v>
      </c>
      <c r="H15" s="27"/>
    </row>
    <row r="16" spans="2:8" x14ac:dyDescent="0.3">
      <c r="C16" s="63"/>
    </row>
    <row r="17" spans="2:14" x14ac:dyDescent="0.3">
      <c r="B17" s="30" t="s">
        <v>46</v>
      </c>
      <c r="C17" s="31"/>
      <c r="D17" s="31"/>
      <c r="E17" s="31"/>
      <c r="F17" s="31"/>
      <c r="G17" s="31"/>
      <c r="H17" s="31"/>
    </row>
    <row r="18" spans="2:14" x14ac:dyDescent="0.3"/>
    <row r="19" spans="2:14" x14ac:dyDescent="0.3">
      <c r="B19" s="18" t="s">
        <v>47</v>
      </c>
      <c r="C19" s="32">
        <v>0</v>
      </c>
      <c r="F19" s="18" t="s">
        <v>48</v>
      </c>
      <c r="G19" s="37"/>
      <c r="J19" s="37"/>
      <c r="N19" s="37"/>
    </row>
    <row r="20" spans="2:14" x14ac:dyDescent="0.3">
      <c r="G20" s="33"/>
    </row>
    <row r="21" spans="2:14" x14ac:dyDescent="0.3">
      <c r="B21" s="18" t="s">
        <v>49</v>
      </c>
      <c r="C21" s="34">
        <v>10</v>
      </c>
    </row>
    <row r="22" spans="2:14" x14ac:dyDescent="0.3"/>
    <row r="23" spans="2:14" x14ac:dyDescent="0.3">
      <c r="B23" s="21" t="s">
        <v>50</v>
      </c>
      <c r="C23" s="22"/>
      <c r="D23" s="22"/>
      <c r="E23" s="22"/>
      <c r="F23" s="22"/>
      <c r="G23" s="22"/>
      <c r="H23" s="22"/>
    </row>
    <row r="24" spans="2:14" x14ac:dyDescent="0.3">
      <c r="B24" s="21"/>
      <c r="C24" s="22"/>
      <c r="D24" s="22"/>
      <c r="E24" s="22"/>
      <c r="F24" s="22"/>
      <c r="G24" s="22"/>
      <c r="H24" s="22"/>
    </row>
    <row r="25" spans="2:14" x14ac:dyDescent="0.3">
      <c r="B25" s="47"/>
    </row>
    <row r="26" spans="2:14" x14ac:dyDescent="0.3">
      <c r="B26" s="48" t="s">
        <v>51</v>
      </c>
    </row>
    <row r="27" spans="2:14" x14ac:dyDescent="0.3">
      <c r="B27" s="35" t="s">
        <v>52</v>
      </c>
      <c r="C27" s="36">
        <v>0.69</v>
      </c>
      <c r="D27" s="18" t="s">
        <v>53</v>
      </c>
      <c r="F27" s="37" t="s">
        <v>54</v>
      </c>
      <c r="G27" s="37" t="s">
        <v>55</v>
      </c>
      <c r="H27" s="37"/>
    </row>
    <row r="28" spans="2:14" x14ac:dyDescent="0.3">
      <c r="B28" s="35"/>
    </row>
    <row r="29" spans="2:14" x14ac:dyDescent="0.3">
      <c r="B29" s="35" t="s">
        <v>56</v>
      </c>
      <c r="C29" s="36">
        <v>1.0900000000000001</v>
      </c>
      <c r="D29" s="18" t="s">
        <v>53</v>
      </c>
      <c r="F29" s="37" t="s">
        <v>54</v>
      </c>
      <c r="G29" s="37" t="s">
        <v>57</v>
      </c>
      <c r="H29" s="37"/>
    </row>
    <row r="30" spans="2:14" x14ac:dyDescent="0.3">
      <c r="F30" s="37"/>
      <c r="G30" s="37"/>
      <c r="H30" s="37"/>
    </row>
    <row r="31" spans="2:14" x14ac:dyDescent="0.3">
      <c r="B31" s="48" t="s">
        <v>58</v>
      </c>
      <c r="F31" s="37"/>
      <c r="G31" s="37"/>
      <c r="H31" s="37"/>
    </row>
    <row r="32" spans="2:14" x14ac:dyDescent="0.3">
      <c r="B32" s="35" t="s">
        <v>52</v>
      </c>
      <c r="C32" s="36">
        <v>1.03</v>
      </c>
      <c r="D32" s="18" t="s">
        <v>53</v>
      </c>
      <c r="F32" s="37" t="s">
        <v>59</v>
      </c>
      <c r="G32" s="37" t="s">
        <v>55</v>
      </c>
      <c r="H32" s="37"/>
    </row>
    <row r="33" spans="2:8" x14ac:dyDescent="0.3">
      <c r="B33" s="35"/>
      <c r="H33" s="37"/>
    </row>
    <row r="34" spans="2:8" x14ac:dyDescent="0.3">
      <c r="B34" s="35" t="s">
        <v>56</v>
      </c>
      <c r="C34" s="36">
        <v>1.63</v>
      </c>
      <c r="D34" s="18" t="s">
        <v>53</v>
      </c>
      <c r="F34" s="37" t="s">
        <v>59</v>
      </c>
      <c r="G34" s="37" t="s">
        <v>57</v>
      </c>
      <c r="H34" s="37"/>
    </row>
    <row r="35" spans="2:8" x14ac:dyDescent="0.3"/>
    <row r="36" spans="2:8" x14ac:dyDescent="0.3">
      <c r="B36" s="38" t="s">
        <v>60</v>
      </c>
      <c r="C36" s="39"/>
      <c r="D36" s="39"/>
      <c r="E36" s="39"/>
      <c r="F36" s="39"/>
      <c r="G36" s="39"/>
      <c r="H36" s="39"/>
    </row>
    <row r="37" spans="2:8" x14ac:dyDescent="0.3"/>
    <row r="38" spans="2:8" x14ac:dyDescent="0.3">
      <c r="B38" s="23" t="s">
        <v>61</v>
      </c>
      <c r="C38" s="32">
        <v>0.97319999999999995</v>
      </c>
      <c r="F38" s="37" t="s">
        <v>59</v>
      </c>
      <c r="G38" s="37" t="s">
        <v>62</v>
      </c>
      <c r="H38" s="37"/>
    </row>
    <row r="39" spans="2:8" x14ac:dyDescent="0.3"/>
    <row r="40" spans="2:8" x14ac:dyDescent="0.3">
      <c r="B40" s="23" t="s">
        <v>63</v>
      </c>
      <c r="C40" s="40">
        <v>0.4</v>
      </c>
      <c r="F40" s="37" t="s">
        <v>59</v>
      </c>
      <c r="G40" s="37" t="s">
        <v>64</v>
      </c>
      <c r="H40" s="37"/>
    </row>
    <row r="41" spans="2:8" x14ac:dyDescent="0.3">
      <c r="B41" s="23"/>
      <c r="F41" s="37"/>
      <c r="G41" s="37"/>
      <c r="H41" s="37"/>
    </row>
    <row r="42" spans="2:8" x14ac:dyDescent="0.3">
      <c r="B42" s="23" t="s">
        <v>65</v>
      </c>
      <c r="C42" s="40">
        <v>0.6</v>
      </c>
      <c r="F42" s="37" t="s">
        <v>59</v>
      </c>
      <c r="G42" s="37" t="s">
        <v>66</v>
      </c>
      <c r="H42" s="37"/>
    </row>
    <row r="43" spans="2:8" x14ac:dyDescent="0.3">
      <c r="B43" s="23"/>
      <c r="F43" s="208"/>
      <c r="G43" s="37"/>
      <c r="H43" s="37"/>
    </row>
    <row r="44" spans="2:8" x14ac:dyDescent="0.3">
      <c r="B44" s="48" t="s">
        <v>67</v>
      </c>
      <c r="F44" s="37"/>
      <c r="G44" s="37"/>
      <c r="H44" s="37"/>
    </row>
    <row r="45" spans="2:8" x14ac:dyDescent="0.3">
      <c r="B45" s="23" t="s">
        <v>61</v>
      </c>
      <c r="C45" s="32">
        <v>0.97319999999999995</v>
      </c>
      <c r="F45" s="37" t="s">
        <v>54</v>
      </c>
      <c r="G45" s="37" t="s">
        <v>62</v>
      </c>
      <c r="H45" s="37"/>
    </row>
    <row r="46" spans="2:8" x14ac:dyDescent="0.3">
      <c r="H46" s="37"/>
    </row>
    <row r="47" spans="2:8" x14ac:dyDescent="0.3">
      <c r="B47" s="23" t="s">
        <v>63</v>
      </c>
      <c r="C47" s="40">
        <v>0.4</v>
      </c>
      <c r="F47" s="37" t="s">
        <v>54</v>
      </c>
      <c r="G47" s="37" t="s">
        <v>64</v>
      </c>
      <c r="H47" s="37"/>
    </row>
    <row r="48" spans="2:8" x14ac:dyDescent="0.3">
      <c r="B48" s="23"/>
      <c r="F48" s="37"/>
      <c r="G48" s="37"/>
      <c r="H48" s="37"/>
    </row>
    <row r="49" spans="2:8" x14ac:dyDescent="0.3">
      <c r="B49" s="23" t="s">
        <v>65</v>
      </c>
      <c r="C49" s="40">
        <v>0.6</v>
      </c>
      <c r="F49" s="37" t="s">
        <v>54</v>
      </c>
      <c r="G49" s="37" t="s">
        <v>66</v>
      </c>
      <c r="H49" s="37"/>
    </row>
    <row r="50" spans="2:8" x14ac:dyDescent="0.3">
      <c r="B50" s="23"/>
      <c r="F50" s="37"/>
      <c r="G50" s="37"/>
      <c r="H50" s="37"/>
    </row>
    <row r="51" spans="2:8" x14ac:dyDescent="0.3">
      <c r="B51" s="48" t="s">
        <v>67</v>
      </c>
    </row>
    <row r="52" spans="2:8" ht="16.2" x14ac:dyDescent="0.45">
      <c r="B52" s="23" t="s">
        <v>68</v>
      </c>
      <c r="C52" s="32">
        <v>2.5000000000000001E-3</v>
      </c>
      <c r="D52" s="41"/>
      <c r="F52" s="37" t="s">
        <v>59</v>
      </c>
      <c r="G52" s="37" t="s">
        <v>69</v>
      </c>
      <c r="H52" s="42" t="s">
        <v>70</v>
      </c>
    </row>
    <row r="53" spans="2:8" x14ac:dyDescent="0.3">
      <c r="B53" s="41" t="s">
        <v>71</v>
      </c>
      <c r="C53" s="43">
        <v>44531</v>
      </c>
      <c r="F53" s="207"/>
    </row>
    <row r="54" spans="2:8" x14ac:dyDescent="0.3">
      <c r="B54" s="41"/>
      <c r="C54" s="49"/>
    </row>
    <row r="55" spans="2:8" x14ac:dyDescent="0.3">
      <c r="B55" s="48" t="s">
        <v>72</v>
      </c>
    </row>
    <row r="56" spans="2:8" ht="16.2" x14ac:dyDescent="0.45">
      <c r="B56" s="23" t="s">
        <v>68</v>
      </c>
      <c r="C56" s="50">
        <v>4.6600000000000003E-2</v>
      </c>
      <c r="D56" s="41"/>
      <c r="F56" s="37" t="s">
        <v>73</v>
      </c>
      <c r="G56" s="37" t="s">
        <v>69</v>
      </c>
      <c r="H56" s="42" t="s">
        <v>70</v>
      </c>
    </row>
    <row r="57" spans="2:8" x14ac:dyDescent="0.3">
      <c r="B57" s="41" t="s">
        <v>71</v>
      </c>
      <c r="C57" s="51">
        <v>44896</v>
      </c>
    </row>
    <row r="58" spans="2:8" x14ac:dyDescent="0.3"/>
    <row r="59" spans="2:8" x14ac:dyDescent="0.3">
      <c r="B59" s="30" t="s">
        <v>74</v>
      </c>
      <c r="C59" s="31"/>
      <c r="D59" s="31"/>
      <c r="E59" s="31"/>
      <c r="F59" s="31"/>
      <c r="G59" s="31"/>
      <c r="H59" s="31"/>
    </row>
    <row r="60" spans="2:8" x14ac:dyDescent="0.3">
      <c r="C60" s="44"/>
      <c r="D60" s="44"/>
    </row>
    <row r="61" spans="2:8" x14ac:dyDescent="0.3">
      <c r="B61" s="45" t="s">
        <v>75</v>
      </c>
      <c r="C61" s="46">
        <v>12</v>
      </c>
    </row>
    <row r="62" spans="2:8" x14ac:dyDescent="0.3"/>
    <row r="63" spans="2:8" x14ac:dyDescent="0.3">
      <c r="B63" s="30" t="s">
        <v>76</v>
      </c>
      <c r="C63" s="31"/>
      <c r="D63" s="31"/>
      <c r="E63" s="31"/>
      <c r="F63" s="31"/>
      <c r="G63" s="31"/>
      <c r="H63" s="31"/>
    </row>
    <row r="64" spans="2:8" x14ac:dyDescent="0.3"/>
    <row r="65" spans="2:6" x14ac:dyDescent="0.3">
      <c r="B65" s="45" t="s">
        <v>77</v>
      </c>
      <c r="C65" s="193">
        <v>45170</v>
      </c>
    </row>
    <row r="66" spans="2:6" x14ac:dyDescent="0.3"/>
    <row r="67" spans="2:6" x14ac:dyDescent="0.3">
      <c r="B67" s="45" t="s">
        <v>78</v>
      </c>
      <c r="C67" s="193">
        <v>45535</v>
      </c>
    </row>
    <row r="68" spans="2:6" x14ac:dyDescent="0.3"/>
    <row r="69" spans="2:6" x14ac:dyDescent="0.3">
      <c r="B69" s="45" t="s">
        <v>79</v>
      </c>
      <c r="C69" s="46" t="s">
        <v>80</v>
      </c>
    </row>
    <row r="70" spans="2:6" x14ac:dyDescent="0.3"/>
    <row r="71" spans="2:6" x14ac:dyDescent="0.3">
      <c r="B71" s="45" t="s">
        <v>81</v>
      </c>
      <c r="C71" s="46" t="s">
        <v>82</v>
      </c>
    </row>
    <row r="72" spans="2:6" x14ac:dyDescent="0.3"/>
    <row r="73" spans="2:6" x14ac:dyDescent="0.3">
      <c r="B73" s="45" t="s">
        <v>83</v>
      </c>
      <c r="C73" s="192" t="s">
        <v>84</v>
      </c>
    </row>
    <row r="74" spans="2:6" x14ac:dyDescent="0.3"/>
    <row r="75" spans="2:6" x14ac:dyDescent="0.3">
      <c r="B75" s="45" t="s">
        <v>85</v>
      </c>
      <c r="C75" s="192" t="s">
        <v>86</v>
      </c>
    </row>
    <row r="76" spans="2:6" x14ac:dyDescent="0.3"/>
    <row r="77" spans="2:6" x14ac:dyDescent="0.3">
      <c r="B77" s="48" t="s">
        <v>87</v>
      </c>
    </row>
    <row r="78" spans="2:6" x14ac:dyDescent="0.3">
      <c r="B78" s="45" t="s">
        <v>88</v>
      </c>
    </row>
    <row r="79" spans="2:6" x14ac:dyDescent="0.3">
      <c r="B79" s="41" t="s">
        <v>89</v>
      </c>
      <c r="C79" s="194">
        <v>-80130.531540940254</v>
      </c>
      <c r="F79" s="33" t="s">
        <v>90</v>
      </c>
    </row>
    <row r="80" spans="2:6" x14ac:dyDescent="0.3">
      <c r="B80" s="41" t="s">
        <v>91</v>
      </c>
      <c r="C80" s="194">
        <v>-121536.07566878456</v>
      </c>
      <c r="F80" s="33" t="s">
        <v>92</v>
      </c>
    </row>
    <row r="81" spans="2:6" x14ac:dyDescent="0.3"/>
    <row r="82" spans="2:6" x14ac:dyDescent="0.3">
      <c r="B82" s="45" t="s">
        <v>93</v>
      </c>
    </row>
    <row r="83" spans="2:6" x14ac:dyDescent="0.3">
      <c r="B83" s="41" t="s">
        <v>89</v>
      </c>
      <c r="C83" s="194">
        <v>-9.0715483047607179</v>
      </c>
      <c r="F83" s="33" t="s">
        <v>94</v>
      </c>
    </row>
    <row r="84" spans="2:6" x14ac:dyDescent="0.3">
      <c r="B84" s="41" t="s">
        <v>91</v>
      </c>
      <c r="C84" s="194">
        <v>-44.384429747938377</v>
      </c>
      <c r="F84" s="33" t="s">
        <v>95</v>
      </c>
    </row>
    <row r="85" spans="2:6" x14ac:dyDescent="0.3"/>
    <row r="86" spans="2:6" x14ac:dyDescent="0.3"/>
    <row r="87" spans="2:6" x14ac:dyDescent="0.3"/>
    <row r="88" spans="2:6" x14ac:dyDescent="0.3"/>
    <row r="89" spans="2:6" x14ac:dyDescent="0.3"/>
    <row r="90" spans="2:6" x14ac:dyDescent="0.3"/>
    <row r="91" spans="2:6" x14ac:dyDescent="0.3"/>
    <row r="92" spans="2:6" x14ac:dyDescent="0.3"/>
    <row r="93" spans="2:6" x14ac:dyDescent="0.3"/>
    <row r="94" spans="2:6" x14ac:dyDescent="0.3"/>
    <row r="95" spans="2:6" x14ac:dyDescent="0.3"/>
    <row r="96" spans="2: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</sheetData>
  <hyperlinks>
    <hyperlink ref="H52" r:id="rId1" display="https://www.federalreserve.gov/releases/h15/" xr:uid="{00000000-0004-0000-0200-000000000000}"/>
    <hyperlink ref="H56" r:id="rId2" display="https://www.federalreserve.gov/releases/h15/" xr:uid="{7AD51F90-01FF-4DC8-BE14-85147F35CADC}"/>
  </hyperlinks>
  <pageMargins left="0.7" right="0.7" top="0.75" bottom="0.75" header="0.3" footer="0.3"/>
  <pageSetup scale="3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DC120"/>
  <sheetViews>
    <sheetView zoomScale="40" zoomScaleNormal="40" workbookViewId="0">
      <pane xSplit="2" ySplit="3" topLeftCell="BW34" activePane="bottomRight" state="frozen"/>
      <selection pane="topRight" activeCell="C1" sqref="C1"/>
      <selection pane="bottomLeft" activeCell="A4" sqref="A4"/>
      <selection pane="bottomRight" activeCell="CA66" sqref="CA66"/>
    </sheetView>
  </sheetViews>
  <sheetFormatPr defaultColWidth="0" defaultRowHeight="14.4" zeroHeight="1" x14ac:dyDescent="0.3"/>
  <cols>
    <col min="1" max="1" width="5.33203125" style="18" customWidth="1"/>
    <col min="2" max="2" width="40.88671875" style="18" customWidth="1"/>
    <col min="3" max="3" width="5.6640625" style="66" customWidth="1"/>
    <col min="4" max="53" width="15.6640625" style="18" customWidth="1"/>
    <col min="54" max="63" width="16.44140625" style="18" bestFit="1" customWidth="1"/>
    <col min="64" max="75" width="16.44140625" style="18" customWidth="1"/>
    <col min="76" max="76" width="1.6640625" style="67" customWidth="1"/>
    <col min="77" max="77" width="23" style="67" customWidth="1"/>
    <col min="78" max="78" width="2.6640625" style="67" customWidth="1"/>
    <col min="79" max="79" width="23" style="67" customWidth="1"/>
    <col min="80" max="80" width="1.6640625" style="67" customWidth="1"/>
    <col min="81" max="81" width="30" style="18" customWidth="1"/>
    <col min="82" max="82" width="59.109375" style="18" customWidth="1"/>
    <col min="83" max="87" width="9.109375" style="18" customWidth="1"/>
    <col min="88" max="88" width="16.88671875" style="18" customWidth="1"/>
    <col min="89" max="89" width="15.44140625" style="18" customWidth="1"/>
    <col min="90" max="90" width="12.88671875" style="18" customWidth="1"/>
    <col min="91" max="91" width="9.109375" style="18" customWidth="1"/>
    <col min="92" max="92" width="14.88671875" style="18" customWidth="1"/>
    <col min="93" max="95" width="9.109375" style="18" customWidth="1"/>
    <col min="96" max="96" width="14.88671875" style="18" customWidth="1"/>
    <col min="97" max="101" width="9.109375" style="18" customWidth="1"/>
    <col min="102" max="107" width="0" style="18" hidden="1" customWidth="1"/>
    <col min="108" max="16384" width="9.109375" style="18" hidden="1"/>
  </cols>
  <sheetData>
    <row r="1" spans="2:97" x14ac:dyDescent="0.3">
      <c r="D1" s="216" t="s">
        <v>96</v>
      </c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 t="s">
        <v>97</v>
      </c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 t="s">
        <v>98</v>
      </c>
      <c r="AC1" s="216"/>
      <c r="AD1" s="216"/>
      <c r="AE1" s="216"/>
      <c r="AF1" s="216"/>
      <c r="AG1" s="216"/>
      <c r="AH1" s="216"/>
      <c r="AI1" s="216"/>
      <c r="AJ1" s="216"/>
      <c r="AK1" s="216"/>
      <c r="AL1" s="216"/>
      <c r="AM1" s="216"/>
      <c r="AN1" s="216" t="s">
        <v>99</v>
      </c>
      <c r="AO1" s="216"/>
      <c r="AP1" s="216"/>
      <c r="AQ1" s="216"/>
      <c r="AR1" s="216"/>
      <c r="AS1" s="216"/>
      <c r="AT1" s="216"/>
      <c r="AU1" s="216"/>
      <c r="AV1" s="216"/>
      <c r="AW1" s="216"/>
      <c r="AX1" s="216"/>
      <c r="AY1" s="216"/>
      <c r="AZ1" s="218" t="s">
        <v>100</v>
      </c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20" t="s">
        <v>101</v>
      </c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</row>
    <row r="2" spans="2:97" x14ac:dyDescent="0.3">
      <c r="D2" s="44">
        <v>2018</v>
      </c>
      <c r="E2" s="57"/>
      <c r="F2" s="57"/>
      <c r="G2" s="57"/>
      <c r="H2" s="44">
        <v>2019</v>
      </c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221">
        <v>2020</v>
      </c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>
        <v>2021</v>
      </c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>
        <v>2022</v>
      </c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>
        <v>2023</v>
      </c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44">
        <v>2024</v>
      </c>
      <c r="BQ2" s="44"/>
      <c r="BR2" s="44"/>
      <c r="BS2" s="44"/>
      <c r="BT2" s="44"/>
      <c r="BU2" s="44"/>
      <c r="BV2" s="44"/>
      <c r="BW2" s="44"/>
    </row>
    <row r="3" spans="2:97" ht="28.8" x14ac:dyDescent="0.3">
      <c r="B3" s="20" t="s">
        <v>33</v>
      </c>
      <c r="C3" s="20"/>
      <c r="D3" s="68" t="s">
        <v>102</v>
      </c>
      <c r="E3" s="68" t="s">
        <v>103</v>
      </c>
      <c r="F3" s="68" t="s">
        <v>104</v>
      </c>
      <c r="G3" s="68" t="s">
        <v>105</v>
      </c>
      <c r="H3" s="68" t="s">
        <v>106</v>
      </c>
      <c r="I3" s="68" t="s">
        <v>107</v>
      </c>
      <c r="J3" s="68" t="s">
        <v>108</v>
      </c>
      <c r="K3" s="68" t="s">
        <v>109</v>
      </c>
      <c r="L3" s="68" t="s">
        <v>110</v>
      </c>
      <c r="M3" s="68" t="s">
        <v>111</v>
      </c>
      <c r="N3" s="68" t="s">
        <v>112</v>
      </c>
      <c r="O3" s="68" t="s">
        <v>113</v>
      </c>
      <c r="P3" s="68" t="s">
        <v>102</v>
      </c>
      <c r="Q3" s="68" t="s">
        <v>103</v>
      </c>
      <c r="R3" s="68" t="s">
        <v>104</v>
      </c>
      <c r="S3" s="68" t="s">
        <v>105</v>
      </c>
      <c r="T3" s="68" t="s">
        <v>106</v>
      </c>
      <c r="U3" s="68" t="s">
        <v>107</v>
      </c>
      <c r="V3" s="68" t="s">
        <v>108</v>
      </c>
      <c r="W3" s="68" t="s">
        <v>109</v>
      </c>
      <c r="X3" s="68" t="s">
        <v>110</v>
      </c>
      <c r="Y3" s="68" t="s">
        <v>111</v>
      </c>
      <c r="Z3" s="68" t="s">
        <v>112</v>
      </c>
      <c r="AA3" s="68" t="s">
        <v>113</v>
      </c>
      <c r="AB3" s="68" t="s">
        <v>102</v>
      </c>
      <c r="AC3" s="68" t="s">
        <v>114</v>
      </c>
      <c r="AD3" s="68" t="s">
        <v>104</v>
      </c>
      <c r="AE3" s="68" t="s">
        <v>115</v>
      </c>
      <c r="AF3" s="68" t="s">
        <v>116</v>
      </c>
      <c r="AG3" s="68" t="s">
        <v>117</v>
      </c>
      <c r="AH3" s="68" t="s">
        <v>108</v>
      </c>
      <c r="AI3" s="68" t="s">
        <v>109</v>
      </c>
      <c r="AJ3" s="68" t="s">
        <v>118</v>
      </c>
      <c r="AK3" s="68" t="s">
        <v>111</v>
      </c>
      <c r="AL3" s="68" t="s">
        <v>119</v>
      </c>
      <c r="AM3" s="68" t="s">
        <v>113</v>
      </c>
      <c r="AN3" s="68" t="s">
        <v>102</v>
      </c>
      <c r="AO3" s="68" t="s">
        <v>114</v>
      </c>
      <c r="AP3" s="68" t="s">
        <v>104</v>
      </c>
      <c r="AQ3" s="68" t="s">
        <v>115</v>
      </c>
      <c r="AR3" s="68" t="s">
        <v>116</v>
      </c>
      <c r="AS3" s="68" t="s">
        <v>107</v>
      </c>
      <c r="AT3" s="68" t="s">
        <v>108</v>
      </c>
      <c r="AU3" s="68" t="s">
        <v>109</v>
      </c>
      <c r="AV3" s="68" t="s">
        <v>118</v>
      </c>
      <c r="AW3" s="68" t="s">
        <v>111</v>
      </c>
      <c r="AX3" s="68" t="s">
        <v>119</v>
      </c>
      <c r="AY3" s="68" t="s">
        <v>113</v>
      </c>
      <c r="AZ3" s="68" t="s">
        <v>102</v>
      </c>
      <c r="BA3" s="68" t="s">
        <v>114</v>
      </c>
      <c r="BB3" s="68" t="s">
        <v>104</v>
      </c>
      <c r="BC3" s="225" t="s">
        <v>115</v>
      </c>
      <c r="BD3" s="68" t="s">
        <v>116</v>
      </c>
      <c r="BE3" s="68" t="s">
        <v>107</v>
      </c>
      <c r="BF3" s="68" t="s">
        <v>108</v>
      </c>
      <c r="BG3" s="68" t="s">
        <v>109</v>
      </c>
      <c r="BH3" s="68" t="s">
        <v>118</v>
      </c>
      <c r="BI3" s="68" t="s">
        <v>111</v>
      </c>
      <c r="BJ3" s="68" t="s">
        <v>119</v>
      </c>
      <c r="BK3" s="68" t="s">
        <v>113</v>
      </c>
      <c r="BL3" s="68" t="s">
        <v>102</v>
      </c>
      <c r="BM3" s="68" t="s">
        <v>114</v>
      </c>
      <c r="BN3" s="68" t="s">
        <v>104</v>
      </c>
      <c r="BO3" s="68" t="s">
        <v>115</v>
      </c>
      <c r="BP3" s="68" t="s">
        <v>116</v>
      </c>
      <c r="BQ3" s="68" t="s">
        <v>107</v>
      </c>
      <c r="BR3" s="68" t="s">
        <v>108</v>
      </c>
      <c r="BS3" s="68" t="s">
        <v>109</v>
      </c>
      <c r="BT3" s="68" t="s">
        <v>118</v>
      </c>
      <c r="BU3" s="68" t="s">
        <v>111</v>
      </c>
      <c r="BV3" s="68" t="s">
        <v>119</v>
      </c>
      <c r="BW3" s="68" t="s">
        <v>113</v>
      </c>
      <c r="BX3" s="69"/>
      <c r="BY3" s="191" t="s">
        <v>120</v>
      </c>
      <c r="BZ3" s="191"/>
      <c r="CA3" s="191" t="s">
        <v>121</v>
      </c>
      <c r="CB3" s="69"/>
      <c r="CC3" s="20" t="s">
        <v>122</v>
      </c>
      <c r="CD3" s="20" t="s">
        <v>123</v>
      </c>
    </row>
    <row r="4" spans="2:97" x14ac:dyDescent="0.3">
      <c r="B4" s="70"/>
      <c r="C4" s="70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CC4" s="70"/>
    </row>
    <row r="5" spans="2:97" x14ac:dyDescent="0.3">
      <c r="B5" s="72" t="s">
        <v>124</v>
      </c>
      <c r="C5" s="73"/>
      <c r="D5" s="74"/>
      <c r="E5" s="74"/>
      <c r="F5" s="74"/>
      <c r="G5" s="74"/>
      <c r="H5" s="75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76"/>
      <c r="BU5" s="76"/>
      <c r="BV5" s="76"/>
      <c r="BW5" s="76"/>
      <c r="BX5" s="77"/>
      <c r="BY5" s="77"/>
      <c r="BZ5" s="77"/>
      <c r="CA5" s="77"/>
      <c r="CB5" s="77"/>
      <c r="CC5" s="74"/>
      <c r="CD5" s="74"/>
    </row>
    <row r="6" spans="2:97" x14ac:dyDescent="0.3">
      <c r="B6" s="70"/>
      <c r="C6" s="70"/>
      <c r="D6" s="222" t="s">
        <v>125</v>
      </c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23" t="s">
        <v>126</v>
      </c>
      <c r="AS6" s="223"/>
      <c r="AT6" s="223"/>
      <c r="AU6" s="223"/>
      <c r="AV6" s="223"/>
      <c r="AW6" s="223"/>
      <c r="AX6" s="223"/>
      <c r="AY6" s="223"/>
      <c r="AZ6" s="116" t="s">
        <v>127</v>
      </c>
      <c r="BA6" s="116"/>
      <c r="BB6" s="116"/>
      <c r="BC6" s="44" t="s">
        <v>128</v>
      </c>
      <c r="BD6" s="44"/>
      <c r="BE6" s="44"/>
      <c r="BF6" s="44"/>
      <c r="BG6" s="44"/>
      <c r="BH6" s="44"/>
      <c r="BI6" s="44"/>
      <c r="BJ6" s="44"/>
      <c r="BK6" s="44"/>
      <c r="BL6" s="44" t="s">
        <v>129</v>
      </c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78"/>
      <c r="BY6" s="78"/>
      <c r="BZ6" s="78"/>
      <c r="CA6" s="78"/>
      <c r="CB6" s="78"/>
      <c r="CC6" s="70"/>
      <c r="CD6" s="70"/>
    </row>
    <row r="7" spans="2:97" x14ac:dyDescent="0.3">
      <c r="B7" s="79" t="s">
        <v>130</v>
      </c>
      <c r="C7" s="80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2"/>
      <c r="BY7" s="82"/>
      <c r="BZ7" s="82"/>
      <c r="CA7" s="82"/>
      <c r="CB7" s="82"/>
      <c r="CC7" s="83" t="s">
        <v>131</v>
      </c>
      <c r="CD7" s="80"/>
    </row>
    <row r="8" spans="2:97" x14ac:dyDescent="0.3">
      <c r="B8" s="84" t="s">
        <v>132</v>
      </c>
      <c r="C8" s="85"/>
      <c r="D8" s="86">
        <v>13900</v>
      </c>
      <c r="E8" s="86">
        <v>15208</v>
      </c>
      <c r="F8" s="86">
        <v>15724</v>
      </c>
      <c r="G8" s="86">
        <v>15856</v>
      </c>
      <c r="H8" s="86">
        <v>15942</v>
      </c>
      <c r="I8" s="86">
        <v>14412</v>
      </c>
      <c r="J8" s="86">
        <v>14687</v>
      </c>
      <c r="K8" s="86">
        <v>15025</v>
      </c>
      <c r="L8" s="86">
        <v>15386</v>
      </c>
      <c r="M8" s="86">
        <v>15652</v>
      </c>
      <c r="N8" s="86">
        <v>15665</v>
      </c>
      <c r="O8" s="86">
        <v>15057</v>
      </c>
      <c r="P8" s="86">
        <v>15050</v>
      </c>
      <c r="Q8" s="86">
        <v>15337</v>
      </c>
      <c r="R8" s="86">
        <v>13533</v>
      </c>
      <c r="S8" s="86">
        <v>15251</v>
      </c>
      <c r="T8" s="86">
        <v>15180</v>
      </c>
      <c r="U8" s="86">
        <v>14252</v>
      </c>
      <c r="V8" s="86">
        <v>15151</v>
      </c>
      <c r="W8" s="86">
        <v>15159</v>
      </c>
      <c r="X8" s="86">
        <v>15420</v>
      </c>
      <c r="Y8" s="86">
        <v>15735</v>
      </c>
      <c r="Z8" s="86">
        <v>15942</v>
      </c>
      <c r="AA8" s="86">
        <v>16072</v>
      </c>
      <c r="AB8" s="86">
        <v>14503</v>
      </c>
      <c r="AC8" s="86">
        <v>14177</v>
      </c>
      <c r="AD8" s="86">
        <v>13384</v>
      </c>
      <c r="AE8" s="86">
        <v>16428</v>
      </c>
      <c r="AF8" s="86">
        <v>15480</v>
      </c>
      <c r="AG8" s="86">
        <v>15810</v>
      </c>
      <c r="AH8" s="86">
        <v>16670</v>
      </c>
      <c r="AI8" s="86">
        <v>16737</v>
      </c>
      <c r="AJ8" s="86">
        <v>16766</v>
      </c>
      <c r="AK8" s="86">
        <v>16725</v>
      </c>
      <c r="AL8" s="86">
        <v>16762</v>
      </c>
      <c r="AM8" s="86">
        <v>16702</v>
      </c>
      <c r="AN8" s="86">
        <v>15852</v>
      </c>
      <c r="AO8" s="86">
        <v>16998</v>
      </c>
      <c r="AP8" s="86">
        <v>17028</v>
      </c>
      <c r="AQ8" s="86">
        <v>17148</v>
      </c>
      <c r="AR8" s="86">
        <v>15187</v>
      </c>
      <c r="AS8" s="86">
        <v>13294</v>
      </c>
      <c r="AT8" s="86">
        <v>12813</v>
      </c>
      <c r="AU8" s="86">
        <v>10920</v>
      </c>
      <c r="AV8" s="86">
        <v>10111</v>
      </c>
      <c r="AW8" s="86">
        <v>10044</v>
      </c>
      <c r="AX8" s="86">
        <v>10919</v>
      </c>
      <c r="AY8" s="86">
        <v>12048</v>
      </c>
      <c r="AZ8" s="86">
        <v>13123</v>
      </c>
      <c r="BA8" s="86">
        <v>13761</v>
      </c>
      <c r="BB8" s="86">
        <v>14318</v>
      </c>
      <c r="BC8" s="86">
        <f>[1]TRR_Projections!AK5</f>
        <v>14684</v>
      </c>
      <c r="BD8" s="86">
        <f>[1]TRR_Projections!AL5</f>
        <v>15032</v>
      </c>
      <c r="BE8" s="86">
        <f>[1]TRR_Projections!AM5</f>
        <v>15064.905027674391</v>
      </c>
      <c r="BF8" s="86">
        <f>[1]TRR_Projections!AN5</f>
        <v>15097.88208440987</v>
      </c>
      <c r="BG8" s="86">
        <f>[1]TRR_Projections!AO5</f>
        <v>15130.931327877952</v>
      </c>
      <c r="BH8" s="86">
        <f>[1]TRR_Projections!AP5</f>
        <v>15164.052916095297</v>
      </c>
      <c r="BI8" s="86">
        <f>[1]TRR_Projections!AQ5</f>
        <v>15197.247007424467</v>
      </c>
      <c r="BJ8" s="86">
        <f>[1]TRR_Projections!AR5</f>
        <v>15230.513760574671</v>
      </c>
      <c r="BK8" s="86">
        <f>[1]TRR_Projections!AS5</f>
        <v>15263.85333460254</v>
      </c>
      <c r="BL8" s="86">
        <f>[1]TRR_Projections!AT5</f>
        <v>15297.265888912874</v>
      </c>
      <c r="BM8" s="86">
        <f>[1]TRR_Projections!AU5</f>
        <v>15330.751583259416</v>
      </c>
      <c r="BN8" s="86">
        <f>[1]TRR_Projections!AV5</f>
        <v>15364.310577745604</v>
      </c>
      <c r="BO8" s="86">
        <f>[1]TRR_Projections!AW5</f>
        <v>15397.943032825346</v>
      </c>
      <c r="BP8" s="86">
        <f>[1]TRR_Projections!AX5</f>
        <v>15431.64910930378</v>
      </c>
      <c r="BQ8" s="86">
        <f>[1]TRR_Projections!AY5</f>
        <v>15465.42896833805</v>
      </c>
      <c r="BR8" s="86">
        <f>[1]TRR_Projections!AZ5</f>
        <v>15499.282771438071</v>
      </c>
      <c r="BS8" s="86">
        <f>[1]TRR_Projections!BA5</f>
        <v>15533.210680467302</v>
      </c>
      <c r="BT8" s="86">
        <f>[1]TRR_Projections!BB5</f>
        <v>15567.212857643523</v>
      </c>
      <c r="BU8" s="86">
        <f>[1]TRR_Projections!BC5</f>
        <v>15601.289465539605</v>
      </c>
      <c r="BV8" s="86">
        <f>[1]TRR_Projections!BD5</f>
        <v>15635.440667084295</v>
      </c>
      <c r="BW8" s="86">
        <f>[1]TRR_Projections!BE5</f>
        <v>15669.666625562988</v>
      </c>
      <c r="BY8" s="67">
        <f>SUM(AZ8:BK8)</f>
        <v>177067.38545865921</v>
      </c>
      <c r="CA8" s="67">
        <f>SUM(BL8:BW8)</f>
        <v>185793.45222812085</v>
      </c>
      <c r="CC8" s="87"/>
      <c r="CD8" s="18" t="s">
        <v>133</v>
      </c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</row>
    <row r="9" spans="2:97" x14ac:dyDescent="0.3">
      <c r="B9" s="84"/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CC9" s="70"/>
    </row>
    <row r="10" spans="2:97" x14ac:dyDescent="0.3">
      <c r="B10" s="79" t="s">
        <v>134</v>
      </c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2"/>
      <c r="BY10" s="82"/>
      <c r="BZ10" s="82"/>
      <c r="CA10" s="82"/>
      <c r="CB10" s="82"/>
      <c r="CC10" s="83" t="s">
        <v>135</v>
      </c>
      <c r="CD10" s="80"/>
    </row>
    <row r="11" spans="2:97" x14ac:dyDescent="0.3">
      <c r="B11" s="84" t="s">
        <v>132</v>
      </c>
      <c r="C11" s="85"/>
      <c r="D11" s="88">
        <v>839632.13</v>
      </c>
      <c r="E11" s="88">
        <v>771033.54</v>
      </c>
      <c r="F11" s="88">
        <v>820363.48</v>
      </c>
      <c r="G11" s="88">
        <v>788793.4</v>
      </c>
      <c r="H11" s="88">
        <v>783095.51</v>
      </c>
      <c r="I11" s="88">
        <v>720950.1</v>
      </c>
      <c r="J11" s="88">
        <v>733379.39</v>
      </c>
      <c r="K11" s="88">
        <v>676146.93</v>
      </c>
      <c r="L11" s="88">
        <v>734220.92999999993</v>
      </c>
      <c r="M11" s="88">
        <v>793729.82000000007</v>
      </c>
      <c r="N11" s="88">
        <v>746115</v>
      </c>
      <c r="O11" s="88">
        <v>785359.29</v>
      </c>
      <c r="P11" s="88">
        <v>816998.5</v>
      </c>
      <c r="Q11" s="88">
        <v>798192.83</v>
      </c>
      <c r="R11" s="88">
        <v>692787.06</v>
      </c>
      <c r="S11" s="88">
        <v>778209.04</v>
      </c>
      <c r="T11" s="88">
        <v>812659.76</v>
      </c>
      <c r="U11" s="88">
        <v>642016.74</v>
      </c>
      <c r="V11" s="88">
        <v>623115.18000000005</v>
      </c>
      <c r="W11" s="88">
        <v>730044.19</v>
      </c>
      <c r="X11" s="88">
        <v>741830.58000000007</v>
      </c>
      <c r="Y11" s="88">
        <v>767896.73</v>
      </c>
      <c r="Z11" s="88">
        <v>800416.19</v>
      </c>
      <c r="AA11" s="88">
        <v>894776.26</v>
      </c>
      <c r="AB11" s="88">
        <v>843412.92999999993</v>
      </c>
      <c r="AC11" s="88">
        <v>859239.03</v>
      </c>
      <c r="AD11" s="88">
        <v>686582.92</v>
      </c>
      <c r="AE11" s="88">
        <v>840529.30999999994</v>
      </c>
      <c r="AF11" s="88">
        <v>758686.98</v>
      </c>
      <c r="AG11" s="88">
        <v>745020.53</v>
      </c>
      <c r="AH11" s="88">
        <v>757291.83</v>
      </c>
      <c r="AI11" s="88">
        <v>817113.80999999994</v>
      </c>
      <c r="AJ11" s="88">
        <v>705764.33</v>
      </c>
      <c r="AK11" s="88">
        <v>751604.4</v>
      </c>
      <c r="AL11" s="88">
        <v>834529.91999999993</v>
      </c>
      <c r="AM11" s="88">
        <v>814091.6100000001</v>
      </c>
      <c r="AN11" s="88">
        <v>835658.59</v>
      </c>
      <c r="AO11" s="88">
        <v>938301.55999999994</v>
      </c>
      <c r="AP11" s="88">
        <v>836422.27</v>
      </c>
      <c r="AQ11" s="88">
        <v>824266.72000000009</v>
      </c>
      <c r="AR11" s="88">
        <v>785601.92999999993</v>
      </c>
      <c r="AS11" s="88">
        <v>622228.81999999995</v>
      </c>
      <c r="AT11" s="88">
        <v>606470.18999999994</v>
      </c>
      <c r="AU11" s="88">
        <v>495915.07999999996</v>
      </c>
      <c r="AV11" s="88">
        <v>461158.94999999995</v>
      </c>
      <c r="AW11" s="88">
        <v>482182.81999999995</v>
      </c>
      <c r="AX11" s="88">
        <v>547266.26</v>
      </c>
      <c r="AY11" s="88">
        <v>587972.77</v>
      </c>
      <c r="AZ11" s="88">
        <v>784780.64</v>
      </c>
      <c r="BA11" s="88">
        <v>759935.25</v>
      </c>
      <c r="BB11" s="88">
        <v>735888.81</v>
      </c>
      <c r="BC11" s="88">
        <f>[1]TRR_Projections!AK7</f>
        <v>785264.4</v>
      </c>
      <c r="BD11" s="88">
        <f>[1]TRR_Projections!AL7</f>
        <v>881508.8</v>
      </c>
      <c r="BE11" s="88">
        <f>[1]TRR_Projections!AM7</f>
        <v>757915.3719422986</v>
      </c>
      <c r="BF11" s="88">
        <f>[1]TRR_Projections!AN7</f>
        <v>759574.44766666065</v>
      </c>
      <c r="BG11" s="88">
        <f>[1]TRR_Projections!AO7</f>
        <v>761237.15510553983</v>
      </c>
      <c r="BH11" s="88">
        <f>[1]TRR_Projections!AP7</f>
        <v>762903.50220875442</v>
      </c>
      <c r="BI11" s="88">
        <f>[1]TRR_Projections!AQ7</f>
        <v>764573.49694352492</v>
      </c>
      <c r="BJ11" s="88">
        <f>[1]TRR_Projections!AR7</f>
        <v>766247.14729451179</v>
      </c>
      <c r="BK11" s="88">
        <f>[1]TRR_Projections!AS7</f>
        <v>767924.46126385382</v>
      </c>
      <c r="BL11" s="88">
        <f>[1]TRR_Projections!AT7</f>
        <v>769605.44687120675</v>
      </c>
      <c r="BM11" s="88">
        <f>[1]TRR_Projections!AU7</f>
        <v>771290.11215378123</v>
      </c>
      <c r="BN11" s="88">
        <f>[1]TRR_Projections!AV7</f>
        <v>772978.46516638133</v>
      </c>
      <c r="BO11" s="88">
        <f>[1]TRR_Projections!AW7</f>
        <v>774670.51398144313</v>
      </c>
      <c r="BP11" s="88">
        <f>[1]TRR_Projections!AX7</f>
        <v>776366.26668907318</v>
      </c>
      <c r="BQ11" s="88">
        <f>[1]TRR_Projections!AY7</f>
        <v>778065.73139708734</v>
      </c>
      <c r="BR11" s="88">
        <f>[1]TRR_Projections!AZ7</f>
        <v>779768.91623104934</v>
      </c>
      <c r="BS11" s="88">
        <f>[1]TRR_Projections!BA7</f>
        <v>781475.82933431002</v>
      </c>
      <c r="BT11" s="88">
        <f>[1]TRR_Projections!BB7</f>
        <v>783186.47886804561</v>
      </c>
      <c r="BU11" s="88">
        <f>[1]TRR_Projections!BC7</f>
        <v>784900.87301129755</v>
      </c>
      <c r="BV11" s="88">
        <f>[1]TRR_Projections!BD7</f>
        <v>786619.0199610109</v>
      </c>
      <c r="BW11" s="88">
        <f>[1]TRR_Projections!BE7</f>
        <v>788340.92793207394</v>
      </c>
      <c r="BX11" s="89"/>
      <c r="BY11" s="67">
        <f>SUM(AZ11:BK11)</f>
        <v>9287753.4824251439</v>
      </c>
      <c r="CA11" s="67">
        <f>SUM(BL11:BW11)</f>
        <v>9347268.5815967619</v>
      </c>
      <c r="CB11" s="89"/>
      <c r="CC11" s="87"/>
      <c r="CD11" s="18" t="s">
        <v>133</v>
      </c>
      <c r="CH11" s="63"/>
      <c r="CI11" s="63"/>
      <c r="CJ11" s="63"/>
      <c r="CK11" s="63"/>
      <c r="CL11" s="63"/>
      <c r="CM11" s="63"/>
      <c r="CN11" s="63"/>
      <c r="CO11" s="63"/>
      <c r="CP11" s="63"/>
      <c r="CQ11" s="63"/>
      <c r="CR11" s="63"/>
      <c r="CS11" s="63"/>
    </row>
    <row r="12" spans="2:97" x14ac:dyDescent="0.3">
      <c r="B12" s="84"/>
      <c r="C12" s="7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CC12" s="70"/>
    </row>
    <row r="13" spans="2:97" x14ac:dyDescent="0.3">
      <c r="B13" s="79" t="s">
        <v>136</v>
      </c>
      <c r="C13" s="80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</row>
    <row r="14" spans="2:97" x14ac:dyDescent="0.3">
      <c r="B14" s="91" t="str">
        <f>"Water  - "&amp;FIXED(('Assumptions and Inputs'!$C$40)*100,0,TRUE)&amp;" %"</f>
        <v>Water  - 40 %</v>
      </c>
      <c r="C14" s="70"/>
      <c r="D14" s="92">
        <f>D$11*'Assumptions and Inputs'!$C$40</f>
        <v>335852.85200000001</v>
      </c>
      <c r="E14" s="92">
        <f>E$11*'Assumptions and Inputs'!$C$40</f>
        <v>308413.41600000003</v>
      </c>
      <c r="F14" s="92">
        <f>F$11*'Assumptions and Inputs'!$C$40</f>
        <v>328145.39199999999</v>
      </c>
      <c r="G14" s="92">
        <f>G$11*'Assumptions and Inputs'!$C$40</f>
        <v>315517.36000000004</v>
      </c>
      <c r="H14" s="92">
        <f>H$11*'Assumptions and Inputs'!$C$40</f>
        <v>313238.20400000003</v>
      </c>
      <c r="I14" s="92">
        <f>I$11*'Assumptions and Inputs'!$C$40</f>
        <v>288380.03999999998</v>
      </c>
      <c r="J14" s="92">
        <f>J$11*'Assumptions and Inputs'!$C$40</f>
        <v>293351.75599999999</v>
      </c>
      <c r="K14" s="92">
        <f>K$11*'Assumptions and Inputs'!$C$40</f>
        <v>270458.77200000006</v>
      </c>
      <c r="L14" s="92">
        <f>L$11*'Assumptions and Inputs'!$C$40</f>
        <v>293688.37199999997</v>
      </c>
      <c r="M14" s="92">
        <f>M$11*'Assumptions and Inputs'!$C$40</f>
        <v>317491.92800000007</v>
      </c>
      <c r="N14" s="92">
        <f>N$11*'Assumptions and Inputs'!$C$40</f>
        <v>298446</v>
      </c>
      <c r="O14" s="92">
        <f>O$11*'Assumptions and Inputs'!$C$40</f>
        <v>314143.71600000001</v>
      </c>
      <c r="P14" s="92">
        <f>P$11*'Assumptions and Inputs'!$C$40</f>
        <v>326799.40000000002</v>
      </c>
      <c r="Q14" s="92">
        <f>Q$11*'Assumptions and Inputs'!$C$40</f>
        <v>319277.13199999998</v>
      </c>
      <c r="R14" s="92">
        <f>R$11*'Assumptions and Inputs'!$C$40</f>
        <v>277114.82400000002</v>
      </c>
      <c r="S14" s="92">
        <f>S$11*'Assumptions and Inputs'!$C$40</f>
        <v>311283.61600000004</v>
      </c>
      <c r="T14" s="92">
        <f>T$11*'Assumptions and Inputs'!$C$40</f>
        <v>325063.90400000004</v>
      </c>
      <c r="U14" s="92">
        <f>U$11*'Assumptions and Inputs'!$C$40</f>
        <v>256806.696</v>
      </c>
      <c r="V14" s="92">
        <f>V$11*'Assumptions and Inputs'!$C$40</f>
        <v>249246.07200000004</v>
      </c>
      <c r="W14" s="92">
        <f>W$11*'Assumptions and Inputs'!$C$40</f>
        <v>292017.67599999998</v>
      </c>
      <c r="X14" s="92">
        <f>X$11*'Assumptions and Inputs'!$C$40</f>
        <v>296732.23200000002</v>
      </c>
      <c r="Y14" s="92">
        <f>Y$11*'Assumptions and Inputs'!$C$40</f>
        <v>307158.69199999998</v>
      </c>
      <c r="Z14" s="92">
        <f>Z$11*'Assumptions and Inputs'!$C$40</f>
        <v>320166.47600000002</v>
      </c>
      <c r="AA14" s="92">
        <f>AA$11*'Assumptions and Inputs'!$C$40</f>
        <v>357910.50400000002</v>
      </c>
      <c r="AB14" s="92">
        <f>AB$11*'Assumptions and Inputs'!$C$40</f>
        <v>337365.17200000002</v>
      </c>
      <c r="AC14" s="92">
        <f>AC$11*'Assumptions and Inputs'!$C$40</f>
        <v>343695.61200000002</v>
      </c>
      <c r="AD14" s="92">
        <f>AD$11*'Assumptions and Inputs'!$C$40</f>
        <v>274633.16800000001</v>
      </c>
      <c r="AE14" s="92">
        <f>AE$11*'Assumptions and Inputs'!$C$40</f>
        <v>336211.72399999999</v>
      </c>
      <c r="AF14" s="92">
        <f>AF$11*'Assumptions and Inputs'!$C$40</f>
        <v>303474.79200000002</v>
      </c>
      <c r="AG14" s="92">
        <f>AG$11*'Assumptions and Inputs'!$C$40</f>
        <v>298008.212</v>
      </c>
      <c r="AH14" s="92">
        <f>AH$11*'Assumptions and Inputs'!$C$40</f>
        <v>302916.73200000002</v>
      </c>
      <c r="AI14" s="92">
        <f>AI$11*'Assumptions and Inputs'!$C$40</f>
        <v>326845.52399999998</v>
      </c>
      <c r="AJ14" s="92">
        <f>AJ$11*'Assumptions and Inputs'!$C$40</f>
        <v>282305.73200000002</v>
      </c>
      <c r="AK14" s="92">
        <f>AK$11*'Assumptions and Inputs'!$C$40</f>
        <v>300641.76</v>
      </c>
      <c r="AL14" s="92">
        <f>AL$11*'Assumptions and Inputs'!$C$40</f>
        <v>333811.96799999999</v>
      </c>
      <c r="AM14" s="92">
        <f>AM$11*'Assumptions and Inputs'!$C$40</f>
        <v>325636.64400000009</v>
      </c>
      <c r="AN14" s="92">
        <f>AN$11*'Assumptions and Inputs'!$C$40</f>
        <v>334263.43599999999</v>
      </c>
      <c r="AO14" s="92">
        <f>AO$11*'Assumptions and Inputs'!$C$40</f>
        <v>375320.62400000001</v>
      </c>
      <c r="AP14" s="92">
        <f>AP$11*'Assumptions and Inputs'!$C$40</f>
        <v>334568.90800000005</v>
      </c>
      <c r="AQ14" s="92">
        <f>AQ$11*'Assumptions and Inputs'!$C$40</f>
        <v>329706.68800000008</v>
      </c>
      <c r="AR14" s="92">
        <f>AR$11*'Assumptions and Inputs'!$C$40</f>
        <v>314240.772</v>
      </c>
      <c r="AS14" s="92">
        <f>AS$11*'Assumptions and Inputs'!$C$40</f>
        <v>248891.52799999999</v>
      </c>
      <c r="AT14" s="92">
        <f>AT$11*'Assumptions and Inputs'!$C$40</f>
        <v>242588.076</v>
      </c>
      <c r="AU14" s="92">
        <f>AU$11*'Assumptions and Inputs'!$C$40</f>
        <v>198366.03200000001</v>
      </c>
      <c r="AV14" s="92">
        <f>AV$11*'Assumptions and Inputs'!$C$40</f>
        <v>184463.58</v>
      </c>
      <c r="AW14" s="92">
        <f>AW$11*'Assumptions and Inputs'!$C$40</f>
        <v>192873.128</v>
      </c>
      <c r="AX14" s="92">
        <f>AX$11*'Assumptions and Inputs'!$C$40</f>
        <v>218906.50400000002</v>
      </c>
      <c r="AY14" s="92">
        <f>AY$11*'Assumptions and Inputs'!$C$40</f>
        <v>235189.10800000001</v>
      </c>
      <c r="AZ14" s="92">
        <f>AZ$11*'Assumptions and Inputs'!$C$40</f>
        <v>313912.25599999999</v>
      </c>
      <c r="BA14" s="92">
        <f>BA$11*'Assumptions and Inputs'!$C$40</f>
        <v>303974.10000000003</v>
      </c>
      <c r="BB14" s="92">
        <f>BB$11*'Assumptions and Inputs'!$C$40</f>
        <v>294355.52400000003</v>
      </c>
      <c r="BC14" s="92">
        <f>BC$11*'Assumptions and Inputs'!$C$40</f>
        <v>314105.76</v>
      </c>
      <c r="BD14" s="92">
        <f>BD$11*'Assumptions and Inputs'!$C$40</f>
        <v>352603.52</v>
      </c>
      <c r="BE14" s="92">
        <f>BE$11*'Assumptions and Inputs'!$C$40</f>
        <v>303166.14877691946</v>
      </c>
      <c r="BF14" s="92">
        <f>BF$11*'Assumptions and Inputs'!$C$40</f>
        <v>303829.77906666428</v>
      </c>
      <c r="BG14" s="92">
        <f>BG$11*'Assumptions and Inputs'!$C$40</f>
        <v>304494.86204221594</v>
      </c>
      <c r="BH14" s="92">
        <f>BH$11*'Assumptions and Inputs'!$C$40</f>
        <v>305161.4008835018</v>
      </c>
      <c r="BI14" s="92">
        <f>BI$11*'Assumptions and Inputs'!$C$40</f>
        <v>305829.39877740998</v>
      </c>
      <c r="BJ14" s="92">
        <f>BJ$11*'Assumptions and Inputs'!$C$40</f>
        <v>306498.85891780473</v>
      </c>
      <c r="BK14" s="92">
        <f>BK$11*'Assumptions and Inputs'!$C$40</f>
        <v>307169.78450554155</v>
      </c>
      <c r="BL14" s="92">
        <f>BL$11*'Assumptions and Inputs'!$C$40</f>
        <v>307842.17874848272</v>
      </c>
      <c r="BM14" s="92">
        <f>BM$11*'Assumptions and Inputs'!$C$40</f>
        <v>308516.04486151249</v>
      </c>
      <c r="BN14" s="92">
        <f>BN$11*'Assumptions and Inputs'!$C$40</f>
        <v>309191.38606655254</v>
      </c>
      <c r="BO14" s="92">
        <f>BO$11*'Assumptions and Inputs'!$C$40</f>
        <v>309868.20559257729</v>
      </c>
      <c r="BP14" s="92">
        <f>BP$11*'Assumptions and Inputs'!$C$40</f>
        <v>310546.50667562929</v>
      </c>
      <c r="BQ14" s="92">
        <f>BQ$11*'Assumptions and Inputs'!$C$40</f>
        <v>311226.29255883495</v>
      </c>
      <c r="BR14" s="92">
        <f>BR$11*'Assumptions and Inputs'!$C$40</f>
        <v>311907.56649241975</v>
      </c>
      <c r="BS14" s="92">
        <f>BS$11*'Assumptions and Inputs'!$C$40</f>
        <v>312590.33173372404</v>
      </c>
      <c r="BT14" s="92">
        <f>BT$11*'Assumptions and Inputs'!$C$40</f>
        <v>313274.59154721827</v>
      </c>
      <c r="BU14" s="92">
        <f>BU$11*'Assumptions and Inputs'!$C$40</f>
        <v>313960.34920451901</v>
      </c>
      <c r="BV14" s="92">
        <f>BV$11*'Assumptions and Inputs'!$C$40</f>
        <v>314647.60798440437</v>
      </c>
      <c r="BW14" s="92">
        <f>BW$11*'Assumptions and Inputs'!$C$40</f>
        <v>315336.37117282959</v>
      </c>
      <c r="BY14" s="67">
        <f t="shared" ref="BY14:BY16" si="0">SUM(AZ14:BK14)</f>
        <v>3715101.3929700581</v>
      </c>
      <c r="CA14" s="67">
        <f t="shared" ref="CA14:CA15" si="1">SUM(BL14:BW14)</f>
        <v>3738907.4326387043</v>
      </c>
      <c r="CC14" s="70"/>
      <c r="CD14" s="18" t="s">
        <v>137</v>
      </c>
    </row>
    <row r="15" spans="2:97" x14ac:dyDescent="0.3">
      <c r="B15" s="91" t="str">
        <f>"Wastewater  - "&amp;FIXED(('Assumptions and Inputs'!$C$42)*100,0,TRUE)&amp;" %"</f>
        <v>Wastewater  - 60 %</v>
      </c>
      <c r="C15" s="70"/>
      <c r="D15" s="93">
        <f>D$11*'Assumptions and Inputs'!$C$42</f>
        <v>503779.27799999999</v>
      </c>
      <c r="E15" s="93">
        <f>E$11*'Assumptions and Inputs'!$C$42</f>
        <v>462620.12400000001</v>
      </c>
      <c r="F15" s="93">
        <f>F$11*'Assumptions and Inputs'!$C$42</f>
        <v>492218.08799999999</v>
      </c>
      <c r="G15" s="93">
        <f>G$11*'Assumptions and Inputs'!$C$42</f>
        <v>473276.04</v>
      </c>
      <c r="H15" s="93">
        <f>H$11*'Assumptions and Inputs'!$C$42</f>
        <v>469857.30599999998</v>
      </c>
      <c r="I15" s="93">
        <f>I$11*'Assumptions and Inputs'!$C$42</f>
        <v>432570.06</v>
      </c>
      <c r="J15" s="93">
        <f>J$11*'Assumptions and Inputs'!$C$42</f>
        <v>440027.63400000002</v>
      </c>
      <c r="K15" s="93">
        <f>K$11*'Assumptions and Inputs'!$C$42</f>
        <v>405688.158</v>
      </c>
      <c r="L15" s="93">
        <f>L$11*'Assumptions and Inputs'!$C$42</f>
        <v>440532.55799999996</v>
      </c>
      <c r="M15" s="93">
        <f>M$11*'Assumptions and Inputs'!$C$42</f>
        <v>476237.89199999999</v>
      </c>
      <c r="N15" s="93">
        <f>N$11*'Assumptions and Inputs'!$C$42</f>
        <v>447669</v>
      </c>
      <c r="O15" s="93">
        <f>O$11*'Assumptions and Inputs'!$C$42</f>
        <v>471215.57400000002</v>
      </c>
      <c r="P15" s="93">
        <f>P$11*'Assumptions and Inputs'!$C$42</f>
        <v>490199.1</v>
      </c>
      <c r="Q15" s="93">
        <f>Q$11*'Assumptions and Inputs'!$C$42</f>
        <v>478915.69799999997</v>
      </c>
      <c r="R15" s="93">
        <f>R$11*'Assumptions and Inputs'!$C$42</f>
        <v>415672.23600000003</v>
      </c>
      <c r="S15" s="93">
        <f>S$11*'Assumptions and Inputs'!$C$42</f>
        <v>466925.424</v>
      </c>
      <c r="T15" s="93">
        <f>T$11*'Assumptions and Inputs'!$C$42</f>
        <v>487595.85599999997</v>
      </c>
      <c r="U15" s="93">
        <f>U$11*'Assumptions and Inputs'!$C$42</f>
        <v>385210.04399999999</v>
      </c>
      <c r="V15" s="93">
        <f>V$11*'Assumptions and Inputs'!$C$42</f>
        <v>373869.10800000001</v>
      </c>
      <c r="W15" s="93">
        <f>W$11*'Assumptions and Inputs'!$C$42</f>
        <v>438026.51399999997</v>
      </c>
      <c r="X15" s="93">
        <f>X$11*'Assumptions and Inputs'!$C$42</f>
        <v>445098.34800000006</v>
      </c>
      <c r="Y15" s="93">
        <f>Y$11*'Assumptions and Inputs'!$C$42</f>
        <v>460738.038</v>
      </c>
      <c r="Z15" s="93">
        <f>Z$11*'Assumptions and Inputs'!$C$42</f>
        <v>480249.71399999992</v>
      </c>
      <c r="AA15" s="93">
        <f>AA$11*'Assumptions and Inputs'!$C$42</f>
        <v>536865.75599999994</v>
      </c>
      <c r="AB15" s="93">
        <f>AB$11*'Assumptions and Inputs'!$C$42</f>
        <v>506047.75799999991</v>
      </c>
      <c r="AC15" s="93">
        <f>AC$11*'Assumptions and Inputs'!$C$42</f>
        <v>515543.41800000001</v>
      </c>
      <c r="AD15" s="93">
        <f>AD$11*'Assumptions and Inputs'!$C$42</f>
        <v>411949.75200000004</v>
      </c>
      <c r="AE15" s="93">
        <f>AE$11*'Assumptions and Inputs'!$C$42</f>
        <v>504317.58599999995</v>
      </c>
      <c r="AF15" s="93">
        <f>AF$11*'Assumptions and Inputs'!$C$42</f>
        <v>455212.18799999997</v>
      </c>
      <c r="AG15" s="93">
        <f>AG$11*'Assumptions and Inputs'!$C$42</f>
        <v>447012.31800000003</v>
      </c>
      <c r="AH15" s="93">
        <f>AH$11*'Assumptions and Inputs'!$C$42</f>
        <v>454375.09799999994</v>
      </c>
      <c r="AI15" s="93">
        <f>AI$11*'Assumptions and Inputs'!$C$42</f>
        <v>490268.28599999996</v>
      </c>
      <c r="AJ15" s="93">
        <f>AJ$11*'Assumptions and Inputs'!$C$42</f>
        <v>423458.59799999994</v>
      </c>
      <c r="AK15" s="93">
        <f>AK$11*'Assumptions and Inputs'!$C$42</f>
        <v>450962.64</v>
      </c>
      <c r="AL15" s="93">
        <f>AL$11*'Assumptions and Inputs'!$C$42</f>
        <v>500717.95199999993</v>
      </c>
      <c r="AM15" s="93">
        <f>AM$11*'Assumptions and Inputs'!$C$42</f>
        <v>488454.96600000001</v>
      </c>
      <c r="AN15" s="93">
        <f>AN$11*'Assumptions and Inputs'!$C$42</f>
        <v>501395.15399999998</v>
      </c>
      <c r="AO15" s="93">
        <f>AO$11*'Assumptions and Inputs'!$C$42</f>
        <v>562980.93599999999</v>
      </c>
      <c r="AP15" s="93">
        <f>AP$11*'Assumptions and Inputs'!$C$42</f>
        <v>501853.36199999996</v>
      </c>
      <c r="AQ15" s="93">
        <f>AQ$11*'Assumptions and Inputs'!$C$42</f>
        <v>494560.03200000001</v>
      </c>
      <c r="AR15" s="93">
        <f>AR$11*'Assumptions and Inputs'!$C$42</f>
        <v>471361.15799999994</v>
      </c>
      <c r="AS15" s="93">
        <f>AS$11*'Assumptions and Inputs'!$C$42</f>
        <v>373337.29199999996</v>
      </c>
      <c r="AT15" s="93">
        <f>AT$11*'Assumptions and Inputs'!$C$42</f>
        <v>363882.11399999994</v>
      </c>
      <c r="AU15" s="93">
        <f>AU$11*'Assumptions and Inputs'!$C$42</f>
        <v>297549.04799999995</v>
      </c>
      <c r="AV15" s="93">
        <f>AV$11*'Assumptions and Inputs'!$C$42</f>
        <v>276695.36999999994</v>
      </c>
      <c r="AW15" s="93">
        <f>AW$11*'Assumptions and Inputs'!$C$42</f>
        <v>289309.69199999998</v>
      </c>
      <c r="AX15" s="93">
        <f>AX$11*'Assumptions and Inputs'!$C$42</f>
        <v>328359.75599999999</v>
      </c>
      <c r="AY15" s="93">
        <f>AY$11*'Assumptions and Inputs'!$C$42</f>
        <v>352783.66200000001</v>
      </c>
      <c r="AZ15" s="93">
        <f>AZ$11*'Assumptions and Inputs'!$C$42</f>
        <v>470868.38400000002</v>
      </c>
      <c r="BA15" s="93">
        <f>BA$11*'Assumptions and Inputs'!$C$42</f>
        <v>455961.14999999997</v>
      </c>
      <c r="BB15" s="93">
        <f>BB$11*'Assumptions and Inputs'!$C$42</f>
        <v>441533.28600000002</v>
      </c>
      <c r="BC15" s="93">
        <f>BC$11*'Assumptions and Inputs'!$C$42</f>
        <v>471158.64</v>
      </c>
      <c r="BD15" s="93">
        <f>BD$11*'Assumptions and Inputs'!$C$42</f>
        <v>528905.28</v>
      </c>
      <c r="BE15" s="93">
        <f>BE$11*'Assumptions and Inputs'!$C$42</f>
        <v>454749.22316537914</v>
      </c>
      <c r="BF15" s="93">
        <f>BF$11*'Assumptions and Inputs'!$C$42</f>
        <v>455744.66859999637</v>
      </c>
      <c r="BG15" s="93">
        <f>BG$11*'Assumptions and Inputs'!$C$42</f>
        <v>456742.29306332389</v>
      </c>
      <c r="BH15" s="93">
        <f>BH$11*'Assumptions and Inputs'!$C$42</f>
        <v>457742.10132525262</v>
      </c>
      <c r="BI15" s="93">
        <f>BI$11*'Assumptions and Inputs'!$C$42</f>
        <v>458744.09816611494</v>
      </c>
      <c r="BJ15" s="93">
        <f>BJ$11*'Assumptions and Inputs'!$C$42</f>
        <v>459748.28837670706</v>
      </c>
      <c r="BK15" s="93">
        <f>BK$11*'Assumptions and Inputs'!$C$42</f>
        <v>460754.67675831227</v>
      </c>
      <c r="BL15" s="93">
        <f>BL$11*'Assumptions and Inputs'!$C$42</f>
        <v>461763.26812272402</v>
      </c>
      <c r="BM15" s="93">
        <f>BM$11*'Assumptions and Inputs'!$C$42</f>
        <v>462774.06729226874</v>
      </c>
      <c r="BN15" s="93">
        <f>BN$11*'Assumptions and Inputs'!$C$42</f>
        <v>463787.07909982878</v>
      </c>
      <c r="BO15" s="93">
        <f>BO$11*'Assumptions and Inputs'!$C$42</f>
        <v>464802.30838886584</v>
      </c>
      <c r="BP15" s="93">
        <f>BP$11*'Assumptions and Inputs'!$C$42</f>
        <v>465819.76001344388</v>
      </c>
      <c r="BQ15" s="93">
        <f>BQ$11*'Assumptions and Inputs'!$C$42</f>
        <v>466839.43883825239</v>
      </c>
      <c r="BR15" s="93">
        <f>BR$11*'Assumptions and Inputs'!$C$42</f>
        <v>467861.34973862959</v>
      </c>
      <c r="BS15" s="93">
        <f>BS$11*'Assumptions and Inputs'!$C$42</f>
        <v>468885.49760058598</v>
      </c>
      <c r="BT15" s="93">
        <f>BT$11*'Assumptions and Inputs'!$C$42</f>
        <v>469911.88732082734</v>
      </c>
      <c r="BU15" s="93">
        <f>BU$11*'Assumptions and Inputs'!$C$42</f>
        <v>470940.52380677854</v>
      </c>
      <c r="BV15" s="93">
        <f>BV$11*'Assumptions and Inputs'!$C$42</f>
        <v>471971.41197660653</v>
      </c>
      <c r="BW15" s="93">
        <f>BW$11*'Assumptions and Inputs'!$C$42</f>
        <v>473004.55675924435</v>
      </c>
      <c r="BY15" s="67">
        <f t="shared" si="0"/>
        <v>5572652.0894550858</v>
      </c>
      <c r="CA15" s="67">
        <f t="shared" si="1"/>
        <v>5608361.1489580562</v>
      </c>
      <c r="CC15" s="70"/>
      <c r="CD15" s="18" t="s">
        <v>138</v>
      </c>
    </row>
    <row r="16" spans="2:97" x14ac:dyDescent="0.3">
      <c r="B16" s="94" t="s">
        <v>139</v>
      </c>
      <c r="C16" s="94"/>
      <c r="D16" s="95">
        <f>SUM(D14:D15)-D11</f>
        <v>0</v>
      </c>
      <c r="E16" s="95">
        <f t="shared" ref="E16:O16" si="2">SUM(E14:E15)-E11</f>
        <v>0</v>
      </c>
      <c r="F16" s="95">
        <f t="shared" si="2"/>
        <v>0</v>
      </c>
      <c r="G16" s="95">
        <f t="shared" si="2"/>
        <v>0</v>
      </c>
      <c r="H16" s="95">
        <f t="shared" si="2"/>
        <v>0</v>
      </c>
      <c r="I16" s="95">
        <f t="shared" si="2"/>
        <v>0</v>
      </c>
      <c r="J16" s="95">
        <f t="shared" si="2"/>
        <v>0</v>
      </c>
      <c r="K16" s="95">
        <f t="shared" si="2"/>
        <v>0</v>
      </c>
      <c r="L16" s="95">
        <f t="shared" si="2"/>
        <v>0</v>
      </c>
      <c r="M16" s="95">
        <f t="shared" si="2"/>
        <v>0</v>
      </c>
      <c r="N16" s="95">
        <f t="shared" si="2"/>
        <v>0</v>
      </c>
      <c r="O16" s="95">
        <f t="shared" si="2"/>
        <v>0</v>
      </c>
      <c r="P16" s="95">
        <f t="shared" ref="P16:AA16" si="3">SUM(P14:P15)-P11</f>
        <v>0</v>
      </c>
      <c r="Q16" s="95">
        <f t="shared" si="3"/>
        <v>0</v>
      </c>
      <c r="R16" s="95">
        <f t="shared" si="3"/>
        <v>0</v>
      </c>
      <c r="S16" s="95">
        <f t="shared" si="3"/>
        <v>0</v>
      </c>
      <c r="T16" s="95">
        <f t="shared" si="3"/>
        <v>0</v>
      </c>
      <c r="U16" s="95">
        <f t="shared" si="3"/>
        <v>0</v>
      </c>
      <c r="V16" s="95">
        <f t="shared" si="3"/>
        <v>0</v>
      </c>
      <c r="W16" s="95">
        <f t="shared" si="3"/>
        <v>0</v>
      </c>
      <c r="X16" s="95">
        <f t="shared" si="3"/>
        <v>0</v>
      </c>
      <c r="Y16" s="95">
        <f t="shared" si="3"/>
        <v>0</v>
      </c>
      <c r="Z16" s="95">
        <f t="shared" si="3"/>
        <v>0</v>
      </c>
      <c r="AA16" s="95">
        <f t="shared" si="3"/>
        <v>0</v>
      </c>
      <c r="AB16" s="95">
        <f t="shared" ref="AB16:AM16" si="4">SUM(AB14:AB15)-AB11</f>
        <v>0</v>
      </c>
      <c r="AC16" s="95">
        <f t="shared" si="4"/>
        <v>0</v>
      </c>
      <c r="AD16" s="95">
        <f t="shared" si="4"/>
        <v>0</v>
      </c>
      <c r="AE16" s="95">
        <f t="shared" si="4"/>
        <v>0</v>
      </c>
      <c r="AF16" s="95">
        <f t="shared" si="4"/>
        <v>0</v>
      </c>
      <c r="AG16" s="95">
        <f t="shared" si="4"/>
        <v>0</v>
      </c>
      <c r="AH16" s="95">
        <f t="shared" si="4"/>
        <v>0</v>
      </c>
      <c r="AI16" s="95">
        <f t="shared" si="4"/>
        <v>0</v>
      </c>
      <c r="AJ16" s="95">
        <f t="shared" si="4"/>
        <v>0</v>
      </c>
      <c r="AK16" s="95">
        <f t="shared" si="4"/>
        <v>0</v>
      </c>
      <c r="AL16" s="95">
        <f t="shared" si="4"/>
        <v>0</v>
      </c>
      <c r="AM16" s="95">
        <f t="shared" si="4"/>
        <v>0</v>
      </c>
      <c r="AN16" s="95">
        <f t="shared" ref="AN16:AY16" si="5">SUM(AN14:AN15)-AN11</f>
        <v>0</v>
      </c>
      <c r="AO16" s="95">
        <f t="shared" si="5"/>
        <v>0</v>
      </c>
      <c r="AP16" s="95">
        <f t="shared" si="5"/>
        <v>0</v>
      </c>
      <c r="AQ16" s="95">
        <f t="shared" si="5"/>
        <v>0</v>
      </c>
      <c r="AR16" s="95">
        <f t="shared" si="5"/>
        <v>0</v>
      </c>
      <c r="AS16" s="95">
        <f t="shared" si="5"/>
        <v>0</v>
      </c>
      <c r="AT16" s="95">
        <f t="shared" si="5"/>
        <v>0</v>
      </c>
      <c r="AU16" s="95">
        <f t="shared" si="5"/>
        <v>0</v>
      </c>
      <c r="AV16" s="95">
        <f t="shared" si="5"/>
        <v>0</v>
      </c>
      <c r="AW16" s="95">
        <f t="shared" si="5"/>
        <v>0</v>
      </c>
      <c r="AX16" s="95">
        <f t="shared" si="5"/>
        <v>0</v>
      </c>
      <c r="AY16" s="95">
        <f t="shared" si="5"/>
        <v>0</v>
      </c>
      <c r="AZ16" s="95">
        <f t="shared" ref="AZ16:BK16" si="6">SUM(AZ14:AZ15)-AZ11</f>
        <v>0</v>
      </c>
      <c r="BA16" s="95">
        <f t="shared" si="6"/>
        <v>0</v>
      </c>
      <c r="BB16" s="95">
        <f t="shared" si="6"/>
        <v>0</v>
      </c>
      <c r="BC16" s="95">
        <f t="shared" si="6"/>
        <v>0</v>
      </c>
      <c r="BD16" s="95">
        <f t="shared" si="6"/>
        <v>0</v>
      </c>
      <c r="BE16" s="95">
        <f t="shared" si="6"/>
        <v>0</v>
      </c>
      <c r="BF16" s="95">
        <f t="shared" si="6"/>
        <v>0</v>
      </c>
      <c r="BG16" s="95">
        <f t="shared" si="6"/>
        <v>0</v>
      </c>
      <c r="BH16" s="95">
        <f t="shared" si="6"/>
        <v>0</v>
      </c>
      <c r="BI16" s="95">
        <f t="shared" si="6"/>
        <v>0</v>
      </c>
      <c r="BJ16" s="95">
        <f t="shared" si="6"/>
        <v>0</v>
      </c>
      <c r="BK16" s="95">
        <f t="shared" si="6"/>
        <v>0</v>
      </c>
      <c r="BL16" s="95">
        <f t="shared" ref="BL16:BW16" si="7">SUM(BL14:BL15)-BL11</f>
        <v>0</v>
      </c>
      <c r="BM16" s="95">
        <f t="shared" si="7"/>
        <v>0</v>
      </c>
      <c r="BN16" s="95">
        <f t="shared" si="7"/>
        <v>0</v>
      </c>
      <c r="BO16" s="95">
        <f t="shared" si="7"/>
        <v>0</v>
      </c>
      <c r="BP16" s="95">
        <f t="shared" si="7"/>
        <v>0</v>
      </c>
      <c r="BQ16" s="95">
        <f t="shared" si="7"/>
        <v>0</v>
      </c>
      <c r="BR16" s="95">
        <f t="shared" si="7"/>
        <v>0</v>
      </c>
      <c r="BS16" s="95">
        <f t="shared" si="7"/>
        <v>0</v>
      </c>
      <c r="BT16" s="95">
        <f t="shared" si="7"/>
        <v>0</v>
      </c>
      <c r="BU16" s="95">
        <f t="shared" si="7"/>
        <v>0</v>
      </c>
      <c r="BV16" s="95">
        <f t="shared" si="7"/>
        <v>0</v>
      </c>
      <c r="BW16" s="95">
        <f t="shared" si="7"/>
        <v>0</v>
      </c>
      <c r="BY16" s="95">
        <f t="shared" si="0"/>
        <v>0</v>
      </c>
      <c r="BZ16" s="95"/>
      <c r="CA16" s="67">
        <f>SUM(BL16:BW16)</f>
        <v>0</v>
      </c>
      <c r="CC16" s="94"/>
    </row>
    <row r="17" spans="2:101" x14ac:dyDescent="0.3"/>
    <row r="18" spans="2:101" x14ac:dyDescent="0.3">
      <c r="B18" s="96" t="s">
        <v>140</v>
      </c>
      <c r="C18" s="97"/>
      <c r="D18" s="98"/>
      <c r="E18" s="98"/>
      <c r="F18" s="98"/>
      <c r="G18" s="98"/>
      <c r="H18" s="99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1"/>
      <c r="BY18" s="101"/>
      <c r="BZ18" s="101"/>
      <c r="CA18" s="101"/>
      <c r="CB18" s="101"/>
      <c r="CC18" s="98"/>
      <c r="CD18" s="98"/>
    </row>
    <row r="19" spans="2:101" x14ac:dyDescent="0.3"/>
    <row r="20" spans="2:101" x14ac:dyDescent="0.3">
      <c r="B20" s="79" t="s">
        <v>141</v>
      </c>
      <c r="C20" s="80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102" t="s">
        <v>142</v>
      </c>
      <c r="CD20" s="79"/>
    </row>
    <row r="21" spans="2:101" x14ac:dyDescent="0.3">
      <c r="B21" s="35" t="s">
        <v>143</v>
      </c>
      <c r="D21" s="103">
        <v>125292</v>
      </c>
      <c r="E21" s="103">
        <v>116321</v>
      </c>
      <c r="F21" s="103">
        <v>123998</v>
      </c>
      <c r="G21" s="103">
        <v>120173</v>
      </c>
      <c r="H21" s="103">
        <v>119891</v>
      </c>
      <c r="I21" s="103">
        <v>110548</v>
      </c>
      <c r="J21" s="103">
        <v>112511</v>
      </c>
      <c r="K21" s="103">
        <v>104488</v>
      </c>
      <c r="L21" s="103">
        <v>113669</v>
      </c>
      <c r="M21" s="103">
        <v>122924</v>
      </c>
      <c r="N21" s="103">
        <v>116438</v>
      </c>
      <c r="O21" s="103">
        <v>122239</v>
      </c>
      <c r="P21" s="103">
        <v>126658</v>
      </c>
      <c r="Q21" s="103">
        <v>123645</v>
      </c>
      <c r="R21" s="103">
        <v>107145</v>
      </c>
      <c r="S21" s="103">
        <v>120669</v>
      </c>
      <c r="T21" s="103">
        <v>126488</v>
      </c>
      <c r="U21" s="103">
        <v>101034</v>
      </c>
      <c r="V21" s="103">
        <v>98932</v>
      </c>
      <c r="W21" s="103">
        <v>114718</v>
      </c>
      <c r="X21" s="103">
        <v>115895</v>
      </c>
      <c r="Y21" s="103">
        <v>120388</v>
      </c>
      <c r="Z21" s="103">
        <v>125154</v>
      </c>
      <c r="AA21" s="103">
        <v>138990</v>
      </c>
      <c r="AB21" s="103">
        <v>126956</v>
      </c>
      <c r="AC21" s="103">
        <v>128016</v>
      </c>
      <c r="AD21" s="103">
        <v>103048</v>
      </c>
      <c r="AE21" s="103">
        <v>149519</v>
      </c>
      <c r="AF21" s="103">
        <v>119298</v>
      </c>
      <c r="AG21" s="103">
        <v>117079</v>
      </c>
      <c r="AH21" s="103">
        <v>119671</v>
      </c>
      <c r="AI21" s="103">
        <v>128468</v>
      </c>
      <c r="AJ21" s="103">
        <v>111859</v>
      </c>
      <c r="AK21" s="103">
        <v>117705</v>
      </c>
      <c r="AL21" s="103">
        <v>130526</v>
      </c>
      <c r="AM21" s="103">
        <v>127795</v>
      </c>
      <c r="AN21" s="103">
        <v>127608</v>
      </c>
      <c r="AO21" s="103">
        <v>137900</v>
      </c>
      <c r="AP21" s="103">
        <v>122893</v>
      </c>
      <c r="AQ21" s="103">
        <v>121566</v>
      </c>
      <c r="AR21" s="103">
        <v>115589</v>
      </c>
      <c r="AS21" s="103">
        <v>92454</v>
      </c>
      <c r="AT21" s="103">
        <v>91051</v>
      </c>
      <c r="AU21" s="103">
        <v>74605</v>
      </c>
      <c r="AV21" s="103">
        <v>70157</v>
      </c>
      <c r="AW21" s="103">
        <v>72630</v>
      </c>
      <c r="AX21" s="103">
        <v>81622</v>
      </c>
      <c r="AY21" s="103">
        <v>88479</v>
      </c>
      <c r="AZ21" s="103">
        <v>111525</v>
      </c>
      <c r="BA21" s="103">
        <v>104033</v>
      </c>
      <c r="BB21" s="103">
        <v>100995</v>
      </c>
      <c r="BC21" s="103">
        <f>[1]TRR_Projections!AK9</f>
        <v>107584</v>
      </c>
      <c r="BD21" s="103">
        <f>[1]TRR_Projections!AL9</f>
        <v>121409</v>
      </c>
      <c r="BE21" s="103">
        <f>[1]TRR_Projections!AM9</f>
        <v>110727.05195340679</v>
      </c>
      <c r="BF21" s="103">
        <f>[1]TRR_Projections!AN9</f>
        <v>110969.43332041254</v>
      </c>
      <c r="BG21" s="103">
        <f>[1]TRR_Projections!AO9</f>
        <v>111212.34525990294</v>
      </c>
      <c r="BH21" s="103">
        <f>[1]TRR_Projections!AP9</f>
        <v>111455.78893330043</v>
      </c>
      <c r="BI21" s="103">
        <f>[1]TRR_Projections!AQ9</f>
        <v>111699.76550456982</v>
      </c>
      <c r="BJ21" s="103">
        <f>[1]TRR_Projections!AR9</f>
        <v>111944.27614022384</v>
      </c>
      <c r="BK21" s="103">
        <f>[1]TRR_Projections!AS9</f>
        <v>112189.32200932867</v>
      </c>
      <c r="BL21" s="103">
        <f>[1]TRR_Projections!AT9</f>
        <v>112434.90428350963</v>
      </c>
      <c r="BM21" s="103">
        <f>[1]TRR_Projections!AU9</f>
        <v>112681.02413695671</v>
      </c>
      <c r="BN21" s="103">
        <f>[1]TRR_Projections!AV9</f>
        <v>112927.68274643019</v>
      </c>
      <c r="BO21" s="103">
        <f>[1]TRR_Projections!AW9</f>
        <v>113174.88129126628</v>
      </c>
      <c r="BP21" s="103">
        <f>[1]TRR_Projections!AX9</f>
        <v>113422.62095338279</v>
      </c>
      <c r="BQ21" s="103">
        <f>[1]TRR_Projections!AY9</f>
        <v>113670.90291728466</v>
      </c>
      <c r="BR21" s="103">
        <f>[1]TRR_Projections!AZ9</f>
        <v>113919.72837006982</v>
      </c>
      <c r="BS21" s="103">
        <f>[1]TRR_Projections!BA9</f>
        <v>114169.09850143468</v>
      </c>
      <c r="BT21" s="103">
        <f>[1]TRR_Projections!BB9</f>
        <v>114419.01450367989</v>
      </c>
      <c r="BU21" s="103">
        <f>[1]TRR_Projections!BC9</f>
        <v>114669.47757171611</v>
      </c>
      <c r="BV21" s="103">
        <f>[1]TRR_Projections!BD9</f>
        <v>114920.48890306958</v>
      </c>
      <c r="BW21" s="103">
        <f>[1]TRR_Projections!BE9</f>
        <v>115172.04969788795</v>
      </c>
      <c r="BY21" s="67">
        <f>SUM(AZ21:BK21)</f>
        <v>1325743.9831211451</v>
      </c>
      <c r="CA21" s="67">
        <f>SUM(BL21:BW21)</f>
        <v>1365581.8738766883</v>
      </c>
      <c r="CH21" s="104"/>
      <c r="CI21" s="104"/>
      <c r="CJ21" s="104"/>
      <c r="CK21" s="104"/>
      <c r="CL21" s="104"/>
      <c r="CM21" s="104"/>
      <c r="CN21" s="104"/>
      <c r="CO21" s="104"/>
      <c r="CP21" s="104"/>
      <c r="CQ21" s="104"/>
      <c r="CR21" s="104"/>
      <c r="CS21" s="104"/>
      <c r="CT21" s="104"/>
      <c r="CU21" s="104"/>
      <c r="CV21" s="104"/>
      <c r="CW21" s="104"/>
    </row>
    <row r="22" spans="2:101" x14ac:dyDescent="0.3">
      <c r="D22" s="24"/>
      <c r="E22" s="105"/>
      <c r="F22" s="105"/>
      <c r="G22" s="105"/>
      <c r="H22" s="105"/>
      <c r="I22" s="105"/>
      <c r="J22" s="106"/>
    </row>
    <row r="23" spans="2:101" x14ac:dyDescent="0.3">
      <c r="B23" s="79" t="s">
        <v>144</v>
      </c>
      <c r="C23" s="80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102" t="s">
        <v>145</v>
      </c>
      <c r="CD23" s="79"/>
    </row>
    <row r="24" spans="2:101" x14ac:dyDescent="0.3">
      <c r="B24" s="35" t="s">
        <v>146</v>
      </c>
      <c r="D24" s="103">
        <v>95775</v>
      </c>
      <c r="E24" s="103">
        <v>85299</v>
      </c>
      <c r="F24" s="103">
        <v>84738</v>
      </c>
      <c r="G24" s="103">
        <v>82080</v>
      </c>
      <c r="H24" s="103">
        <v>82128</v>
      </c>
      <c r="I24" s="103">
        <v>80098</v>
      </c>
      <c r="J24" s="103">
        <v>87572</v>
      </c>
      <c r="K24" s="103">
        <v>78824</v>
      </c>
      <c r="L24" s="103">
        <v>85340</v>
      </c>
      <c r="M24" s="103">
        <v>86158</v>
      </c>
      <c r="N24" s="103">
        <v>78920</v>
      </c>
      <c r="O24" s="103">
        <v>91703</v>
      </c>
      <c r="P24" s="103">
        <v>92833</v>
      </c>
      <c r="Q24" s="103">
        <v>88988</v>
      </c>
      <c r="R24" s="103">
        <v>73533</v>
      </c>
      <c r="S24" s="103">
        <v>85323</v>
      </c>
      <c r="T24" s="103">
        <v>88691</v>
      </c>
      <c r="U24" s="103">
        <v>72657</v>
      </c>
      <c r="V24" s="103">
        <v>70612</v>
      </c>
      <c r="W24" s="103">
        <v>81774</v>
      </c>
      <c r="X24" s="103">
        <v>76033</v>
      </c>
      <c r="Y24" s="103">
        <v>79633</v>
      </c>
      <c r="Z24" s="103">
        <v>82560</v>
      </c>
      <c r="AA24" s="103">
        <v>89090</v>
      </c>
      <c r="AB24" s="103">
        <v>81866</v>
      </c>
      <c r="AC24" s="103">
        <v>84663</v>
      </c>
      <c r="AD24" s="103">
        <v>68434</v>
      </c>
      <c r="AE24" s="103">
        <v>83261</v>
      </c>
      <c r="AF24" s="103">
        <v>74597</v>
      </c>
      <c r="AG24" s="103">
        <v>71339</v>
      </c>
      <c r="AH24" s="103">
        <v>74624</v>
      </c>
      <c r="AI24" s="103">
        <v>75201</v>
      </c>
      <c r="AJ24" s="103">
        <v>66094</v>
      </c>
      <c r="AK24" s="103">
        <v>70502</v>
      </c>
      <c r="AL24" s="103">
        <v>77941</v>
      </c>
      <c r="AM24" s="103">
        <v>76404</v>
      </c>
      <c r="AN24" s="103">
        <v>76074</v>
      </c>
      <c r="AO24" s="103">
        <v>77342</v>
      </c>
      <c r="AP24" s="103">
        <v>70202</v>
      </c>
      <c r="AQ24" s="103">
        <v>70380</v>
      </c>
      <c r="AR24" s="103">
        <v>79554</v>
      </c>
      <c r="AS24" s="103">
        <v>72469</v>
      </c>
      <c r="AT24" s="103">
        <v>82665</v>
      </c>
      <c r="AU24" s="103">
        <v>82194</v>
      </c>
      <c r="AV24" s="103">
        <v>78946</v>
      </c>
      <c r="AW24" s="103">
        <v>83508</v>
      </c>
      <c r="AX24" s="103">
        <v>85787</v>
      </c>
      <c r="AY24" s="103">
        <v>79715</v>
      </c>
      <c r="AZ24" s="103">
        <v>88538</v>
      </c>
      <c r="BA24" s="103">
        <v>76017</v>
      </c>
      <c r="BB24" s="103">
        <v>75059</v>
      </c>
      <c r="BC24" s="104">
        <f>AVERAGE(AQ24:BB24)</f>
        <v>79569.333333333328</v>
      </c>
      <c r="BD24" s="104">
        <f>BC24</f>
        <v>79569.333333333328</v>
      </c>
      <c r="BE24" s="104">
        <f t="shared" ref="BE24:BE27" si="8">BD24</f>
        <v>79569.333333333328</v>
      </c>
      <c r="BF24" s="104">
        <f t="shared" ref="BF24:BF27" si="9">BE24</f>
        <v>79569.333333333328</v>
      </c>
      <c r="BG24" s="104">
        <f t="shared" ref="BG24:BG27" si="10">BF24</f>
        <v>79569.333333333328</v>
      </c>
      <c r="BH24" s="104">
        <f t="shared" ref="BH24:BH27" si="11">BG24</f>
        <v>79569.333333333328</v>
      </c>
      <c r="BI24" s="104">
        <f t="shared" ref="BI24:BI27" si="12">BH24</f>
        <v>79569.333333333328</v>
      </c>
      <c r="BJ24" s="104">
        <f t="shared" ref="BJ24:BJ27" si="13">BI24</f>
        <v>79569.333333333328</v>
      </c>
      <c r="BK24" s="104">
        <f t="shared" ref="BK24:BK27" si="14">BJ24</f>
        <v>79569.333333333328</v>
      </c>
      <c r="BL24" s="104">
        <f t="shared" ref="BL24:BL27" si="15">BK24</f>
        <v>79569.333333333328</v>
      </c>
      <c r="BM24" s="104">
        <f t="shared" ref="BM24:BM27" si="16">BL24</f>
        <v>79569.333333333328</v>
      </c>
      <c r="BN24" s="104">
        <f t="shared" ref="BN24:BN27" si="17">BM24</f>
        <v>79569.333333333328</v>
      </c>
      <c r="BO24" s="104">
        <f t="shared" ref="BO24:BO27" si="18">BN24</f>
        <v>79569.333333333328</v>
      </c>
      <c r="BP24" s="104">
        <f t="shared" ref="BP24:BP27" si="19">BO24</f>
        <v>79569.333333333328</v>
      </c>
      <c r="BQ24" s="104">
        <f t="shared" ref="BQ24:BQ27" si="20">BP24</f>
        <v>79569.333333333328</v>
      </c>
      <c r="BR24" s="104">
        <f t="shared" ref="BR24:BR27" si="21">BQ24</f>
        <v>79569.333333333328</v>
      </c>
      <c r="BS24" s="104">
        <f t="shared" ref="BS24:BS27" si="22">BR24</f>
        <v>79569.333333333328</v>
      </c>
      <c r="BT24" s="104">
        <f t="shared" ref="BT24:BT27" si="23">BS24</f>
        <v>79569.333333333328</v>
      </c>
      <c r="BU24" s="104">
        <f t="shared" ref="BU24:BU27" si="24">BT24</f>
        <v>79569.333333333328</v>
      </c>
      <c r="BV24" s="104">
        <f t="shared" ref="BV24:BV27" si="25">BU24</f>
        <v>79569.333333333328</v>
      </c>
      <c r="BW24" s="104">
        <f t="shared" ref="BW24:BW27" si="26">BV24</f>
        <v>79569.333333333328</v>
      </c>
      <c r="BY24" s="67">
        <f t="shared" ref="BY24:BY27" si="27">SUM(AZ24:BK24)</f>
        <v>955738.00000000012</v>
      </c>
      <c r="CA24" s="67">
        <f t="shared" ref="CA24:CA27" si="28">SUM(BL24:BW24)</f>
        <v>954832.00000000012</v>
      </c>
      <c r="CD24" s="18" t="s">
        <v>147</v>
      </c>
      <c r="CH24" s="104"/>
      <c r="CI24" s="104"/>
      <c r="CJ24" s="104"/>
      <c r="CK24" s="104"/>
      <c r="CL24" s="104"/>
      <c r="CM24" s="104"/>
      <c r="CN24" s="104"/>
      <c r="CO24" s="104"/>
      <c r="CP24" s="104"/>
      <c r="CQ24" s="104"/>
      <c r="CR24" s="104"/>
      <c r="CS24" s="104"/>
      <c r="CT24" s="104"/>
      <c r="CU24" s="104"/>
      <c r="CV24" s="104"/>
      <c r="CW24" s="104"/>
    </row>
    <row r="25" spans="2:101" x14ac:dyDescent="0.3">
      <c r="B25" s="35" t="s">
        <v>148</v>
      </c>
      <c r="D25" s="103">
        <v>159146</v>
      </c>
      <c r="E25" s="103">
        <v>124229</v>
      </c>
      <c r="F25" s="103">
        <v>129788</v>
      </c>
      <c r="G25" s="103">
        <v>123552</v>
      </c>
      <c r="H25" s="103">
        <v>123004</v>
      </c>
      <c r="I25" s="103">
        <v>117002</v>
      </c>
      <c r="J25" s="103">
        <v>115251</v>
      </c>
      <c r="K25" s="103">
        <v>107073</v>
      </c>
      <c r="L25" s="103">
        <v>112715</v>
      </c>
      <c r="M25" s="103">
        <v>172455</v>
      </c>
      <c r="N25" s="103">
        <v>123093</v>
      </c>
      <c r="O25" s="103">
        <v>136708</v>
      </c>
      <c r="P25" s="103">
        <v>132293</v>
      </c>
      <c r="Q25" s="103">
        <v>123397</v>
      </c>
      <c r="R25" s="103">
        <v>128474</v>
      </c>
      <c r="S25" s="103">
        <v>120913</v>
      </c>
      <c r="T25" s="103">
        <v>125720</v>
      </c>
      <c r="U25" s="103">
        <v>113887</v>
      </c>
      <c r="V25" s="103">
        <v>100436</v>
      </c>
      <c r="W25" s="103">
        <v>107951</v>
      </c>
      <c r="X25" s="103">
        <v>114132</v>
      </c>
      <c r="Y25" s="103">
        <v>118990</v>
      </c>
      <c r="Z25" s="103">
        <v>126380</v>
      </c>
      <c r="AA25" s="103">
        <v>142304</v>
      </c>
      <c r="AB25" s="103">
        <v>131628</v>
      </c>
      <c r="AC25" s="103">
        <v>127552</v>
      </c>
      <c r="AD25" s="103">
        <v>113166</v>
      </c>
      <c r="AE25" s="103">
        <v>104301</v>
      </c>
      <c r="AF25" s="103">
        <v>122975</v>
      </c>
      <c r="AG25" s="103">
        <v>119916</v>
      </c>
      <c r="AH25" s="103">
        <v>112029</v>
      </c>
      <c r="AI25" s="103">
        <v>123343</v>
      </c>
      <c r="AJ25" s="103">
        <v>114660</v>
      </c>
      <c r="AK25" s="103">
        <v>116203</v>
      </c>
      <c r="AL25" s="103">
        <v>132262</v>
      </c>
      <c r="AM25" s="103">
        <v>129317</v>
      </c>
      <c r="AN25" s="103">
        <v>132474</v>
      </c>
      <c r="AO25" s="103">
        <v>131439</v>
      </c>
      <c r="AP25" s="103">
        <v>122755</v>
      </c>
      <c r="AQ25" s="103">
        <v>124347</v>
      </c>
      <c r="AR25" s="103">
        <v>138850</v>
      </c>
      <c r="AS25" s="103">
        <v>124003</v>
      </c>
      <c r="AT25" s="103">
        <v>125728</v>
      </c>
      <c r="AU25" s="103">
        <v>136537</v>
      </c>
      <c r="AV25" s="103">
        <v>118682</v>
      </c>
      <c r="AW25" s="103">
        <v>131452</v>
      </c>
      <c r="AX25" s="103">
        <v>139576</v>
      </c>
      <c r="AY25" s="103">
        <v>135221</v>
      </c>
      <c r="AZ25" s="103">
        <v>306137</v>
      </c>
      <c r="BA25" s="103">
        <v>148512</v>
      </c>
      <c r="BB25" s="103">
        <v>124884</v>
      </c>
      <c r="BC25" s="104">
        <f t="shared" ref="BC25:BC27" si="29">AVERAGE(AQ25:BB25)</f>
        <v>146160.75</v>
      </c>
      <c r="BD25" s="104">
        <f t="shared" ref="BD25:BD27" si="30">BC25</f>
        <v>146160.75</v>
      </c>
      <c r="BE25" s="104">
        <f t="shared" si="8"/>
        <v>146160.75</v>
      </c>
      <c r="BF25" s="104">
        <f t="shared" si="9"/>
        <v>146160.75</v>
      </c>
      <c r="BG25" s="104">
        <f t="shared" si="10"/>
        <v>146160.75</v>
      </c>
      <c r="BH25" s="104">
        <f t="shared" si="11"/>
        <v>146160.75</v>
      </c>
      <c r="BI25" s="104">
        <f t="shared" si="12"/>
        <v>146160.75</v>
      </c>
      <c r="BJ25" s="104">
        <f t="shared" si="13"/>
        <v>146160.75</v>
      </c>
      <c r="BK25" s="104">
        <f t="shared" si="14"/>
        <v>146160.75</v>
      </c>
      <c r="BL25" s="104">
        <f t="shared" si="15"/>
        <v>146160.75</v>
      </c>
      <c r="BM25" s="104">
        <f t="shared" si="16"/>
        <v>146160.75</v>
      </c>
      <c r="BN25" s="104">
        <f t="shared" si="17"/>
        <v>146160.75</v>
      </c>
      <c r="BO25" s="104">
        <f t="shared" si="18"/>
        <v>146160.75</v>
      </c>
      <c r="BP25" s="104">
        <f t="shared" si="19"/>
        <v>146160.75</v>
      </c>
      <c r="BQ25" s="104">
        <f t="shared" si="20"/>
        <v>146160.75</v>
      </c>
      <c r="BR25" s="104">
        <f t="shared" si="21"/>
        <v>146160.75</v>
      </c>
      <c r="BS25" s="104">
        <f t="shared" si="22"/>
        <v>146160.75</v>
      </c>
      <c r="BT25" s="104">
        <f t="shared" si="23"/>
        <v>146160.75</v>
      </c>
      <c r="BU25" s="104">
        <f t="shared" si="24"/>
        <v>146160.75</v>
      </c>
      <c r="BV25" s="104">
        <f t="shared" si="25"/>
        <v>146160.75</v>
      </c>
      <c r="BW25" s="104">
        <f t="shared" si="26"/>
        <v>146160.75</v>
      </c>
      <c r="BY25" s="67">
        <f t="shared" si="27"/>
        <v>1894979.75</v>
      </c>
      <c r="CA25" s="67">
        <f t="shared" si="28"/>
        <v>1753929</v>
      </c>
      <c r="CD25" s="18" t="s">
        <v>147</v>
      </c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</row>
    <row r="26" spans="2:101" x14ac:dyDescent="0.3">
      <c r="B26" s="35" t="s">
        <v>149</v>
      </c>
      <c r="D26" s="103">
        <v>443544</v>
      </c>
      <c r="E26" s="103">
        <v>396523</v>
      </c>
      <c r="F26" s="103">
        <v>457894</v>
      </c>
      <c r="G26" s="103">
        <v>315094</v>
      </c>
      <c r="H26" s="103">
        <v>292239</v>
      </c>
      <c r="I26" s="103">
        <v>316099</v>
      </c>
      <c r="J26" s="103">
        <v>325075</v>
      </c>
      <c r="K26" s="103">
        <v>324474</v>
      </c>
      <c r="L26" s="103">
        <v>369471</v>
      </c>
      <c r="M26" s="103">
        <v>369369</v>
      </c>
      <c r="N26" s="103">
        <v>349598</v>
      </c>
      <c r="O26" s="103">
        <v>468605</v>
      </c>
      <c r="P26" s="103">
        <v>367991</v>
      </c>
      <c r="Q26" s="103">
        <v>380655</v>
      </c>
      <c r="R26" s="103">
        <v>429531</v>
      </c>
      <c r="S26" s="103">
        <v>364305</v>
      </c>
      <c r="T26" s="103">
        <v>330476</v>
      </c>
      <c r="U26" s="103">
        <v>228033</v>
      </c>
      <c r="V26" s="103">
        <v>207944</v>
      </c>
      <c r="W26" s="103">
        <v>187638</v>
      </c>
      <c r="X26" s="103">
        <v>140174</v>
      </c>
      <c r="Y26" s="103">
        <v>162947</v>
      </c>
      <c r="Z26" s="103">
        <v>188408</v>
      </c>
      <c r="AA26" s="103">
        <v>221527</v>
      </c>
      <c r="AB26" s="103">
        <v>201479</v>
      </c>
      <c r="AC26" s="103">
        <v>187482</v>
      </c>
      <c r="AD26" s="103">
        <v>150637</v>
      </c>
      <c r="AE26" s="103">
        <v>171385</v>
      </c>
      <c r="AF26" s="103">
        <v>165545</v>
      </c>
      <c r="AG26" s="103">
        <v>133423</v>
      </c>
      <c r="AH26" s="103">
        <v>168240</v>
      </c>
      <c r="AI26" s="103">
        <v>148974</v>
      </c>
      <c r="AJ26" s="103">
        <v>154456</v>
      </c>
      <c r="AK26" s="103">
        <v>186764</v>
      </c>
      <c r="AL26" s="103">
        <v>205175</v>
      </c>
      <c r="AM26" s="103">
        <v>220298</v>
      </c>
      <c r="AN26" s="103">
        <v>230635</v>
      </c>
      <c r="AO26" s="103">
        <v>216483</v>
      </c>
      <c r="AP26" s="103">
        <v>190578</v>
      </c>
      <c r="AQ26" s="103">
        <v>196958</v>
      </c>
      <c r="AR26" s="103">
        <v>186777</v>
      </c>
      <c r="AS26" s="103">
        <v>144463</v>
      </c>
      <c r="AT26" s="103">
        <v>199943</v>
      </c>
      <c r="AU26" s="103">
        <v>175953</v>
      </c>
      <c r="AV26" s="103">
        <v>218814</v>
      </c>
      <c r="AW26" s="103">
        <v>197037</v>
      </c>
      <c r="AX26" s="103">
        <v>208026</v>
      </c>
      <c r="AY26" s="103">
        <v>235611</v>
      </c>
      <c r="AZ26" s="103">
        <v>288304</v>
      </c>
      <c r="BA26" s="103">
        <v>203778</v>
      </c>
      <c r="BB26" s="103">
        <v>192780</v>
      </c>
      <c r="BC26" s="104">
        <f t="shared" si="29"/>
        <v>204037</v>
      </c>
      <c r="BD26" s="104">
        <f t="shared" si="30"/>
        <v>204037</v>
      </c>
      <c r="BE26" s="104">
        <f t="shared" si="8"/>
        <v>204037</v>
      </c>
      <c r="BF26" s="104">
        <f t="shared" si="9"/>
        <v>204037</v>
      </c>
      <c r="BG26" s="104">
        <f t="shared" si="10"/>
        <v>204037</v>
      </c>
      <c r="BH26" s="104">
        <f t="shared" si="11"/>
        <v>204037</v>
      </c>
      <c r="BI26" s="104">
        <f t="shared" si="12"/>
        <v>204037</v>
      </c>
      <c r="BJ26" s="104">
        <f t="shared" si="13"/>
        <v>204037</v>
      </c>
      <c r="BK26" s="104">
        <f t="shared" si="14"/>
        <v>204037</v>
      </c>
      <c r="BL26" s="104">
        <f t="shared" si="15"/>
        <v>204037</v>
      </c>
      <c r="BM26" s="104">
        <f t="shared" si="16"/>
        <v>204037</v>
      </c>
      <c r="BN26" s="104">
        <f t="shared" si="17"/>
        <v>204037</v>
      </c>
      <c r="BO26" s="104">
        <f t="shared" si="18"/>
        <v>204037</v>
      </c>
      <c r="BP26" s="104">
        <f t="shared" si="19"/>
        <v>204037</v>
      </c>
      <c r="BQ26" s="104">
        <f t="shared" si="20"/>
        <v>204037</v>
      </c>
      <c r="BR26" s="104">
        <f t="shared" si="21"/>
        <v>204037</v>
      </c>
      <c r="BS26" s="104">
        <f t="shared" si="22"/>
        <v>204037</v>
      </c>
      <c r="BT26" s="104">
        <f t="shared" si="23"/>
        <v>204037</v>
      </c>
      <c r="BU26" s="104">
        <f t="shared" si="24"/>
        <v>204037</v>
      </c>
      <c r="BV26" s="104">
        <f t="shared" si="25"/>
        <v>204037</v>
      </c>
      <c r="BW26" s="104">
        <f t="shared" si="26"/>
        <v>204037</v>
      </c>
      <c r="BY26" s="67">
        <f t="shared" si="27"/>
        <v>2521195</v>
      </c>
      <c r="CA26" s="67">
        <f t="shared" si="28"/>
        <v>2448444</v>
      </c>
      <c r="CD26" s="18" t="s">
        <v>147</v>
      </c>
      <c r="CH26" s="104"/>
      <c r="CI26" s="104"/>
      <c r="CJ26" s="104"/>
      <c r="CK26" s="104"/>
      <c r="CL26" s="104"/>
      <c r="CM26" s="104"/>
      <c r="CN26" s="104"/>
      <c r="CO26" s="104"/>
      <c r="CP26" s="104"/>
      <c r="CQ26" s="104"/>
      <c r="CR26" s="104"/>
      <c r="CS26" s="104"/>
      <c r="CT26" s="104"/>
      <c r="CU26" s="104"/>
      <c r="CV26" s="104"/>
      <c r="CW26" s="104"/>
    </row>
    <row r="27" spans="2:101" x14ac:dyDescent="0.3">
      <c r="B27" s="35" t="s">
        <v>150</v>
      </c>
      <c r="D27" s="103">
        <v>4841437</v>
      </c>
      <c r="E27" s="103">
        <v>4279138</v>
      </c>
      <c r="F27" s="103">
        <v>4274207</v>
      </c>
      <c r="G27" s="103">
        <v>4094436</v>
      </c>
      <c r="H27" s="103">
        <v>3971894</v>
      </c>
      <c r="I27" s="103">
        <v>3865198</v>
      </c>
      <c r="J27" s="103">
        <v>4049227</v>
      </c>
      <c r="K27" s="103">
        <v>3846053</v>
      </c>
      <c r="L27" s="103">
        <v>4102004</v>
      </c>
      <c r="M27" s="103">
        <v>4317966</v>
      </c>
      <c r="N27" s="103">
        <v>4080301</v>
      </c>
      <c r="O27" s="103">
        <v>4701098</v>
      </c>
      <c r="P27" s="103">
        <v>4609834</v>
      </c>
      <c r="Q27" s="103">
        <v>4416729</v>
      </c>
      <c r="R27" s="103">
        <v>4102786</v>
      </c>
      <c r="S27" s="103">
        <v>4278702</v>
      </c>
      <c r="T27" s="103">
        <v>4466022</v>
      </c>
      <c r="U27" s="103">
        <v>3876306</v>
      </c>
      <c r="V27" s="103">
        <v>3847290</v>
      </c>
      <c r="W27" s="103">
        <v>4011072</v>
      </c>
      <c r="X27" s="103">
        <v>3881152</v>
      </c>
      <c r="Y27" s="103">
        <v>4161469</v>
      </c>
      <c r="Z27" s="103">
        <v>4440874</v>
      </c>
      <c r="AA27" s="103">
        <v>4900467</v>
      </c>
      <c r="AB27" s="103">
        <v>4521158</v>
      </c>
      <c r="AC27" s="103">
        <v>4663351</v>
      </c>
      <c r="AD27" s="103">
        <v>3985594</v>
      </c>
      <c r="AE27" s="103">
        <v>4346216</v>
      </c>
      <c r="AF27" s="103">
        <v>4038439</v>
      </c>
      <c r="AG27" s="103">
        <v>3832728</v>
      </c>
      <c r="AH27" s="103">
        <v>4012010</v>
      </c>
      <c r="AI27" s="103">
        <v>4243793</v>
      </c>
      <c r="AJ27" s="103">
        <v>4086070</v>
      </c>
      <c r="AK27" s="103">
        <v>4293086</v>
      </c>
      <c r="AL27" s="103">
        <v>4693314</v>
      </c>
      <c r="AM27" s="103">
        <v>4633239</v>
      </c>
      <c r="AN27" s="103">
        <v>4603998</v>
      </c>
      <c r="AO27" s="103">
        <v>4727100</v>
      </c>
      <c r="AP27" s="103">
        <v>4151236</v>
      </c>
      <c r="AQ27" s="103">
        <v>4210608</v>
      </c>
      <c r="AR27" s="103">
        <v>4398754</v>
      </c>
      <c r="AS27" s="103">
        <v>3844281</v>
      </c>
      <c r="AT27" s="103">
        <v>4236949</v>
      </c>
      <c r="AU27" s="103">
        <v>4186241</v>
      </c>
      <c r="AV27" s="103">
        <v>3999119</v>
      </c>
      <c r="AW27" s="103">
        <v>4341778</v>
      </c>
      <c r="AX27" s="103">
        <v>4640217</v>
      </c>
      <c r="AY27" s="103">
        <v>4745722</v>
      </c>
      <c r="AZ27" s="103">
        <v>5189920</v>
      </c>
      <c r="BA27" s="103">
        <v>4475773</v>
      </c>
      <c r="BB27" s="103">
        <v>4126213</v>
      </c>
      <c r="BC27" s="104">
        <f t="shared" si="29"/>
        <v>4366297.916666667</v>
      </c>
      <c r="BD27" s="104">
        <f t="shared" si="30"/>
        <v>4366297.916666667</v>
      </c>
      <c r="BE27" s="104">
        <f t="shared" si="8"/>
        <v>4366297.916666667</v>
      </c>
      <c r="BF27" s="104">
        <f t="shared" si="9"/>
        <v>4366297.916666667</v>
      </c>
      <c r="BG27" s="104">
        <f t="shared" si="10"/>
        <v>4366297.916666667</v>
      </c>
      <c r="BH27" s="104">
        <f t="shared" si="11"/>
        <v>4366297.916666667</v>
      </c>
      <c r="BI27" s="104">
        <f t="shared" si="12"/>
        <v>4366297.916666667</v>
      </c>
      <c r="BJ27" s="104">
        <f t="shared" si="13"/>
        <v>4366297.916666667</v>
      </c>
      <c r="BK27" s="104">
        <f t="shared" si="14"/>
        <v>4366297.916666667</v>
      </c>
      <c r="BL27" s="104">
        <f t="shared" si="15"/>
        <v>4366297.916666667</v>
      </c>
      <c r="BM27" s="104">
        <f t="shared" si="16"/>
        <v>4366297.916666667</v>
      </c>
      <c r="BN27" s="104">
        <f t="shared" si="17"/>
        <v>4366297.916666667</v>
      </c>
      <c r="BO27" s="104">
        <f t="shared" si="18"/>
        <v>4366297.916666667</v>
      </c>
      <c r="BP27" s="104">
        <f t="shared" si="19"/>
        <v>4366297.916666667</v>
      </c>
      <c r="BQ27" s="104">
        <f t="shared" si="20"/>
        <v>4366297.916666667</v>
      </c>
      <c r="BR27" s="104">
        <f t="shared" si="21"/>
        <v>4366297.916666667</v>
      </c>
      <c r="BS27" s="104">
        <f t="shared" si="22"/>
        <v>4366297.916666667</v>
      </c>
      <c r="BT27" s="104">
        <f t="shared" si="23"/>
        <v>4366297.916666667</v>
      </c>
      <c r="BU27" s="104">
        <f t="shared" si="24"/>
        <v>4366297.916666667</v>
      </c>
      <c r="BV27" s="104">
        <f t="shared" si="25"/>
        <v>4366297.916666667</v>
      </c>
      <c r="BW27" s="104">
        <f t="shared" si="26"/>
        <v>4366297.916666667</v>
      </c>
      <c r="BY27" s="67">
        <f t="shared" si="27"/>
        <v>53088587.249999993</v>
      </c>
      <c r="CA27" s="67">
        <f t="shared" si="28"/>
        <v>52395574.999999993</v>
      </c>
      <c r="CD27" s="18" t="s">
        <v>147</v>
      </c>
      <c r="CH27" s="104"/>
      <c r="CI27" s="104"/>
      <c r="CJ27" s="104"/>
      <c r="CK27" s="104"/>
      <c r="CL27" s="104"/>
      <c r="CM27" s="104"/>
      <c r="CN27" s="104"/>
      <c r="CO27" s="104"/>
      <c r="CP27" s="104"/>
      <c r="CQ27" s="104"/>
      <c r="CR27" s="104"/>
      <c r="CS27" s="104"/>
      <c r="CT27" s="104"/>
      <c r="CU27" s="104"/>
      <c r="CV27" s="104"/>
      <c r="CW27" s="104"/>
    </row>
    <row r="28" spans="2:101" x14ac:dyDescent="0.3">
      <c r="B28" s="35"/>
      <c r="D28" s="24"/>
      <c r="E28" s="105"/>
      <c r="F28" s="105"/>
      <c r="G28" s="105"/>
      <c r="H28" s="105"/>
      <c r="I28" s="105"/>
    </row>
    <row r="29" spans="2:101" x14ac:dyDescent="0.3">
      <c r="B29" s="107" t="s">
        <v>141</v>
      </c>
      <c r="C29" s="85"/>
      <c r="D29" s="104">
        <f t="shared" ref="D29:O29" si="31">SUM(D21:D21)</f>
        <v>125292</v>
      </c>
      <c r="E29" s="104">
        <f t="shared" si="31"/>
        <v>116321</v>
      </c>
      <c r="F29" s="104">
        <f t="shared" si="31"/>
        <v>123998</v>
      </c>
      <c r="G29" s="104">
        <f t="shared" si="31"/>
        <v>120173</v>
      </c>
      <c r="H29" s="104">
        <f t="shared" si="31"/>
        <v>119891</v>
      </c>
      <c r="I29" s="104">
        <f t="shared" si="31"/>
        <v>110548</v>
      </c>
      <c r="J29" s="104">
        <f>SUM(J21:J21)</f>
        <v>112511</v>
      </c>
      <c r="K29" s="104">
        <f t="shared" si="31"/>
        <v>104488</v>
      </c>
      <c r="L29" s="104">
        <f t="shared" si="31"/>
        <v>113669</v>
      </c>
      <c r="M29" s="104">
        <f t="shared" si="31"/>
        <v>122924</v>
      </c>
      <c r="N29" s="104">
        <f t="shared" si="31"/>
        <v>116438</v>
      </c>
      <c r="O29" s="104">
        <f t="shared" si="31"/>
        <v>122239</v>
      </c>
      <c r="P29" s="104">
        <f t="shared" ref="P29:AA29" si="32">SUM(P21:P21)</f>
        <v>126658</v>
      </c>
      <c r="Q29" s="104">
        <f t="shared" si="32"/>
        <v>123645</v>
      </c>
      <c r="R29" s="104">
        <f t="shared" si="32"/>
        <v>107145</v>
      </c>
      <c r="S29" s="104">
        <f t="shared" si="32"/>
        <v>120669</v>
      </c>
      <c r="T29" s="104">
        <f t="shared" si="32"/>
        <v>126488</v>
      </c>
      <c r="U29" s="104">
        <f t="shared" si="32"/>
        <v>101034</v>
      </c>
      <c r="V29" s="104">
        <f t="shared" si="32"/>
        <v>98932</v>
      </c>
      <c r="W29" s="104">
        <f t="shared" si="32"/>
        <v>114718</v>
      </c>
      <c r="X29" s="104">
        <f t="shared" si="32"/>
        <v>115895</v>
      </c>
      <c r="Y29" s="104">
        <f t="shared" si="32"/>
        <v>120388</v>
      </c>
      <c r="Z29" s="104">
        <f t="shared" si="32"/>
        <v>125154</v>
      </c>
      <c r="AA29" s="104">
        <f t="shared" si="32"/>
        <v>138990</v>
      </c>
      <c r="AB29" s="104">
        <f t="shared" ref="AB29:AC29" si="33">SUM(AB21:AB21)</f>
        <v>126956</v>
      </c>
      <c r="AC29" s="104">
        <f t="shared" si="33"/>
        <v>128016</v>
      </c>
      <c r="AD29" s="104">
        <f t="shared" ref="AD29:AM29" si="34">SUM(AD21:AD21)</f>
        <v>103048</v>
      </c>
      <c r="AE29" s="104">
        <f t="shared" si="34"/>
        <v>149519</v>
      </c>
      <c r="AF29" s="104">
        <f t="shared" si="34"/>
        <v>119298</v>
      </c>
      <c r="AG29" s="104">
        <f t="shared" si="34"/>
        <v>117079</v>
      </c>
      <c r="AH29" s="104">
        <f t="shared" si="34"/>
        <v>119671</v>
      </c>
      <c r="AI29" s="104">
        <f t="shared" si="34"/>
        <v>128468</v>
      </c>
      <c r="AJ29" s="104">
        <f t="shared" si="34"/>
        <v>111859</v>
      </c>
      <c r="AK29" s="104">
        <f t="shared" si="34"/>
        <v>117705</v>
      </c>
      <c r="AL29" s="104">
        <f t="shared" si="34"/>
        <v>130526</v>
      </c>
      <c r="AM29" s="104">
        <f t="shared" si="34"/>
        <v>127795</v>
      </c>
      <c r="AN29" s="104">
        <f t="shared" ref="AN29:AY29" si="35">SUM(AN21:AN21)</f>
        <v>127608</v>
      </c>
      <c r="AO29" s="104">
        <f t="shared" si="35"/>
        <v>137900</v>
      </c>
      <c r="AP29" s="104">
        <f t="shared" si="35"/>
        <v>122893</v>
      </c>
      <c r="AQ29" s="104">
        <f t="shared" si="35"/>
        <v>121566</v>
      </c>
      <c r="AR29" s="104">
        <f t="shared" si="35"/>
        <v>115589</v>
      </c>
      <c r="AS29" s="104">
        <f t="shared" si="35"/>
        <v>92454</v>
      </c>
      <c r="AT29" s="104">
        <f t="shared" si="35"/>
        <v>91051</v>
      </c>
      <c r="AU29" s="104">
        <f t="shared" si="35"/>
        <v>74605</v>
      </c>
      <c r="AV29" s="104">
        <f t="shared" si="35"/>
        <v>70157</v>
      </c>
      <c r="AW29" s="104">
        <f t="shared" si="35"/>
        <v>72630</v>
      </c>
      <c r="AX29" s="104">
        <f t="shared" si="35"/>
        <v>81622</v>
      </c>
      <c r="AY29" s="104">
        <f t="shared" si="35"/>
        <v>88479</v>
      </c>
      <c r="AZ29" s="104">
        <f t="shared" ref="AZ29:BK29" si="36">SUM(AZ21:AZ21)</f>
        <v>111525</v>
      </c>
      <c r="BA29" s="104">
        <f t="shared" si="36"/>
        <v>104033</v>
      </c>
      <c r="BB29" s="104">
        <f t="shared" si="36"/>
        <v>100995</v>
      </c>
      <c r="BC29" s="104">
        <f t="shared" si="36"/>
        <v>107584</v>
      </c>
      <c r="BD29" s="104">
        <f t="shared" si="36"/>
        <v>121409</v>
      </c>
      <c r="BE29" s="104">
        <f t="shared" si="36"/>
        <v>110727.05195340679</v>
      </c>
      <c r="BF29" s="104">
        <f t="shared" si="36"/>
        <v>110969.43332041254</v>
      </c>
      <c r="BG29" s="104">
        <f t="shared" si="36"/>
        <v>111212.34525990294</v>
      </c>
      <c r="BH29" s="104">
        <f t="shared" si="36"/>
        <v>111455.78893330043</v>
      </c>
      <c r="BI29" s="104">
        <f t="shared" si="36"/>
        <v>111699.76550456982</v>
      </c>
      <c r="BJ29" s="104">
        <f t="shared" si="36"/>
        <v>111944.27614022384</v>
      </c>
      <c r="BK29" s="104">
        <f t="shared" si="36"/>
        <v>112189.32200932867</v>
      </c>
      <c r="BL29" s="104">
        <f t="shared" ref="BL29:BW29" si="37">SUM(BL21:BL21)</f>
        <v>112434.90428350963</v>
      </c>
      <c r="BM29" s="104">
        <f t="shared" si="37"/>
        <v>112681.02413695671</v>
      </c>
      <c r="BN29" s="104">
        <f t="shared" si="37"/>
        <v>112927.68274643019</v>
      </c>
      <c r="BO29" s="104">
        <f t="shared" si="37"/>
        <v>113174.88129126628</v>
      </c>
      <c r="BP29" s="104">
        <f t="shared" si="37"/>
        <v>113422.62095338279</v>
      </c>
      <c r="BQ29" s="104">
        <f t="shared" si="37"/>
        <v>113670.90291728466</v>
      </c>
      <c r="BR29" s="104">
        <f t="shared" si="37"/>
        <v>113919.72837006982</v>
      </c>
      <c r="BS29" s="104">
        <f t="shared" si="37"/>
        <v>114169.09850143468</v>
      </c>
      <c r="BT29" s="104">
        <f t="shared" si="37"/>
        <v>114419.01450367989</v>
      </c>
      <c r="BU29" s="104">
        <f t="shared" si="37"/>
        <v>114669.47757171611</v>
      </c>
      <c r="BV29" s="104">
        <f t="shared" si="37"/>
        <v>114920.48890306958</v>
      </c>
      <c r="BW29" s="104">
        <f t="shared" si="37"/>
        <v>115172.04969788795</v>
      </c>
      <c r="BY29" s="67">
        <f t="shared" ref="BY29:BY30" si="38">SUM(AZ29:BK29)</f>
        <v>1325743.9831211451</v>
      </c>
      <c r="CA29" s="67">
        <f t="shared" ref="CA29:CA30" si="39">SUM(BL29:BW29)</f>
        <v>1365581.8738766883</v>
      </c>
      <c r="CC29" s="87" t="s">
        <v>142</v>
      </c>
      <c r="CH29" s="104"/>
      <c r="CI29" s="104"/>
      <c r="CJ29" s="104"/>
      <c r="CK29" s="104"/>
      <c r="CL29" s="104"/>
      <c r="CM29" s="104"/>
      <c r="CN29" s="104"/>
      <c r="CO29" s="104"/>
      <c r="CP29" s="104"/>
      <c r="CQ29" s="104"/>
      <c r="CR29" s="104"/>
      <c r="CS29" s="104"/>
      <c r="CT29" s="104"/>
      <c r="CU29" s="104"/>
      <c r="CV29" s="104"/>
      <c r="CW29" s="104"/>
    </row>
    <row r="30" spans="2:101" x14ac:dyDescent="0.3">
      <c r="B30" s="107" t="s">
        <v>144</v>
      </c>
      <c r="C30" s="108"/>
      <c r="D30" s="104">
        <f t="shared" ref="D30:O30" si="40">SUM(D24:D27)</f>
        <v>5539902</v>
      </c>
      <c r="E30" s="104">
        <f t="shared" si="40"/>
        <v>4885189</v>
      </c>
      <c r="F30" s="104">
        <f t="shared" si="40"/>
        <v>4946627</v>
      </c>
      <c r="G30" s="104">
        <f t="shared" si="40"/>
        <v>4615162</v>
      </c>
      <c r="H30" s="104">
        <f t="shared" si="40"/>
        <v>4469265</v>
      </c>
      <c r="I30" s="104">
        <f t="shared" si="40"/>
        <v>4378397</v>
      </c>
      <c r="J30" s="104">
        <f t="shared" si="40"/>
        <v>4577125</v>
      </c>
      <c r="K30" s="104">
        <f t="shared" si="40"/>
        <v>4356424</v>
      </c>
      <c r="L30" s="104">
        <f t="shared" si="40"/>
        <v>4669530</v>
      </c>
      <c r="M30" s="104">
        <f t="shared" si="40"/>
        <v>4945948</v>
      </c>
      <c r="N30" s="104">
        <f t="shared" si="40"/>
        <v>4631912</v>
      </c>
      <c r="O30" s="104">
        <f t="shared" si="40"/>
        <v>5398114</v>
      </c>
      <c r="P30" s="104">
        <f t="shared" ref="P30:AA30" si="41">SUM(P24:P27)</f>
        <v>5202951</v>
      </c>
      <c r="Q30" s="104">
        <f t="shared" si="41"/>
        <v>5009769</v>
      </c>
      <c r="R30" s="104">
        <f t="shared" si="41"/>
        <v>4734324</v>
      </c>
      <c r="S30" s="104">
        <f t="shared" si="41"/>
        <v>4849243</v>
      </c>
      <c r="T30" s="104">
        <f t="shared" si="41"/>
        <v>5010909</v>
      </c>
      <c r="U30" s="104">
        <f t="shared" si="41"/>
        <v>4290883</v>
      </c>
      <c r="V30" s="104">
        <f t="shared" si="41"/>
        <v>4226282</v>
      </c>
      <c r="W30" s="104">
        <f t="shared" si="41"/>
        <v>4388435</v>
      </c>
      <c r="X30" s="104">
        <f t="shared" si="41"/>
        <v>4211491</v>
      </c>
      <c r="Y30" s="104">
        <f t="shared" si="41"/>
        <v>4523039</v>
      </c>
      <c r="Z30" s="104">
        <f t="shared" si="41"/>
        <v>4838222</v>
      </c>
      <c r="AA30" s="104">
        <f t="shared" si="41"/>
        <v>5353388</v>
      </c>
      <c r="AB30" s="104">
        <f t="shared" ref="AB30:AC30" si="42">SUM(AB24:AB27)</f>
        <v>4936131</v>
      </c>
      <c r="AC30" s="104">
        <f t="shared" si="42"/>
        <v>5063048</v>
      </c>
      <c r="AD30" s="104">
        <f t="shared" ref="AD30:AM30" si="43">SUM(AD24:AD27)</f>
        <v>4317831</v>
      </c>
      <c r="AE30" s="104">
        <f t="shared" si="43"/>
        <v>4705163</v>
      </c>
      <c r="AF30" s="104">
        <f t="shared" si="43"/>
        <v>4401556</v>
      </c>
      <c r="AG30" s="104">
        <f t="shared" si="43"/>
        <v>4157406</v>
      </c>
      <c r="AH30" s="104">
        <f t="shared" si="43"/>
        <v>4366903</v>
      </c>
      <c r="AI30" s="104">
        <f t="shared" si="43"/>
        <v>4591311</v>
      </c>
      <c r="AJ30" s="104">
        <f t="shared" si="43"/>
        <v>4421280</v>
      </c>
      <c r="AK30" s="104">
        <f t="shared" si="43"/>
        <v>4666555</v>
      </c>
      <c r="AL30" s="104">
        <f t="shared" si="43"/>
        <v>5108692</v>
      </c>
      <c r="AM30" s="104">
        <f t="shared" si="43"/>
        <v>5059258</v>
      </c>
      <c r="AN30" s="104">
        <f t="shared" ref="AN30:AY30" si="44">SUM(AN24:AN27)</f>
        <v>5043181</v>
      </c>
      <c r="AO30" s="104">
        <f t="shared" si="44"/>
        <v>5152364</v>
      </c>
      <c r="AP30" s="104">
        <f t="shared" si="44"/>
        <v>4534771</v>
      </c>
      <c r="AQ30" s="104">
        <f t="shared" si="44"/>
        <v>4602293</v>
      </c>
      <c r="AR30" s="104">
        <f t="shared" si="44"/>
        <v>4803935</v>
      </c>
      <c r="AS30" s="104">
        <f t="shared" si="44"/>
        <v>4185216</v>
      </c>
      <c r="AT30" s="104">
        <f t="shared" si="44"/>
        <v>4645285</v>
      </c>
      <c r="AU30" s="104">
        <f t="shared" si="44"/>
        <v>4580925</v>
      </c>
      <c r="AV30" s="104">
        <f t="shared" si="44"/>
        <v>4415561</v>
      </c>
      <c r="AW30" s="104">
        <f t="shared" si="44"/>
        <v>4753775</v>
      </c>
      <c r="AX30" s="104">
        <f t="shared" si="44"/>
        <v>5073606</v>
      </c>
      <c r="AY30" s="104">
        <f t="shared" si="44"/>
        <v>5196269</v>
      </c>
      <c r="AZ30" s="104">
        <f t="shared" ref="AZ30:BK30" si="45">SUM(AZ24:AZ27)</f>
        <v>5872899</v>
      </c>
      <c r="BA30" s="104">
        <f t="shared" si="45"/>
        <v>4904080</v>
      </c>
      <c r="BB30" s="104">
        <f t="shared" si="45"/>
        <v>4518936</v>
      </c>
      <c r="BC30" s="104">
        <f>SUM(BC24:BC27)</f>
        <v>4796065</v>
      </c>
      <c r="BD30" s="104">
        <f t="shared" si="45"/>
        <v>4796065</v>
      </c>
      <c r="BE30" s="104">
        <f t="shared" si="45"/>
        <v>4796065</v>
      </c>
      <c r="BF30" s="104">
        <f t="shared" si="45"/>
        <v>4796065</v>
      </c>
      <c r="BG30" s="104">
        <f t="shared" si="45"/>
        <v>4796065</v>
      </c>
      <c r="BH30" s="104">
        <f t="shared" si="45"/>
        <v>4796065</v>
      </c>
      <c r="BI30" s="104">
        <f t="shared" si="45"/>
        <v>4796065</v>
      </c>
      <c r="BJ30" s="104">
        <f t="shared" si="45"/>
        <v>4796065</v>
      </c>
      <c r="BK30" s="104">
        <f t="shared" si="45"/>
        <v>4796065</v>
      </c>
      <c r="BL30" s="104">
        <f t="shared" ref="BL30:BW30" si="46">SUM(BL24:BL27)</f>
        <v>4796065</v>
      </c>
      <c r="BM30" s="104">
        <f t="shared" si="46"/>
        <v>4796065</v>
      </c>
      <c r="BN30" s="104">
        <f t="shared" si="46"/>
        <v>4796065</v>
      </c>
      <c r="BO30" s="104">
        <f t="shared" si="46"/>
        <v>4796065</v>
      </c>
      <c r="BP30" s="104">
        <f t="shared" si="46"/>
        <v>4796065</v>
      </c>
      <c r="BQ30" s="104">
        <f t="shared" si="46"/>
        <v>4796065</v>
      </c>
      <c r="BR30" s="104">
        <f t="shared" si="46"/>
        <v>4796065</v>
      </c>
      <c r="BS30" s="104">
        <f t="shared" si="46"/>
        <v>4796065</v>
      </c>
      <c r="BT30" s="104">
        <f t="shared" si="46"/>
        <v>4796065</v>
      </c>
      <c r="BU30" s="104">
        <f t="shared" si="46"/>
        <v>4796065</v>
      </c>
      <c r="BV30" s="104">
        <f t="shared" si="46"/>
        <v>4796065</v>
      </c>
      <c r="BW30" s="104">
        <f t="shared" si="46"/>
        <v>4796065</v>
      </c>
      <c r="BY30" s="67">
        <f t="shared" si="38"/>
        <v>58460500</v>
      </c>
      <c r="CA30" s="67">
        <f t="shared" si="39"/>
        <v>57552780</v>
      </c>
      <c r="CC30" s="109" t="s">
        <v>145</v>
      </c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</row>
    <row r="31" spans="2:101" x14ac:dyDescent="0.3">
      <c r="B31" s="107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</row>
    <row r="32" spans="2:101" x14ac:dyDescent="0.3">
      <c r="B32" s="53" t="s">
        <v>151</v>
      </c>
      <c r="D32" s="104">
        <f t="shared" ref="D32:O32" si="47">SUM(D29:D30)</f>
        <v>5665194</v>
      </c>
      <c r="E32" s="104">
        <f t="shared" si="47"/>
        <v>5001510</v>
      </c>
      <c r="F32" s="104">
        <f t="shared" si="47"/>
        <v>5070625</v>
      </c>
      <c r="G32" s="104">
        <f t="shared" si="47"/>
        <v>4735335</v>
      </c>
      <c r="H32" s="104">
        <f t="shared" si="47"/>
        <v>4589156</v>
      </c>
      <c r="I32" s="104">
        <f t="shared" si="47"/>
        <v>4488945</v>
      </c>
      <c r="J32" s="104">
        <f t="shared" si="47"/>
        <v>4689636</v>
      </c>
      <c r="K32" s="104">
        <f t="shared" si="47"/>
        <v>4460912</v>
      </c>
      <c r="L32" s="104">
        <f t="shared" si="47"/>
        <v>4783199</v>
      </c>
      <c r="M32" s="104">
        <f t="shared" si="47"/>
        <v>5068872</v>
      </c>
      <c r="N32" s="104">
        <f t="shared" si="47"/>
        <v>4748350</v>
      </c>
      <c r="O32" s="104">
        <f t="shared" si="47"/>
        <v>5520353</v>
      </c>
      <c r="P32" s="104">
        <f t="shared" ref="P32:AA32" si="48">SUM(P29:P30)</f>
        <v>5329609</v>
      </c>
      <c r="Q32" s="104">
        <f t="shared" si="48"/>
        <v>5133414</v>
      </c>
      <c r="R32" s="104">
        <f t="shared" si="48"/>
        <v>4841469</v>
      </c>
      <c r="S32" s="104">
        <f t="shared" si="48"/>
        <v>4969912</v>
      </c>
      <c r="T32" s="104">
        <f t="shared" si="48"/>
        <v>5137397</v>
      </c>
      <c r="U32" s="104">
        <f t="shared" si="48"/>
        <v>4391917</v>
      </c>
      <c r="V32" s="104">
        <f t="shared" si="48"/>
        <v>4325214</v>
      </c>
      <c r="W32" s="104">
        <f t="shared" si="48"/>
        <v>4503153</v>
      </c>
      <c r="X32" s="104">
        <f t="shared" si="48"/>
        <v>4327386</v>
      </c>
      <c r="Y32" s="104">
        <f t="shared" si="48"/>
        <v>4643427</v>
      </c>
      <c r="Z32" s="104">
        <f t="shared" si="48"/>
        <v>4963376</v>
      </c>
      <c r="AA32" s="104">
        <f t="shared" si="48"/>
        <v>5492378</v>
      </c>
      <c r="AB32" s="104">
        <f t="shared" ref="AB32:AC32" si="49">SUM(AB29:AB30)</f>
        <v>5063087</v>
      </c>
      <c r="AC32" s="104">
        <f t="shared" si="49"/>
        <v>5191064</v>
      </c>
      <c r="AD32" s="104">
        <f t="shared" ref="AD32:AM32" si="50">SUM(AD29:AD30)</f>
        <v>4420879</v>
      </c>
      <c r="AE32" s="104">
        <f t="shared" si="50"/>
        <v>4854682</v>
      </c>
      <c r="AF32" s="104">
        <f t="shared" si="50"/>
        <v>4520854</v>
      </c>
      <c r="AG32" s="104">
        <f t="shared" si="50"/>
        <v>4274485</v>
      </c>
      <c r="AH32" s="104">
        <f t="shared" si="50"/>
        <v>4486574</v>
      </c>
      <c r="AI32" s="104">
        <f t="shared" si="50"/>
        <v>4719779</v>
      </c>
      <c r="AJ32" s="104">
        <f t="shared" si="50"/>
        <v>4533139</v>
      </c>
      <c r="AK32" s="104">
        <f t="shared" si="50"/>
        <v>4784260</v>
      </c>
      <c r="AL32" s="104">
        <f t="shared" si="50"/>
        <v>5239218</v>
      </c>
      <c r="AM32" s="104">
        <f t="shared" si="50"/>
        <v>5187053</v>
      </c>
      <c r="AN32" s="104">
        <f t="shared" ref="AN32:BK32" si="51">SUM(AN29:AN30)</f>
        <v>5170789</v>
      </c>
      <c r="AO32" s="104">
        <f t="shared" si="51"/>
        <v>5290264</v>
      </c>
      <c r="AP32" s="104">
        <f t="shared" si="51"/>
        <v>4657664</v>
      </c>
      <c r="AQ32" s="104">
        <f t="shared" si="51"/>
        <v>4723859</v>
      </c>
      <c r="AR32" s="104">
        <f t="shared" si="51"/>
        <v>4919524</v>
      </c>
      <c r="AS32" s="104">
        <f t="shared" si="51"/>
        <v>4277670</v>
      </c>
      <c r="AT32" s="104">
        <f t="shared" si="51"/>
        <v>4736336</v>
      </c>
      <c r="AU32" s="104">
        <f t="shared" si="51"/>
        <v>4655530</v>
      </c>
      <c r="AV32" s="104">
        <f t="shared" si="51"/>
        <v>4485718</v>
      </c>
      <c r="AW32" s="104">
        <f t="shared" si="51"/>
        <v>4826405</v>
      </c>
      <c r="AX32" s="104">
        <f t="shared" si="51"/>
        <v>5155228</v>
      </c>
      <c r="AY32" s="104">
        <f t="shared" si="51"/>
        <v>5284748</v>
      </c>
      <c r="AZ32" s="104">
        <f t="shared" si="51"/>
        <v>5984424</v>
      </c>
      <c r="BA32" s="104">
        <f t="shared" si="51"/>
        <v>5008113</v>
      </c>
      <c r="BB32" s="104">
        <f t="shared" si="51"/>
        <v>4619931</v>
      </c>
      <c r="BC32" s="104">
        <f t="shared" si="51"/>
        <v>4903649</v>
      </c>
      <c r="BD32" s="104">
        <f t="shared" si="51"/>
        <v>4917474</v>
      </c>
      <c r="BE32" s="104">
        <f t="shared" si="51"/>
        <v>4906792.051953407</v>
      </c>
      <c r="BF32" s="104">
        <f t="shared" si="51"/>
        <v>4907034.4333204124</v>
      </c>
      <c r="BG32" s="104">
        <f t="shared" si="51"/>
        <v>4907277.345259903</v>
      </c>
      <c r="BH32" s="104">
        <f t="shared" si="51"/>
        <v>4907520.7889333004</v>
      </c>
      <c r="BI32" s="104">
        <f t="shared" si="51"/>
        <v>4907764.7655045697</v>
      </c>
      <c r="BJ32" s="104">
        <f t="shared" si="51"/>
        <v>4908009.2761402242</v>
      </c>
      <c r="BK32" s="104">
        <f t="shared" si="51"/>
        <v>4908254.3220093288</v>
      </c>
      <c r="BL32" s="104">
        <f t="shared" ref="BL32:BW32" si="52">SUM(BL29:BL30)</f>
        <v>4908499.9042835096</v>
      </c>
      <c r="BM32" s="104">
        <f t="shared" si="52"/>
        <v>4908746.0241369568</v>
      </c>
      <c r="BN32" s="104">
        <f t="shared" si="52"/>
        <v>4908992.6827464299</v>
      </c>
      <c r="BO32" s="104">
        <f t="shared" si="52"/>
        <v>4909239.8812912665</v>
      </c>
      <c r="BP32" s="104">
        <f t="shared" si="52"/>
        <v>4909487.6209533829</v>
      </c>
      <c r="BQ32" s="104">
        <f t="shared" si="52"/>
        <v>4909735.9029172845</v>
      </c>
      <c r="BR32" s="104">
        <f t="shared" si="52"/>
        <v>4909984.7283700695</v>
      </c>
      <c r="BS32" s="104">
        <f t="shared" si="52"/>
        <v>4910234.0985014345</v>
      </c>
      <c r="BT32" s="104">
        <f t="shared" si="52"/>
        <v>4910484.0145036802</v>
      </c>
      <c r="BU32" s="104">
        <f t="shared" si="52"/>
        <v>4910734.4775717165</v>
      </c>
      <c r="BV32" s="104">
        <f t="shared" si="52"/>
        <v>4910985.4889030699</v>
      </c>
      <c r="BW32" s="104">
        <f t="shared" si="52"/>
        <v>4911237.0496978881</v>
      </c>
      <c r="BY32" s="67">
        <f>SUM(AZ32:BK32)</f>
        <v>59786243.983121142</v>
      </c>
      <c r="CA32" s="67">
        <f>SUM(BL32:BW32)</f>
        <v>58918361.873876691</v>
      </c>
    </row>
    <row r="33" spans="2:97" x14ac:dyDescent="0.3">
      <c r="B33" s="5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04"/>
      <c r="BG33" s="10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104"/>
    </row>
    <row r="34" spans="2:97" x14ac:dyDescent="0.3">
      <c r="B34" s="53" t="s">
        <v>152</v>
      </c>
      <c r="D34" s="104">
        <f t="shared" ref="D34:O34" si="53">D30</f>
        <v>5539902</v>
      </c>
      <c r="E34" s="104">
        <f t="shared" si="53"/>
        <v>4885189</v>
      </c>
      <c r="F34" s="104">
        <f t="shared" si="53"/>
        <v>4946627</v>
      </c>
      <c r="G34" s="104">
        <f t="shared" si="53"/>
        <v>4615162</v>
      </c>
      <c r="H34" s="104">
        <f t="shared" si="53"/>
        <v>4469265</v>
      </c>
      <c r="I34" s="104">
        <f t="shared" si="53"/>
        <v>4378397</v>
      </c>
      <c r="J34" s="104">
        <f t="shared" si="53"/>
        <v>4577125</v>
      </c>
      <c r="K34" s="104">
        <f t="shared" si="53"/>
        <v>4356424</v>
      </c>
      <c r="L34" s="104">
        <f t="shared" si="53"/>
        <v>4669530</v>
      </c>
      <c r="M34" s="104">
        <f t="shared" si="53"/>
        <v>4945948</v>
      </c>
      <c r="N34" s="104">
        <f t="shared" si="53"/>
        <v>4631912</v>
      </c>
      <c r="O34" s="104">
        <f t="shared" si="53"/>
        <v>5398114</v>
      </c>
      <c r="P34" s="104">
        <f t="shared" ref="P34:AA34" si="54">P30</f>
        <v>5202951</v>
      </c>
      <c r="Q34" s="104">
        <f t="shared" si="54"/>
        <v>5009769</v>
      </c>
      <c r="R34" s="104">
        <f t="shared" si="54"/>
        <v>4734324</v>
      </c>
      <c r="S34" s="104">
        <f t="shared" si="54"/>
        <v>4849243</v>
      </c>
      <c r="T34" s="104">
        <f t="shared" si="54"/>
        <v>5010909</v>
      </c>
      <c r="U34" s="104">
        <f t="shared" si="54"/>
        <v>4290883</v>
      </c>
      <c r="V34" s="104">
        <f t="shared" si="54"/>
        <v>4226282</v>
      </c>
      <c r="W34" s="104">
        <f t="shared" si="54"/>
        <v>4388435</v>
      </c>
      <c r="X34" s="104">
        <f t="shared" si="54"/>
        <v>4211491</v>
      </c>
      <c r="Y34" s="104">
        <f t="shared" si="54"/>
        <v>4523039</v>
      </c>
      <c r="Z34" s="104">
        <f t="shared" si="54"/>
        <v>4838222</v>
      </c>
      <c r="AA34" s="104">
        <f t="shared" si="54"/>
        <v>5353388</v>
      </c>
      <c r="AB34" s="104">
        <f t="shared" ref="AB34:AC34" si="55">AB30</f>
        <v>4936131</v>
      </c>
      <c r="AC34" s="104">
        <f t="shared" si="55"/>
        <v>5063048</v>
      </c>
      <c r="AD34" s="104">
        <f t="shared" ref="AD34:AM34" si="56">AD30</f>
        <v>4317831</v>
      </c>
      <c r="AE34" s="104">
        <f t="shared" si="56"/>
        <v>4705163</v>
      </c>
      <c r="AF34" s="104">
        <f t="shared" si="56"/>
        <v>4401556</v>
      </c>
      <c r="AG34" s="104">
        <f t="shared" si="56"/>
        <v>4157406</v>
      </c>
      <c r="AH34" s="104">
        <f t="shared" si="56"/>
        <v>4366903</v>
      </c>
      <c r="AI34" s="104">
        <f t="shared" si="56"/>
        <v>4591311</v>
      </c>
      <c r="AJ34" s="104">
        <f t="shared" si="56"/>
        <v>4421280</v>
      </c>
      <c r="AK34" s="104">
        <f t="shared" si="56"/>
        <v>4666555</v>
      </c>
      <c r="AL34" s="104">
        <f t="shared" si="56"/>
        <v>5108692</v>
      </c>
      <c r="AM34" s="104">
        <f t="shared" si="56"/>
        <v>5059258</v>
      </c>
      <c r="AN34" s="104">
        <f t="shared" ref="AN34:BW34" si="57">AN30</f>
        <v>5043181</v>
      </c>
      <c r="AO34" s="104">
        <f t="shared" si="57"/>
        <v>5152364</v>
      </c>
      <c r="AP34" s="104">
        <f t="shared" si="57"/>
        <v>4534771</v>
      </c>
      <c r="AQ34" s="104">
        <f t="shared" si="57"/>
        <v>4602293</v>
      </c>
      <c r="AR34" s="104">
        <f t="shared" si="57"/>
        <v>4803935</v>
      </c>
      <c r="AS34" s="104">
        <f t="shared" si="57"/>
        <v>4185216</v>
      </c>
      <c r="AT34" s="104">
        <f t="shared" si="57"/>
        <v>4645285</v>
      </c>
      <c r="AU34" s="104">
        <f t="shared" si="57"/>
        <v>4580925</v>
      </c>
      <c r="AV34" s="104">
        <f t="shared" si="57"/>
        <v>4415561</v>
      </c>
      <c r="AW34" s="104">
        <f t="shared" si="57"/>
        <v>4753775</v>
      </c>
      <c r="AX34" s="104">
        <f t="shared" si="57"/>
        <v>5073606</v>
      </c>
      <c r="AY34" s="104">
        <f t="shared" si="57"/>
        <v>5196269</v>
      </c>
      <c r="AZ34" s="104">
        <f t="shared" si="57"/>
        <v>5872899</v>
      </c>
      <c r="BA34" s="104">
        <f t="shared" si="57"/>
        <v>4904080</v>
      </c>
      <c r="BB34" s="104">
        <f t="shared" si="57"/>
        <v>4518936</v>
      </c>
      <c r="BC34" s="104">
        <f>BC30</f>
        <v>4796065</v>
      </c>
      <c r="BD34" s="104">
        <f t="shared" si="57"/>
        <v>4796065</v>
      </c>
      <c r="BE34" s="104">
        <f t="shared" si="57"/>
        <v>4796065</v>
      </c>
      <c r="BF34" s="104">
        <f t="shared" si="57"/>
        <v>4796065</v>
      </c>
      <c r="BG34" s="104">
        <f t="shared" si="57"/>
        <v>4796065</v>
      </c>
      <c r="BH34" s="104">
        <f t="shared" si="57"/>
        <v>4796065</v>
      </c>
      <c r="BI34" s="104">
        <f t="shared" si="57"/>
        <v>4796065</v>
      </c>
      <c r="BJ34" s="104">
        <f t="shared" si="57"/>
        <v>4796065</v>
      </c>
      <c r="BK34" s="104">
        <f t="shared" si="57"/>
        <v>4796065</v>
      </c>
      <c r="BL34" s="104">
        <f t="shared" si="57"/>
        <v>4796065</v>
      </c>
      <c r="BM34" s="104">
        <f t="shared" si="57"/>
        <v>4796065</v>
      </c>
      <c r="BN34" s="104">
        <f t="shared" si="57"/>
        <v>4796065</v>
      </c>
      <c r="BO34" s="104">
        <f t="shared" si="57"/>
        <v>4796065</v>
      </c>
      <c r="BP34" s="104">
        <f t="shared" si="57"/>
        <v>4796065</v>
      </c>
      <c r="BQ34" s="104">
        <f t="shared" si="57"/>
        <v>4796065</v>
      </c>
      <c r="BR34" s="104">
        <f t="shared" si="57"/>
        <v>4796065</v>
      </c>
      <c r="BS34" s="104">
        <f t="shared" si="57"/>
        <v>4796065</v>
      </c>
      <c r="BT34" s="104">
        <f t="shared" si="57"/>
        <v>4796065</v>
      </c>
      <c r="BU34" s="104">
        <f t="shared" si="57"/>
        <v>4796065</v>
      </c>
      <c r="BV34" s="104">
        <f t="shared" si="57"/>
        <v>4796065</v>
      </c>
      <c r="BW34" s="104">
        <f t="shared" si="57"/>
        <v>4796065</v>
      </c>
      <c r="BY34" s="67">
        <f>SUM(AZ34:BK34)</f>
        <v>58460500</v>
      </c>
      <c r="CA34" s="67">
        <f>SUM(BL34:BW34)</f>
        <v>57552780</v>
      </c>
      <c r="CD34" s="18" t="s">
        <v>153</v>
      </c>
      <c r="CJ34" s="104"/>
      <c r="CK34" s="104"/>
      <c r="CL34" s="104"/>
      <c r="CM34" s="104"/>
      <c r="CN34" s="104"/>
    </row>
    <row r="35" spans="2:97" x14ac:dyDescent="0.3">
      <c r="B35" s="53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  <c r="BM35" s="104"/>
      <c r="BN35" s="104"/>
      <c r="BO35" s="104"/>
      <c r="BP35" s="104"/>
      <c r="BQ35" s="104"/>
      <c r="BR35" s="104"/>
      <c r="BS35" s="104"/>
      <c r="BT35" s="104"/>
      <c r="BU35" s="104"/>
      <c r="BV35" s="104"/>
      <c r="BW35" s="104"/>
      <c r="CJ35" s="151"/>
      <c r="CK35" s="151"/>
      <c r="CL35" s="151"/>
      <c r="CM35" s="151"/>
      <c r="CN35" s="151"/>
      <c r="CR35" s="151"/>
      <c r="CS35" s="67"/>
    </row>
    <row r="36" spans="2:97" x14ac:dyDescent="0.3"/>
    <row r="37" spans="2:97" x14ac:dyDescent="0.3">
      <c r="B37" s="110" t="s">
        <v>154</v>
      </c>
      <c r="C37" s="111"/>
      <c r="D37" s="112"/>
      <c r="E37" s="112"/>
      <c r="F37" s="112"/>
      <c r="G37" s="112"/>
      <c r="H37" s="113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14"/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/>
      <c r="BD37" s="114"/>
      <c r="BE37" s="114"/>
      <c r="BF37" s="114"/>
      <c r="BG37" s="114"/>
      <c r="BH37" s="114"/>
      <c r="BI37" s="114"/>
      <c r="BJ37" s="114"/>
      <c r="BK37" s="114"/>
      <c r="BL37" s="114"/>
      <c r="BM37" s="114"/>
      <c r="BN37" s="114"/>
      <c r="BO37" s="114"/>
      <c r="BP37" s="114"/>
      <c r="BQ37" s="114"/>
      <c r="BR37" s="114"/>
      <c r="BS37" s="114"/>
      <c r="BT37" s="114"/>
      <c r="BU37" s="114"/>
      <c r="BV37" s="114"/>
      <c r="BW37" s="114"/>
      <c r="BX37" s="115"/>
      <c r="BY37" s="115"/>
      <c r="BZ37" s="115"/>
      <c r="CA37" s="115"/>
      <c r="CB37" s="115"/>
      <c r="CC37" s="112"/>
      <c r="CD37" s="112"/>
    </row>
    <row r="38" spans="2:97" x14ac:dyDescent="0.3"/>
    <row r="39" spans="2:97" x14ac:dyDescent="0.3">
      <c r="B39" s="79" t="s">
        <v>141</v>
      </c>
      <c r="C39" s="80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79"/>
      <c r="BG39" s="79"/>
      <c r="BH39" s="79"/>
      <c r="BI39" s="79"/>
      <c r="BJ39" s="79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79"/>
      <c r="CA39" s="79"/>
      <c r="CB39" s="79"/>
      <c r="CC39" s="102" t="s">
        <v>155</v>
      </c>
      <c r="CD39" s="79"/>
    </row>
    <row r="40" spans="2:97" x14ac:dyDescent="0.3">
      <c r="B40" s="35" t="s">
        <v>141</v>
      </c>
      <c r="D40" s="103">
        <v>125285</v>
      </c>
      <c r="E40" s="103">
        <v>116303</v>
      </c>
      <c r="F40" s="103">
        <v>123993</v>
      </c>
      <c r="G40" s="103">
        <v>120167</v>
      </c>
      <c r="H40" s="103">
        <v>119885</v>
      </c>
      <c r="I40" s="103">
        <v>110543</v>
      </c>
      <c r="J40" s="103">
        <v>112507</v>
      </c>
      <c r="K40" s="103">
        <v>104483</v>
      </c>
      <c r="L40" s="103">
        <v>113650</v>
      </c>
      <c r="M40" s="103">
        <v>122903</v>
      </c>
      <c r="N40" s="103">
        <v>116379</v>
      </c>
      <c r="O40" s="103">
        <v>122207</v>
      </c>
      <c r="P40" s="103">
        <v>126622</v>
      </c>
      <c r="Q40" s="103">
        <v>123617</v>
      </c>
      <c r="R40" s="103">
        <v>107112</v>
      </c>
      <c r="S40" s="103">
        <v>120637</v>
      </c>
      <c r="T40" s="103">
        <v>126447</v>
      </c>
      <c r="U40" s="103">
        <v>100997</v>
      </c>
      <c r="V40" s="103">
        <v>98894</v>
      </c>
      <c r="W40" s="103">
        <v>114666</v>
      </c>
      <c r="X40" s="103">
        <v>115835</v>
      </c>
      <c r="Y40" s="103">
        <v>120333</v>
      </c>
      <c r="Z40" s="103">
        <v>125084</v>
      </c>
      <c r="AA40" s="103">
        <v>138940</v>
      </c>
      <c r="AB40" s="103">
        <v>126907</v>
      </c>
      <c r="AC40" s="103">
        <v>127968</v>
      </c>
      <c r="AD40" s="103">
        <v>103001</v>
      </c>
      <c r="AE40" s="103">
        <v>149471</v>
      </c>
      <c r="AF40" s="103">
        <v>119244</v>
      </c>
      <c r="AG40" s="103">
        <v>117032</v>
      </c>
      <c r="AH40" s="103">
        <v>119623</v>
      </c>
      <c r="AI40" s="103">
        <v>128429</v>
      </c>
      <c r="AJ40" s="103">
        <v>111814</v>
      </c>
      <c r="AK40" s="103">
        <v>117666</v>
      </c>
      <c r="AL40" s="103">
        <v>130474</v>
      </c>
      <c r="AM40" s="103">
        <v>127760</v>
      </c>
      <c r="AN40" s="103">
        <v>127581</v>
      </c>
      <c r="AO40" s="103">
        <v>137864</v>
      </c>
      <c r="AP40" s="103">
        <v>122864</v>
      </c>
      <c r="AQ40" s="103">
        <v>121542</v>
      </c>
      <c r="AR40" s="103">
        <v>115578</v>
      </c>
      <c r="AS40" s="103">
        <v>92445</v>
      </c>
      <c r="AT40" s="103">
        <v>91038</v>
      </c>
      <c r="AU40" s="103">
        <v>74596</v>
      </c>
      <c r="AV40" s="103">
        <v>70157</v>
      </c>
      <c r="AW40" s="103">
        <v>72629</v>
      </c>
      <c r="AX40" s="103">
        <v>81615</v>
      </c>
      <c r="AY40" s="103">
        <v>88467</v>
      </c>
      <c r="AZ40" s="103">
        <v>111515</v>
      </c>
      <c r="BA40" s="103">
        <v>104026</v>
      </c>
      <c r="BB40" s="103">
        <v>100983</v>
      </c>
      <c r="BC40" s="103">
        <f>[1]TRR_Projections!AK11</f>
        <v>107927.4</v>
      </c>
      <c r="BD40" s="103">
        <f>[1]TRR_Projections!AL11</f>
        <v>110485.2</v>
      </c>
      <c r="BE40" s="103">
        <f>[1]TRR_Projections!AM11</f>
        <v>110727.05195340679</v>
      </c>
      <c r="BF40" s="103">
        <f>[1]TRR_Projections!AN11</f>
        <v>110969.43332041254</v>
      </c>
      <c r="BG40" s="103">
        <f>[1]TRR_Projections!AO11</f>
        <v>111212.34525990294</v>
      </c>
      <c r="BH40" s="103">
        <f>[1]TRR_Projections!AP11</f>
        <v>111455.78893330043</v>
      </c>
      <c r="BI40" s="103">
        <f>[1]TRR_Projections!AQ11</f>
        <v>111699.76550456982</v>
      </c>
      <c r="BJ40" s="103">
        <f>[1]TRR_Projections!AR11</f>
        <v>111944.27614022384</v>
      </c>
      <c r="BK40" s="103">
        <f>[1]TRR_Projections!AS11</f>
        <v>112189.32200932867</v>
      </c>
      <c r="BL40" s="103">
        <f>[1]TRR_Projections!AT11</f>
        <v>112434.90428350963</v>
      </c>
      <c r="BM40" s="103">
        <f>[1]TRR_Projections!AU11</f>
        <v>112681.02413695671</v>
      </c>
      <c r="BN40" s="103">
        <f>[1]TRR_Projections!AV11</f>
        <v>112927.68274643019</v>
      </c>
      <c r="BO40" s="103">
        <f>[1]TRR_Projections!AW11</f>
        <v>113174.88129126628</v>
      </c>
      <c r="BP40" s="103">
        <f>[1]TRR_Projections!AX11</f>
        <v>113422.62095338279</v>
      </c>
      <c r="BQ40" s="103">
        <f>[1]TRR_Projections!AY11</f>
        <v>113670.90291728466</v>
      </c>
      <c r="BR40" s="103">
        <f>[1]TRR_Projections!AZ11</f>
        <v>113919.72837006982</v>
      </c>
      <c r="BS40" s="103">
        <f>[1]TRR_Projections!BA11</f>
        <v>114169.09850143468</v>
      </c>
      <c r="BT40" s="103">
        <f>[1]TRR_Projections!BB11</f>
        <v>114419.01450367989</v>
      </c>
      <c r="BU40" s="103">
        <f>[1]TRR_Projections!BC11</f>
        <v>114669.47757171611</v>
      </c>
      <c r="BV40" s="103">
        <f>[1]TRR_Projections!BD11</f>
        <v>114920.48890306958</v>
      </c>
      <c r="BW40" s="103">
        <f>[1]TRR_Projections!BE11</f>
        <v>115172.04969788795</v>
      </c>
      <c r="BY40" s="67">
        <f>SUM(AZ40:BK40)</f>
        <v>1315134.5831211451</v>
      </c>
      <c r="CA40" s="67">
        <f>SUM(BL40:BW40)</f>
        <v>1365581.8738766883</v>
      </c>
      <c r="CD40" s="18" t="s">
        <v>133</v>
      </c>
      <c r="CH40" s="104"/>
      <c r="CI40" s="104"/>
      <c r="CJ40" s="104"/>
      <c r="CK40" s="104"/>
      <c r="CL40" s="104"/>
      <c r="CM40" s="104"/>
      <c r="CN40" s="104"/>
      <c r="CO40" s="104"/>
      <c r="CP40" s="104"/>
      <c r="CQ40" s="104"/>
      <c r="CR40" s="104"/>
      <c r="CS40" s="104"/>
    </row>
    <row r="41" spans="2:97" x14ac:dyDescent="0.3">
      <c r="D41" s="24"/>
      <c r="E41" s="105"/>
      <c r="F41" s="105"/>
      <c r="G41" s="105"/>
      <c r="H41" s="105"/>
      <c r="I41" s="105"/>
    </row>
    <row r="42" spans="2:97" x14ac:dyDescent="0.3">
      <c r="B42" s="79" t="s">
        <v>144</v>
      </c>
      <c r="C42" s="80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79"/>
      <c r="CA42" s="79"/>
      <c r="CB42" s="79"/>
      <c r="CC42" s="102" t="s">
        <v>155</v>
      </c>
      <c r="CD42" s="79"/>
    </row>
    <row r="43" spans="2:97" x14ac:dyDescent="0.3">
      <c r="B43" s="35" t="s">
        <v>146</v>
      </c>
      <c r="D43" s="103">
        <v>95691</v>
      </c>
      <c r="E43" s="103">
        <v>85228</v>
      </c>
      <c r="F43" s="103">
        <v>84654</v>
      </c>
      <c r="G43" s="103">
        <v>81991</v>
      </c>
      <c r="H43" s="103">
        <v>82047</v>
      </c>
      <c r="I43" s="103">
        <v>80014</v>
      </c>
      <c r="J43" s="103">
        <v>87476</v>
      </c>
      <c r="K43" s="103">
        <v>78727</v>
      </c>
      <c r="L43" s="103">
        <v>85250</v>
      </c>
      <c r="M43" s="103">
        <v>86065</v>
      </c>
      <c r="N43" s="103">
        <v>78842</v>
      </c>
      <c r="O43" s="103">
        <v>91543</v>
      </c>
      <c r="P43" s="103">
        <v>92688</v>
      </c>
      <c r="Q43" s="103">
        <v>88900</v>
      </c>
      <c r="R43" s="103">
        <v>73446</v>
      </c>
      <c r="S43" s="103">
        <v>85239</v>
      </c>
      <c r="T43" s="103">
        <v>88618</v>
      </c>
      <c r="U43" s="103">
        <v>72583</v>
      </c>
      <c r="V43" s="103">
        <v>70543</v>
      </c>
      <c r="W43" s="103">
        <v>81697</v>
      </c>
      <c r="X43" s="103">
        <v>75972</v>
      </c>
      <c r="Y43" s="103">
        <v>79552</v>
      </c>
      <c r="Z43" s="103">
        <v>82478</v>
      </c>
      <c r="AA43" s="103">
        <v>89013</v>
      </c>
      <c r="AB43" s="103">
        <v>81783</v>
      </c>
      <c r="AC43" s="103">
        <v>84585</v>
      </c>
      <c r="AD43" s="103">
        <v>68370</v>
      </c>
      <c r="AE43" s="103">
        <v>83188</v>
      </c>
      <c r="AF43" s="103">
        <v>74527</v>
      </c>
      <c r="AG43" s="103">
        <v>71277</v>
      </c>
      <c r="AH43" s="103">
        <v>74560</v>
      </c>
      <c r="AI43" s="103">
        <v>75126</v>
      </c>
      <c r="AJ43" s="103">
        <v>66033</v>
      </c>
      <c r="AK43" s="103">
        <v>70433</v>
      </c>
      <c r="AL43" s="103">
        <v>77890</v>
      </c>
      <c r="AM43" s="103">
        <v>76338</v>
      </c>
      <c r="AN43" s="103">
        <v>76005</v>
      </c>
      <c r="AO43" s="103">
        <v>77257</v>
      </c>
      <c r="AP43" s="103">
        <v>70143</v>
      </c>
      <c r="AQ43" s="103">
        <v>70315</v>
      </c>
      <c r="AR43" s="103">
        <v>79472</v>
      </c>
      <c r="AS43" s="103">
        <v>72383</v>
      </c>
      <c r="AT43" s="103">
        <v>82573</v>
      </c>
      <c r="AU43" s="103">
        <v>82098</v>
      </c>
      <c r="AV43" s="103">
        <v>78856</v>
      </c>
      <c r="AW43" s="103">
        <v>83401</v>
      </c>
      <c r="AX43" s="103">
        <v>85687</v>
      </c>
      <c r="AY43" s="103">
        <v>79623</v>
      </c>
      <c r="AZ43" s="103">
        <v>88451</v>
      </c>
      <c r="BA43" s="103">
        <v>75923</v>
      </c>
      <c r="BB43" s="103">
        <v>74966</v>
      </c>
      <c r="BC43" s="104">
        <f>AVERAGE(AQ43:BB43)</f>
        <v>79479</v>
      </c>
      <c r="BD43" s="104">
        <f>BC43</f>
        <v>79479</v>
      </c>
      <c r="BE43" s="104">
        <f t="shared" ref="BE43:BE46" si="58">BD43</f>
        <v>79479</v>
      </c>
      <c r="BF43" s="104">
        <f t="shared" ref="BF43:BF46" si="59">BE43</f>
        <v>79479</v>
      </c>
      <c r="BG43" s="104">
        <f t="shared" ref="BG43:BG46" si="60">BF43</f>
        <v>79479</v>
      </c>
      <c r="BH43" s="104">
        <f t="shared" ref="BH43:BH46" si="61">BG43</f>
        <v>79479</v>
      </c>
      <c r="BI43" s="104">
        <f t="shared" ref="BI43:BI46" si="62">BH43</f>
        <v>79479</v>
      </c>
      <c r="BJ43" s="104">
        <f t="shared" ref="BJ43:BJ46" si="63">BI43</f>
        <v>79479</v>
      </c>
      <c r="BK43" s="104">
        <f t="shared" ref="BK43:BK46" si="64">BJ43</f>
        <v>79479</v>
      </c>
      <c r="BL43" s="104">
        <f t="shared" ref="BL43:BL46" si="65">BK43</f>
        <v>79479</v>
      </c>
      <c r="BM43" s="104">
        <f t="shared" ref="BM43:BM46" si="66">BL43</f>
        <v>79479</v>
      </c>
      <c r="BN43" s="104">
        <f t="shared" ref="BN43:BN46" si="67">BM43</f>
        <v>79479</v>
      </c>
      <c r="BO43" s="104">
        <f t="shared" ref="BO43:BO46" si="68">BN43</f>
        <v>79479</v>
      </c>
      <c r="BP43" s="104">
        <f t="shared" ref="BP43:BP46" si="69">BO43</f>
        <v>79479</v>
      </c>
      <c r="BQ43" s="104">
        <f t="shared" ref="BQ43:BQ46" si="70">BP43</f>
        <v>79479</v>
      </c>
      <c r="BR43" s="104">
        <f t="shared" ref="BR43:BR46" si="71">BQ43</f>
        <v>79479</v>
      </c>
      <c r="BS43" s="104">
        <f t="shared" ref="BS43:BS46" si="72">BR43</f>
        <v>79479</v>
      </c>
      <c r="BT43" s="104">
        <f t="shared" ref="BT43:BT46" si="73">BS43</f>
        <v>79479</v>
      </c>
      <c r="BU43" s="104">
        <f t="shared" ref="BU43:BU46" si="74">BT43</f>
        <v>79479</v>
      </c>
      <c r="BV43" s="104">
        <f t="shared" ref="BV43:BV46" si="75">BU43</f>
        <v>79479</v>
      </c>
      <c r="BW43" s="104">
        <f t="shared" ref="BW43:BW46" si="76">BV43</f>
        <v>79479</v>
      </c>
      <c r="BY43" s="67">
        <f>SUM(AZ43:BK43)</f>
        <v>954651</v>
      </c>
      <c r="CA43" s="67">
        <f t="shared" ref="CA43:CA46" si="77">SUM(BL43:BW43)</f>
        <v>953748</v>
      </c>
      <c r="CD43" s="18" t="s">
        <v>147</v>
      </c>
      <c r="CJ43" s="104"/>
      <c r="CK43" s="104"/>
      <c r="CL43" s="104"/>
      <c r="CN43" s="104"/>
    </row>
    <row r="44" spans="2:97" x14ac:dyDescent="0.3">
      <c r="B44" s="35" t="s">
        <v>148</v>
      </c>
      <c r="D44" s="103">
        <v>158993</v>
      </c>
      <c r="E44" s="103">
        <v>124198</v>
      </c>
      <c r="F44" s="103">
        <v>129788</v>
      </c>
      <c r="G44" s="103">
        <v>123552</v>
      </c>
      <c r="H44" s="103">
        <v>123004</v>
      </c>
      <c r="I44" s="103">
        <v>117002</v>
      </c>
      <c r="J44" s="103">
        <v>297628</v>
      </c>
      <c r="K44" s="103">
        <v>294832</v>
      </c>
      <c r="L44" s="103">
        <v>337151</v>
      </c>
      <c r="M44" s="103">
        <v>335121</v>
      </c>
      <c r="N44" s="103">
        <v>316655</v>
      </c>
      <c r="O44" s="103">
        <v>423378</v>
      </c>
      <c r="P44" s="103">
        <v>350254</v>
      </c>
      <c r="Q44" s="103">
        <v>360520</v>
      </c>
      <c r="R44" s="103">
        <v>363121</v>
      </c>
      <c r="S44" s="103">
        <v>337640</v>
      </c>
      <c r="T44" s="103">
        <v>300907</v>
      </c>
      <c r="U44" s="103">
        <v>220778</v>
      </c>
      <c r="V44" s="103">
        <v>100436</v>
      </c>
      <c r="W44" s="103">
        <v>107950</v>
      </c>
      <c r="X44" s="103">
        <v>114132</v>
      </c>
      <c r="Y44" s="103">
        <v>118990</v>
      </c>
      <c r="Z44" s="103">
        <v>126345</v>
      </c>
      <c r="AA44" s="103">
        <v>142162</v>
      </c>
      <c r="AB44" s="103">
        <v>131539</v>
      </c>
      <c r="AC44" s="103">
        <v>127515</v>
      </c>
      <c r="AD44" s="103">
        <v>113166</v>
      </c>
      <c r="AE44" s="103">
        <v>104301</v>
      </c>
      <c r="AF44" s="103">
        <v>122975</v>
      </c>
      <c r="AG44" s="103">
        <v>119916</v>
      </c>
      <c r="AH44" s="103">
        <v>112029</v>
      </c>
      <c r="AI44" s="103">
        <v>123343</v>
      </c>
      <c r="AJ44" s="103">
        <v>114660</v>
      </c>
      <c r="AK44" s="103">
        <v>116092</v>
      </c>
      <c r="AL44" s="103">
        <v>132132</v>
      </c>
      <c r="AM44" s="103">
        <v>129186</v>
      </c>
      <c r="AN44" s="103">
        <v>132328</v>
      </c>
      <c r="AO44" s="103">
        <v>131313</v>
      </c>
      <c r="AP44" s="103">
        <v>122686</v>
      </c>
      <c r="AQ44" s="103">
        <v>124347</v>
      </c>
      <c r="AR44" s="103">
        <v>138850</v>
      </c>
      <c r="AS44" s="103">
        <v>124003</v>
      </c>
      <c r="AT44" s="103">
        <v>125728</v>
      </c>
      <c r="AU44" s="103">
        <v>136537</v>
      </c>
      <c r="AV44" s="103">
        <v>118681</v>
      </c>
      <c r="AW44" s="103">
        <v>131404</v>
      </c>
      <c r="AX44" s="103">
        <v>139472</v>
      </c>
      <c r="AY44" s="103">
        <v>135162</v>
      </c>
      <c r="AZ44" s="103">
        <v>306075</v>
      </c>
      <c r="BA44" s="103">
        <v>148436</v>
      </c>
      <c r="BB44" s="103">
        <v>124852</v>
      </c>
      <c r="BC44" s="104">
        <f t="shared" ref="BC44:BC46" si="78">AVERAGE(AQ44:BB44)</f>
        <v>146128.91666666666</v>
      </c>
      <c r="BD44" s="104">
        <f t="shared" ref="BD44:BD46" si="79">BC44</f>
        <v>146128.91666666666</v>
      </c>
      <c r="BE44" s="104">
        <f t="shared" si="58"/>
        <v>146128.91666666666</v>
      </c>
      <c r="BF44" s="104">
        <f t="shared" si="59"/>
        <v>146128.91666666666</v>
      </c>
      <c r="BG44" s="104">
        <f t="shared" si="60"/>
        <v>146128.91666666666</v>
      </c>
      <c r="BH44" s="104">
        <f t="shared" si="61"/>
        <v>146128.91666666666</v>
      </c>
      <c r="BI44" s="104">
        <f t="shared" si="62"/>
        <v>146128.91666666666</v>
      </c>
      <c r="BJ44" s="104">
        <f t="shared" si="63"/>
        <v>146128.91666666666</v>
      </c>
      <c r="BK44" s="104">
        <f t="shared" si="64"/>
        <v>146128.91666666666</v>
      </c>
      <c r="BL44" s="104">
        <f t="shared" si="65"/>
        <v>146128.91666666666</v>
      </c>
      <c r="BM44" s="104">
        <f t="shared" si="66"/>
        <v>146128.91666666666</v>
      </c>
      <c r="BN44" s="104">
        <f t="shared" si="67"/>
        <v>146128.91666666666</v>
      </c>
      <c r="BO44" s="104">
        <f t="shared" si="68"/>
        <v>146128.91666666666</v>
      </c>
      <c r="BP44" s="104">
        <f t="shared" si="69"/>
        <v>146128.91666666666</v>
      </c>
      <c r="BQ44" s="104">
        <f t="shared" si="70"/>
        <v>146128.91666666666</v>
      </c>
      <c r="BR44" s="104">
        <f t="shared" si="71"/>
        <v>146128.91666666666</v>
      </c>
      <c r="BS44" s="104">
        <f t="shared" si="72"/>
        <v>146128.91666666666</v>
      </c>
      <c r="BT44" s="104">
        <f t="shared" si="73"/>
        <v>146128.91666666666</v>
      </c>
      <c r="BU44" s="104">
        <f t="shared" si="74"/>
        <v>146128.91666666666</v>
      </c>
      <c r="BV44" s="104">
        <f t="shared" si="75"/>
        <v>146128.91666666666</v>
      </c>
      <c r="BW44" s="104">
        <f t="shared" si="76"/>
        <v>146128.91666666666</v>
      </c>
      <c r="BY44" s="67">
        <f t="shared" ref="BY44:BY45" si="80">SUM(AZ44:BK44)</f>
        <v>1894523.2500000002</v>
      </c>
      <c r="CA44" s="67">
        <f t="shared" si="77"/>
        <v>1753547.0000000002</v>
      </c>
      <c r="CD44" s="18" t="s">
        <v>147</v>
      </c>
      <c r="CJ44" s="104"/>
      <c r="CK44" s="104"/>
      <c r="CL44" s="104"/>
      <c r="CN44" s="104"/>
    </row>
    <row r="45" spans="2:97" x14ac:dyDescent="0.3">
      <c r="B45" s="35" t="s">
        <v>149</v>
      </c>
      <c r="D45" s="103">
        <v>389372</v>
      </c>
      <c r="E45" s="103">
        <v>381456</v>
      </c>
      <c r="F45" s="103">
        <v>425310</v>
      </c>
      <c r="G45" s="103">
        <v>295045</v>
      </c>
      <c r="H45" s="103">
        <v>272370</v>
      </c>
      <c r="I45" s="103">
        <v>292509</v>
      </c>
      <c r="J45" s="103">
        <v>115251</v>
      </c>
      <c r="K45" s="103">
        <v>107073</v>
      </c>
      <c r="L45" s="103">
        <v>112655</v>
      </c>
      <c r="M45" s="103">
        <v>172310</v>
      </c>
      <c r="N45" s="103">
        <v>122990</v>
      </c>
      <c r="O45" s="103">
        <v>136580</v>
      </c>
      <c r="P45" s="103">
        <v>132158</v>
      </c>
      <c r="Q45" s="103">
        <v>123257</v>
      </c>
      <c r="R45" s="103">
        <v>128426</v>
      </c>
      <c r="S45" s="103">
        <v>120913</v>
      </c>
      <c r="T45" s="103">
        <v>125720</v>
      </c>
      <c r="U45" s="103">
        <v>113887</v>
      </c>
      <c r="V45" s="103">
        <v>202059</v>
      </c>
      <c r="W45" s="103">
        <v>180500</v>
      </c>
      <c r="X45" s="103">
        <v>139552</v>
      </c>
      <c r="Y45" s="103">
        <v>161476</v>
      </c>
      <c r="Z45" s="103">
        <v>186147</v>
      </c>
      <c r="AA45" s="103">
        <v>219245</v>
      </c>
      <c r="AB45" s="103">
        <v>199458</v>
      </c>
      <c r="AC45" s="103">
        <v>186429</v>
      </c>
      <c r="AD45" s="103">
        <v>149385</v>
      </c>
      <c r="AE45" s="103">
        <v>170395</v>
      </c>
      <c r="AF45" s="103">
        <v>162441</v>
      </c>
      <c r="AG45" s="103">
        <v>132874</v>
      </c>
      <c r="AH45" s="103">
        <v>166895</v>
      </c>
      <c r="AI45" s="103">
        <v>147604</v>
      </c>
      <c r="AJ45" s="103">
        <v>153604</v>
      </c>
      <c r="AK45" s="103">
        <v>185557</v>
      </c>
      <c r="AL45" s="103">
        <v>202313</v>
      </c>
      <c r="AM45" s="103">
        <v>218480</v>
      </c>
      <c r="AN45" s="103">
        <v>228732</v>
      </c>
      <c r="AO45" s="103">
        <v>213955</v>
      </c>
      <c r="AP45" s="103">
        <v>189141</v>
      </c>
      <c r="AQ45" s="103">
        <v>195700</v>
      </c>
      <c r="AR45" s="103">
        <v>185516</v>
      </c>
      <c r="AS45" s="103">
        <v>143601</v>
      </c>
      <c r="AT45" s="103">
        <v>198474</v>
      </c>
      <c r="AU45" s="103">
        <v>174593</v>
      </c>
      <c r="AV45" s="103">
        <v>217022</v>
      </c>
      <c r="AW45" s="103">
        <v>194956</v>
      </c>
      <c r="AX45" s="103">
        <v>205632</v>
      </c>
      <c r="AY45" s="103">
        <v>232804</v>
      </c>
      <c r="AZ45" s="103">
        <v>285719</v>
      </c>
      <c r="BA45" s="103">
        <v>202229</v>
      </c>
      <c r="BB45" s="103">
        <v>191100</v>
      </c>
      <c r="BC45" s="104">
        <f t="shared" si="78"/>
        <v>202278.83333333334</v>
      </c>
      <c r="BD45" s="104">
        <f t="shared" si="79"/>
        <v>202278.83333333334</v>
      </c>
      <c r="BE45" s="104">
        <f t="shared" si="58"/>
        <v>202278.83333333334</v>
      </c>
      <c r="BF45" s="104">
        <f t="shared" si="59"/>
        <v>202278.83333333334</v>
      </c>
      <c r="BG45" s="104">
        <f t="shared" si="60"/>
        <v>202278.83333333334</v>
      </c>
      <c r="BH45" s="104">
        <f t="shared" si="61"/>
        <v>202278.83333333334</v>
      </c>
      <c r="BI45" s="104">
        <f t="shared" si="62"/>
        <v>202278.83333333334</v>
      </c>
      <c r="BJ45" s="104">
        <f t="shared" si="63"/>
        <v>202278.83333333334</v>
      </c>
      <c r="BK45" s="104">
        <f t="shared" si="64"/>
        <v>202278.83333333334</v>
      </c>
      <c r="BL45" s="104">
        <f t="shared" si="65"/>
        <v>202278.83333333334</v>
      </c>
      <c r="BM45" s="104">
        <f t="shared" si="66"/>
        <v>202278.83333333334</v>
      </c>
      <c r="BN45" s="104">
        <f t="shared" si="67"/>
        <v>202278.83333333334</v>
      </c>
      <c r="BO45" s="104">
        <f t="shared" si="68"/>
        <v>202278.83333333334</v>
      </c>
      <c r="BP45" s="104">
        <f t="shared" si="69"/>
        <v>202278.83333333334</v>
      </c>
      <c r="BQ45" s="104">
        <f t="shared" si="70"/>
        <v>202278.83333333334</v>
      </c>
      <c r="BR45" s="104">
        <f t="shared" si="71"/>
        <v>202278.83333333334</v>
      </c>
      <c r="BS45" s="104">
        <f t="shared" si="72"/>
        <v>202278.83333333334</v>
      </c>
      <c r="BT45" s="104">
        <f t="shared" si="73"/>
        <v>202278.83333333334</v>
      </c>
      <c r="BU45" s="104">
        <f t="shared" si="74"/>
        <v>202278.83333333334</v>
      </c>
      <c r="BV45" s="104">
        <f t="shared" si="75"/>
        <v>202278.83333333334</v>
      </c>
      <c r="BW45" s="104">
        <f t="shared" si="76"/>
        <v>202278.83333333334</v>
      </c>
      <c r="BY45" s="67">
        <f t="shared" si="80"/>
        <v>2499557.5</v>
      </c>
      <c r="CA45" s="67">
        <f t="shared" si="77"/>
        <v>2427346</v>
      </c>
      <c r="CD45" s="18" t="s">
        <v>147</v>
      </c>
      <c r="CJ45" s="104"/>
      <c r="CK45" s="104"/>
      <c r="CL45" s="104"/>
      <c r="CN45" s="104"/>
    </row>
    <row r="46" spans="2:97" x14ac:dyDescent="0.3">
      <c r="B46" s="35" t="s">
        <v>150</v>
      </c>
      <c r="D46" s="103">
        <v>4517917</v>
      </c>
      <c r="E46" s="103">
        <v>4037856</v>
      </c>
      <c r="F46" s="103">
        <v>4030373</v>
      </c>
      <c r="G46" s="103">
        <v>3876752</v>
      </c>
      <c r="H46" s="103">
        <v>3736975</v>
      </c>
      <c r="I46" s="103">
        <v>3682017</v>
      </c>
      <c r="J46" s="103">
        <v>3792975</v>
      </c>
      <c r="K46" s="103">
        <v>3625673</v>
      </c>
      <c r="L46" s="103">
        <v>3843867</v>
      </c>
      <c r="M46" s="103">
        <v>4055188</v>
      </c>
      <c r="N46" s="103">
        <v>3857918</v>
      </c>
      <c r="O46" s="103">
        <v>4391534</v>
      </c>
      <c r="P46" s="103">
        <v>4315789</v>
      </c>
      <c r="Q46" s="103">
        <v>4135042</v>
      </c>
      <c r="R46" s="103">
        <v>3886776</v>
      </c>
      <c r="S46" s="103">
        <v>4056960</v>
      </c>
      <c r="T46" s="103">
        <v>4187116</v>
      </c>
      <c r="U46" s="103">
        <v>3655210</v>
      </c>
      <c r="V46" s="103">
        <v>3603063</v>
      </c>
      <c r="W46" s="103">
        <v>3793022</v>
      </c>
      <c r="X46" s="103">
        <v>3687387</v>
      </c>
      <c r="Y46" s="103">
        <v>3878917</v>
      </c>
      <c r="Z46" s="103">
        <v>4146762</v>
      </c>
      <c r="AA46" s="103">
        <v>4584818</v>
      </c>
      <c r="AB46" s="103">
        <v>4324037</v>
      </c>
      <c r="AC46" s="103">
        <v>4335549</v>
      </c>
      <c r="AD46" s="103">
        <v>3735873</v>
      </c>
      <c r="AE46" s="103">
        <v>4097086</v>
      </c>
      <c r="AF46" s="103">
        <v>3836194</v>
      </c>
      <c r="AG46" s="103">
        <v>3649338</v>
      </c>
      <c r="AH46" s="103">
        <v>3821179</v>
      </c>
      <c r="AI46" s="103">
        <v>3988903</v>
      </c>
      <c r="AJ46" s="103">
        <v>3754794</v>
      </c>
      <c r="AK46" s="103">
        <v>3998267</v>
      </c>
      <c r="AL46" s="103">
        <v>4408499</v>
      </c>
      <c r="AM46" s="103">
        <v>4326048</v>
      </c>
      <c r="AN46" s="103">
        <v>4304940</v>
      </c>
      <c r="AO46" s="103">
        <v>4420370</v>
      </c>
      <c r="AP46" s="103">
        <v>3898765</v>
      </c>
      <c r="AQ46" s="103">
        <v>3987774</v>
      </c>
      <c r="AR46" s="103">
        <v>4154796</v>
      </c>
      <c r="AS46" s="103">
        <v>3651277</v>
      </c>
      <c r="AT46" s="103">
        <v>4027667</v>
      </c>
      <c r="AU46" s="103">
        <v>3950896</v>
      </c>
      <c r="AV46" s="103">
        <v>3779569</v>
      </c>
      <c r="AW46" s="103">
        <v>4080524</v>
      </c>
      <c r="AX46" s="103">
        <v>4337935</v>
      </c>
      <c r="AY46" s="103">
        <v>4373307</v>
      </c>
      <c r="AZ46" s="103">
        <v>4843428</v>
      </c>
      <c r="BA46" s="103">
        <v>4212138</v>
      </c>
      <c r="BB46" s="103">
        <v>3885036</v>
      </c>
      <c r="BC46" s="104">
        <f t="shared" si="78"/>
        <v>4107028.9166666665</v>
      </c>
      <c r="BD46" s="104">
        <f t="shared" si="79"/>
        <v>4107028.9166666665</v>
      </c>
      <c r="BE46" s="104">
        <f t="shared" si="58"/>
        <v>4107028.9166666665</v>
      </c>
      <c r="BF46" s="104">
        <f t="shared" si="59"/>
        <v>4107028.9166666665</v>
      </c>
      <c r="BG46" s="104">
        <f t="shared" si="60"/>
        <v>4107028.9166666665</v>
      </c>
      <c r="BH46" s="104">
        <f t="shared" si="61"/>
        <v>4107028.9166666665</v>
      </c>
      <c r="BI46" s="104">
        <f t="shared" si="62"/>
        <v>4107028.9166666665</v>
      </c>
      <c r="BJ46" s="104">
        <f t="shared" si="63"/>
        <v>4107028.9166666665</v>
      </c>
      <c r="BK46" s="104">
        <f t="shared" si="64"/>
        <v>4107028.9166666665</v>
      </c>
      <c r="BL46" s="104">
        <f t="shared" si="65"/>
        <v>4107028.9166666665</v>
      </c>
      <c r="BM46" s="104">
        <f t="shared" si="66"/>
        <v>4107028.9166666665</v>
      </c>
      <c r="BN46" s="104">
        <f t="shared" si="67"/>
        <v>4107028.9166666665</v>
      </c>
      <c r="BO46" s="104">
        <f t="shared" si="68"/>
        <v>4107028.9166666665</v>
      </c>
      <c r="BP46" s="104">
        <f t="shared" si="69"/>
        <v>4107028.9166666665</v>
      </c>
      <c r="BQ46" s="104">
        <f t="shared" si="70"/>
        <v>4107028.9166666665</v>
      </c>
      <c r="BR46" s="104">
        <f t="shared" si="71"/>
        <v>4107028.9166666665</v>
      </c>
      <c r="BS46" s="104">
        <f t="shared" si="72"/>
        <v>4107028.9166666665</v>
      </c>
      <c r="BT46" s="104">
        <f t="shared" si="73"/>
        <v>4107028.9166666665</v>
      </c>
      <c r="BU46" s="104">
        <f t="shared" si="74"/>
        <v>4107028.9166666665</v>
      </c>
      <c r="BV46" s="104">
        <f t="shared" si="75"/>
        <v>4107028.9166666665</v>
      </c>
      <c r="BW46" s="104">
        <f t="shared" si="76"/>
        <v>4107028.9166666665</v>
      </c>
      <c r="BY46" s="67">
        <f t="shared" ref="BY46" si="81">SUM(AZ46:BK46)</f>
        <v>49903862.25</v>
      </c>
      <c r="CA46" s="67">
        <f t="shared" si="77"/>
        <v>49284346.999999993</v>
      </c>
      <c r="CD46" s="18" t="s">
        <v>147</v>
      </c>
      <c r="CJ46" s="104"/>
      <c r="CK46" s="104"/>
      <c r="CL46" s="104"/>
      <c r="CN46" s="104"/>
    </row>
    <row r="47" spans="2:97" x14ac:dyDescent="0.3">
      <c r="B47" s="35"/>
      <c r="D47" s="24"/>
      <c r="E47" s="105"/>
      <c r="F47" s="105"/>
      <c r="G47" s="105"/>
      <c r="H47" s="105"/>
      <c r="I47" s="105"/>
    </row>
    <row r="48" spans="2:97" x14ac:dyDescent="0.3">
      <c r="B48" s="107" t="s">
        <v>141</v>
      </c>
      <c r="C48" s="85"/>
      <c r="D48" s="104">
        <f t="shared" ref="D48:O48" si="82">SUM(D40:D40)</f>
        <v>125285</v>
      </c>
      <c r="E48" s="104">
        <f t="shared" si="82"/>
        <v>116303</v>
      </c>
      <c r="F48" s="104">
        <f t="shared" si="82"/>
        <v>123993</v>
      </c>
      <c r="G48" s="104">
        <f t="shared" si="82"/>
        <v>120167</v>
      </c>
      <c r="H48" s="104">
        <f t="shared" si="82"/>
        <v>119885</v>
      </c>
      <c r="I48" s="104">
        <f t="shared" si="82"/>
        <v>110543</v>
      </c>
      <c r="J48" s="104">
        <f t="shared" si="82"/>
        <v>112507</v>
      </c>
      <c r="K48" s="104">
        <f t="shared" si="82"/>
        <v>104483</v>
      </c>
      <c r="L48" s="104">
        <f t="shared" si="82"/>
        <v>113650</v>
      </c>
      <c r="M48" s="104">
        <f t="shared" si="82"/>
        <v>122903</v>
      </c>
      <c r="N48" s="104">
        <f t="shared" si="82"/>
        <v>116379</v>
      </c>
      <c r="O48" s="104">
        <f t="shared" si="82"/>
        <v>122207</v>
      </c>
      <c r="P48" s="104">
        <f t="shared" ref="P48:AA48" si="83">SUM(P40:P40)</f>
        <v>126622</v>
      </c>
      <c r="Q48" s="104">
        <f t="shared" si="83"/>
        <v>123617</v>
      </c>
      <c r="R48" s="104">
        <f t="shared" si="83"/>
        <v>107112</v>
      </c>
      <c r="S48" s="104">
        <f t="shared" si="83"/>
        <v>120637</v>
      </c>
      <c r="T48" s="104">
        <f t="shared" si="83"/>
        <v>126447</v>
      </c>
      <c r="U48" s="104">
        <f t="shared" si="83"/>
        <v>100997</v>
      </c>
      <c r="V48" s="104">
        <f t="shared" si="83"/>
        <v>98894</v>
      </c>
      <c r="W48" s="104">
        <f t="shared" si="83"/>
        <v>114666</v>
      </c>
      <c r="X48" s="104">
        <f t="shared" si="83"/>
        <v>115835</v>
      </c>
      <c r="Y48" s="104">
        <f t="shared" si="83"/>
        <v>120333</v>
      </c>
      <c r="Z48" s="104">
        <f t="shared" si="83"/>
        <v>125084</v>
      </c>
      <c r="AA48" s="104">
        <f t="shared" si="83"/>
        <v>138940</v>
      </c>
      <c r="AB48" s="104">
        <f t="shared" ref="AB48:AC48" si="84">SUM(AB40:AB40)</f>
        <v>126907</v>
      </c>
      <c r="AC48" s="104">
        <f t="shared" si="84"/>
        <v>127968</v>
      </c>
      <c r="AD48" s="104">
        <f t="shared" ref="AD48:AM48" si="85">SUM(AD40:AD40)</f>
        <v>103001</v>
      </c>
      <c r="AE48" s="104">
        <f t="shared" si="85"/>
        <v>149471</v>
      </c>
      <c r="AF48" s="104">
        <f t="shared" si="85"/>
        <v>119244</v>
      </c>
      <c r="AG48" s="104">
        <f t="shared" si="85"/>
        <v>117032</v>
      </c>
      <c r="AH48" s="104">
        <f t="shared" si="85"/>
        <v>119623</v>
      </c>
      <c r="AI48" s="104">
        <f t="shared" si="85"/>
        <v>128429</v>
      </c>
      <c r="AJ48" s="104">
        <f t="shared" si="85"/>
        <v>111814</v>
      </c>
      <c r="AK48" s="104">
        <f t="shared" si="85"/>
        <v>117666</v>
      </c>
      <c r="AL48" s="104">
        <f t="shared" si="85"/>
        <v>130474</v>
      </c>
      <c r="AM48" s="104">
        <f t="shared" si="85"/>
        <v>127760</v>
      </c>
      <c r="AN48" s="104">
        <f t="shared" ref="AN48:AY48" si="86">SUM(AN40:AN40)</f>
        <v>127581</v>
      </c>
      <c r="AO48" s="104">
        <f t="shared" si="86"/>
        <v>137864</v>
      </c>
      <c r="AP48" s="104">
        <f t="shared" si="86"/>
        <v>122864</v>
      </c>
      <c r="AQ48" s="104">
        <f t="shared" si="86"/>
        <v>121542</v>
      </c>
      <c r="AR48" s="104">
        <f t="shared" si="86"/>
        <v>115578</v>
      </c>
      <c r="AS48" s="104">
        <f t="shared" si="86"/>
        <v>92445</v>
      </c>
      <c r="AT48" s="104">
        <f t="shared" si="86"/>
        <v>91038</v>
      </c>
      <c r="AU48" s="104">
        <f t="shared" si="86"/>
        <v>74596</v>
      </c>
      <c r="AV48" s="104">
        <f t="shared" si="86"/>
        <v>70157</v>
      </c>
      <c r="AW48" s="104">
        <f t="shared" si="86"/>
        <v>72629</v>
      </c>
      <c r="AX48" s="104">
        <f t="shared" si="86"/>
        <v>81615</v>
      </c>
      <c r="AY48" s="104">
        <f t="shared" si="86"/>
        <v>88467</v>
      </c>
      <c r="AZ48" s="104">
        <f t="shared" ref="AZ48:BK48" si="87">SUM(AZ40:AZ40)</f>
        <v>111515</v>
      </c>
      <c r="BA48" s="104">
        <f t="shared" si="87"/>
        <v>104026</v>
      </c>
      <c r="BB48" s="104">
        <f t="shared" si="87"/>
        <v>100983</v>
      </c>
      <c r="BC48" s="104">
        <f t="shared" si="87"/>
        <v>107927.4</v>
      </c>
      <c r="BD48" s="104">
        <f t="shared" si="87"/>
        <v>110485.2</v>
      </c>
      <c r="BE48" s="104">
        <f t="shared" si="87"/>
        <v>110727.05195340679</v>
      </c>
      <c r="BF48" s="104">
        <f t="shared" si="87"/>
        <v>110969.43332041254</v>
      </c>
      <c r="BG48" s="104">
        <f t="shared" si="87"/>
        <v>111212.34525990294</v>
      </c>
      <c r="BH48" s="104">
        <f t="shared" si="87"/>
        <v>111455.78893330043</v>
      </c>
      <c r="BI48" s="104">
        <f t="shared" si="87"/>
        <v>111699.76550456982</v>
      </c>
      <c r="BJ48" s="104">
        <f t="shared" si="87"/>
        <v>111944.27614022384</v>
      </c>
      <c r="BK48" s="104">
        <f t="shared" si="87"/>
        <v>112189.32200932867</v>
      </c>
      <c r="BL48" s="104">
        <f t="shared" ref="BL48:BW48" si="88">SUM(BL40:BL40)</f>
        <v>112434.90428350963</v>
      </c>
      <c r="BM48" s="104">
        <f t="shared" si="88"/>
        <v>112681.02413695671</v>
      </c>
      <c r="BN48" s="104">
        <f t="shared" si="88"/>
        <v>112927.68274643019</v>
      </c>
      <c r="BO48" s="104">
        <f t="shared" si="88"/>
        <v>113174.88129126628</v>
      </c>
      <c r="BP48" s="104">
        <f t="shared" si="88"/>
        <v>113422.62095338279</v>
      </c>
      <c r="BQ48" s="104">
        <f t="shared" si="88"/>
        <v>113670.90291728466</v>
      </c>
      <c r="BR48" s="104">
        <f t="shared" si="88"/>
        <v>113919.72837006982</v>
      </c>
      <c r="BS48" s="104">
        <f t="shared" si="88"/>
        <v>114169.09850143468</v>
      </c>
      <c r="BT48" s="104">
        <f t="shared" si="88"/>
        <v>114419.01450367989</v>
      </c>
      <c r="BU48" s="104">
        <f t="shared" si="88"/>
        <v>114669.47757171611</v>
      </c>
      <c r="BV48" s="104">
        <f t="shared" si="88"/>
        <v>114920.48890306958</v>
      </c>
      <c r="BW48" s="104">
        <f t="shared" si="88"/>
        <v>115172.04969788795</v>
      </c>
      <c r="BY48" s="67">
        <f>SUM(AZ48:BK48)</f>
        <v>1315134.5831211451</v>
      </c>
      <c r="CA48" s="67">
        <f t="shared" ref="CA48:CA49" si="89">SUM(BL48:BW48)</f>
        <v>1365581.8738766883</v>
      </c>
      <c r="CC48" s="87" t="s">
        <v>155</v>
      </c>
      <c r="CH48" s="104"/>
      <c r="CI48" s="104"/>
      <c r="CJ48" s="104"/>
      <c r="CK48" s="104"/>
      <c r="CL48" s="104"/>
      <c r="CM48" s="104"/>
      <c r="CN48" s="104"/>
      <c r="CO48" s="104"/>
      <c r="CP48" s="104"/>
      <c r="CQ48" s="104"/>
      <c r="CR48" s="104"/>
      <c r="CS48" s="104"/>
    </row>
    <row r="49" spans="2:97" x14ac:dyDescent="0.3">
      <c r="B49" s="107" t="s">
        <v>144</v>
      </c>
      <c r="C49" s="108"/>
      <c r="D49" s="104">
        <f t="shared" ref="D49:O49" si="90">SUM(D43:D46)</f>
        <v>5161973</v>
      </c>
      <c r="E49" s="104">
        <f t="shared" si="90"/>
        <v>4628738</v>
      </c>
      <c r="F49" s="104">
        <f t="shared" si="90"/>
        <v>4670125</v>
      </c>
      <c r="G49" s="104">
        <f t="shared" si="90"/>
        <v>4377340</v>
      </c>
      <c r="H49" s="104">
        <f t="shared" si="90"/>
        <v>4214396</v>
      </c>
      <c r="I49" s="104">
        <f t="shared" si="90"/>
        <v>4171542</v>
      </c>
      <c r="J49" s="104">
        <f t="shared" si="90"/>
        <v>4293330</v>
      </c>
      <c r="K49" s="104">
        <f t="shared" si="90"/>
        <v>4106305</v>
      </c>
      <c r="L49" s="104">
        <f t="shared" si="90"/>
        <v>4378923</v>
      </c>
      <c r="M49" s="104">
        <f t="shared" si="90"/>
        <v>4648684</v>
      </c>
      <c r="N49" s="104">
        <f t="shared" si="90"/>
        <v>4376405</v>
      </c>
      <c r="O49" s="104">
        <f t="shared" si="90"/>
        <v>5043035</v>
      </c>
      <c r="P49" s="104">
        <f t="shared" ref="P49:AA49" si="91">SUM(P43:P46)</f>
        <v>4890889</v>
      </c>
      <c r="Q49" s="104">
        <f t="shared" si="91"/>
        <v>4707719</v>
      </c>
      <c r="R49" s="104">
        <f t="shared" si="91"/>
        <v>4451769</v>
      </c>
      <c r="S49" s="104">
        <f t="shared" si="91"/>
        <v>4600752</v>
      </c>
      <c r="T49" s="104">
        <f t="shared" si="91"/>
        <v>4702361</v>
      </c>
      <c r="U49" s="104">
        <f t="shared" si="91"/>
        <v>4062458</v>
      </c>
      <c r="V49" s="104">
        <f t="shared" si="91"/>
        <v>3976101</v>
      </c>
      <c r="W49" s="104">
        <f t="shared" si="91"/>
        <v>4163169</v>
      </c>
      <c r="X49" s="104">
        <f t="shared" si="91"/>
        <v>4017043</v>
      </c>
      <c r="Y49" s="104">
        <f t="shared" si="91"/>
        <v>4238935</v>
      </c>
      <c r="Z49" s="104">
        <f t="shared" si="91"/>
        <v>4541732</v>
      </c>
      <c r="AA49" s="104">
        <f t="shared" si="91"/>
        <v>5035238</v>
      </c>
      <c r="AB49" s="104">
        <f t="shared" ref="AB49:AC49" si="92">SUM(AB43:AB46)</f>
        <v>4736817</v>
      </c>
      <c r="AC49" s="104">
        <f t="shared" si="92"/>
        <v>4734078</v>
      </c>
      <c r="AD49" s="104">
        <f t="shared" ref="AD49:AM49" si="93">SUM(AD43:AD46)</f>
        <v>4066794</v>
      </c>
      <c r="AE49" s="104">
        <f t="shared" si="93"/>
        <v>4454970</v>
      </c>
      <c r="AF49" s="104">
        <f t="shared" si="93"/>
        <v>4196137</v>
      </c>
      <c r="AG49" s="104">
        <f t="shared" si="93"/>
        <v>3973405</v>
      </c>
      <c r="AH49" s="104">
        <f t="shared" si="93"/>
        <v>4174663</v>
      </c>
      <c r="AI49" s="104">
        <f t="shared" si="93"/>
        <v>4334976</v>
      </c>
      <c r="AJ49" s="104">
        <f t="shared" si="93"/>
        <v>4089091</v>
      </c>
      <c r="AK49" s="104">
        <f t="shared" si="93"/>
        <v>4370349</v>
      </c>
      <c r="AL49" s="104">
        <f t="shared" si="93"/>
        <v>4820834</v>
      </c>
      <c r="AM49" s="104">
        <f t="shared" si="93"/>
        <v>4750052</v>
      </c>
      <c r="AN49" s="104">
        <f t="shared" ref="AN49:AY49" si="94">SUM(AN43:AN46)</f>
        <v>4742005</v>
      </c>
      <c r="AO49" s="104">
        <f t="shared" si="94"/>
        <v>4842895</v>
      </c>
      <c r="AP49" s="104">
        <f t="shared" si="94"/>
        <v>4280735</v>
      </c>
      <c r="AQ49" s="104">
        <f t="shared" si="94"/>
        <v>4378136</v>
      </c>
      <c r="AR49" s="104">
        <f t="shared" si="94"/>
        <v>4558634</v>
      </c>
      <c r="AS49" s="104">
        <f t="shared" si="94"/>
        <v>3991264</v>
      </c>
      <c r="AT49" s="104">
        <f t="shared" si="94"/>
        <v>4434442</v>
      </c>
      <c r="AU49" s="104">
        <f t="shared" si="94"/>
        <v>4344124</v>
      </c>
      <c r="AV49" s="104">
        <f t="shared" si="94"/>
        <v>4194128</v>
      </c>
      <c r="AW49" s="104">
        <f t="shared" si="94"/>
        <v>4490285</v>
      </c>
      <c r="AX49" s="104">
        <f t="shared" si="94"/>
        <v>4768726</v>
      </c>
      <c r="AY49" s="104">
        <f t="shared" si="94"/>
        <v>4820896</v>
      </c>
      <c r="AZ49" s="104">
        <f t="shared" ref="AZ49:BK49" si="95">SUM(AZ43:AZ46)</f>
        <v>5523673</v>
      </c>
      <c r="BA49" s="104">
        <f t="shared" si="95"/>
        <v>4638726</v>
      </c>
      <c r="BB49" s="104">
        <f t="shared" si="95"/>
        <v>4275954</v>
      </c>
      <c r="BC49" s="104">
        <f>SUM(BC43:BC46)</f>
        <v>4534915.666666666</v>
      </c>
      <c r="BD49" s="104">
        <f t="shared" si="95"/>
        <v>4534915.666666666</v>
      </c>
      <c r="BE49" s="104">
        <f t="shared" si="95"/>
        <v>4534915.666666666</v>
      </c>
      <c r="BF49" s="104">
        <f t="shared" si="95"/>
        <v>4534915.666666666</v>
      </c>
      <c r="BG49" s="104">
        <f t="shared" si="95"/>
        <v>4534915.666666666</v>
      </c>
      <c r="BH49" s="104">
        <f t="shared" si="95"/>
        <v>4534915.666666666</v>
      </c>
      <c r="BI49" s="104">
        <f t="shared" si="95"/>
        <v>4534915.666666666</v>
      </c>
      <c r="BJ49" s="104">
        <f t="shared" si="95"/>
        <v>4534915.666666666</v>
      </c>
      <c r="BK49" s="104">
        <f t="shared" si="95"/>
        <v>4534915.666666666</v>
      </c>
      <c r="BL49" s="104">
        <f t="shared" ref="BL49:BW49" si="96">SUM(BL43:BL46)</f>
        <v>4534915.666666666</v>
      </c>
      <c r="BM49" s="104">
        <f t="shared" si="96"/>
        <v>4534915.666666666</v>
      </c>
      <c r="BN49" s="104">
        <f t="shared" si="96"/>
        <v>4534915.666666666</v>
      </c>
      <c r="BO49" s="104">
        <f t="shared" si="96"/>
        <v>4534915.666666666</v>
      </c>
      <c r="BP49" s="104">
        <f t="shared" si="96"/>
        <v>4534915.666666666</v>
      </c>
      <c r="BQ49" s="104">
        <f t="shared" si="96"/>
        <v>4534915.666666666</v>
      </c>
      <c r="BR49" s="104">
        <f t="shared" si="96"/>
        <v>4534915.666666666</v>
      </c>
      <c r="BS49" s="104">
        <f t="shared" si="96"/>
        <v>4534915.666666666</v>
      </c>
      <c r="BT49" s="104">
        <f t="shared" si="96"/>
        <v>4534915.666666666</v>
      </c>
      <c r="BU49" s="104">
        <f t="shared" si="96"/>
        <v>4534915.666666666</v>
      </c>
      <c r="BV49" s="104">
        <f t="shared" si="96"/>
        <v>4534915.666666666</v>
      </c>
      <c r="BW49" s="104">
        <f t="shared" si="96"/>
        <v>4534915.666666666</v>
      </c>
      <c r="BY49" s="67">
        <f>SUM(AZ49:BK49)</f>
        <v>55252593.999999978</v>
      </c>
      <c r="CA49" s="67">
        <f t="shared" si="89"/>
        <v>54418987.999999978</v>
      </c>
      <c r="CC49" s="109" t="s">
        <v>156</v>
      </c>
      <c r="CH49" s="104"/>
      <c r="CI49" s="104"/>
      <c r="CJ49" s="104"/>
      <c r="CK49" s="104"/>
      <c r="CL49" s="104"/>
      <c r="CM49" s="104"/>
      <c r="CN49" s="104"/>
    </row>
    <row r="50" spans="2:97" x14ac:dyDescent="0.3">
      <c r="B50" s="107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  <c r="BM50" s="104"/>
      <c r="BN50" s="104"/>
      <c r="BO50" s="104"/>
      <c r="BP50" s="104"/>
      <c r="BQ50" s="104"/>
      <c r="BR50" s="104"/>
      <c r="BS50" s="104"/>
      <c r="BT50" s="104"/>
      <c r="BU50" s="104"/>
      <c r="BV50" s="104"/>
      <c r="BW50" s="104"/>
    </row>
    <row r="51" spans="2:97" x14ac:dyDescent="0.3">
      <c r="B51" s="53" t="s">
        <v>151</v>
      </c>
      <c r="C51" s="108"/>
      <c r="D51" s="104">
        <f t="shared" ref="D51:O51" si="97">SUM(D48:D49)</f>
        <v>5287258</v>
      </c>
      <c r="E51" s="104">
        <f t="shared" si="97"/>
        <v>4745041</v>
      </c>
      <c r="F51" s="104">
        <f t="shared" si="97"/>
        <v>4794118</v>
      </c>
      <c r="G51" s="104">
        <f t="shared" si="97"/>
        <v>4497507</v>
      </c>
      <c r="H51" s="104">
        <f t="shared" si="97"/>
        <v>4334281</v>
      </c>
      <c r="I51" s="104">
        <f t="shared" si="97"/>
        <v>4282085</v>
      </c>
      <c r="J51" s="104">
        <f t="shared" si="97"/>
        <v>4405837</v>
      </c>
      <c r="K51" s="104">
        <f t="shared" si="97"/>
        <v>4210788</v>
      </c>
      <c r="L51" s="104">
        <f t="shared" si="97"/>
        <v>4492573</v>
      </c>
      <c r="M51" s="104">
        <f t="shared" si="97"/>
        <v>4771587</v>
      </c>
      <c r="N51" s="104">
        <f t="shared" si="97"/>
        <v>4492784</v>
      </c>
      <c r="O51" s="104">
        <f t="shared" si="97"/>
        <v>5165242</v>
      </c>
      <c r="P51" s="104">
        <f t="shared" ref="P51:AA51" si="98">SUM(P48:P49)</f>
        <v>5017511</v>
      </c>
      <c r="Q51" s="104">
        <f t="shared" si="98"/>
        <v>4831336</v>
      </c>
      <c r="R51" s="104">
        <f t="shared" si="98"/>
        <v>4558881</v>
      </c>
      <c r="S51" s="104">
        <f t="shared" si="98"/>
        <v>4721389</v>
      </c>
      <c r="T51" s="104">
        <f t="shared" si="98"/>
        <v>4828808</v>
      </c>
      <c r="U51" s="104">
        <f t="shared" si="98"/>
        <v>4163455</v>
      </c>
      <c r="V51" s="104">
        <f t="shared" si="98"/>
        <v>4074995</v>
      </c>
      <c r="W51" s="104">
        <f t="shared" si="98"/>
        <v>4277835</v>
      </c>
      <c r="X51" s="104">
        <f t="shared" si="98"/>
        <v>4132878</v>
      </c>
      <c r="Y51" s="104">
        <f t="shared" si="98"/>
        <v>4359268</v>
      </c>
      <c r="Z51" s="104">
        <f t="shared" si="98"/>
        <v>4666816</v>
      </c>
      <c r="AA51" s="104">
        <f t="shared" si="98"/>
        <v>5174178</v>
      </c>
      <c r="AB51" s="104">
        <f t="shared" ref="AB51:AC51" si="99">SUM(AB48:AB49)</f>
        <v>4863724</v>
      </c>
      <c r="AC51" s="104">
        <f t="shared" si="99"/>
        <v>4862046</v>
      </c>
      <c r="AD51" s="104">
        <f t="shared" ref="AD51:AM51" si="100">SUM(AD48:AD49)</f>
        <v>4169795</v>
      </c>
      <c r="AE51" s="104">
        <f t="shared" si="100"/>
        <v>4604441</v>
      </c>
      <c r="AF51" s="104">
        <f t="shared" si="100"/>
        <v>4315381</v>
      </c>
      <c r="AG51" s="104">
        <f t="shared" si="100"/>
        <v>4090437</v>
      </c>
      <c r="AH51" s="104">
        <f t="shared" si="100"/>
        <v>4294286</v>
      </c>
      <c r="AI51" s="104">
        <f t="shared" si="100"/>
        <v>4463405</v>
      </c>
      <c r="AJ51" s="104">
        <f t="shared" si="100"/>
        <v>4200905</v>
      </c>
      <c r="AK51" s="104">
        <f t="shared" si="100"/>
        <v>4488015</v>
      </c>
      <c r="AL51" s="104">
        <f t="shared" si="100"/>
        <v>4951308</v>
      </c>
      <c r="AM51" s="104">
        <f t="shared" si="100"/>
        <v>4877812</v>
      </c>
      <c r="AN51" s="104">
        <f t="shared" ref="AN51:BK51" si="101">SUM(AN48:AN49)</f>
        <v>4869586</v>
      </c>
      <c r="AO51" s="104">
        <f t="shared" si="101"/>
        <v>4980759</v>
      </c>
      <c r="AP51" s="104">
        <f t="shared" si="101"/>
        <v>4403599</v>
      </c>
      <c r="AQ51" s="104">
        <f t="shared" si="101"/>
        <v>4499678</v>
      </c>
      <c r="AR51" s="104">
        <f t="shared" si="101"/>
        <v>4674212</v>
      </c>
      <c r="AS51" s="104">
        <f t="shared" si="101"/>
        <v>4083709</v>
      </c>
      <c r="AT51" s="104">
        <f t="shared" si="101"/>
        <v>4525480</v>
      </c>
      <c r="AU51" s="104">
        <f t="shared" si="101"/>
        <v>4418720</v>
      </c>
      <c r="AV51" s="104">
        <f t="shared" si="101"/>
        <v>4264285</v>
      </c>
      <c r="AW51" s="104">
        <f t="shared" si="101"/>
        <v>4562914</v>
      </c>
      <c r="AX51" s="104">
        <f t="shared" si="101"/>
        <v>4850341</v>
      </c>
      <c r="AY51" s="104">
        <f t="shared" si="101"/>
        <v>4909363</v>
      </c>
      <c r="AZ51" s="104">
        <f t="shared" si="101"/>
        <v>5635188</v>
      </c>
      <c r="BA51" s="104">
        <f t="shared" si="101"/>
        <v>4742752</v>
      </c>
      <c r="BB51" s="104">
        <f t="shared" si="101"/>
        <v>4376937</v>
      </c>
      <c r="BC51" s="104">
        <f t="shared" si="101"/>
        <v>4642843.0666666664</v>
      </c>
      <c r="BD51" s="104">
        <f t="shared" si="101"/>
        <v>4645400.8666666662</v>
      </c>
      <c r="BE51" s="104">
        <f t="shared" si="101"/>
        <v>4645642.7186200731</v>
      </c>
      <c r="BF51" s="104">
        <f t="shared" si="101"/>
        <v>4645885.0999870785</v>
      </c>
      <c r="BG51" s="104">
        <f t="shared" si="101"/>
        <v>4646128.011926569</v>
      </c>
      <c r="BH51" s="104">
        <f t="shared" si="101"/>
        <v>4646371.4555999665</v>
      </c>
      <c r="BI51" s="104">
        <f t="shared" si="101"/>
        <v>4646615.4321712358</v>
      </c>
      <c r="BJ51" s="104">
        <f t="shared" si="101"/>
        <v>4646859.9428068902</v>
      </c>
      <c r="BK51" s="104">
        <f t="shared" si="101"/>
        <v>4647104.9886759948</v>
      </c>
      <c r="BL51" s="104">
        <f t="shared" ref="BL51:BW51" si="102">SUM(BL48:BL49)</f>
        <v>4647350.5709501756</v>
      </c>
      <c r="BM51" s="104">
        <f t="shared" si="102"/>
        <v>4647596.6908036228</v>
      </c>
      <c r="BN51" s="104">
        <f t="shared" si="102"/>
        <v>4647843.349413096</v>
      </c>
      <c r="BO51" s="104">
        <f t="shared" si="102"/>
        <v>4648090.5479579326</v>
      </c>
      <c r="BP51" s="104">
        <f t="shared" si="102"/>
        <v>4648338.287620049</v>
      </c>
      <c r="BQ51" s="104">
        <f t="shared" si="102"/>
        <v>4648586.5695839506</v>
      </c>
      <c r="BR51" s="104">
        <f t="shared" si="102"/>
        <v>4648835.3950367356</v>
      </c>
      <c r="BS51" s="104">
        <f t="shared" si="102"/>
        <v>4649084.7651681006</v>
      </c>
      <c r="BT51" s="104">
        <f t="shared" si="102"/>
        <v>4649334.6811703462</v>
      </c>
      <c r="BU51" s="104">
        <f t="shared" si="102"/>
        <v>4649585.1442383826</v>
      </c>
      <c r="BV51" s="104">
        <f t="shared" si="102"/>
        <v>4649836.1555697359</v>
      </c>
      <c r="BW51" s="104">
        <f t="shared" si="102"/>
        <v>4650087.7163645541</v>
      </c>
      <c r="BY51" s="67">
        <f>SUM(AZ51:BK51)</f>
        <v>56567728.583121136</v>
      </c>
      <c r="CA51" s="67">
        <f>SUM(BL51:BW51)</f>
        <v>55784569.873876683</v>
      </c>
      <c r="CC51" s="109"/>
    </row>
    <row r="52" spans="2:97" x14ac:dyDescent="0.3"/>
    <row r="53" spans="2:97" x14ac:dyDescent="0.3">
      <c r="B53" s="53" t="s">
        <v>152</v>
      </c>
      <c r="D53" s="104">
        <f t="shared" ref="D53:O53" si="103">D49</f>
        <v>5161973</v>
      </c>
      <c r="E53" s="104">
        <f t="shared" si="103"/>
        <v>4628738</v>
      </c>
      <c r="F53" s="104">
        <f t="shared" si="103"/>
        <v>4670125</v>
      </c>
      <c r="G53" s="104">
        <f t="shared" si="103"/>
        <v>4377340</v>
      </c>
      <c r="H53" s="104">
        <f t="shared" si="103"/>
        <v>4214396</v>
      </c>
      <c r="I53" s="104">
        <f t="shared" si="103"/>
        <v>4171542</v>
      </c>
      <c r="J53" s="104">
        <f t="shared" si="103"/>
        <v>4293330</v>
      </c>
      <c r="K53" s="104">
        <f t="shared" si="103"/>
        <v>4106305</v>
      </c>
      <c r="L53" s="104">
        <f t="shared" si="103"/>
        <v>4378923</v>
      </c>
      <c r="M53" s="104">
        <f t="shared" si="103"/>
        <v>4648684</v>
      </c>
      <c r="N53" s="104">
        <f t="shared" si="103"/>
        <v>4376405</v>
      </c>
      <c r="O53" s="104">
        <f t="shared" si="103"/>
        <v>5043035</v>
      </c>
      <c r="P53" s="104">
        <f t="shared" ref="P53:AA53" si="104">P49</f>
        <v>4890889</v>
      </c>
      <c r="Q53" s="104">
        <f t="shared" si="104"/>
        <v>4707719</v>
      </c>
      <c r="R53" s="104">
        <f t="shared" si="104"/>
        <v>4451769</v>
      </c>
      <c r="S53" s="104">
        <f t="shared" si="104"/>
        <v>4600752</v>
      </c>
      <c r="T53" s="104">
        <f t="shared" si="104"/>
        <v>4702361</v>
      </c>
      <c r="U53" s="104">
        <f t="shared" si="104"/>
        <v>4062458</v>
      </c>
      <c r="V53" s="104">
        <f t="shared" si="104"/>
        <v>3976101</v>
      </c>
      <c r="W53" s="104">
        <f t="shared" si="104"/>
        <v>4163169</v>
      </c>
      <c r="X53" s="104">
        <f t="shared" si="104"/>
        <v>4017043</v>
      </c>
      <c r="Y53" s="104">
        <f t="shared" si="104"/>
        <v>4238935</v>
      </c>
      <c r="Z53" s="104">
        <f t="shared" si="104"/>
        <v>4541732</v>
      </c>
      <c r="AA53" s="104">
        <f t="shared" si="104"/>
        <v>5035238</v>
      </c>
      <c r="AB53" s="104">
        <f t="shared" ref="AB53:AC53" si="105">AB49</f>
        <v>4736817</v>
      </c>
      <c r="AC53" s="104">
        <f t="shared" si="105"/>
        <v>4734078</v>
      </c>
      <c r="AD53" s="104">
        <f t="shared" ref="AD53:AM53" si="106">AD49</f>
        <v>4066794</v>
      </c>
      <c r="AE53" s="104">
        <f t="shared" si="106"/>
        <v>4454970</v>
      </c>
      <c r="AF53" s="104">
        <f t="shared" si="106"/>
        <v>4196137</v>
      </c>
      <c r="AG53" s="104">
        <f t="shared" si="106"/>
        <v>3973405</v>
      </c>
      <c r="AH53" s="104">
        <f t="shared" si="106"/>
        <v>4174663</v>
      </c>
      <c r="AI53" s="104">
        <f t="shared" si="106"/>
        <v>4334976</v>
      </c>
      <c r="AJ53" s="104">
        <f t="shared" si="106"/>
        <v>4089091</v>
      </c>
      <c r="AK53" s="104">
        <f t="shared" si="106"/>
        <v>4370349</v>
      </c>
      <c r="AL53" s="104">
        <f t="shared" si="106"/>
        <v>4820834</v>
      </c>
      <c r="AM53" s="104">
        <f t="shared" si="106"/>
        <v>4750052</v>
      </c>
      <c r="AN53" s="104">
        <f t="shared" ref="AN53:AV53" si="107">AN49</f>
        <v>4742005</v>
      </c>
      <c r="AO53" s="104">
        <f t="shared" si="107"/>
        <v>4842895</v>
      </c>
      <c r="AP53" s="104">
        <f t="shared" si="107"/>
        <v>4280735</v>
      </c>
      <c r="AQ53" s="104">
        <f t="shared" si="107"/>
        <v>4378136</v>
      </c>
      <c r="AR53" s="104">
        <f t="shared" si="107"/>
        <v>4558634</v>
      </c>
      <c r="AS53" s="104">
        <f t="shared" si="107"/>
        <v>3991264</v>
      </c>
      <c r="AT53" s="104">
        <f t="shared" si="107"/>
        <v>4434442</v>
      </c>
      <c r="AU53" s="104">
        <f t="shared" si="107"/>
        <v>4344124</v>
      </c>
      <c r="AV53" s="104">
        <f t="shared" si="107"/>
        <v>4194128</v>
      </c>
      <c r="AW53" s="104">
        <f>AW49</f>
        <v>4490285</v>
      </c>
      <c r="AX53" s="104">
        <f t="shared" ref="AX53:BW53" si="108">AX49</f>
        <v>4768726</v>
      </c>
      <c r="AY53" s="104">
        <f t="shared" si="108"/>
        <v>4820896</v>
      </c>
      <c r="AZ53" s="104">
        <f t="shared" si="108"/>
        <v>5523673</v>
      </c>
      <c r="BA53" s="104">
        <f t="shared" si="108"/>
        <v>4638726</v>
      </c>
      <c r="BB53" s="104">
        <f t="shared" si="108"/>
        <v>4275954</v>
      </c>
      <c r="BC53" s="104">
        <f>BC49</f>
        <v>4534915.666666666</v>
      </c>
      <c r="BD53" s="104">
        <f t="shared" si="108"/>
        <v>4534915.666666666</v>
      </c>
      <c r="BE53" s="104">
        <f t="shared" si="108"/>
        <v>4534915.666666666</v>
      </c>
      <c r="BF53" s="104">
        <f t="shared" si="108"/>
        <v>4534915.666666666</v>
      </c>
      <c r="BG53" s="104">
        <f t="shared" si="108"/>
        <v>4534915.666666666</v>
      </c>
      <c r="BH53" s="104">
        <f t="shared" si="108"/>
        <v>4534915.666666666</v>
      </c>
      <c r="BI53" s="104">
        <f t="shared" si="108"/>
        <v>4534915.666666666</v>
      </c>
      <c r="BJ53" s="104">
        <f t="shared" si="108"/>
        <v>4534915.666666666</v>
      </c>
      <c r="BK53" s="104">
        <f t="shared" si="108"/>
        <v>4534915.666666666</v>
      </c>
      <c r="BL53" s="104">
        <f t="shared" si="108"/>
        <v>4534915.666666666</v>
      </c>
      <c r="BM53" s="104">
        <f t="shared" si="108"/>
        <v>4534915.666666666</v>
      </c>
      <c r="BN53" s="104">
        <f t="shared" si="108"/>
        <v>4534915.666666666</v>
      </c>
      <c r="BO53" s="104">
        <f t="shared" si="108"/>
        <v>4534915.666666666</v>
      </c>
      <c r="BP53" s="104">
        <f t="shared" si="108"/>
        <v>4534915.666666666</v>
      </c>
      <c r="BQ53" s="104">
        <f t="shared" si="108"/>
        <v>4534915.666666666</v>
      </c>
      <c r="BR53" s="104">
        <f t="shared" si="108"/>
        <v>4534915.666666666</v>
      </c>
      <c r="BS53" s="104">
        <f t="shared" si="108"/>
        <v>4534915.666666666</v>
      </c>
      <c r="BT53" s="104">
        <f t="shared" si="108"/>
        <v>4534915.666666666</v>
      </c>
      <c r="BU53" s="104">
        <f t="shared" si="108"/>
        <v>4534915.666666666</v>
      </c>
      <c r="BV53" s="104">
        <f t="shared" si="108"/>
        <v>4534915.666666666</v>
      </c>
      <c r="BW53" s="104">
        <f t="shared" si="108"/>
        <v>4534915.666666666</v>
      </c>
      <c r="BY53" s="67">
        <f>SUM(AZ53:BK53)</f>
        <v>55252593.999999978</v>
      </c>
      <c r="CA53" s="67">
        <f>SUM(BL53:BW53)</f>
        <v>54418987.999999978</v>
      </c>
      <c r="CD53" s="18" t="s">
        <v>153</v>
      </c>
      <c r="CJ53" s="104"/>
      <c r="CK53" s="104"/>
      <c r="CN53" s="104"/>
    </row>
    <row r="54" spans="2:97" x14ac:dyDescent="0.3"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  <c r="CJ54" s="151"/>
      <c r="CK54" s="151"/>
      <c r="CL54" s="151"/>
      <c r="CM54" s="151"/>
      <c r="CN54" s="151"/>
      <c r="CR54" s="151"/>
      <c r="CS54" s="67"/>
    </row>
    <row r="55" spans="2:97" x14ac:dyDescent="0.3"/>
    <row r="56" spans="2:97" x14ac:dyDescent="0.3">
      <c r="D56" s="63"/>
    </row>
    <row r="57" spans="2:97" x14ac:dyDescent="0.3"/>
    <row r="58" spans="2:97" x14ac:dyDescent="0.3">
      <c r="D58" s="63"/>
    </row>
    <row r="59" spans="2:97" x14ac:dyDescent="0.3">
      <c r="D59" s="63"/>
    </row>
    <row r="60" spans="2:97" x14ac:dyDescent="0.3"/>
    <row r="61" spans="2:97" x14ac:dyDescent="0.3"/>
    <row r="62" spans="2:97" x14ac:dyDescent="0.3"/>
    <row r="63" spans="2:97" x14ac:dyDescent="0.3"/>
    <row r="64" spans="2:97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</sheetData>
  <mergeCells count="12">
    <mergeCell ref="AZ1:BK1"/>
    <mergeCell ref="BL1:BW1"/>
    <mergeCell ref="AR2:BC2"/>
    <mergeCell ref="BD2:BO2"/>
    <mergeCell ref="D6:AQ6"/>
    <mergeCell ref="AR6:AY6"/>
    <mergeCell ref="D1:O1"/>
    <mergeCell ref="AN1:AY1"/>
    <mergeCell ref="T2:AE2"/>
    <mergeCell ref="AB1:AM1"/>
    <mergeCell ref="P1:AA1"/>
    <mergeCell ref="AF2:AQ2"/>
  </mergeCells>
  <phoneticPr fontId="5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-0.249977111117893"/>
    <pageSetUpPr fitToPage="1"/>
  </sheetPr>
  <dimension ref="A1:P32"/>
  <sheetViews>
    <sheetView showGridLines="0" zoomScale="107" zoomScaleNormal="107" workbookViewId="0">
      <selection activeCell="E30" sqref="E30"/>
    </sheetView>
  </sheetViews>
  <sheetFormatPr defaultColWidth="0" defaultRowHeight="14.4" zeroHeight="1" x14ac:dyDescent="0.3"/>
  <cols>
    <col min="1" max="1" width="9.109375" style="18" customWidth="1"/>
    <col min="2" max="2" width="5.33203125" style="18" customWidth="1"/>
    <col min="3" max="3" width="1.6640625" style="41" customWidth="1"/>
    <col min="4" max="4" width="62.21875" style="18" customWidth="1"/>
    <col min="5" max="5" width="20.6640625" style="18" customWidth="1"/>
    <col min="6" max="6" width="2.6640625" style="18" customWidth="1"/>
    <col min="7" max="7" width="20.6640625" style="18" customWidth="1"/>
    <col min="8" max="8" width="8.6640625" style="18" customWidth="1"/>
    <col min="9" max="9" width="2.6640625" style="18" customWidth="1"/>
    <col min="10" max="10" width="20.6640625" style="18" customWidth="1"/>
    <col min="11" max="11" width="7.88671875" style="18" customWidth="1"/>
    <col min="12" max="16" width="9.109375" style="18" customWidth="1"/>
    <col min="17" max="16384" width="9.109375" style="18" hidden="1"/>
  </cols>
  <sheetData>
    <row r="1" spans="2:16" x14ac:dyDescent="0.3"/>
    <row r="2" spans="2:16" x14ac:dyDescent="0.3">
      <c r="B2" s="277" t="s">
        <v>31</v>
      </c>
      <c r="C2" s="277"/>
      <c r="D2" s="277"/>
      <c r="E2" s="277"/>
      <c r="F2" s="277"/>
      <c r="G2" s="277"/>
      <c r="H2" s="277"/>
      <c r="I2" s="277"/>
      <c r="J2" s="277"/>
      <c r="K2" s="277"/>
    </row>
    <row r="3" spans="2:16" x14ac:dyDescent="0.3">
      <c r="B3" s="278" t="s">
        <v>296</v>
      </c>
      <c r="C3" s="278"/>
      <c r="D3" s="278"/>
      <c r="E3" s="278"/>
      <c r="F3" s="278"/>
      <c r="G3" s="278"/>
      <c r="H3" s="278"/>
      <c r="I3" s="278"/>
      <c r="J3" s="278"/>
      <c r="K3" s="278"/>
    </row>
    <row r="4" spans="2:16" x14ac:dyDescent="0.3">
      <c r="B4" s="226"/>
      <c r="C4" s="227"/>
      <c r="D4" s="228"/>
      <c r="E4" s="226"/>
      <c r="F4" s="229"/>
      <c r="G4" s="229"/>
      <c r="H4" s="229"/>
      <c r="I4" s="229"/>
      <c r="J4" s="229"/>
      <c r="K4" s="229"/>
    </row>
    <row r="5" spans="2:16" ht="5.0999999999999996" customHeight="1" x14ac:dyDescent="0.3">
      <c r="B5" s="230"/>
      <c r="C5" s="231"/>
      <c r="D5" s="232"/>
      <c r="E5" s="232"/>
      <c r="F5" s="232"/>
      <c r="G5" s="233"/>
      <c r="H5" s="233"/>
      <c r="I5" s="234"/>
      <c r="J5" s="233"/>
      <c r="K5" s="235"/>
    </row>
    <row r="6" spans="2:16" ht="15.6" x14ac:dyDescent="0.3">
      <c r="B6" s="236"/>
      <c r="C6" s="237"/>
      <c r="D6" s="238"/>
      <c r="E6" s="239" t="s">
        <v>157</v>
      </c>
      <c r="F6" s="238"/>
      <c r="G6" s="240" t="s">
        <v>158</v>
      </c>
      <c r="H6" s="240"/>
      <c r="I6" s="241"/>
      <c r="J6" s="240" t="s">
        <v>159</v>
      </c>
      <c r="K6" s="242"/>
    </row>
    <row r="7" spans="2:16" ht="5.0999999999999996" customHeight="1" x14ac:dyDescent="0.3">
      <c r="B7" s="236"/>
      <c r="C7" s="237"/>
      <c r="D7" s="238"/>
      <c r="E7" s="238"/>
      <c r="F7" s="238"/>
      <c r="G7" s="239"/>
      <c r="H7" s="239"/>
      <c r="I7" s="241"/>
      <c r="J7" s="239"/>
      <c r="K7" s="243"/>
    </row>
    <row r="8" spans="2:16" x14ac:dyDescent="0.3">
      <c r="B8" s="236"/>
      <c r="C8" s="237"/>
      <c r="D8" s="238"/>
      <c r="E8" s="244" t="s">
        <v>160</v>
      </c>
      <c r="F8" s="238"/>
      <c r="G8" s="245" t="s">
        <v>160</v>
      </c>
      <c r="H8" s="245"/>
      <c r="I8" s="246"/>
      <c r="J8" s="245" t="s">
        <v>160</v>
      </c>
      <c r="K8" s="247"/>
    </row>
    <row r="9" spans="2:16" ht="16.2" x14ac:dyDescent="0.3">
      <c r="B9" s="248" t="s">
        <v>161</v>
      </c>
      <c r="C9" s="249"/>
      <c r="D9" s="250" t="s">
        <v>289</v>
      </c>
      <c r="E9" s="251">
        <f>G9+J9</f>
        <v>9347268.5815967619</v>
      </c>
      <c r="F9" s="250"/>
      <c r="G9" s="252">
        <f>'C-Factor Sch LKM-2'!$G$8</f>
        <v>3738907.4326387048</v>
      </c>
      <c r="H9" s="253"/>
      <c r="I9" s="253"/>
      <c r="J9" s="252">
        <f>'C-Factor Sch LKM-2'!$H$8</f>
        <v>5608361.1489580572</v>
      </c>
      <c r="K9" s="254"/>
      <c r="N9" s="65"/>
      <c r="P9" s="65"/>
    </row>
    <row r="10" spans="2:16" x14ac:dyDescent="0.3">
      <c r="B10" s="255"/>
      <c r="C10" s="237"/>
      <c r="D10" s="238"/>
      <c r="E10" s="238"/>
      <c r="F10" s="238"/>
      <c r="G10" s="238"/>
      <c r="H10" s="253"/>
      <c r="I10" s="253"/>
      <c r="J10" s="238"/>
      <c r="K10" s="254"/>
    </row>
    <row r="11" spans="2:16" ht="16.2" x14ac:dyDescent="0.3">
      <c r="B11" s="248" t="s">
        <v>162</v>
      </c>
      <c r="C11" s="249"/>
      <c r="D11" s="250" t="s">
        <v>290</v>
      </c>
      <c r="E11" s="251">
        <f>G11+J11</f>
        <v>7895953.7801760994</v>
      </c>
      <c r="F11" s="251"/>
      <c r="G11" s="252">
        <f>'E-FactorSchedule LKM-3'!J28</f>
        <v>3163409.2817016654</v>
      </c>
      <c r="H11" s="256"/>
      <c r="I11" s="256"/>
      <c r="J11" s="252">
        <f>'E-FactorSchedule LKM-3'!J65</f>
        <v>4732544.498474434</v>
      </c>
      <c r="K11" s="254"/>
      <c r="N11" s="65"/>
      <c r="P11" s="65"/>
    </row>
    <row r="12" spans="2:16" x14ac:dyDescent="0.3">
      <c r="B12" s="248"/>
      <c r="C12" s="249"/>
      <c r="D12" s="238"/>
      <c r="E12" s="257"/>
      <c r="F12" s="257"/>
      <c r="G12" s="257"/>
      <c r="H12" s="256"/>
      <c r="I12" s="256"/>
      <c r="J12" s="257"/>
      <c r="K12" s="254"/>
    </row>
    <row r="13" spans="2:16" ht="16.2" x14ac:dyDescent="0.3">
      <c r="B13" s="248" t="s">
        <v>163</v>
      </c>
      <c r="C13" s="249"/>
      <c r="D13" s="250" t="s">
        <v>291</v>
      </c>
      <c r="E13" s="251">
        <f>G13+J13</f>
        <v>155512.28137052146</v>
      </c>
      <c r="F13" s="258"/>
      <c r="G13" s="252">
        <f>'I-Factor Sch LKM-5'!$E$27</f>
        <v>62404.548190856876</v>
      </c>
      <c r="H13" s="256"/>
      <c r="I13" s="256"/>
      <c r="J13" s="252">
        <f>'I-Factor Sch LKM-5'!$E$58</f>
        <v>93107.733179664574</v>
      </c>
      <c r="K13" s="254"/>
      <c r="N13" s="65"/>
      <c r="P13" s="65"/>
    </row>
    <row r="14" spans="2:16" x14ac:dyDescent="0.3">
      <c r="B14" s="255"/>
      <c r="C14" s="237"/>
      <c r="D14" s="238"/>
      <c r="E14" s="257"/>
      <c r="F14" s="257"/>
      <c r="G14" s="257"/>
      <c r="H14" s="259"/>
      <c r="I14" s="259"/>
      <c r="J14" s="257"/>
      <c r="K14" s="260"/>
    </row>
    <row r="15" spans="2:16" ht="16.2" x14ac:dyDescent="0.3">
      <c r="B15" s="248" t="s">
        <v>164</v>
      </c>
      <c r="C15" s="249"/>
      <c r="D15" s="261" t="s">
        <v>292</v>
      </c>
      <c r="E15" s="257">
        <f>G15+J15</f>
        <v>1295802.5200501415</v>
      </c>
      <c r="F15" s="257"/>
      <c r="G15" s="257">
        <f>(G9)-(G11+G13)</f>
        <v>513093.60274618259</v>
      </c>
      <c r="H15" s="259"/>
      <c r="I15" s="259"/>
      <c r="J15" s="257">
        <f>(J9)-(J11+J13)</f>
        <v>782708.91730395891</v>
      </c>
      <c r="K15" s="260"/>
    </row>
    <row r="16" spans="2:16" x14ac:dyDescent="0.3">
      <c r="B16" s="255"/>
      <c r="C16" s="237"/>
      <c r="D16" s="238"/>
      <c r="E16" s="238"/>
      <c r="F16" s="238"/>
      <c r="G16" s="238"/>
      <c r="H16" s="262"/>
      <c r="I16" s="262"/>
      <c r="J16" s="238"/>
      <c r="K16" s="260"/>
    </row>
    <row r="17" spans="2:16" ht="16.2" x14ac:dyDescent="0.3">
      <c r="B17" s="248" t="s">
        <v>165</v>
      </c>
      <c r="C17" s="249"/>
      <c r="D17" s="250" t="s">
        <v>293</v>
      </c>
      <c r="E17" s="250"/>
      <c r="F17" s="250"/>
      <c r="G17" s="263">
        <f>Customer!$CA$34/'Assumptions and Inputs'!$C$21</f>
        <v>5755278</v>
      </c>
      <c r="H17" s="262"/>
      <c r="I17" s="262"/>
      <c r="J17" s="263">
        <f>Customer!$CA$53/'Assumptions and Inputs'!$C$21</f>
        <v>5441898.799999998</v>
      </c>
      <c r="K17" s="260"/>
    </row>
    <row r="18" spans="2:16" x14ac:dyDescent="0.3">
      <c r="B18" s="255"/>
      <c r="C18" s="237"/>
      <c r="D18" s="238"/>
      <c r="E18" s="238"/>
      <c r="F18" s="238"/>
      <c r="G18" s="238"/>
      <c r="H18" s="238"/>
      <c r="I18" s="238"/>
      <c r="J18" s="238"/>
      <c r="K18" s="264"/>
    </row>
    <row r="19" spans="2:16" x14ac:dyDescent="0.3">
      <c r="B19" s="248" t="s">
        <v>166</v>
      </c>
      <c r="C19" s="265"/>
      <c r="D19" s="266" t="s">
        <v>294</v>
      </c>
      <c r="E19" s="266"/>
      <c r="F19" s="266"/>
      <c r="G19" s="267">
        <f>ROUND(G15/G17, 2)</f>
        <v>0.09</v>
      </c>
      <c r="H19" s="268" t="s">
        <v>167</v>
      </c>
      <c r="I19" s="269"/>
      <c r="J19" s="267">
        <f>ROUND(J15/J17, 2)</f>
        <v>0.14000000000000001</v>
      </c>
      <c r="K19" s="270" t="s">
        <v>167</v>
      </c>
      <c r="N19" s="63"/>
      <c r="P19" s="63"/>
    </row>
    <row r="20" spans="2:16" x14ac:dyDescent="0.3">
      <c r="B20" s="271"/>
      <c r="C20" s="272"/>
      <c r="D20" s="273"/>
      <c r="E20" s="273"/>
      <c r="F20" s="273"/>
      <c r="G20" s="274"/>
      <c r="H20" s="275"/>
      <c r="I20" s="275"/>
      <c r="J20" s="274"/>
      <c r="K20" s="276"/>
    </row>
    <row r="21" spans="2:16" x14ac:dyDescent="0.3"/>
    <row r="22" spans="2:16" ht="15" hidden="1" x14ac:dyDescent="0.3">
      <c r="B22" s="58" t="s">
        <v>168</v>
      </c>
      <c r="C22" s="59" t="s">
        <v>169</v>
      </c>
      <c r="D22" s="58" t="s">
        <v>170</v>
      </c>
      <c r="H22" s="60"/>
    </row>
    <row r="23" spans="2:16" ht="15" hidden="1" x14ac:dyDescent="0.3">
      <c r="B23" s="58"/>
      <c r="C23" s="59" t="s">
        <v>171</v>
      </c>
      <c r="D23" s="58" t="s">
        <v>172</v>
      </c>
    </row>
    <row r="24" spans="2:16" ht="15" hidden="1" x14ac:dyDescent="0.3">
      <c r="B24" s="58"/>
      <c r="C24" s="59" t="s">
        <v>173</v>
      </c>
      <c r="D24" s="58" t="str">
        <f>"Simple Annual Interest on Net Over/Under Collection for the Most Recent Period.  Refer to Tables 4-W and 4-WW for further information.  Interest rate of "&amp;FIXED('Assumptions and Inputs'!C56*100,2,TRUE)&amp;"% as of "&amp;TEXT('Assumptions and Inputs'!$C$57,"MMMM DD, YYYY")&amp;"."</f>
        <v>Simple Annual Interest on Net Over/Under Collection for the Most Recent Period.  Refer to Tables 4-W and 4-WW for further information.  Interest rate of 4.66% as of December 01, 2022.</v>
      </c>
    </row>
    <row r="25" spans="2:16" ht="15" hidden="1" x14ac:dyDescent="0.3">
      <c r="B25" s="58"/>
      <c r="C25" s="59" t="s">
        <v>174</v>
      </c>
      <c r="D25" s="58" t="s">
        <v>175</v>
      </c>
    </row>
    <row r="26" spans="2:16" ht="15" hidden="1" x14ac:dyDescent="0.3">
      <c r="B26" s="58"/>
      <c r="C26" s="59" t="s">
        <v>176</v>
      </c>
      <c r="D26" s="58" t="str">
        <f>"Estimated water and sewer sales for Non-TAP Customers for the Next Rate Period based upon the average monthly Non-TAP sales volume for the 12 month period of December 2021 to"</f>
        <v>Estimated water and sewer sales for Non-TAP Customers for the Next Rate Period based upon the average monthly Non-TAP sales volume for the 12 month period of December 2021 to</v>
      </c>
    </row>
    <row r="27" spans="2:16" ht="15" hidden="1" x14ac:dyDescent="0.3">
      <c r="B27" s="58"/>
      <c r="C27" s="59"/>
      <c r="D27" s="58" t="str">
        <f>"November 2022.  Next Rate Period is assumed to be "&amp;TEXT('Assumptions and Inputs'!C65,"MMMM DD, YYYY")&amp;" to "&amp;TEXT('Assumptions and Inputs'!C67,"MMMM DD, YYYY")&amp;"."</f>
        <v>November 2022.  Next Rate Period is assumed to be September 01, 2023 to August 31, 2024.</v>
      </c>
    </row>
    <row r="28" spans="2:16" ht="15" hidden="1" x14ac:dyDescent="0.3">
      <c r="B28" s="58"/>
      <c r="C28" s="59" t="s">
        <v>177</v>
      </c>
      <c r="D28" s="58" t="s">
        <v>178</v>
      </c>
      <c r="G28" s="63"/>
      <c r="J28" s="63"/>
    </row>
    <row r="29" spans="2:16" x14ac:dyDescent="0.3">
      <c r="B29" s="58"/>
      <c r="C29" s="61"/>
      <c r="D29" s="58"/>
      <c r="G29" s="204"/>
      <c r="H29" s="63"/>
      <c r="I29" s="63"/>
      <c r="J29" s="204"/>
      <c r="K29" s="62"/>
    </row>
    <row r="30" spans="2:16" x14ac:dyDescent="0.3">
      <c r="D30" s="205"/>
      <c r="E30" s="64"/>
      <c r="G30" s="197"/>
      <c r="H30" s="65"/>
      <c r="I30" s="65"/>
      <c r="J30" s="197"/>
    </row>
    <row r="31" spans="2:16" x14ac:dyDescent="0.3">
      <c r="D31" s="145"/>
      <c r="E31" s="64"/>
      <c r="G31" s="197"/>
      <c r="H31" s="197"/>
      <c r="I31" s="197"/>
      <c r="J31" s="197"/>
    </row>
    <row r="32" spans="2:16" x14ac:dyDescent="0.3">
      <c r="D32" s="205"/>
      <c r="G32" s="197"/>
      <c r="H32" s="65"/>
      <c r="I32" s="65"/>
      <c r="J32" s="197"/>
    </row>
  </sheetData>
  <mergeCells count="5">
    <mergeCell ref="G6:H6"/>
    <mergeCell ref="G8:H8"/>
    <mergeCell ref="J6:K6"/>
    <mergeCell ref="J8:K8"/>
    <mergeCell ref="B2:K2"/>
  </mergeCells>
  <printOptions horizontalCentered="1"/>
  <pageMargins left="0.7" right="0.7" top="1.5" bottom="0.75" header="0.3" footer="0.3"/>
  <pageSetup scale="79" orientation="landscape" r:id="rId1"/>
  <headerFooter>
    <oddHeader>&amp;R&amp;"Gisha,Regular"&amp;12Schedule LKM-1</oddHeader>
  </headerFooter>
  <ignoredErrors>
    <ignoredError sqref="B9 B11 B13 B15 B17 B19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-0.249977111117893"/>
    <pageSetUpPr fitToPage="1"/>
  </sheetPr>
  <dimension ref="A1:O42"/>
  <sheetViews>
    <sheetView showGridLines="0" zoomScaleNormal="100" workbookViewId="0">
      <selection activeCell="H18" sqref="H18"/>
    </sheetView>
  </sheetViews>
  <sheetFormatPr defaultColWidth="0" defaultRowHeight="14.4" zeroHeight="1" x14ac:dyDescent="0.3"/>
  <cols>
    <col min="1" max="1" width="9.109375" style="18" customWidth="1"/>
    <col min="2" max="2" width="6.77734375" style="18" customWidth="1"/>
    <col min="3" max="3" width="36" style="18" customWidth="1"/>
    <col min="4" max="4" width="8.88671875" style="18" customWidth="1"/>
    <col min="5" max="5" width="18" style="18" customWidth="1"/>
    <col min="6" max="6" width="5.6640625" style="18" customWidth="1"/>
    <col min="7" max="8" width="18" style="18" customWidth="1"/>
    <col min="9" max="10" width="10.6640625" style="18" hidden="1" customWidth="1"/>
    <col min="11" max="11" width="10.6640625" style="18" customWidth="1"/>
    <col min="12" max="15" width="9.109375" style="18" customWidth="1"/>
    <col min="16" max="16384" width="9.109375" style="18" hidden="1"/>
  </cols>
  <sheetData>
    <row r="1" spans="2:11" x14ac:dyDescent="0.3"/>
    <row r="2" spans="2:11" x14ac:dyDescent="0.3">
      <c r="B2" s="278" t="s">
        <v>31</v>
      </c>
      <c r="C2" s="278"/>
      <c r="D2" s="278"/>
      <c r="E2" s="278"/>
      <c r="F2" s="278"/>
      <c r="G2" s="278"/>
      <c r="H2" s="278"/>
      <c r="I2" s="282"/>
      <c r="J2" s="282"/>
      <c r="K2" s="282"/>
    </row>
    <row r="3" spans="2:11" x14ac:dyDescent="0.3">
      <c r="B3" s="278" t="s">
        <v>297</v>
      </c>
      <c r="C3" s="278"/>
      <c r="D3" s="278"/>
      <c r="E3" s="278"/>
      <c r="F3" s="278"/>
      <c r="G3" s="278"/>
      <c r="H3" s="278"/>
      <c r="I3" s="282"/>
      <c r="J3" s="282"/>
      <c r="K3" s="282"/>
    </row>
    <row r="4" spans="2:11" x14ac:dyDescent="0.3">
      <c r="B4" s="238"/>
      <c r="C4" s="278"/>
      <c r="D4" s="278"/>
      <c r="E4" s="278"/>
      <c r="F4" s="278"/>
      <c r="G4" s="278"/>
      <c r="H4" s="278"/>
      <c r="I4" s="238"/>
      <c r="J4" s="238"/>
      <c r="K4" s="238"/>
    </row>
    <row r="5" spans="2:11" ht="15.6" x14ac:dyDescent="0.4">
      <c r="B5" s="283" t="s">
        <v>179</v>
      </c>
      <c r="C5" s="284" t="str">
        <f>TEXT('Assumptions and Inputs'!C65,"MMMM DD, YYYY")&amp;" through "&amp;TEXT('Assumptions and Inputs'!C67,"MMMM DD, YYYY")</f>
        <v>September 01, 2023 through August 31, 2024</v>
      </c>
      <c r="D5" s="232"/>
      <c r="E5" s="232"/>
      <c r="F5" s="232"/>
      <c r="G5" s="297" t="s">
        <v>158</v>
      </c>
      <c r="H5" s="297" t="s">
        <v>159</v>
      </c>
      <c r="I5" s="232"/>
      <c r="J5" s="232"/>
      <c r="K5" s="285"/>
    </row>
    <row r="6" spans="2:11" x14ac:dyDescent="0.3">
      <c r="B6" s="236"/>
      <c r="C6" s="286"/>
      <c r="D6" s="238"/>
      <c r="E6" s="238"/>
      <c r="F6" s="238"/>
      <c r="G6" s="287">
        <f>'Assumptions and Inputs'!$C$40</f>
        <v>0.4</v>
      </c>
      <c r="H6" s="287">
        <f>'Assumptions and Inputs'!$C$42</f>
        <v>0.6</v>
      </c>
      <c r="I6" s="238"/>
      <c r="J6" s="238"/>
      <c r="K6" s="288"/>
    </row>
    <row r="7" spans="2:11" ht="5.0999999999999996" customHeight="1" x14ac:dyDescent="0.3">
      <c r="B7" s="236"/>
      <c r="C7" s="286"/>
      <c r="D7" s="238"/>
      <c r="E7" s="238"/>
      <c r="F7" s="238"/>
      <c r="G7" s="289"/>
      <c r="H7" s="289"/>
      <c r="I7" s="238"/>
      <c r="J7" s="238"/>
      <c r="K7" s="288"/>
    </row>
    <row r="8" spans="2:11" ht="16.2" x14ac:dyDescent="0.3">
      <c r="B8" s="248" t="s">
        <v>161</v>
      </c>
      <c r="C8" s="290" t="s">
        <v>295</v>
      </c>
      <c r="D8" s="238"/>
      <c r="E8" s="291">
        <f>'Assumptions and Inputs'!C15</f>
        <v>9347268.5815967619</v>
      </c>
      <c r="F8" s="291"/>
      <c r="G8" s="291">
        <f>E8*$G$6</f>
        <v>3738907.4326387048</v>
      </c>
      <c r="H8" s="291">
        <f>E8*$H$6</f>
        <v>5608361.1489580572</v>
      </c>
      <c r="I8" s="292"/>
      <c r="J8" s="238"/>
      <c r="K8" s="264"/>
    </row>
    <row r="9" spans="2:11" x14ac:dyDescent="0.3">
      <c r="B9" s="293"/>
      <c r="C9" s="294"/>
      <c r="D9" s="273"/>
      <c r="E9" s="295"/>
      <c r="F9" s="273"/>
      <c r="G9" s="273"/>
      <c r="H9" s="273"/>
      <c r="I9" s="273"/>
      <c r="J9" s="273"/>
      <c r="K9" s="296"/>
    </row>
    <row r="10" spans="2:11" hidden="1" x14ac:dyDescent="0.3">
      <c r="B10" s="117" t="s">
        <v>168</v>
      </c>
      <c r="C10" s="117"/>
      <c r="D10" s="118"/>
      <c r="E10" s="118"/>
      <c r="F10" s="118"/>
      <c r="G10" s="118"/>
      <c r="H10" s="118"/>
      <c r="I10" s="118"/>
      <c r="J10" s="118"/>
      <c r="K10" s="118"/>
    </row>
    <row r="11" spans="2:11" ht="15" hidden="1" x14ac:dyDescent="0.3">
      <c r="B11" s="59" t="s">
        <v>169</v>
      </c>
      <c r="C11" s="119" t="str">
        <f>"Projected TAP Billing Loss based upon Raftelis' TAP Program Projections. "</f>
        <v xml:space="preserve">Projected TAP Billing Loss based upon Raftelis' TAP Program Projections. </v>
      </c>
    </row>
    <row r="12" spans="2:11" ht="15" hidden="1" x14ac:dyDescent="0.3">
      <c r="B12" s="59" t="s">
        <v>171</v>
      </c>
      <c r="C12" s="119" t="str">
        <f>"Allocation between Water and Wastewater per proposed PWD Regulations - Rates and Charges Effective "&amp;TEXT('Assumptions and Inputs'!C65,"MMMM DD, YYYY")&amp;" Section 10.1(a)(i) and Section 10.1(a)(ii)."</f>
        <v>Allocation between Water and Wastewater per proposed PWD Regulations - Rates and Charges Effective September 01, 2023 Section 10.1(a)(i) and Section 10.1(a)(ii).</v>
      </c>
    </row>
    <row r="13" spans="2:11" x14ac:dyDescent="0.3">
      <c r="C13" s="58"/>
    </row>
    <row r="14" spans="2:11" x14ac:dyDescent="0.3"/>
    <row r="15" spans="2:11" x14ac:dyDescent="0.3">
      <c r="E15" s="145"/>
    </row>
    <row r="16" spans="2:11" x14ac:dyDescent="0.3"/>
    <row r="17" spans="3:3" x14ac:dyDescent="0.3"/>
    <row r="18" spans="3:3" x14ac:dyDescent="0.3"/>
    <row r="19" spans="3:3" x14ac:dyDescent="0.3">
      <c r="C19" s="198"/>
    </row>
    <row r="20" spans="3:3" x14ac:dyDescent="0.3">
      <c r="C20" s="198"/>
    </row>
    <row r="21" spans="3:3" x14ac:dyDescent="0.3"/>
    <row r="22" spans="3:3" x14ac:dyDescent="0.3"/>
    <row r="23" spans="3:3" x14ac:dyDescent="0.3"/>
    <row r="24" spans="3:3" x14ac:dyDescent="0.3"/>
    <row r="25" spans="3:3" x14ac:dyDescent="0.3"/>
    <row r="26" spans="3:3" x14ac:dyDescent="0.3"/>
    <row r="27" spans="3:3" x14ac:dyDescent="0.3"/>
    <row r="28" spans="3:3" x14ac:dyDescent="0.3"/>
    <row r="29" spans="3:3" x14ac:dyDescent="0.3"/>
    <row r="30" spans="3:3" x14ac:dyDescent="0.3"/>
    <row r="33" s="18" customFormat="1" hidden="1" x14ac:dyDescent="0.3"/>
    <row r="34" s="18" customFormat="1" hidden="1" x14ac:dyDescent="0.3"/>
    <row r="35" s="18" customFormat="1" hidden="1" x14ac:dyDescent="0.3"/>
    <row r="36" s="18" customFormat="1" hidden="1" x14ac:dyDescent="0.3"/>
    <row r="37" s="18" customFormat="1" hidden="1" x14ac:dyDescent="0.3"/>
    <row r="38" s="18" customFormat="1" hidden="1" x14ac:dyDescent="0.3"/>
    <row r="39" s="18" customFormat="1" hidden="1" x14ac:dyDescent="0.3"/>
    <row r="40" s="18" customFormat="1" hidden="1" x14ac:dyDescent="0.3"/>
    <row r="41" s="18" customFormat="1" hidden="1" x14ac:dyDescent="0.3"/>
    <row r="42" s="18" customFormat="1" hidden="1" x14ac:dyDescent="0.3"/>
  </sheetData>
  <printOptions horizontalCentered="1"/>
  <pageMargins left="0.7" right="0.7" top="1.5" bottom="0.75" header="0.3" footer="0.3"/>
  <pageSetup orientation="landscape" r:id="rId1"/>
  <headerFooter>
    <oddHeader xml:space="preserve">&amp;R&amp;"Gisha,Regular"Schedule LKM-2
</oddHeader>
  </headerFooter>
  <ignoredErrors>
    <ignoredError sqref="B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-0.249977111117893"/>
    <pageSetUpPr fitToPage="1"/>
  </sheetPr>
  <dimension ref="A1:P92"/>
  <sheetViews>
    <sheetView showGridLines="0" topLeftCell="C1" zoomScale="107" zoomScaleNormal="107" zoomScaleSheetLayoutView="90" workbookViewId="0">
      <selection activeCell="G26" sqref="G26"/>
    </sheetView>
  </sheetViews>
  <sheetFormatPr defaultColWidth="0" defaultRowHeight="14.4" zeroHeight="1" x14ac:dyDescent="0.3"/>
  <cols>
    <col min="1" max="1" width="5.6640625" style="18" customWidth="1"/>
    <col min="2" max="2" width="9.44140625" style="18" customWidth="1"/>
    <col min="3" max="4" width="15.6640625" style="18" customWidth="1"/>
    <col min="5" max="8" width="20.6640625" style="18" customWidth="1"/>
    <col min="9" max="9" width="25.6640625" style="18" customWidth="1"/>
    <col min="10" max="10" width="20.6640625" style="18" customWidth="1"/>
    <col min="11" max="11" width="9.109375" style="18" customWidth="1"/>
    <col min="12" max="12" width="11.5546875" style="18" customWidth="1"/>
    <col min="13" max="13" width="15.44140625" style="18" customWidth="1"/>
    <col min="14" max="14" width="15.5546875" style="18" customWidth="1"/>
    <col min="15" max="15" width="17.5546875" style="18" customWidth="1"/>
    <col min="16" max="16" width="15.5546875" style="18" customWidth="1"/>
    <col min="17" max="16384" width="9.109375" style="18" hidden="1"/>
  </cols>
  <sheetData>
    <row r="1" spans="1:14" x14ac:dyDescent="0.3"/>
    <row r="2" spans="1:14" x14ac:dyDescent="0.3">
      <c r="B2" s="279" t="s">
        <v>31</v>
      </c>
      <c r="C2" s="280"/>
      <c r="D2" s="280"/>
      <c r="E2" s="280"/>
      <c r="F2" s="280"/>
      <c r="G2" s="280"/>
      <c r="H2" s="280"/>
      <c r="I2" s="280"/>
      <c r="J2" s="280"/>
    </row>
    <row r="3" spans="1:14" x14ac:dyDescent="0.3">
      <c r="B3" s="279" t="s">
        <v>298</v>
      </c>
      <c r="C3" s="280"/>
      <c r="D3" s="280"/>
      <c r="E3" s="280"/>
      <c r="F3" s="280"/>
      <c r="G3" s="280"/>
      <c r="H3" s="280"/>
      <c r="I3" s="280"/>
      <c r="J3" s="280"/>
    </row>
    <row r="4" spans="1:14" ht="5.0999999999999996" customHeight="1" x14ac:dyDescent="0.3"/>
    <row r="5" spans="1:14" x14ac:dyDescent="0.3">
      <c r="A5" s="298"/>
      <c r="B5" s="313" t="s">
        <v>180</v>
      </c>
      <c r="C5" s="307" t="s">
        <v>181</v>
      </c>
      <c r="D5" s="307" t="s">
        <v>182</v>
      </c>
      <c r="E5" s="307" t="s">
        <v>183</v>
      </c>
      <c r="F5" s="307" t="s">
        <v>184</v>
      </c>
      <c r="G5" s="307" t="s">
        <v>185</v>
      </c>
      <c r="H5" s="307" t="s">
        <v>186</v>
      </c>
      <c r="I5" s="307" t="s">
        <v>187</v>
      </c>
      <c r="J5" s="307" t="s">
        <v>188</v>
      </c>
    </row>
    <row r="6" spans="1:14" x14ac:dyDescent="0.3">
      <c r="A6" s="298"/>
      <c r="B6" s="314" t="s">
        <v>179</v>
      </c>
      <c r="C6" s="308" t="s">
        <v>189</v>
      </c>
      <c r="D6" s="308" t="s">
        <v>190</v>
      </c>
      <c r="E6" s="308" t="s">
        <v>191</v>
      </c>
      <c r="F6" s="308" t="s">
        <v>189</v>
      </c>
      <c r="G6" s="308" t="s">
        <v>190</v>
      </c>
      <c r="H6" s="308" t="s">
        <v>192</v>
      </c>
      <c r="I6" s="308" t="s">
        <v>193</v>
      </c>
      <c r="J6" s="308" t="s">
        <v>194</v>
      </c>
    </row>
    <row r="7" spans="1:14" x14ac:dyDescent="0.3">
      <c r="A7" s="298"/>
      <c r="B7" s="314"/>
      <c r="C7" s="308" t="s">
        <v>195</v>
      </c>
      <c r="D7" s="308" t="s">
        <v>196</v>
      </c>
      <c r="E7" s="308" t="s">
        <v>197</v>
      </c>
      <c r="F7" s="308" t="s">
        <v>195</v>
      </c>
      <c r="G7" s="308" t="s">
        <v>196</v>
      </c>
      <c r="H7" s="308"/>
      <c r="I7" s="308" t="s">
        <v>198</v>
      </c>
      <c r="J7" s="308"/>
    </row>
    <row r="8" spans="1:14" x14ac:dyDescent="0.3">
      <c r="A8" s="298"/>
      <c r="B8" s="314"/>
      <c r="C8" s="319"/>
      <c r="D8" s="319"/>
      <c r="E8" s="319">
        <f>'Assumptions and Inputs'!$C$32</f>
        <v>1.03</v>
      </c>
      <c r="F8" s="319">
        <f>'Assumptions and Inputs'!$C$38</f>
        <v>0.97319999999999995</v>
      </c>
      <c r="G8" s="319"/>
      <c r="H8" s="319">
        <f>'Assumptions and Inputs'!$C$32</f>
        <v>1.03</v>
      </c>
      <c r="I8" s="319">
        <f>'Assumptions and Inputs'!$C$38</f>
        <v>0.97319999999999995</v>
      </c>
      <c r="J8" s="324"/>
    </row>
    <row r="9" spans="1:14" x14ac:dyDescent="0.3">
      <c r="A9" s="298"/>
      <c r="B9" s="314"/>
      <c r="C9" s="320" t="s">
        <v>161</v>
      </c>
      <c r="D9" s="320" t="s">
        <v>162</v>
      </c>
      <c r="E9" s="320" t="str">
        <f>"(3) = (2) * $ "&amp;FIXED(E8,3,)&amp;"/Mcf"</f>
        <v>(3) = (2) * $ 1.030/Mcf</v>
      </c>
      <c r="F9" s="320" t="str">
        <f>"(4) = [(1) - (3)]* "&amp;FIXED(F8,4,)&amp;""</f>
        <v>(4) = [(1) - (3)]* 0.9732</v>
      </c>
      <c r="G9" s="320" t="s">
        <v>165</v>
      </c>
      <c r="H9" s="325" t="str">
        <f>"(6) = (5) * $ "&amp;FIXED(H8,3,)&amp;"/Mcf"</f>
        <v>(6) = (5) * $ 1.030/Mcf</v>
      </c>
      <c r="I9" s="325" t="str">
        <f>"(7) = (6) * "&amp;FIXED(F8,4,)&amp;""</f>
        <v>(7) = (6) * 0.9732</v>
      </c>
      <c r="J9" s="325" t="s">
        <v>199</v>
      </c>
    </row>
    <row r="10" spans="1:14" x14ac:dyDescent="0.3">
      <c r="A10" s="298"/>
      <c r="B10" s="315"/>
      <c r="C10" s="321"/>
      <c r="D10" s="321"/>
      <c r="E10" s="321"/>
      <c r="F10" s="321"/>
      <c r="G10" s="321"/>
      <c r="H10" s="321"/>
      <c r="I10" s="322" t="s">
        <v>200</v>
      </c>
      <c r="J10" s="302">
        <f>'Assumptions and Inputs'!$C$79+'Assumptions and Inputs'!$C$83</f>
        <v>-80139.603089245022</v>
      </c>
      <c r="K10" s="53"/>
    </row>
    <row r="11" spans="1:14" x14ac:dyDescent="0.3">
      <c r="A11" s="299" t="s">
        <v>201</v>
      </c>
      <c r="B11" s="310">
        <v>44805</v>
      </c>
      <c r="C11" s="316">
        <f>Customer!AZ$11*'Assumptions and Inputs'!$C$40</f>
        <v>313912.25599999999</v>
      </c>
      <c r="D11" s="305">
        <f>Customer!AZ$29/'Assumptions and Inputs'!$C$21</f>
        <v>11152.5</v>
      </c>
      <c r="E11" s="304">
        <f>ROUND($E$8*D11, 0)</f>
        <v>11487</v>
      </c>
      <c r="F11" s="304">
        <f>(C11-E11)*$F$8</f>
        <v>294320.25913919997</v>
      </c>
      <c r="G11" s="305">
        <f>Customer!AZ$34/'Assumptions and Inputs'!$C$21</f>
        <v>587289.9</v>
      </c>
      <c r="H11" s="306">
        <f>ROUND($H$8*G11, 0)</f>
        <v>604909</v>
      </c>
      <c r="I11" s="306">
        <f>H11*$I$8</f>
        <v>588697.4388</v>
      </c>
      <c r="J11" s="304">
        <f>I11-F11</f>
        <v>294377.17966080003</v>
      </c>
      <c r="L11" s="104"/>
      <c r="M11" s="106"/>
      <c r="N11" s="106"/>
    </row>
    <row r="12" spans="1:14" x14ac:dyDescent="0.3">
      <c r="A12" s="299" t="s">
        <v>201</v>
      </c>
      <c r="B12" s="303">
        <v>44835</v>
      </c>
      <c r="C12" s="306">
        <f>Customer!BA$11*'Assumptions and Inputs'!$C$40</f>
        <v>303974.10000000003</v>
      </c>
      <c r="D12" s="305">
        <f>Customer!BA$29/'Assumptions and Inputs'!$C$21</f>
        <v>10403.299999999999</v>
      </c>
      <c r="E12" s="306">
        <f t="shared" ref="E12:E20" si="0">ROUND($E$8*D12, 0)</f>
        <v>10715</v>
      </c>
      <c r="F12" s="306">
        <f t="shared" ref="F12:F20" si="1">(C12-E12)*$F$8</f>
        <v>285399.75612000003</v>
      </c>
      <c r="G12" s="305">
        <f>Customer!BA$34/'Assumptions and Inputs'!$C$21</f>
        <v>490408</v>
      </c>
      <c r="H12" s="306">
        <f t="shared" ref="H12:H21" si="2">ROUND($H$8*G12, 0)</f>
        <v>505120</v>
      </c>
      <c r="I12" s="306">
        <f t="shared" ref="I12:I20" si="3">H12*$I$8</f>
        <v>491582.78399999999</v>
      </c>
      <c r="J12" s="304">
        <f t="shared" ref="J12:J20" si="4">I12-F12</f>
        <v>206183.02787999995</v>
      </c>
      <c r="L12" s="104"/>
      <c r="M12" s="106"/>
      <c r="N12" s="106"/>
    </row>
    <row r="13" spans="1:14" x14ac:dyDescent="0.3">
      <c r="A13" s="299" t="s">
        <v>201</v>
      </c>
      <c r="B13" s="303">
        <v>44866</v>
      </c>
      <c r="C13" s="304">
        <f>Customer!BB$11*'Assumptions and Inputs'!$C$40</f>
        <v>294355.52400000003</v>
      </c>
      <c r="D13" s="305">
        <f>Customer!BB$29/'Assumptions and Inputs'!$C$21</f>
        <v>10099.5</v>
      </c>
      <c r="E13" s="304">
        <f t="shared" si="0"/>
        <v>10402</v>
      </c>
      <c r="F13" s="304">
        <f t="shared" si="1"/>
        <v>276343.56955680001</v>
      </c>
      <c r="G13" s="305">
        <f>Customer!BB$34/'Assumptions and Inputs'!$C$21</f>
        <v>451893.6</v>
      </c>
      <c r="H13" s="306">
        <f t="shared" si="2"/>
        <v>465450</v>
      </c>
      <c r="I13" s="306">
        <f t="shared" si="3"/>
        <v>452975.94</v>
      </c>
      <c r="J13" s="304">
        <f t="shared" si="4"/>
        <v>176632.37044319999</v>
      </c>
      <c r="M13" s="106"/>
      <c r="N13" s="106"/>
    </row>
    <row r="14" spans="1:14" x14ac:dyDescent="0.3">
      <c r="A14" s="299" t="s">
        <v>201</v>
      </c>
      <c r="B14" s="303">
        <v>44896</v>
      </c>
      <c r="C14" s="306">
        <f>Customer!BC$11*'Assumptions and Inputs'!$C$40</f>
        <v>314105.76</v>
      </c>
      <c r="D14" s="305">
        <f>Customer!BC$29/'Assumptions and Inputs'!$C$21</f>
        <v>10758.4</v>
      </c>
      <c r="E14" s="306">
        <f t="shared" si="0"/>
        <v>11081</v>
      </c>
      <c r="F14" s="306">
        <f t="shared" si="1"/>
        <v>294903.69643199997</v>
      </c>
      <c r="G14" s="305">
        <f>Customer!BC$34/'Assumptions and Inputs'!$C$21</f>
        <v>479606.5</v>
      </c>
      <c r="H14" s="306">
        <f t="shared" si="2"/>
        <v>493995</v>
      </c>
      <c r="I14" s="306">
        <f t="shared" si="3"/>
        <v>480755.93399999995</v>
      </c>
      <c r="J14" s="304">
        <f t="shared" si="4"/>
        <v>185852.23756799998</v>
      </c>
      <c r="M14" s="106"/>
      <c r="N14" s="106"/>
    </row>
    <row r="15" spans="1:14" x14ac:dyDescent="0.3">
      <c r="A15" s="299" t="s">
        <v>202</v>
      </c>
      <c r="B15" s="303">
        <v>44927</v>
      </c>
      <c r="C15" s="304">
        <f>Customer!BD$11*'Assumptions and Inputs'!$C$40</f>
        <v>352603.52</v>
      </c>
      <c r="D15" s="305">
        <f>Customer!BD$29/'Assumptions and Inputs'!$C$21</f>
        <v>12140.9</v>
      </c>
      <c r="E15" s="304">
        <f t="shared" si="0"/>
        <v>12505</v>
      </c>
      <c r="F15" s="304">
        <f t="shared" si="1"/>
        <v>330983.87966400001</v>
      </c>
      <c r="G15" s="305">
        <f>Customer!BD$34/'Assumptions and Inputs'!$C$21</f>
        <v>479606.5</v>
      </c>
      <c r="H15" s="306">
        <f t="shared" si="2"/>
        <v>493995</v>
      </c>
      <c r="I15" s="306">
        <f t="shared" si="3"/>
        <v>480755.93399999995</v>
      </c>
      <c r="J15" s="304">
        <f t="shared" si="4"/>
        <v>149772.05433599994</v>
      </c>
      <c r="M15" s="106"/>
      <c r="N15" s="106"/>
    </row>
    <row r="16" spans="1:14" x14ac:dyDescent="0.3">
      <c r="A16" s="299" t="s">
        <v>202</v>
      </c>
      <c r="B16" s="303">
        <v>44958</v>
      </c>
      <c r="C16" s="306">
        <f>Customer!BE$11*'Assumptions and Inputs'!$C$40</f>
        <v>303166.14877691946</v>
      </c>
      <c r="D16" s="305">
        <f>Customer!BE$29/'Assumptions and Inputs'!$C$21</f>
        <v>11072.705195340679</v>
      </c>
      <c r="E16" s="306">
        <f t="shared" si="0"/>
        <v>11405</v>
      </c>
      <c r="F16" s="306">
        <f t="shared" si="1"/>
        <v>283941.94998969801</v>
      </c>
      <c r="G16" s="305">
        <f>Customer!BE$34/'Assumptions and Inputs'!$C$21</f>
        <v>479606.5</v>
      </c>
      <c r="H16" s="306">
        <f t="shared" si="2"/>
        <v>493995</v>
      </c>
      <c r="I16" s="306">
        <f t="shared" si="3"/>
        <v>480755.93399999995</v>
      </c>
      <c r="J16" s="304">
        <f t="shared" si="4"/>
        <v>196813.98401030194</v>
      </c>
      <c r="M16" s="106"/>
      <c r="N16" s="106"/>
    </row>
    <row r="17" spans="1:16" x14ac:dyDescent="0.3">
      <c r="A17" s="299" t="s">
        <v>202</v>
      </c>
      <c r="B17" s="303">
        <v>44986</v>
      </c>
      <c r="C17" s="304">
        <f>Customer!BF$11*'Assumptions and Inputs'!$C$40</f>
        <v>303829.77906666428</v>
      </c>
      <c r="D17" s="305">
        <f>Customer!BF$29/'Assumptions and Inputs'!$C$21</f>
        <v>11096.943332041254</v>
      </c>
      <c r="E17" s="304">
        <f t="shared" si="0"/>
        <v>11430</v>
      </c>
      <c r="F17" s="304">
        <f t="shared" si="1"/>
        <v>284563.46498767764</v>
      </c>
      <c r="G17" s="305">
        <f>Customer!BF$34/'Assumptions and Inputs'!$C$21</f>
        <v>479606.5</v>
      </c>
      <c r="H17" s="306">
        <f t="shared" si="2"/>
        <v>493995</v>
      </c>
      <c r="I17" s="306">
        <f t="shared" si="3"/>
        <v>480755.93399999995</v>
      </c>
      <c r="J17" s="304">
        <f t="shared" si="4"/>
        <v>196192.46901232231</v>
      </c>
      <c r="M17" s="106"/>
      <c r="N17" s="106"/>
    </row>
    <row r="18" spans="1:16" x14ac:dyDescent="0.3">
      <c r="A18" s="299" t="s">
        <v>202</v>
      </c>
      <c r="B18" s="303">
        <v>45017</v>
      </c>
      <c r="C18" s="306">
        <f>Customer!BG$11*'Assumptions and Inputs'!$C$40</f>
        <v>304494.86204221594</v>
      </c>
      <c r="D18" s="305">
        <f>Customer!BG$29/'Assumptions and Inputs'!$C$21</f>
        <v>11121.234525990294</v>
      </c>
      <c r="E18" s="306">
        <f t="shared" si="0"/>
        <v>11455</v>
      </c>
      <c r="F18" s="306">
        <f t="shared" si="1"/>
        <v>285186.39373948454</v>
      </c>
      <c r="G18" s="305">
        <f>Customer!BG$34/'Assumptions and Inputs'!$C$21</f>
        <v>479606.5</v>
      </c>
      <c r="H18" s="306">
        <f t="shared" si="2"/>
        <v>493995</v>
      </c>
      <c r="I18" s="306">
        <f t="shared" si="3"/>
        <v>480755.93399999995</v>
      </c>
      <c r="J18" s="304">
        <f t="shared" si="4"/>
        <v>195569.54026051541</v>
      </c>
      <c r="M18" s="106"/>
      <c r="N18" s="106"/>
    </row>
    <row r="19" spans="1:16" x14ac:dyDescent="0.3">
      <c r="A19" s="299" t="s">
        <v>202</v>
      </c>
      <c r="B19" s="303">
        <v>45047</v>
      </c>
      <c r="C19" s="304">
        <f>Customer!BH$11*'Assumptions and Inputs'!$C$40</f>
        <v>305161.4008835018</v>
      </c>
      <c r="D19" s="305">
        <f>Customer!BH$29/'Assumptions and Inputs'!$C$21</f>
        <v>11145.578893330043</v>
      </c>
      <c r="E19" s="304">
        <f t="shared" si="0"/>
        <v>11480</v>
      </c>
      <c r="F19" s="304">
        <f t="shared" si="1"/>
        <v>285810.73933982395</v>
      </c>
      <c r="G19" s="305">
        <f>Customer!BH$34/'Assumptions and Inputs'!$C$21</f>
        <v>479606.5</v>
      </c>
      <c r="H19" s="306">
        <f t="shared" si="2"/>
        <v>493995</v>
      </c>
      <c r="I19" s="306">
        <f t="shared" si="3"/>
        <v>480755.93399999995</v>
      </c>
      <c r="J19" s="304">
        <f t="shared" si="4"/>
        <v>194945.194660176</v>
      </c>
      <c r="M19" s="106"/>
      <c r="N19" s="106"/>
    </row>
    <row r="20" spans="1:16" x14ac:dyDescent="0.3">
      <c r="A20" s="299" t="s">
        <v>202</v>
      </c>
      <c r="B20" s="303">
        <v>45078</v>
      </c>
      <c r="C20" s="306">
        <f>Customer!BI$11*'Assumptions and Inputs'!$C$40</f>
        <v>305829.39877740998</v>
      </c>
      <c r="D20" s="305">
        <f>Customer!BI$29/'Assumptions and Inputs'!$C$21</f>
        <v>11169.976550456982</v>
      </c>
      <c r="E20" s="306">
        <f t="shared" si="0"/>
        <v>11505</v>
      </c>
      <c r="F20" s="306">
        <f t="shared" si="1"/>
        <v>286436.50489017536</v>
      </c>
      <c r="G20" s="305">
        <f>Customer!BI$34/'Assumptions and Inputs'!$C$21</f>
        <v>479606.5</v>
      </c>
      <c r="H20" s="306">
        <f t="shared" si="2"/>
        <v>493995</v>
      </c>
      <c r="I20" s="306">
        <f t="shared" si="3"/>
        <v>480755.93399999995</v>
      </c>
      <c r="J20" s="304">
        <f t="shared" si="4"/>
        <v>194319.42910982459</v>
      </c>
      <c r="M20" s="106"/>
      <c r="N20" s="106"/>
    </row>
    <row r="21" spans="1:16" x14ac:dyDescent="0.3">
      <c r="A21" s="299" t="s">
        <v>202</v>
      </c>
      <c r="B21" s="303">
        <v>45108</v>
      </c>
      <c r="C21" s="304">
        <f>Customer!BJ$11*'Assumptions and Inputs'!$C$40</f>
        <v>306498.85891780473</v>
      </c>
      <c r="D21" s="305">
        <f>Customer!BJ$29/'Assumptions and Inputs'!$C$21</f>
        <v>11194.427614022385</v>
      </c>
      <c r="E21" s="304">
        <f t="shared" ref="E21" si="5">ROUND($E$8*D21, 0)</f>
        <v>11530</v>
      </c>
      <c r="F21" s="304">
        <f t="shared" ref="F21" si="6">(C21-E21)*$F$8</f>
        <v>287063.69349880755</v>
      </c>
      <c r="G21" s="305">
        <f>Customer!BJ$34/'Assumptions and Inputs'!$C$21</f>
        <v>479606.5</v>
      </c>
      <c r="H21" s="306">
        <f t="shared" si="2"/>
        <v>493995</v>
      </c>
      <c r="I21" s="306">
        <f t="shared" ref="I21" si="7">H21*$I$8</f>
        <v>480755.93399999995</v>
      </c>
      <c r="J21" s="304">
        <f t="shared" ref="J21" si="8">I21-F21</f>
        <v>193692.2405011924</v>
      </c>
      <c r="M21" s="106"/>
      <c r="N21" s="106"/>
    </row>
    <row r="22" spans="1:16" x14ac:dyDescent="0.3">
      <c r="A22" s="299" t="s">
        <v>202</v>
      </c>
      <c r="B22" s="303">
        <v>45139</v>
      </c>
      <c r="C22" s="306">
        <f>Customer!BK$11*'Assumptions and Inputs'!$C$40</f>
        <v>307169.78450554155</v>
      </c>
      <c r="D22" s="305">
        <f>Customer!BK$29/'Assumptions and Inputs'!$C$21</f>
        <v>11218.932200932866</v>
      </c>
      <c r="E22" s="306">
        <f>ROUND($E$8*D22, 0)</f>
        <v>11556</v>
      </c>
      <c r="F22" s="306">
        <f>(C22-E22)*$F$8</f>
        <v>287691.33508079301</v>
      </c>
      <c r="G22" s="305">
        <f>Customer!BK$34/'Assumptions and Inputs'!$C$21</f>
        <v>479606.5</v>
      </c>
      <c r="H22" s="306">
        <f>ROUND($H$8*G22, 0)</f>
        <v>493995</v>
      </c>
      <c r="I22" s="306">
        <f>H22*$I$8</f>
        <v>480755.93399999995</v>
      </c>
      <c r="J22" s="304">
        <f>I22-F22</f>
        <v>193064.59891920694</v>
      </c>
      <c r="M22" s="106"/>
      <c r="N22" s="106"/>
    </row>
    <row r="23" spans="1:16" ht="5.0999999999999996" customHeight="1" x14ac:dyDescent="0.3">
      <c r="A23" s="298"/>
      <c r="B23" s="301"/>
      <c r="C23" s="301"/>
      <c r="D23" s="301"/>
      <c r="E23" s="301"/>
      <c r="F23" s="301"/>
      <c r="G23" s="301"/>
      <c r="H23" s="301"/>
      <c r="I23" s="301"/>
      <c r="J23" s="301"/>
    </row>
    <row r="24" spans="1:16" x14ac:dyDescent="0.3">
      <c r="A24" s="298"/>
      <c r="B24" s="300" t="s">
        <v>151</v>
      </c>
      <c r="C24" s="306">
        <f>SUM(C11:C22)</f>
        <v>3715101.3929700581</v>
      </c>
      <c r="D24" s="305">
        <f t="shared" ref="D24:H24" si="9">SUM(D11:D22)</f>
        <v>132574.3983121145</v>
      </c>
      <c r="E24" s="306">
        <f t="shared" si="9"/>
        <v>136551</v>
      </c>
      <c r="F24" s="306">
        <f t="shared" si="9"/>
        <v>3482645.2424384602</v>
      </c>
      <c r="G24" s="305">
        <f t="shared" si="9"/>
        <v>5846050</v>
      </c>
      <c r="H24" s="306">
        <f t="shared" si="9"/>
        <v>6021434</v>
      </c>
      <c r="I24" s="306">
        <f>SUM(I11:I22)</f>
        <v>5860059.5688000005</v>
      </c>
      <c r="J24" s="304">
        <f>SUM(J10:J22)</f>
        <v>2297274.7232722943</v>
      </c>
      <c r="M24" s="106"/>
      <c r="N24" s="106"/>
      <c r="P24" s="106"/>
    </row>
    <row r="25" spans="1:16" ht="5.0999999999999996" customHeight="1" x14ac:dyDescent="0.3">
      <c r="A25" s="298"/>
      <c r="B25" s="53"/>
      <c r="C25" s="143"/>
      <c r="D25" s="144"/>
      <c r="E25" s="143"/>
      <c r="F25" s="143"/>
      <c r="G25" s="144"/>
      <c r="H25" s="143"/>
      <c r="I25" s="143"/>
      <c r="J25" s="145"/>
    </row>
    <row r="26" spans="1:16" x14ac:dyDescent="0.3">
      <c r="A26" s="298"/>
      <c r="B26" s="326"/>
      <c r="C26" s="143"/>
      <c r="D26" s="143"/>
      <c r="E26" s="143"/>
      <c r="F26" s="143"/>
      <c r="G26" s="143"/>
      <c r="H26" s="143"/>
      <c r="I26" s="327" t="s">
        <v>203</v>
      </c>
      <c r="J26" s="328">
        <f>'E-Factor PRIOR Sch LKM-4'!U98</f>
        <v>866134.5584293711</v>
      </c>
      <c r="K26" s="148" t="s">
        <v>204</v>
      </c>
    </row>
    <row r="27" spans="1:16" x14ac:dyDescent="0.3">
      <c r="A27" s="298"/>
      <c r="B27" s="281"/>
      <c r="C27" s="281"/>
      <c r="D27" s="281"/>
      <c r="E27" s="281"/>
      <c r="F27" s="143"/>
      <c r="G27" s="329"/>
      <c r="H27" s="281"/>
      <c r="I27" s="328"/>
      <c r="J27" s="281"/>
    </row>
    <row r="28" spans="1:16" x14ac:dyDescent="0.3">
      <c r="A28" s="298"/>
      <c r="B28" s="332" t="s">
        <v>205</v>
      </c>
      <c r="C28" s="281"/>
      <c r="D28" s="281"/>
      <c r="E28" s="281"/>
      <c r="F28" s="281"/>
      <c r="G28" s="329"/>
      <c r="H28" s="281"/>
      <c r="I28" s="330" t="s">
        <v>206</v>
      </c>
      <c r="J28" s="331">
        <f>J24+J26</f>
        <v>3163409.2817016654</v>
      </c>
      <c r="K28" s="148" t="s">
        <v>207</v>
      </c>
    </row>
    <row r="29" spans="1:16" hidden="1" x14ac:dyDescent="0.3">
      <c r="A29" s="298"/>
      <c r="B29" s="149" t="s">
        <v>208</v>
      </c>
    </row>
    <row r="30" spans="1:16" hidden="1" x14ac:dyDescent="0.3">
      <c r="A30" s="298"/>
      <c r="B30" s="149" t="s">
        <v>209</v>
      </c>
      <c r="J30" s="145"/>
    </row>
    <row r="31" spans="1:16" hidden="1" x14ac:dyDescent="0.3">
      <c r="A31" s="298"/>
      <c r="B31" s="149" t="str">
        <f>"(1) - TAP Actual Discounts reflect water's "&amp;FIXED('Assumptions and Inputs'!$C$40*100, 1, 0)&amp;"% allocated portion of the Total TAP Discount."</f>
        <v>(1) - TAP Actual Discounts reflect water's 40.0% allocated portion of the Total TAP Discount.</v>
      </c>
    </row>
    <row r="32" spans="1:16" hidden="1" x14ac:dyDescent="0.3">
      <c r="A32" s="298"/>
      <c r="B32" s="149" t="s">
        <v>210</v>
      </c>
    </row>
    <row r="33" spans="1:15" hidden="1" x14ac:dyDescent="0.3">
      <c r="A33" s="298"/>
      <c r="B33" s="149" t="str">
        <f>"(3) &amp; (6) - Water TAP-R Rates per "&amp;TEXT('Assumptions and Inputs'!F32,)&amp;" "&amp;TEXT('Assumptions and Inputs'!G32,)&amp;"."</f>
        <v>(3) &amp; (6) - Water TAP-R Rates per PWD Regulations - Rates and Charges Effective September 1, 2022 Section 10.3(a)(1).</v>
      </c>
    </row>
    <row r="34" spans="1:15" hidden="1" x14ac:dyDescent="0.3">
      <c r="A34" s="298"/>
      <c r="B34" s="149" t="str">
        <f>"(4) &amp; (7) - Adjusted for system-wide collection factor in accordance with "&amp;TEXT('Assumptions and Inputs'!F38,)&amp;" "&amp;TEXT('Assumptions and Inputs'!G38,)&amp;"."</f>
        <v>(4) &amp; (7) - Adjusted for system-wide collection factor in accordance with PWD Regulations - Rates and Charges Effective September 1, 2022 Section 10.1(b)(3).</v>
      </c>
    </row>
    <row r="35" spans="1:15" hidden="1" x14ac:dyDescent="0.3">
      <c r="A35" s="298"/>
      <c r="B35" s="149" t="str">
        <f>"(5) - Estimated Non-TAP water sales volumes for "&amp;TEXT('Assumptions and Inputs'!C73,"MMMM YYYY")&amp;" through "&amp;TEXT('Assumptions and Inputs'!C75,"MMMM YYYY")&amp;" are based upon average sales for prior 12 month period."</f>
        <v>(5) - Estimated Non-TAP water sales volumes for December 2022 through August 2023 are based upon average sales for prior 12 month period.</v>
      </c>
    </row>
    <row r="36" spans="1:15" hidden="1" x14ac:dyDescent="0.3">
      <c r="A36" s="298"/>
      <c r="B36" s="149" t="s">
        <v>211</v>
      </c>
    </row>
    <row r="37" spans="1:15" x14ac:dyDescent="0.3">
      <c r="A37" s="298"/>
      <c r="B37" s="149"/>
    </row>
    <row r="38" spans="1:15" x14ac:dyDescent="0.3">
      <c r="A38" s="298"/>
      <c r="B38" s="149"/>
    </row>
    <row r="39" spans="1:15" x14ac:dyDescent="0.3">
      <c r="A39" s="298"/>
      <c r="B39" s="279" t="s">
        <v>31</v>
      </c>
      <c r="C39" s="280"/>
      <c r="D39" s="280"/>
      <c r="E39" s="280"/>
      <c r="F39" s="280"/>
      <c r="G39" s="280"/>
      <c r="H39" s="280"/>
      <c r="I39" s="280"/>
      <c r="J39" s="280"/>
    </row>
    <row r="40" spans="1:15" x14ac:dyDescent="0.3">
      <c r="A40" s="298"/>
      <c r="B40" s="279" t="s">
        <v>299</v>
      </c>
      <c r="C40" s="280"/>
      <c r="D40" s="280"/>
      <c r="E40" s="280"/>
      <c r="F40" s="280"/>
      <c r="G40" s="280"/>
      <c r="H40" s="280"/>
      <c r="I40" s="280"/>
      <c r="J40" s="280"/>
    </row>
    <row r="41" spans="1:15" ht="5.0999999999999996" customHeight="1" x14ac:dyDescent="0.3">
      <c r="A41" s="298"/>
    </row>
    <row r="42" spans="1:15" x14ac:dyDescent="0.3">
      <c r="A42" s="298"/>
      <c r="B42" s="307" t="s">
        <v>180</v>
      </c>
      <c r="C42" s="339" t="s">
        <v>181</v>
      </c>
      <c r="D42" s="307" t="s">
        <v>212</v>
      </c>
      <c r="E42" s="339" t="s">
        <v>183</v>
      </c>
      <c r="F42" s="307" t="s">
        <v>184</v>
      </c>
      <c r="G42" s="307" t="s">
        <v>185</v>
      </c>
      <c r="H42" s="336" t="s">
        <v>186</v>
      </c>
      <c r="I42" s="307" t="s">
        <v>187</v>
      </c>
      <c r="J42" s="307" t="s">
        <v>188</v>
      </c>
    </row>
    <row r="43" spans="1:15" x14ac:dyDescent="0.3">
      <c r="A43" s="298"/>
      <c r="B43" s="308" t="s">
        <v>179</v>
      </c>
      <c r="C43" s="311" t="s">
        <v>189</v>
      </c>
      <c r="D43" s="308" t="s">
        <v>213</v>
      </c>
      <c r="E43" s="311" t="s">
        <v>191</v>
      </c>
      <c r="F43" s="308" t="s">
        <v>189</v>
      </c>
      <c r="G43" s="308" t="s">
        <v>213</v>
      </c>
      <c r="H43" s="337" t="s">
        <v>192</v>
      </c>
      <c r="I43" s="308" t="s">
        <v>193</v>
      </c>
      <c r="J43" s="308" t="s">
        <v>194</v>
      </c>
    </row>
    <row r="44" spans="1:15" x14ac:dyDescent="0.3">
      <c r="A44" s="298"/>
      <c r="B44" s="308"/>
      <c r="C44" s="311" t="s">
        <v>195</v>
      </c>
      <c r="D44" s="308" t="s">
        <v>143</v>
      </c>
      <c r="E44" s="311" t="s">
        <v>197</v>
      </c>
      <c r="F44" s="308" t="s">
        <v>195</v>
      </c>
      <c r="G44" s="308" t="s">
        <v>196</v>
      </c>
      <c r="H44" s="337"/>
      <c r="I44" s="308" t="s">
        <v>198</v>
      </c>
      <c r="J44" s="308"/>
    </row>
    <row r="45" spans="1:15" x14ac:dyDescent="0.3">
      <c r="A45" s="298"/>
      <c r="B45" s="308"/>
      <c r="C45" s="317"/>
      <c r="D45" s="319" t="s">
        <v>196</v>
      </c>
      <c r="E45" s="317">
        <f>'Assumptions and Inputs'!$C$34</f>
        <v>1.63</v>
      </c>
      <c r="F45" s="319">
        <f>'Assumptions and Inputs'!$C$38</f>
        <v>0.97319999999999995</v>
      </c>
      <c r="G45" s="319"/>
      <c r="H45" s="338">
        <f>'Assumptions and Inputs'!$C$34</f>
        <v>1.63</v>
      </c>
      <c r="I45" s="319">
        <f>'Assumptions and Inputs'!$C$38</f>
        <v>0.97319999999999995</v>
      </c>
      <c r="J45" s="324"/>
    </row>
    <row r="46" spans="1:15" x14ac:dyDescent="0.3">
      <c r="A46" s="298"/>
      <c r="B46" s="308"/>
      <c r="C46" s="318" t="s">
        <v>161</v>
      </c>
      <c r="D46" s="320" t="s">
        <v>162</v>
      </c>
      <c r="E46" s="318" t="str">
        <f>"(3) = (2) * $ "&amp;FIXED(E45,3,)&amp;"/Mcf"</f>
        <v>(3) = (2) * $ 1.630/Mcf</v>
      </c>
      <c r="F46" s="320" t="str">
        <f>"(4) = [(1) - (3)]* "&amp;FIXED(F45,4,)&amp;""</f>
        <v>(4) = [(1) - (3)]* 0.9732</v>
      </c>
      <c r="G46" s="320" t="s">
        <v>165</v>
      </c>
      <c r="H46" s="340" t="str">
        <f>"(6) = (5) * $ "&amp;FIXED(H45,3,)&amp;"/Mcf"</f>
        <v>(6) = (5) * $ 1.630/Mcf</v>
      </c>
      <c r="I46" s="325" t="str">
        <f>"(7) = (6) * "&amp;FIXED(F45,4,)&amp;""</f>
        <v>(7) = (6) * 0.9732</v>
      </c>
      <c r="J46" s="325" t="s">
        <v>199</v>
      </c>
    </row>
    <row r="47" spans="1:15" x14ac:dyDescent="0.3">
      <c r="A47" s="298"/>
      <c r="B47" s="312"/>
      <c r="C47" s="281"/>
      <c r="D47" s="321"/>
      <c r="E47" s="281"/>
      <c r="F47" s="321"/>
      <c r="G47" s="321"/>
      <c r="H47" s="281"/>
      <c r="I47" s="333" t="s">
        <v>200</v>
      </c>
      <c r="J47" s="334">
        <f>'Assumptions and Inputs'!$C$80+'Assumptions and Inputs'!$C$84</f>
        <v>-121580.46009853249</v>
      </c>
      <c r="K47" s="53"/>
    </row>
    <row r="48" spans="1:15" x14ac:dyDescent="0.3">
      <c r="A48" s="299" t="s">
        <v>201</v>
      </c>
      <c r="B48" s="303">
        <f>B11</f>
        <v>44805</v>
      </c>
      <c r="C48" s="304">
        <f>Customer!AZ$11*'Assumptions and Inputs'!$C$42</f>
        <v>470868.38400000002</v>
      </c>
      <c r="D48" s="305">
        <f>Customer!AZ$48/'Assumptions and Inputs'!$C$21</f>
        <v>11151.5</v>
      </c>
      <c r="E48" s="304">
        <f>ROUND($E$45*D48, 0)</f>
        <v>18177</v>
      </c>
      <c r="F48" s="304">
        <f>(C48-E48)*$F$45</f>
        <v>440559.25490880001</v>
      </c>
      <c r="G48" s="305">
        <f>Customer!AZ$53/'Assumptions and Inputs'!$C$21</f>
        <v>552367.30000000005</v>
      </c>
      <c r="H48" s="306">
        <f>ROUND($H$45*G48, 0)</f>
        <v>900359</v>
      </c>
      <c r="I48" s="306">
        <f>H48*$I$45</f>
        <v>876229.37879999995</v>
      </c>
      <c r="J48" s="304">
        <f>I48-F48</f>
        <v>435670.12389119994</v>
      </c>
      <c r="N48" s="106"/>
      <c r="O48" s="106"/>
    </row>
    <row r="49" spans="1:15" x14ac:dyDescent="0.3">
      <c r="A49" s="299" t="s">
        <v>201</v>
      </c>
      <c r="B49" s="303">
        <f t="shared" ref="B49:B59" si="10">B12</f>
        <v>44835</v>
      </c>
      <c r="C49" s="304">
        <f>Customer!BA$11*'Assumptions and Inputs'!$C$42</f>
        <v>455961.14999999997</v>
      </c>
      <c r="D49" s="305">
        <f>Customer!BA$48/'Assumptions and Inputs'!$C$21</f>
        <v>10402.6</v>
      </c>
      <c r="E49" s="304">
        <f t="shared" ref="E49:E58" si="11">ROUND($E$45*D49, 0)</f>
        <v>16956</v>
      </c>
      <c r="F49" s="304">
        <f t="shared" ref="F49:F57" si="12">(C49-E49)*$F$45</f>
        <v>427239.81197999994</v>
      </c>
      <c r="G49" s="305">
        <f>Customer!BA$53/'Assumptions and Inputs'!$C$21</f>
        <v>463872.6</v>
      </c>
      <c r="H49" s="306">
        <f t="shared" ref="H49:H57" si="13">ROUND($H$45*G49, 0)</f>
        <v>756112</v>
      </c>
      <c r="I49" s="306">
        <f t="shared" ref="I49:I57" si="14">H49*$I$45</f>
        <v>735848.19839999999</v>
      </c>
      <c r="J49" s="304">
        <f t="shared" ref="J49:J57" si="15">I49-F49</f>
        <v>308608.38642000005</v>
      </c>
      <c r="N49" s="106"/>
      <c r="O49" s="106"/>
    </row>
    <row r="50" spans="1:15" x14ac:dyDescent="0.3">
      <c r="A50" s="299" t="s">
        <v>201</v>
      </c>
      <c r="B50" s="303">
        <f t="shared" si="10"/>
        <v>44866</v>
      </c>
      <c r="C50" s="304">
        <f>Customer!BB$11*'Assumptions and Inputs'!$C$42</f>
        <v>441533.28600000002</v>
      </c>
      <c r="D50" s="305">
        <f>Customer!BB$48/'Assumptions and Inputs'!$C$21</f>
        <v>10098.299999999999</v>
      </c>
      <c r="E50" s="304">
        <f t="shared" si="11"/>
        <v>16460</v>
      </c>
      <c r="F50" s="304">
        <f t="shared" si="12"/>
        <v>413681.32193520002</v>
      </c>
      <c r="G50" s="305">
        <f>Customer!BB$53/'Assumptions and Inputs'!$C$21</f>
        <v>427595.4</v>
      </c>
      <c r="H50" s="306">
        <f t="shared" si="13"/>
        <v>696981</v>
      </c>
      <c r="I50" s="306">
        <f t="shared" si="14"/>
        <v>678301.90919999999</v>
      </c>
      <c r="J50" s="304">
        <f t="shared" si="15"/>
        <v>264620.58726479998</v>
      </c>
      <c r="N50" s="106"/>
      <c r="O50" s="106"/>
    </row>
    <row r="51" spans="1:15" x14ac:dyDescent="0.3">
      <c r="A51" s="299" t="s">
        <v>201</v>
      </c>
      <c r="B51" s="303">
        <f t="shared" si="10"/>
        <v>44896</v>
      </c>
      <c r="C51" s="304">
        <f>Customer!BC$11*'Assumptions and Inputs'!$C$42</f>
        <v>471158.64</v>
      </c>
      <c r="D51" s="305">
        <f>Customer!BC$48/'Assumptions and Inputs'!$C$21</f>
        <v>10792.74</v>
      </c>
      <c r="E51" s="304">
        <f t="shared" si="11"/>
        <v>17592</v>
      </c>
      <c r="F51" s="304">
        <f t="shared" si="12"/>
        <v>441411.05404800002</v>
      </c>
      <c r="G51" s="305">
        <f>Customer!BC$53/'Assumptions and Inputs'!$C$21</f>
        <v>453491.56666666659</v>
      </c>
      <c r="H51" s="306">
        <f t="shared" si="13"/>
        <v>739191</v>
      </c>
      <c r="I51" s="306">
        <f t="shared" si="14"/>
        <v>719380.68119999999</v>
      </c>
      <c r="J51" s="304">
        <f t="shared" si="15"/>
        <v>277969.62715199997</v>
      </c>
      <c r="N51" s="106"/>
      <c r="O51" s="106"/>
    </row>
    <row r="52" spans="1:15" x14ac:dyDescent="0.3">
      <c r="A52" s="299" t="s">
        <v>202</v>
      </c>
      <c r="B52" s="303">
        <f t="shared" si="10"/>
        <v>44927</v>
      </c>
      <c r="C52" s="304">
        <f>Customer!BD$11*'Assumptions and Inputs'!$C$42</f>
        <v>528905.28</v>
      </c>
      <c r="D52" s="305">
        <f>Customer!BD$48/'Assumptions and Inputs'!$C$21</f>
        <v>11048.52</v>
      </c>
      <c r="E52" s="304">
        <f t="shared" si="11"/>
        <v>18009</v>
      </c>
      <c r="F52" s="304">
        <f t="shared" si="12"/>
        <v>497204.25969600002</v>
      </c>
      <c r="G52" s="305">
        <f>Customer!BD$53/'Assumptions and Inputs'!$C$21</f>
        <v>453491.56666666659</v>
      </c>
      <c r="H52" s="306">
        <f t="shared" si="13"/>
        <v>739191</v>
      </c>
      <c r="I52" s="306">
        <f t="shared" si="14"/>
        <v>719380.68119999999</v>
      </c>
      <c r="J52" s="304">
        <f t="shared" si="15"/>
        <v>222176.42150399997</v>
      </c>
      <c r="N52" s="106"/>
      <c r="O52" s="106"/>
    </row>
    <row r="53" spans="1:15" x14ac:dyDescent="0.3">
      <c r="A53" s="299" t="s">
        <v>202</v>
      </c>
      <c r="B53" s="303">
        <f t="shared" si="10"/>
        <v>44958</v>
      </c>
      <c r="C53" s="304">
        <f>Customer!BE$11*'Assumptions and Inputs'!$C$42</f>
        <v>454749.22316537914</v>
      </c>
      <c r="D53" s="305">
        <f>Customer!BE$48/'Assumptions and Inputs'!$C$21</f>
        <v>11072.705195340679</v>
      </c>
      <c r="E53" s="304">
        <f t="shared" si="11"/>
        <v>18049</v>
      </c>
      <c r="F53" s="304">
        <f t="shared" si="12"/>
        <v>424996.65718454693</v>
      </c>
      <c r="G53" s="305">
        <f>Customer!BE$53/'Assumptions and Inputs'!$C$21</f>
        <v>453491.56666666659</v>
      </c>
      <c r="H53" s="306">
        <f t="shared" si="13"/>
        <v>739191</v>
      </c>
      <c r="I53" s="306">
        <f t="shared" si="14"/>
        <v>719380.68119999999</v>
      </c>
      <c r="J53" s="304">
        <f t="shared" si="15"/>
        <v>294384.02401545306</v>
      </c>
      <c r="N53" s="106"/>
      <c r="O53" s="106"/>
    </row>
    <row r="54" spans="1:15" x14ac:dyDescent="0.3">
      <c r="A54" s="299" t="s">
        <v>202</v>
      </c>
      <c r="B54" s="303">
        <f t="shared" si="10"/>
        <v>44986</v>
      </c>
      <c r="C54" s="304">
        <f>Customer!BF$11*'Assumptions and Inputs'!$C$42</f>
        <v>455744.66859999637</v>
      </c>
      <c r="D54" s="305">
        <f>Customer!BF$48/'Assumptions and Inputs'!$C$21</f>
        <v>11096.943332041254</v>
      </c>
      <c r="E54" s="304">
        <f t="shared" si="11"/>
        <v>18088</v>
      </c>
      <c r="F54" s="304">
        <f t="shared" si="12"/>
        <v>425927.46988151642</v>
      </c>
      <c r="G54" s="305">
        <f>Customer!BF$53/'Assumptions and Inputs'!$C$21</f>
        <v>453491.56666666659</v>
      </c>
      <c r="H54" s="306">
        <f t="shared" si="13"/>
        <v>739191</v>
      </c>
      <c r="I54" s="306">
        <f t="shared" si="14"/>
        <v>719380.68119999999</v>
      </c>
      <c r="J54" s="304">
        <f t="shared" si="15"/>
        <v>293453.21131848358</v>
      </c>
      <c r="N54" s="106"/>
      <c r="O54" s="106"/>
    </row>
    <row r="55" spans="1:15" x14ac:dyDescent="0.3">
      <c r="A55" s="299" t="s">
        <v>202</v>
      </c>
      <c r="B55" s="303">
        <f t="shared" si="10"/>
        <v>45017</v>
      </c>
      <c r="C55" s="304">
        <f>Customer!BG$11*'Assumptions and Inputs'!$C$42</f>
        <v>456742.29306332389</v>
      </c>
      <c r="D55" s="305">
        <f>Customer!BG$48/'Assumptions and Inputs'!$C$21</f>
        <v>11121.234525990294</v>
      </c>
      <c r="E55" s="304">
        <f t="shared" si="11"/>
        <v>18128</v>
      </c>
      <c r="F55" s="304">
        <f t="shared" si="12"/>
        <v>426859.43000922678</v>
      </c>
      <c r="G55" s="305">
        <f>Customer!BG$53/'Assumptions and Inputs'!$C$21</f>
        <v>453491.56666666659</v>
      </c>
      <c r="H55" s="306">
        <f t="shared" si="13"/>
        <v>739191</v>
      </c>
      <c r="I55" s="306">
        <f t="shared" si="14"/>
        <v>719380.68119999999</v>
      </c>
      <c r="J55" s="304">
        <f t="shared" si="15"/>
        <v>292521.25119077321</v>
      </c>
      <c r="N55" s="106"/>
      <c r="O55" s="106"/>
    </row>
    <row r="56" spans="1:15" x14ac:dyDescent="0.3">
      <c r="A56" s="299" t="s">
        <v>202</v>
      </c>
      <c r="B56" s="303">
        <f t="shared" si="10"/>
        <v>45047</v>
      </c>
      <c r="C56" s="304">
        <f>Customer!BH$11*'Assumptions and Inputs'!$C$42</f>
        <v>457742.10132525262</v>
      </c>
      <c r="D56" s="305">
        <f>Customer!BH$48/'Assumptions and Inputs'!$C$21</f>
        <v>11145.578893330043</v>
      </c>
      <c r="E56" s="304">
        <f t="shared" si="11"/>
        <v>18167</v>
      </c>
      <c r="F56" s="304">
        <f t="shared" si="12"/>
        <v>427794.48860973585</v>
      </c>
      <c r="G56" s="305">
        <f>Customer!BH$53/'Assumptions and Inputs'!$C$21</f>
        <v>453491.56666666659</v>
      </c>
      <c r="H56" s="306">
        <f t="shared" si="13"/>
        <v>739191</v>
      </c>
      <c r="I56" s="306">
        <f t="shared" si="14"/>
        <v>719380.68119999999</v>
      </c>
      <c r="J56" s="304">
        <f t="shared" si="15"/>
        <v>291586.19259026414</v>
      </c>
      <c r="N56" s="106"/>
      <c r="O56" s="106"/>
    </row>
    <row r="57" spans="1:15" x14ac:dyDescent="0.3">
      <c r="A57" s="299" t="s">
        <v>202</v>
      </c>
      <c r="B57" s="303">
        <f t="shared" si="10"/>
        <v>45078</v>
      </c>
      <c r="C57" s="304">
        <f>Customer!BI$11*'Assumptions and Inputs'!$C$42</f>
        <v>458744.09816611494</v>
      </c>
      <c r="D57" s="305">
        <f>Customer!BI$48/'Assumptions and Inputs'!$C$21</f>
        <v>11169.976550456982</v>
      </c>
      <c r="E57" s="304">
        <f t="shared" si="11"/>
        <v>18207</v>
      </c>
      <c r="F57" s="304">
        <f t="shared" si="12"/>
        <v>428730.70393526304</v>
      </c>
      <c r="G57" s="305">
        <f>Customer!BI$53/'Assumptions and Inputs'!$C$21</f>
        <v>453491.56666666659</v>
      </c>
      <c r="H57" s="306">
        <f t="shared" si="13"/>
        <v>739191</v>
      </c>
      <c r="I57" s="306">
        <f t="shared" si="14"/>
        <v>719380.68119999999</v>
      </c>
      <c r="J57" s="304">
        <f t="shared" si="15"/>
        <v>290649.97726473695</v>
      </c>
      <c r="N57" s="106"/>
      <c r="O57" s="106"/>
    </row>
    <row r="58" spans="1:15" x14ac:dyDescent="0.3">
      <c r="A58" s="299" t="s">
        <v>202</v>
      </c>
      <c r="B58" s="303">
        <f t="shared" si="10"/>
        <v>45108</v>
      </c>
      <c r="C58" s="304">
        <f>Customer!BJ$11*'Assumptions and Inputs'!$C$42</f>
        <v>459748.28837670706</v>
      </c>
      <c r="D58" s="305">
        <f>Customer!BJ$48/'Assumptions and Inputs'!$C$21</f>
        <v>11194.427614022385</v>
      </c>
      <c r="E58" s="304">
        <f t="shared" si="11"/>
        <v>18247</v>
      </c>
      <c r="F58" s="304">
        <f t="shared" ref="F58" si="16">(C58-E58)*$F$45</f>
        <v>429669.0538482113</v>
      </c>
      <c r="G58" s="305">
        <f>Customer!BJ$53/'Assumptions and Inputs'!$C$21</f>
        <v>453491.56666666659</v>
      </c>
      <c r="H58" s="306">
        <f t="shared" ref="H58" si="17">ROUND($H$45*G58, 0)</f>
        <v>739191</v>
      </c>
      <c r="I58" s="306">
        <f t="shared" ref="I58" si="18">H58*$I$45</f>
        <v>719380.68119999999</v>
      </c>
      <c r="J58" s="304">
        <f t="shared" ref="J58" si="19">I58-F58</f>
        <v>289711.62735178869</v>
      </c>
      <c r="N58" s="106"/>
      <c r="O58" s="106"/>
    </row>
    <row r="59" spans="1:15" x14ac:dyDescent="0.3">
      <c r="A59" s="299" t="s">
        <v>202</v>
      </c>
      <c r="B59" s="303">
        <f t="shared" si="10"/>
        <v>45139</v>
      </c>
      <c r="C59" s="304">
        <f>Customer!BK$11*'Assumptions and Inputs'!$C$42</f>
        <v>460754.67675831227</v>
      </c>
      <c r="D59" s="305">
        <f>Customer!BK$48/'Assumptions and Inputs'!$C$21</f>
        <v>11218.932200932866</v>
      </c>
      <c r="E59" s="304">
        <f>ROUND($E$45*D59, 0)</f>
        <v>18287</v>
      </c>
      <c r="F59" s="304">
        <f>(C59-E59)*$F$45</f>
        <v>430609.54302118946</v>
      </c>
      <c r="G59" s="305">
        <f>Customer!BK$53/'Assumptions and Inputs'!$C$21</f>
        <v>453491.56666666659</v>
      </c>
      <c r="H59" s="306">
        <f>ROUND($H$45*G59, 0)</f>
        <v>739191</v>
      </c>
      <c r="I59" s="306">
        <f>H59*$I$45</f>
        <v>719380.68119999999</v>
      </c>
      <c r="J59" s="304">
        <f>I59-F59</f>
        <v>288771.13817881054</v>
      </c>
      <c r="N59" s="106"/>
      <c r="O59" s="106"/>
    </row>
    <row r="60" spans="1:15" ht="5.0999999999999996" customHeight="1" x14ac:dyDescent="0.3">
      <c r="A60" s="298"/>
      <c r="B60" s="301"/>
      <c r="C60" s="304"/>
      <c r="D60" s="305"/>
      <c r="E60" s="304"/>
      <c r="F60" s="304"/>
      <c r="G60" s="305"/>
      <c r="H60" s="306"/>
      <c r="I60" s="306"/>
      <c r="J60" s="304"/>
      <c r="O60" s="106"/>
    </row>
    <row r="61" spans="1:15" x14ac:dyDescent="0.3">
      <c r="A61" s="298"/>
      <c r="B61" s="300" t="s">
        <v>151</v>
      </c>
      <c r="C61" s="304">
        <f>SUM(C48:C59)</f>
        <v>5572652.0894550858</v>
      </c>
      <c r="D61" s="305">
        <f t="shared" ref="D61:H61" si="20">SUM(D48:D59)</f>
        <v>131513.4583121145</v>
      </c>
      <c r="E61" s="304">
        <f t="shared" si="20"/>
        <v>214367</v>
      </c>
      <c r="F61" s="304">
        <f t="shared" si="20"/>
        <v>5214683.0490576895</v>
      </c>
      <c r="G61" s="305">
        <f t="shared" si="20"/>
        <v>5525259.3999999985</v>
      </c>
      <c r="H61" s="306">
        <f t="shared" si="20"/>
        <v>9006171</v>
      </c>
      <c r="I61" s="306">
        <f>SUM(I48:I59)</f>
        <v>8764805.6171999965</v>
      </c>
      <c r="J61" s="304">
        <f>SUM(J47:J59)</f>
        <v>3428542.1080437773</v>
      </c>
      <c r="N61" s="106"/>
      <c r="O61" s="106"/>
    </row>
    <row r="62" spans="1:15" ht="5.0999999999999996" customHeight="1" x14ac:dyDescent="0.3">
      <c r="A62" s="298"/>
      <c r="B62" s="326"/>
      <c r="C62" s="143"/>
      <c r="D62" s="144"/>
      <c r="E62" s="143"/>
      <c r="F62" s="143"/>
      <c r="G62" s="144"/>
      <c r="H62" s="143"/>
      <c r="I62" s="143"/>
      <c r="J62" s="328"/>
    </row>
    <row r="63" spans="1:15" x14ac:dyDescent="0.3">
      <c r="A63" s="298"/>
      <c r="B63" s="326"/>
      <c r="C63" s="143"/>
      <c r="D63" s="144"/>
      <c r="E63" s="143"/>
      <c r="F63" s="143"/>
      <c r="G63" s="144"/>
      <c r="H63" s="143"/>
      <c r="I63" s="327" t="s">
        <v>203</v>
      </c>
      <c r="J63" s="328">
        <f>'E-Factor PRIOR Sch LKM-4'!U138</f>
        <v>1304002.3904306567</v>
      </c>
      <c r="K63" s="148" t="s">
        <v>214</v>
      </c>
      <c r="N63" s="106"/>
      <c r="O63" s="106"/>
    </row>
    <row r="64" spans="1:15" x14ac:dyDescent="0.3">
      <c r="A64" s="298"/>
      <c r="B64" s="281"/>
      <c r="C64" s="281"/>
      <c r="D64" s="281"/>
      <c r="E64" s="281"/>
      <c r="F64" s="143"/>
      <c r="G64" s="335"/>
      <c r="H64" s="281"/>
      <c r="I64" s="281"/>
      <c r="J64" s="281"/>
    </row>
    <row r="65" spans="1:11" x14ac:dyDescent="0.3">
      <c r="A65" s="298"/>
      <c r="B65" s="332" t="s">
        <v>205</v>
      </c>
      <c r="C65" s="281"/>
      <c r="D65" s="281"/>
      <c r="E65" s="281"/>
      <c r="F65" s="281"/>
      <c r="G65" s="281"/>
      <c r="H65" s="281"/>
      <c r="I65" s="330" t="s">
        <v>206</v>
      </c>
      <c r="J65" s="331">
        <f>J61+J63</f>
        <v>4732544.498474434</v>
      </c>
      <c r="K65" s="148" t="s">
        <v>207</v>
      </c>
    </row>
    <row r="66" spans="1:11" hidden="1" x14ac:dyDescent="0.3">
      <c r="A66" s="298"/>
      <c r="B66" s="149" t="s">
        <v>208</v>
      </c>
    </row>
    <row r="67" spans="1:11" hidden="1" x14ac:dyDescent="0.3">
      <c r="A67" s="298"/>
      <c r="B67" s="149" t="s">
        <v>209</v>
      </c>
      <c r="J67" s="145"/>
    </row>
    <row r="68" spans="1:11" hidden="1" x14ac:dyDescent="0.3">
      <c r="A68" s="298"/>
      <c r="B68" s="149" t="str">
        <f>"(1) - TAP Actual Discounts reflects water's "&amp;FIXED('Assumptions and Inputs'!$C$42*100, 1, 0)&amp;"% allocated portion of the Total TAP Discount."</f>
        <v>(1) - TAP Actual Discounts reflects water's 60.0% allocated portion of the Total TAP Discount.</v>
      </c>
    </row>
    <row r="69" spans="1:11" hidden="1" x14ac:dyDescent="0.3">
      <c r="B69" s="149" t="s">
        <v>210</v>
      </c>
    </row>
    <row r="70" spans="1:11" hidden="1" x14ac:dyDescent="0.3">
      <c r="B70" s="149" t="str">
        <f>"(3) &amp; (6) - Sewer TAP-R Rates per "&amp;TEXT('Assumptions and Inputs'!F34,)&amp;" "&amp;TEXT('Assumptions and Inputs'!G34,)&amp;"."</f>
        <v>(3) &amp; (6) - Sewer TAP-R Rates per PWD Regulations - Rates and Charges Effective September 1, 2022 Section 10.3(b)(1).</v>
      </c>
    </row>
    <row r="71" spans="1:11" hidden="1" x14ac:dyDescent="0.3">
      <c r="B71" s="149" t="str">
        <f>"(4) &amp; (7) - Adjusted for system-wide collection factor in accordance with "&amp;TEXT('Assumptions and Inputs'!F38,)&amp;" "&amp;TEXT('Assumptions and Inputs'!G38,)&amp;"."</f>
        <v>(4) &amp; (7) - Adjusted for system-wide collection factor in accordance with PWD Regulations - Rates and Charges Effective September 1, 2022 Section 10.1(b)(3).</v>
      </c>
      <c r="K71" s="58"/>
    </row>
    <row r="72" spans="1:11" hidden="1" x14ac:dyDescent="0.3">
      <c r="B72" s="149" t="str">
        <f>"(5) - Estimated Non-TAP water sales volumes for "&amp;TEXT('Assumptions and Inputs'!C73,"MMMM YYYY")&amp;" through "&amp;TEXT('Assumptions and Inputs'!C75,"MMMM YYYY")&amp;" are based upon average sales for prior 12 month period."</f>
        <v>(5) - Estimated Non-TAP water sales volumes for December 2022 through August 2023 are based upon average sales for prior 12 month period.</v>
      </c>
    </row>
    <row r="73" spans="1:11" hidden="1" x14ac:dyDescent="0.3">
      <c r="B73" s="149" t="s">
        <v>215</v>
      </c>
    </row>
    <row r="74" spans="1:11" x14ac:dyDescent="0.3">
      <c r="B74" s="149"/>
    </row>
    <row r="75" spans="1:11" x14ac:dyDescent="0.3"/>
    <row r="76" spans="1:11" x14ac:dyDescent="0.3"/>
    <row r="77" spans="1:11" x14ac:dyDescent="0.3">
      <c r="C77" s="145"/>
    </row>
    <row r="78" spans="1:11" x14ac:dyDescent="0.3">
      <c r="C78" s="145"/>
    </row>
    <row r="79" spans="1:11" x14ac:dyDescent="0.3">
      <c r="B79" s="199"/>
      <c r="C79" s="145"/>
      <c r="D79" s="63"/>
      <c r="E79" s="63"/>
    </row>
    <row r="80" spans="1:11" x14ac:dyDescent="0.3">
      <c r="B80" s="199"/>
      <c r="C80" s="145"/>
      <c r="D80" s="63"/>
      <c r="E80" s="63"/>
      <c r="F80" s="145"/>
      <c r="G80" s="104"/>
      <c r="H80" s="104"/>
      <c r="I80" s="104"/>
      <c r="J80" s="145"/>
    </row>
    <row r="81" spans="2:10" x14ac:dyDescent="0.3">
      <c r="B81" s="199"/>
      <c r="C81" s="145"/>
      <c r="D81" s="63"/>
      <c r="E81" s="63"/>
      <c r="F81" s="145"/>
      <c r="G81" s="104"/>
      <c r="H81" s="104"/>
      <c r="I81" s="104"/>
      <c r="J81" s="145"/>
    </row>
    <row r="82" spans="2:10" x14ac:dyDescent="0.3">
      <c r="B82" s="199"/>
      <c r="C82" s="145"/>
      <c r="D82" s="63"/>
      <c r="E82" s="63"/>
      <c r="F82" s="145"/>
    </row>
    <row r="83" spans="2:10" x14ac:dyDescent="0.3">
      <c r="B83" s="199"/>
      <c r="C83" s="145"/>
      <c r="D83" s="63"/>
      <c r="E83" s="63"/>
      <c r="F83" s="145"/>
    </row>
    <row r="84" spans="2:10" x14ac:dyDescent="0.3">
      <c r="B84" s="199"/>
      <c r="C84" s="145"/>
      <c r="D84" s="63"/>
      <c r="E84" s="63"/>
      <c r="F84" s="145"/>
      <c r="G84" s="200"/>
      <c r="H84" s="145"/>
      <c r="I84" s="145"/>
      <c r="J84" s="145"/>
    </row>
    <row r="85" spans="2:10" x14ac:dyDescent="0.3">
      <c r="B85" s="199"/>
      <c r="C85" s="145"/>
      <c r="D85" s="63"/>
      <c r="E85" s="63"/>
      <c r="F85" s="145"/>
      <c r="G85" s="200"/>
      <c r="H85" s="145"/>
      <c r="I85" s="145"/>
      <c r="J85" s="145"/>
    </row>
    <row r="86" spans="2:10" x14ac:dyDescent="0.3">
      <c r="B86" s="199"/>
      <c r="C86" s="145"/>
      <c r="D86" s="63"/>
      <c r="E86" s="63"/>
    </row>
    <row r="87" spans="2:10" x14ac:dyDescent="0.3">
      <c r="B87" s="199"/>
      <c r="C87" s="145"/>
      <c r="D87" s="63"/>
      <c r="E87" s="63"/>
    </row>
    <row r="88" spans="2:10" x14ac:dyDescent="0.3">
      <c r="B88" s="199"/>
      <c r="C88" s="145"/>
      <c r="D88" s="63"/>
      <c r="E88" s="63"/>
    </row>
    <row r="89" spans="2:10" x14ac:dyDescent="0.3">
      <c r="B89" s="199"/>
      <c r="C89" s="145"/>
      <c r="D89" s="63"/>
      <c r="E89" s="63"/>
    </row>
    <row r="90" spans="2:10" x14ac:dyDescent="0.3">
      <c r="C90" s="145"/>
    </row>
    <row r="91" spans="2:10" x14ac:dyDescent="0.3"/>
    <row r="92" spans="2:10" x14ac:dyDescent="0.3"/>
  </sheetData>
  <printOptions horizontalCentered="1"/>
  <pageMargins left="0.7" right="0.7" top="0.75" bottom="0.5" header="0.3" footer="0.3"/>
  <pageSetup scale="67" orientation="landscape" r:id="rId1"/>
  <headerFooter>
    <oddHeader>&amp;R&amp;"Gisha,Regular"Schedule LKM-3</oddHeader>
  </headerFooter>
  <ignoredErrors>
    <ignoredError sqref="C9:D9 G9 C46:D46 G46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9484E-A7F5-4914-B9CB-952DFFFA3433}">
  <sheetPr codeName="Sheet8">
    <tabColor theme="4" tint="-0.249977111117893"/>
    <pageSetUpPr fitToPage="1"/>
  </sheetPr>
  <dimension ref="A1:V172"/>
  <sheetViews>
    <sheetView showGridLines="0" topLeftCell="A22" zoomScale="90" zoomScaleNormal="90" workbookViewId="0">
      <selection activeCell="H65" sqref="H65"/>
    </sheetView>
  </sheetViews>
  <sheetFormatPr defaultColWidth="9.109375" defaultRowHeight="14.4" zeroHeight="1" x14ac:dyDescent="0.3"/>
  <cols>
    <col min="1" max="1" width="9.109375" style="18" customWidth="1"/>
    <col min="2" max="2" width="9.44140625" style="18" customWidth="1"/>
    <col min="3" max="4" width="15.6640625" style="18" customWidth="1"/>
    <col min="5" max="8" width="20.6640625" style="18" customWidth="1"/>
    <col min="9" max="9" width="24.109375" style="18" customWidth="1"/>
    <col min="10" max="10" width="20.6640625" style="18" customWidth="1"/>
    <col min="11" max="11" width="3.44140625" style="18" customWidth="1"/>
    <col min="12" max="12" width="22.109375" style="18" customWidth="1"/>
    <col min="13" max="13" width="15.44140625" style="18" customWidth="1"/>
    <col min="14" max="14" width="17.88671875" style="18" customWidth="1"/>
    <col min="15" max="15" width="21" style="18" bestFit="1" customWidth="1"/>
    <col min="16" max="16" width="14.5546875" style="18" customWidth="1"/>
    <col min="17" max="17" width="19.6640625" style="18" customWidth="1"/>
    <col min="18" max="18" width="25.5546875" style="18" customWidth="1"/>
    <col min="19" max="19" width="15.5546875" style="18" customWidth="1"/>
    <col min="20" max="20" width="2.109375" style="18" customWidth="1"/>
    <col min="21" max="21" width="14.88671875" style="18" customWidth="1"/>
    <col min="22" max="16384" width="9.109375" style="18"/>
  </cols>
  <sheetData>
    <row r="1" spans="2:13" x14ac:dyDescent="0.3"/>
    <row r="2" spans="2:13" x14ac:dyDescent="0.3">
      <c r="B2" s="279" t="str">
        <f>B74</f>
        <v xml:space="preserve">Philadelphia Water Department 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2:13" ht="15" thickBot="1" x14ac:dyDescent="0.35">
      <c r="B3" s="279" t="s">
        <v>300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</row>
    <row r="4" spans="2:13" ht="15" thickBot="1" x14ac:dyDescent="0.35">
      <c r="C4" s="347" t="str">
        <f>C76</f>
        <v>Prior Reconciliation Period with Updated Actuals</v>
      </c>
      <c r="D4" s="348"/>
      <c r="E4" s="348"/>
      <c r="F4" s="348"/>
      <c r="G4" s="348"/>
      <c r="H4" s="348"/>
      <c r="I4" s="348"/>
      <c r="J4" s="349"/>
      <c r="K4" s="281"/>
      <c r="L4" s="350" t="s">
        <v>216</v>
      </c>
      <c r="M4" s="351" t="s">
        <v>217</v>
      </c>
    </row>
    <row r="5" spans="2:13" x14ac:dyDescent="0.3">
      <c r="B5" s="307" t="str">
        <f>B77</f>
        <v>Billing</v>
      </c>
      <c r="C5" s="308" t="str">
        <f>C77</f>
        <v>Total Actual TAP</v>
      </c>
      <c r="D5" s="308" t="str">
        <f t="shared" ref="D5:J5" si="0">D77</f>
        <v>Billed TAP</v>
      </c>
      <c r="E5" s="343" t="str">
        <f t="shared" si="0"/>
        <v>Total TAP-R</v>
      </c>
      <c r="F5" s="308" t="str">
        <f t="shared" si="0"/>
        <v>Adjusted Actual TAP</v>
      </c>
      <c r="G5" s="311" t="str">
        <f t="shared" si="0"/>
        <v>Billed Non-TAP</v>
      </c>
      <c r="H5" s="308" t="str">
        <f t="shared" si="0"/>
        <v>TAP-R Billed</v>
      </c>
      <c r="I5" s="311" t="str">
        <f t="shared" si="0"/>
        <v>Estimated TAP-R</v>
      </c>
      <c r="J5" s="308" t="str">
        <f t="shared" si="0"/>
        <v>Over/(Under)</v>
      </c>
      <c r="L5" s="308" t="str">
        <f>S77</f>
        <v>Over/(Under)</v>
      </c>
      <c r="M5" s="308" t="str">
        <f>U77</f>
        <v xml:space="preserve">Delta </v>
      </c>
    </row>
    <row r="6" spans="2:13" x14ac:dyDescent="0.3">
      <c r="B6" s="308" t="str">
        <f>B78</f>
        <v>Period</v>
      </c>
      <c r="C6" s="308" t="str">
        <f>C78</f>
        <v>Discounts</v>
      </c>
      <c r="D6" s="308" t="str">
        <f t="shared" ref="D6:J6" si="1">D78</f>
        <v>Water Sales</v>
      </c>
      <c r="E6" s="343" t="str">
        <f t="shared" si="1"/>
        <v xml:space="preserve">Billed </v>
      </c>
      <c r="F6" s="308" t="str">
        <f t="shared" si="1"/>
        <v>Discounts</v>
      </c>
      <c r="G6" s="311" t="str">
        <f t="shared" si="1"/>
        <v>Water Sales</v>
      </c>
      <c r="H6" s="308" t="str">
        <f t="shared" si="1"/>
        <v>Non-Tap Water Sales</v>
      </c>
      <c r="I6" s="311" t="str">
        <f t="shared" si="1"/>
        <v xml:space="preserve">Revenues </v>
      </c>
      <c r="J6" s="308" t="str">
        <f t="shared" si="1"/>
        <v>Collection</v>
      </c>
      <c r="L6" s="308" t="str">
        <f>S78</f>
        <v>Collection</v>
      </c>
      <c r="M6" s="308"/>
    </row>
    <row r="7" spans="2:13" x14ac:dyDescent="0.3">
      <c r="B7" s="308"/>
      <c r="C7" s="308" t="str">
        <f>C79</f>
        <v xml:space="preserve">(Credits) </v>
      </c>
      <c r="D7" s="308" t="str">
        <f>D79</f>
        <v>(Mcf)</v>
      </c>
      <c r="E7" s="343" t="str">
        <f>E79</f>
        <v>to TAP Participants</v>
      </c>
      <c r="F7" s="308" t="str">
        <f>F79</f>
        <v xml:space="preserve">(Credits) </v>
      </c>
      <c r="G7" s="311" t="str">
        <f>G79</f>
        <v>(Mcf)</v>
      </c>
      <c r="H7" s="308"/>
      <c r="I7" s="311" t="str">
        <f>I79</f>
        <v>Experienced</v>
      </c>
      <c r="J7" s="308"/>
      <c r="L7" s="308"/>
      <c r="M7" s="308"/>
    </row>
    <row r="8" spans="2:13" x14ac:dyDescent="0.3">
      <c r="B8" s="308"/>
      <c r="C8" s="308"/>
      <c r="D8" s="308"/>
      <c r="E8" s="346">
        <f>E80</f>
        <v>0.69</v>
      </c>
      <c r="F8" s="324">
        <f>F80</f>
        <v>0.97319999999999995</v>
      </c>
      <c r="G8" s="317"/>
      <c r="H8" s="345"/>
      <c r="I8" s="323">
        <f>I80</f>
        <v>0.97319999999999995</v>
      </c>
      <c r="J8" s="341"/>
      <c r="L8" s="341"/>
      <c r="M8" s="341"/>
    </row>
    <row r="9" spans="2:13" x14ac:dyDescent="0.3">
      <c r="B9" s="309"/>
      <c r="C9" s="309" t="str">
        <f>C81</f>
        <v>(1)</v>
      </c>
      <c r="D9" s="309" t="str">
        <f t="shared" ref="D9:J9" si="2">D81</f>
        <v>(2)</v>
      </c>
      <c r="E9" s="344" t="str">
        <f t="shared" si="2"/>
        <v>(3) = (2) * $ 0.690/Mcf</v>
      </c>
      <c r="F9" s="342" t="str">
        <f t="shared" si="2"/>
        <v>(4) = [(1) - (3)]* 0.9732</v>
      </c>
      <c r="G9" s="318" t="str">
        <f t="shared" si="2"/>
        <v>(5)</v>
      </c>
      <c r="H9" s="342" t="str">
        <f t="shared" si="2"/>
        <v>(6) = (5) * $ 0.690/Mcf</v>
      </c>
      <c r="I9" s="317" t="str">
        <f t="shared" si="2"/>
        <v>(7) = (6) * 0.9732</v>
      </c>
      <c r="J9" s="342" t="str">
        <f t="shared" si="2"/>
        <v>(8) = (7) - (4)</v>
      </c>
      <c r="L9" s="342" t="s">
        <v>218</v>
      </c>
      <c r="M9" s="342" t="s">
        <v>219</v>
      </c>
    </row>
    <row r="10" spans="2:13" x14ac:dyDescent="0.3">
      <c r="B10" s="300"/>
      <c r="C10" s="301"/>
      <c r="D10" s="301"/>
      <c r="E10" s="301"/>
      <c r="F10" s="301"/>
      <c r="G10" s="301"/>
      <c r="H10" s="301"/>
      <c r="I10" s="301"/>
      <c r="J10" s="301"/>
      <c r="K10" s="301"/>
      <c r="L10" s="301"/>
      <c r="M10" s="301"/>
    </row>
    <row r="11" spans="2:13" x14ac:dyDescent="0.3">
      <c r="B11" s="303">
        <f t="shared" ref="B11:B20" si="3">B83</f>
        <v>44440</v>
      </c>
      <c r="C11" s="304">
        <f t="shared" ref="C11:J11" si="4">C83</f>
        <v>334263.43599999999</v>
      </c>
      <c r="D11" s="305">
        <f t="shared" si="4"/>
        <v>12760.8</v>
      </c>
      <c r="E11" s="306">
        <f t="shared" si="4"/>
        <v>8805</v>
      </c>
      <c r="F11" s="304">
        <f t="shared" si="4"/>
        <v>316736.14991519996</v>
      </c>
      <c r="G11" s="305">
        <f t="shared" si="4"/>
        <v>504318.1</v>
      </c>
      <c r="H11" s="306">
        <f t="shared" si="4"/>
        <v>347979.48899999994</v>
      </c>
      <c r="I11" s="306">
        <f t="shared" si="4"/>
        <v>338653.63869479991</v>
      </c>
      <c r="J11" s="304">
        <f t="shared" si="4"/>
        <v>21917.488779599953</v>
      </c>
      <c r="K11" s="301"/>
      <c r="L11" s="304">
        <f>S83</f>
        <v>21917.012884800031</v>
      </c>
      <c r="M11" s="304">
        <f>J11-L11</f>
        <v>0.47589479992166162</v>
      </c>
    </row>
    <row r="12" spans="2:13" x14ac:dyDescent="0.3">
      <c r="B12" s="303">
        <f t="shared" si="3"/>
        <v>44470</v>
      </c>
      <c r="C12" s="306">
        <f t="shared" ref="C12:J12" si="5">C84</f>
        <v>375320.62400000001</v>
      </c>
      <c r="D12" s="305">
        <f t="shared" si="5"/>
        <v>13790</v>
      </c>
      <c r="E12" s="306">
        <f t="shared" si="5"/>
        <v>9515</v>
      </c>
      <c r="F12" s="306">
        <f t="shared" si="5"/>
        <v>356002.03327680001</v>
      </c>
      <c r="G12" s="305">
        <f t="shared" si="5"/>
        <v>515236.4</v>
      </c>
      <c r="H12" s="306">
        <f t="shared" si="5"/>
        <v>355513.11599999998</v>
      </c>
      <c r="I12" s="306">
        <f t="shared" si="5"/>
        <v>345985.36449119996</v>
      </c>
      <c r="J12" s="304">
        <f t="shared" si="5"/>
        <v>-10016.66878560005</v>
      </c>
      <c r="K12" s="301"/>
      <c r="L12" s="304">
        <f t="shared" ref="L12:L20" si="6">S84</f>
        <v>-10016.781676800048</v>
      </c>
      <c r="M12" s="304">
        <f t="shared" ref="M12:M21" si="7">J12-L12</f>
        <v>0.11289119999855757</v>
      </c>
    </row>
    <row r="13" spans="2:13" x14ac:dyDescent="0.3">
      <c r="B13" s="303">
        <f t="shared" si="3"/>
        <v>44501</v>
      </c>
      <c r="C13" s="304">
        <f t="shared" ref="C13:J13" si="8">C85</f>
        <v>334568.90800000005</v>
      </c>
      <c r="D13" s="305">
        <f t="shared" si="8"/>
        <v>12289.3</v>
      </c>
      <c r="E13" s="304">
        <f t="shared" si="8"/>
        <v>8480</v>
      </c>
      <c r="F13" s="304">
        <f t="shared" si="8"/>
        <v>317349.72526560002</v>
      </c>
      <c r="G13" s="305">
        <f t="shared" si="8"/>
        <v>453477.1</v>
      </c>
      <c r="H13" s="306">
        <f t="shared" si="8"/>
        <v>312899.19899999996</v>
      </c>
      <c r="I13" s="306">
        <f t="shared" si="8"/>
        <v>304513.50046679995</v>
      </c>
      <c r="J13" s="304">
        <f t="shared" si="8"/>
        <v>-12836.224798800074</v>
      </c>
      <c r="K13" s="301"/>
      <c r="L13" s="304">
        <f t="shared" si="6"/>
        <v>-12836.418465600058</v>
      </c>
      <c r="M13" s="304">
        <f t="shared" si="7"/>
        <v>0.19366679998347536</v>
      </c>
    </row>
    <row r="14" spans="2:13" x14ac:dyDescent="0.3">
      <c r="B14" s="303">
        <f t="shared" si="3"/>
        <v>44531</v>
      </c>
      <c r="C14" s="306">
        <f t="shared" ref="C14:J14" si="9">C86</f>
        <v>329706.68800000008</v>
      </c>
      <c r="D14" s="305">
        <f t="shared" si="9"/>
        <v>12156.6</v>
      </c>
      <c r="E14" s="306">
        <f t="shared" si="9"/>
        <v>8388</v>
      </c>
      <c r="F14" s="306">
        <f t="shared" si="9"/>
        <v>312707.34716160008</v>
      </c>
      <c r="G14" s="305">
        <f t="shared" si="9"/>
        <v>460229.3</v>
      </c>
      <c r="H14" s="306">
        <f t="shared" si="9"/>
        <v>317558.21699999995</v>
      </c>
      <c r="I14" s="306">
        <f t="shared" si="9"/>
        <v>309047.65678439994</v>
      </c>
      <c r="J14" s="304">
        <f t="shared" si="9"/>
        <v>-3659.6903772001388</v>
      </c>
      <c r="K14" s="301"/>
      <c r="L14" s="304">
        <f t="shared" si="6"/>
        <v>-3659.9015616000979</v>
      </c>
      <c r="M14" s="304">
        <f t="shared" si="7"/>
        <v>0.2111843999591656</v>
      </c>
    </row>
    <row r="15" spans="2:13" x14ac:dyDescent="0.3">
      <c r="B15" s="303">
        <f t="shared" si="3"/>
        <v>44562</v>
      </c>
      <c r="C15" s="304">
        <f t="shared" ref="C15:J15" si="10">C87</f>
        <v>314240.772</v>
      </c>
      <c r="D15" s="305">
        <f t="shared" si="10"/>
        <v>11558.9</v>
      </c>
      <c r="E15" s="304">
        <f t="shared" si="10"/>
        <v>7976</v>
      </c>
      <c r="F15" s="304">
        <f t="shared" si="10"/>
        <v>298056.87611039996</v>
      </c>
      <c r="G15" s="305">
        <f t="shared" si="10"/>
        <v>480393.5</v>
      </c>
      <c r="H15" s="306">
        <f t="shared" si="10"/>
        <v>331471.51499999996</v>
      </c>
      <c r="I15" s="306">
        <f t="shared" si="10"/>
        <v>322588.07839799993</v>
      </c>
      <c r="J15" s="304">
        <f t="shared" si="10"/>
        <v>24531.202287599968</v>
      </c>
      <c r="K15" s="301"/>
      <c r="L15" s="304">
        <f t="shared" si="6"/>
        <v>-314.11212113051442</v>
      </c>
      <c r="M15" s="304">
        <f t="shared" si="7"/>
        <v>24845.314408730483</v>
      </c>
    </row>
    <row r="16" spans="2:13" x14ac:dyDescent="0.3">
      <c r="B16" s="303">
        <f t="shared" si="3"/>
        <v>44593</v>
      </c>
      <c r="C16" s="306">
        <f t="shared" ref="C16:J16" si="11">C88</f>
        <v>248891.52799999999</v>
      </c>
      <c r="D16" s="305">
        <f t="shared" si="11"/>
        <v>9245.4</v>
      </c>
      <c r="E16" s="306">
        <f t="shared" si="11"/>
        <v>6379</v>
      </c>
      <c r="F16" s="306">
        <f t="shared" si="11"/>
        <v>236013.19224959999</v>
      </c>
      <c r="G16" s="305">
        <f t="shared" si="11"/>
        <v>418521.59999999998</v>
      </c>
      <c r="H16" s="306">
        <f t="shared" si="11"/>
        <v>288779.90399999998</v>
      </c>
      <c r="I16" s="306">
        <f t="shared" si="11"/>
        <v>281040.60257279995</v>
      </c>
      <c r="J16" s="304">
        <f t="shared" si="11"/>
        <v>45027.410323199962</v>
      </c>
      <c r="K16" s="301"/>
      <c r="L16" s="304">
        <f t="shared" si="6"/>
        <v>-314.11212113051442</v>
      </c>
      <c r="M16" s="304">
        <f t="shared" si="7"/>
        <v>45341.522444330476</v>
      </c>
    </row>
    <row r="17" spans="2:14" x14ac:dyDescent="0.3">
      <c r="B17" s="303">
        <f t="shared" si="3"/>
        <v>44621</v>
      </c>
      <c r="C17" s="304">
        <f t="shared" ref="C17:J17" si="12">C89</f>
        <v>242588.076</v>
      </c>
      <c r="D17" s="305">
        <f t="shared" si="12"/>
        <v>9105.1</v>
      </c>
      <c r="E17" s="304">
        <f t="shared" si="12"/>
        <v>6283</v>
      </c>
      <c r="F17" s="304">
        <f t="shared" si="12"/>
        <v>229972.09996319999</v>
      </c>
      <c r="G17" s="305">
        <f t="shared" si="12"/>
        <v>464528.5</v>
      </c>
      <c r="H17" s="306">
        <f t="shared" si="12"/>
        <v>320524.66499999998</v>
      </c>
      <c r="I17" s="306">
        <f t="shared" si="12"/>
        <v>311934.60397799994</v>
      </c>
      <c r="J17" s="304">
        <f t="shared" si="12"/>
        <v>81962.504014799953</v>
      </c>
      <c r="K17" s="301"/>
      <c r="L17" s="304">
        <f t="shared" si="6"/>
        <v>-314.11212113051442</v>
      </c>
      <c r="M17" s="304">
        <f t="shared" si="7"/>
        <v>82276.616135930468</v>
      </c>
    </row>
    <row r="18" spans="2:14" x14ac:dyDescent="0.3">
      <c r="B18" s="303">
        <f t="shared" si="3"/>
        <v>44652</v>
      </c>
      <c r="C18" s="306">
        <f t="shared" ref="C18:J18" si="13">C90</f>
        <v>198366.03200000001</v>
      </c>
      <c r="D18" s="305">
        <f t="shared" si="13"/>
        <v>7460.5</v>
      </c>
      <c r="E18" s="306">
        <f t="shared" si="13"/>
        <v>5148</v>
      </c>
      <c r="F18" s="306">
        <f t="shared" si="13"/>
        <v>188039.78874240001</v>
      </c>
      <c r="G18" s="305">
        <f t="shared" si="13"/>
        <v>458092.5</v>
      </c>
      <c r="H18" s="306">
        <f t="shared" si="13"/>
        <v>316083.82499999995</v>
      </c>
      <c r="I18" s="306">
        <f t="shared" si="13"/>
        <v>307612.77848999994</v>
      </c>
      <c r="J18" s="304">
        <f t="shared" si="13"/>
        <v>119572.98974759993</v>
      </c>
      <c r="K18" s="301"/>
      <c r="L18" s="304">
        <f t="shared" si="6"/>
        <v>-314.11212113051442</v>
      </c>
      <c r="M18" s="304">
        <f t="shared" si="7"/>
        <v>119887.10186873045</v>
      </c>
    </row>
    <row r="19" spans="2:14" x14ac:dyDescent="0.3">
      <c r="B19" s="303">
        <f t="shared" si="3"/>
        <v>44682</v>
      </c>
      <c r="C19" s="304">
        <f t="shared" ref="C19:J19" si="14">C91</f>
        <v>184463.58</v>
      </c>
      <c r="D19" s="305">
        <f t="shared" si="14"/>
        <v>7015.7</v>
      </c>
      <c r="E19" s="304">
        <f t="shared" si="14"/>
        <v>4841</v>
      </c>
      <c r="F19" s="304">
        <f t="shared" si="14"/>
        <v>174808.69485599999</v>
      </c>
      <c r="G19" s="305">
        <f t="shared" si="14"/>
        <v>441556.1</v>
      </c>
      <c r="H19" s="306">
        <f t="shared" si="14"/>
        <v>304673.70899999997</v>
      </c>
      <c r="I19" s="306">
        <f t="shared" si="14"/>
        <v>296508.45359879994</v>
      </c>
      <c r="J19" s="304">
        <f t="shared" si="14"/>
        <v>121699.75874279995</v>
      </c>
      <c r="K19" s="301"/>
      <c r="L19" s="304">
        <f t="shared" si="6"/>
        <v>-314.11212113051442</v>
      </c>
      <c r="M19" s="304">
        <f t="shared" si="7"/>
        <v>122013.87086393047</v>
      </c>
    </row>
    <row r="20" spans="2:14" x14ac:dyDescent="0.3">
      <c r="B20" s="303">
        <f t="shared" si="3"/>
        <v>44713</v>
      </c>
      <c r="C20" s="306">
        <f t="shared" ref="C20:J20" si="15">C92</f>
        <v>192873.128</v>
      </c>
      <c r="D20" s="305">
        <f t="shared" si="15"/>
        <v>7263</v>
      </c>
      <c r="E20" s="306">
        <f t="shared" si="15"/>
        <v>5011</v>
      </c>
      <c r="F20" s="306">
        <f t="shared" si="15"/>
        <v>182827.42296959998</v>
      </c>
      <c r="G20" s="305">
        <f t="shared" si="15"/>
        <v>475377.5</v>
      </c>
      <c r="H20" s="306">
        <f t="shared" si="15"/>
        <v>328010.47499999998</v>
      </c>
      <c r="I20" s="306">
        <f t="shared" si="15"/>
        <v>319219.79426999995</v>
      </c>
      <c r="J20" s="304">
        <f t="shared" si="15"/>
        <v>136392.37130039997</v>
      </c>
      <c r="K20" s="301"/>
      <c r="L20" s="304">
        <f t="shared" si="6"/>
        <v>-314.11212113051442</v>
      </c>
      <c r="M20" s="304">
        <f t="shared" si="7"/>
        <v>136706.48342153049</v>
      </c>
    </row>
    <row r="21" spans="2:14" x14ac:dyDescent="0.3">
      <c r="B21" s="303">
        <f>B93</f>
        <v>44743</v>
      </c>
      <c r="C21" s="304">
        <f t="shared" ref="C21:J22" si="16">C93</f>
        <v>218906.50400000002</v>
      </c>
      <c r="D21" s="305">
        <f t="shared" si="16"/>
        <v>8162.2</v>
      </c>
      <c r="E21" s="304">
        <f t="shared" si="16"/>
        <v>5632</v>
      </c>
      <c r="F21" s="304">
        <f t="shared" si="16"/>
        <v>207558.74729279999</v>
      </c>
      <c r="G21" s="305">
        <f t="shared" si="16"/>
        <v>507360.6</v>
      </c>
      <c r="H21" s="306">
        <f t="shared" si="16"/>
        <v>350078.81399999995</v>
      </c>
      <c r="I21" s="306">
        <f t="shared" si="16"/>
        <v>340696.70178479992</v>
      </c>
      <c r="J21" s="304">
        <f t="shared" si="16"/>
        <v>133137.95449199993</v>
      </c>
      <c r="K21" s="301"/>
      <c r="L21" s="304">
        <f>S93</f>
        <v>-19140.989734912349</v>
      </c>
      <c r="M21" s="304">
        <f t="shared" si="7"/>
        <v>152278.94422691228</v>
      </c>
    </row>
    <row r="22" spans="2:14" x14ac:dyDescent="0.3">
      <c r="B22" s="303">
        <f>B94</f>
        <v>44774</v>
      </c>
      <c r="C22" s="306">
        <f t="shared" si="16"/>
        <v>235189.10800000001</v>
      </c>
      <c r="D22" s="305">
        <f t="shared" si="16"/>
        <v>8847.9</v>
      </c>
      <c r="E22" s="306">
        <f t="shared" si="16"/>
        <v>6105</v>
      </c>
      <c r="F22" s="306">
        <f t="shared" si="16"/>
        <v>222944.65390559999</v>
      </c>
      <c r="G22" s="305">
        <f t="shared" si="16"/>
        <v>519626.9</v>
      </c>
      <c r="H22" s="306">
        <f t="shared" si="16"/>
        <v>358542.56099999999</v>
      </c>
      <c r="I22" s="306">
        <f t="shared" si="16"/>
        <v>348933.62036519998</v>
      </c>
      <c r="J22" s="304">
        <f t="shared" si="16"/>
        <v>125988.96645959999</v>
      </c>
      <c r="K22" s="301"/>
      <c r="L22" s="304">
        <f>S94</f>
        <v>-56794.744962475903</v>
      </c>
      <c r="M22" s="304">
        <f t="shared" ref="M22" si="17">J22-L22</f>
        <v>182783.7114220759</v>
      </c>
    </row>
    <row r="23" spans="2:14" ht="5.0999999999999996" customHeight="1" x14ac:dyDescent="0.3">
      <c r="B23" s="301"/>
      <c r="C23" s="301"/>
      <c r="D23" s="301"/>
      <c r="E23" s="301"/>
      <c r="F23" s="301"/>
      <c r="G23" s="301"/>
      <c r="H23" s="301"/>
      <c r="I23" s="301"/>
      <c r="J23" s="301"/>
      <c r="K23" s="301"/>
      <c r="L23" s="301"/>
      <c r="M23" s="301"/>
    </row>
    <row r="24" spans="2:14" x14ac:dyDescent="0.3">
      <c r="B24" s="300" t="s">
        <v>151</v>
      </c>
      <c r="C24" s="306">
        <f>SUM(C11:C22)</f>
        <v>3209378.3840000005</v>
      </c>
      <c r="D24" s="305">
        <f t="shared" ref="D24:I24" si="18">SUM(D11:D22)</f>
        <v>119655.4</v>
      </c>
      <c r="E24" s="306">
        <f t="shared" si="18"/>
        <v>82563</v>
      </c>
      <c r="F24" s="306">
        <f t="shared" si="18"/>
        <v>3043016.7317088</v>
      </c>
      <c r="G24" s="305">
        <f t="shared" si="18"/>
        <v>5698718.1000000006</v>
      </c>
      <c r="H24" s="306">
        <f t="shared" si="18"/>
        <v>3932115.4889999991</v>
      </c>
      <c r="I24" s="306">
        <f t="shared" si="18"/>
        <v>3826734.7938947994</v>
      </c>
      <c r="J24" s="304">
        <f>SUM(J11:J22)</f>
        <v>783718.06218599947</v>
      </c>
      <c r="K24" s="301"/>
      <c r="L24" s="304">
        <f>SUM(L11:L22)</f>
        <v>-82416.496243371512</v>
      </c>
      <c r="M24" s="304">
        <f>SUM(M11:M22)</f>
        <v>866134.55842937075</v>
      </c>
    </row>
    <row r="25" spans="2:14" x14ac:dyDescent="0.3">
      <c r="F25" s="143"/>
      <c r="G25" s="106"/>
    </row>
    <row r="26" spans="2:14" x14ac:dyDescent="0.3">
      <c r="I26" s="330" t="s">
        <v>220</v>
      </c>
      <c r="J26" s="331">
        <f>J24</f>
        <v>783718.06218599947</v>
      </c>
      <c r="K26" s="281"/>
      <c r="L26" s="352">
        <f>L24</f>
        <v>-82416.496243371512</v>
      </c>
      <c r="M26" s="352">
        <f>J26-L26</f>
        <v>866134.55842937098</v>
      </c>
      <c r="N26" s="190" t="s">
        <v>203</v>
      </c>
    </row>
    <row r="27" spans="2:14" hidden="1" x14ac:dyDescent="0.3">
      <c r="B27" s="18" t="s">
        <v>205</v>
      </c>
      <c r="N27" s="18" t="s">
        <v>221</v>
      </c>
    </row>
    <row r="28" spans="2:14" hidden="1" x14ac:dyDescent="0.3">
      <c r="B28" s="149" t="str">
        <f>"(1) - TAP Actual Discounts reflect water's "&amp;FIXED('Assumptions and Inputs'!$C$47*100, 1, 0)&amp;"% allocated portion of the Total TAP Discount."</f>
        <v>(1) - TAP Actual Discounts reflect water's 40.0% allocated portion of the Total TAP Discount.</v>
      </c>
    </row>
    <row r="29" spans="2:14" hidden="1" x14ac:dyDescent="0.3">
      <c r="B29" s="149" t="s">
        <v>222</v>
      </c>
    </row>
    <row r="30" spans="2:14" hidden="1" x14ac:dyDescent="0.3">
      <c r="B30" s="149" t="str">
        <f>"(3) &amp; (6) - Water TAP-R Rates per "&amp;TEXT('Assumptions and Inputs'!F27,)&amp;" "&amp;TEXT('Assumptions and Inputs'!G27,)&amp;"."</f>
        <v>(3) &amp; (6) - Water TAP-R Rates per PWD Regulations - Rates and Charges Effective September 1, 2021 Section 10.3(a)(1).</v>
      </c>
    </row>
    <row r="31" spans="2:14" hidden="1" x14ac:dyDescent="0.3">
      <c r="B31" s="149" t="str">
        <f>"(4) &amp; (7) - Adjusted for system-wide collection factor in accordance with "&amp;'Assumptions and Inputs'!F45&amp;" "&amp;'Assumptions and Inputs'!G45&amp;"."</f>
        <v>(4) &amp; (7) - Adjusted for system-wide collection factor in accordance with PWD Regulations - Rates and Charges Effective September 1, 2021 Section 10.1(b)(3).</v>
      </c>
    </row>
    <row r="32" spans="2:14" hidden="1" x14ac:dyDescent="0.3">
      <c r="B32" s="156" t="s">
        <v>223</v>
      </c>
    </row>
    <row r="33" spans="2:13" hidden="1" x14ac:dyDescent="0.3">
      <c r="B33" s="156" t="s">
        <v>224</v>
      </c>
    </row>
    <row r="34" spans="2:13" hidden="1" x14ac:dyDescent="0.3">
      <c r="B34" s="156" t="str">
        <f>"(9) - Over/(Under) Collection for "&amp;TEXT(B11,"MMMM YYYY")&amp;" to "&amp;TEXT(B22,"MMMM YYYY")&amp;" as calculated during the prior TAP-R Reconciliation Determination."</f>
        <v>(9) - Over/(Under) Collection for September 2021 to August 2022 as calculated during the prior TAP-R Reconciliation Determination.</v>
      </c>
    </row>
    <row r="35" spans="2:13" hidden="1" x14ac:dyDescent="0.3">
      <c r="B35" s="156" t="s">
        <v>225</v>
      </c>
    </row>
    <row r="36" spans="2:13" x14ac:dyDescent="0.3"/>
    <row r="37" spans="2:13" x14ac:dyDescent="0.3">
      <c r="B37" s="279" t="str">
        <f>B114</f>
        <v xml:space="preserve">Philadelphia Water Department </v>
      </c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</row>
    <row r="38" spans="2:13" ht="15" thickBot="1" x14ac:dyDescent="0.35">
      <c r="B38" s="279" t="s">
        <v>301</v>
      </c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</row>
    <row r="39" spans="2:13" ht="15" thickBot="1" x14ac:dyDescent="0.35">
      <c r="C39" s="347" t="str">
        <f>C116</f>
        <v>Prior Reconciliation Period with Updated Actuals</v>
      </c>
      <c r="D39" s="348"/>
      <c r="E39" s="348"/>
      <c r="F39" s="348"/>
      <c r="G39" s="348"/>
      <c r="H39" s="348"/>
      <c r="I39" s="348"/>
      <c r="J39" s="349"/>
      <c r="K39" s="281"/>
      <c r="L39" s="350" t="str">
        <f>L4</f>
        <v>Original Estimates</v>
      </c>
      <c r="M39" s="351" t="s">
        <v>217</v>
      </c>
    </row>
    <row r="40" spans="2:13" x14ac:dyDescent="0.3">
      <c r="B40" s="307" t="str">
        <f>B117</f>
        <v>Billing</v>
      </c>
      <c r="C40" s="308" t="str">
        <f>C117</f>
        <v>Total Actual TAP</v>
      </c>
      <c r="D40" s="308" t="str">
        <f t="shared" ref="D40:J41" si="19">D117</f>
        <v>Billed</v>
      </c>
      <c r="E40" s="343" t="str">
        <f t="shared" si="19"/>
        <v>Total TAP-R</v>
      </c>
      <c r="F40" s="308" t="str">
        <f t="shared" si="19"/>
        <v>Adjusted Actual TAP</v>
      </c>
      <c r="G40" s="311" t="str">
        <f t="shared" si="19"/>
        <v>Billed Non-TAP</v>
      </c>
      <c r="H40" s="308" t="str">
        <f t="shared" si="19"/>
        <v>TAP-R Billed</v>
      </c>
      <c r="I40" s="311" t="str">
        <f t="shared" si="19"/>
        <v>Estimated TAP-R</v>
      </c>
      <c r="J40" s="308" t="str">
        <f t="shared" si="19"/>
        <v>Over/(Under)</v>
      </c>
      <c r="L40" s="308" t="str">
        <f>S117</f>
        <v>Over/(Under)</v>
      </c>
      <c r="M40" s="308" t="str">
        <f>U77</f>
        <v xml:space="preserve">Delta </v>
      </c>
    </row>
    <row r="41" spans="2:13" x14ac:dyDescent="0.3">
      <c r="B41" s="308" t="str">
        <f>B118</f>
        <v>Period</v>
      </c>
      <c r="C41" s="308" t="str">
        <f>C118</f>
        <v>Discounts</v>
      </c>
      <c r="D41" s="308" t="str">
        <f t="shared" si="19"/>
        <v>Sewer Volume</v>
      </c>
      <c r="E41" s="343" t="str">
        <f t="shared" si="19"/>
        <v xml:space="preserve">Billed </v>
      </c>
      <c r="F41" s="308" t="str">
        <f t="shared" si="19"/>
        <v>Discounts</v>
      </c>
      <c r="G41" s="311" t="str">
        <f t="shared" si="19"/>
        <v>Sewer Volume</v>
      </c>
      <c r="H41" s="308" t="str">
        <f t="shared" si="19"/>
        <v>Non-Tap Water Sales</v>
      </c>
      <c r="I41" s="311" t="str">
        <f t="shared" si="19"/>
        <v xml:space="preserve">Revenues </v>
      </c>
      <c r="J41" s="308" t="str">
        <f t="shared" si="19"/>
        <v>Collection</v>
      </c>
      <c r="L41" s="308" t="str">
        <f>S118</f>
        <v>Collection</v>
      </c>
      <c r="M41" s="308"/>
    </row>
    <row r="42" spans="2:13" x14ac:dyDescent="0.3">
      <c r="B42" s="308"/>
      <c r="C42" s="308" t="str">
        <f>C119</f>
        <v xml:space="preserve">(Credits) </v>
      </c>
      <c r="D42" s="308" t="str">
        <f>D119</f>
        <v>TAP Participants</v>
      </c>
      <c r="E42" s="343" t="str">
        <f>E119</f>
        <v>to TAP Participants</v>
      </c>
      <c r="F42" s="308" t="str">
        <f>F119</f>
        <v xml:space="preserve">(Credits) </v>
      </c>
      <c r="G42" s="311" t="str">
        <f>G119</f>
        <v>(Mcf)</v>
      </c>
      <c r="H42" s="308"/>
      <c r="I42" s="311" t="str">
        <f>I119</f>
        <v>Experienced</v>
      </c>
      <c r="J42" s="308"/>
      <c r="L42" s="308"/>
      <c r="M42" s="308"/>
    </row>
    <row r="43" spans="2:13" x14ac:dyDescent="0.3">
      <c r="B43" s="308"/>
      <c r="C43" s="308"/>
      <c r="D43" s="308" t="str">
        <f t="shared" ref="D43:F44" si="20">D120</f>
        <v>(Mcf)</v>
      </c>
      <c r="E43" s="346">
        <f t="shared" si="20"/>
        <v>1.0900000000000001</v>
      </c>
      <c r="F43" s="324">
        <f t="shared" si="20"/>
        <v>0.97319999999999995</v>
      </c>
      <c r="G43" s="317"/>
      <c r="H43" s="345">
        <f>H120</f>
        <v>1.0900000000000001</v>
      </c>
      <c r="I43" s="323">
        <f>I120</f>
        <v>0.97319999999999995</v>
      </c>
      <c r="J43" s="341"/>
      <c r="L43" s="341"/>
      <c r="M43" s="341"/>
    </row>
    <row r="44" spans="2:13" x14ac:dyDescent="0.3">
      <c r="B44" s="308"/>
      <c r="C44" s="308" t="str">
        <f>C121</f>
        <v>(1)</v>
      </c>
      <c r="D44" s="308" t="str">
        <f t="shared" si="20"/>
        <v>(2)</v>
      </c>
      <c r="E44" s="344" t="str">
        <f t="shared" si="20"/>
        <v>(3) = (2) * $ 1.090/Mcf</v>
      </c>
      <c r="F44" s="320" t="str">
        <f t="shared" si="20"/>
        <v>(4) = [(1) - (3)]* 0.9732</v>
      </c>
      <c r="G44" s="318" t="str">
        <f>G121</f>
        <v>(5)</v>
      </c>
      <c r="H44" s="320" t="str">
        <f>H121</f>
        <v>(6) = (5) * $ 1.090/Mcf</v>
      </c>
      <c r="I44" s="317" t="str">
        <f>I121</f>
        <v>(7) = (6) * 0.9732</v>
      </c>
      <c r="J44" s="320" t="str">
        <f>J121</f>
        <v>(8) = (7) - (4)</v>
      </c>
      <c r="L44" s="320" t="s">
        <v>218</v>
      </c>
      <c r="M44" s="320" t="s">
        <v>219</v>
      </c>
    </row>
    <row r="45" spans="2:13" x14ac:dyDescent="0.3">
      <c r="B45" s="300"/>
      <c r="C45" s="301"/>
      <c r="D45" s="301"/>
      <c r="E45" s="301"/>
      <c r="F45" s="301"/>
      <c r="G45" s="301"/>
      <c r="H45" s="301"/>
      <c r="I45" s="301"/>
      <c r="J45" s="301"/>
      <c r="K45" s="301"/>
      <c r="L45" s="301"/>
      <c r="M45" s="301"/>
    </row>
    <row r="46" spans="2:13" x14ac:dyDescent="0.3">
      <c r="B46" s="303">
        <f t="shared" ref="B46:J46" si="21">B123</f>
        <v>44440</v>
      </c>
      <c r="C46" s="304">
        <f t="shared" si="21"/>
        <v>501395.15399999998</v>
      </c>
      <c r="D46" s="305">
        <f t="shared" si="21"/>
        <v>12758.1</v>
      </c>
      <c r="E46" s="306">
        <f t="shared" si="21"/>
        <v>13906.329000000002</v>
      </c>
      <c r="F46" s="304">
        <f t="shared" si="21"/>
        <v>474424.12448999996</v>
      </c>
      <c r="G46" s="305">
        <f t="shared" si="21"/>
        <v>474200.5</v>
      </c>
      <c r="H46" s="306">
        <f t="shared" si="21"/>
        <v>516879</v>
      </c>
      <c r="I46" s="306">
        <f t="shared" si="21"/>
        <v>503026.64279999997</v>
      </c>
      <c r="J46" s="304">
        <f t="shared" si="21"/>
        <v>28602.518310000014</v>
      </c>
      <c r="K46" s="301"/>
      <c r="L46" s="304">
        <f t="shared" ref="L46:L56" si="22">S123</f>
        <v>28602.198127200012</v>
      </c>
      <c r="M46" s="304">
        <f>J46-L46</f>
        <v>0.32018280000193045</v>
      </c>
    </row>
    <row r="47" spans="2:13" x14ac:dyDescent="0.3">
      <c r="B47" s="303">
        <f t="shared" ref="B47:J47" si="23">B124</f>
        <v>44470</v>
      </c>
      <c r="C47" s="306">
        <f t="shared" si="23"/>
        <v>562980.93599999999</v>
      </c>
      <c r="D47" s="305">
        <f t="shared" si="23"/>
        <v>13786.4</v>
      </c>
      <c r="E47" s="306">
        <f t="shared" si="23"/>
        <v>15027.176000000001</v>
      </c>
      <c r="F47" s="306">
        <f t="shared" si="23"/>
        <v>533268.59923199995</v>
      </c>
      <c r="G47" s="305">
        <f t="shared" si="23"/>
        <v>484289.5</v>
      </c>
      <c r="H47" s="306">
        <f t="shared" si="23"/>
        <v>527876</v>
      </c>
      <c r="I47" s="306">
        <f t="shared" si="23"/>
        <v>513728.92319999996</v>
      </c>
      <c r="J47" s="304">
        <f t="shared" si="23"/>
        <v>-19539.676031999988</v>
      </c>
      <c r="K47" s="301"/>
      <c r="L47" s="304">
        <f t="shared" si="22"/>
        <v>-19539.847315200022</v>
      </c>
      <c r="M47" s="304">
        <f t="shared" ref="M47:M56" si="24">J47-L47</f>
        <v>0.17128320003394037</v>
      </c>
    </row>
    <row r="48" spans="2:13" x14ac:dyDescent="0.3">
      <c r="B48" s="303">
        <f t="shared" ref="B48:J48" si="25">B125</f>
        <v>44501</v>
      </c>
      <c r="C48" s="304">
        <f t="shared" si="25"/>
        <v>501853.36199999996</v>
      </c>
      <c r="D48" s="305">
        <f t="shared" si="25"/>
        <v>12286.4</v>
      </c>
      <c r="E48" s="304">
        <f t="shared" si="25"/>
        <v>13392.176000000001</v>
      </c>
      <c r="F48" s="304">
        <f t="shared" si="25"/>
        <v>475370.42621519999</v>
      </c>
      <c r="G48" s="305">
        <f t="shared" si="25"/>
        <v>428073.5</v>
      </c>
      <c r="H48" s="306">
        <f t="shared" si="25"/>
        <v>466600</v>
      </c>
      <c r="I48" s="306">
        <f t="shared" si="25"/>
        <v>454095.12</v>
      </c>
      <c r="J48" s="304">
        <f t="shared" si="25"/>
        <v>-21275.306215199991</v>
      </c>
      <c r="K48" s="301"/>
      <c r="L48" s="304">
        <f t="shared" si="22"/>
        <v>-21275.477498399967</v>
      </c>
      <c r="M48" s="304">
        <f t="shared" si="24"/>
        <v>0.17128319997573271</v>
      </c>
    </row>
    <row r="49" spans="2:14" x14ac:dyDescent="0.3">
      <c r="B49" s="303">
        <f t="shared" ref="B49:J49" si="26">B126</f>
        <v>44531</v>
      </c>
      <c r="C49" s="306">
        <f t="shared" si="26"/>
        <v>494560.03200000001</v>
      </c>
      <c r="D49" s="305">
        <f t="shared" si="26"/>
        <v>12154.2</v>
      </c>
      <c r="E49" s="306">
        <f t="shared" si="26"/>
        <v>13248.078000000001</v>
      </c>
      <c r="F49" s="306">
        <f t="shared" si="26"/>
        <v>468412.79363279999</v>
      </c>
      <c r="G49" s="305">
        <f t="shared" si="26"/>
        <v>437813.6</v>
      </c>
      <c r="H49" s="306">
        <f t="shared" si="26"/>
        <v>477217</v>
      </c>
      <c r="I49" s="306">
        <f t="shared" si="26"/>
        <v>464427.58439999999</v>
      </c>
      <c r="J49" s="304">
        <f t="shared" si="26"/>
        <v>-3985.2092327999999</v>
      </c>
      <c r="K49" s="301"/>
      <c r="L49" s="304">
        <f t="shared" si="22"/>
        <v>-3985.285142400011</v>
      </c>
      <c r="M49" s="304">
        <f t="shared" si="24"/>
        <v>7.5909600011073053E-2</v>
      </c>
    </row>
    <row r="50" spans="2:14" x14ac:dyDescent="0.3">
      <c r="B50" s="303">
        <f t="shared" ref="B50:J50" si="27">B127</f>
        <v>44562</v>
      </c>
      <c r="C50" s="304">
        <f t="shared" si="27"/>
        <v>471361.15799999994</v>
      </c>
      <c r="D50" s="305">
        <f t="shared" si="27"/>
        <v>11557.8</v>
      </c>
      <c r="E50" s="304">
        <f t="shared" si="27"/>
        <v>12598.002</v>
      </c>
      <c r="F50" s="304">
        <f t="shared" si="27"/>
        <v>446468.30341919995</v>
      </c>
      <c r="G50" s="305">
        <f t="shared" si="27"/>
        <v>455863.4</v>
      </c>
      <c r="H50" s="306">
        <f t="shared" si="27"/>
        <v>496891</v>
      </c>
      <c r="I50" s="306">
        <f t="shared" si="27"/>
        <v>483574.32120000001</v>
      </c>
      <c r="J50" s="304">
        <f t="shared" si="27"/>
        <v>37106.017780800059</v>
      </c>
      <c r="K50" s="301"/>
      <c r="L50" s="304">
        <f t="shared" si="22"/>
        <v>-2629.2391816957388</v>
      </c>
      <c r="M50" s="304">
        <f t="shared" si="24"/>
        <v>39735.256962495798</v>
      </c>
    </row>
    <row r="51" spans="2:14" x14ac:dyDescent="0.3">
      <c r="B51" s="303">
        <f t="shared" ref="B51:J51" si="28">B128</f>
        <v>44593</v>
      </c>
      <c r="C51" s="306">
        <f t="shared" si="28"/>
        <v>373337.29199999996</v>
      </c>
      <c r="D51" s="305">
        <f t="shared" si="28"/>
        <v>9244.5</v>
      </c>
      <c r="E51" s="306">
        <f t="shared" si="28"/>
        <v>10076.505000000001</v>
      </c>
      <c r="F51" s="306">
        <f t="shared" si="28"/>
        <v>353525.39790839993</v>
      </c>
      <c r="G51" s="305">
        <f t="shared" si="28"/>
        <v>399126.4</v>
      </c>
      <c r="H51" s="306">
        <f t="shared" si="28"/>
        <v>435048</v>
      </c>
      <c r="I51" s="306">
        <f t="shared" si="28"/>
        <v>423388.71359999996</v>
      </c>
      <c r="J51" s="304">
        <f t="shared" si="28"/>
        <v>69863.31569160003</v>
      </c>
      <c r="K51" s="301"/>
      <c r="L51" s="304">
        <f t="shared" si="22"/>
        <v>-2629.2391816957388</v>
      </c>
      <c r="M51" s="304">
        <f t="shared" si="24"/>
        <v>72492.554873295769</v>
      </c>
    </row>
    <row r="52" spans="2:14" x14ac:dyDescent="0.3">
      <c r="B52" s="303">
        <f t="shared" ref="B52:J52" si="29">B129</f>
        <v>44621</v>
      </c>
      <c r="C52" s="304">
        <f t="shared" si="29"/>
        <v>363882.11399999994</v>
      </c>
      <c r="D52" s="305">
        <f t="shared" si="29"/>
        <v>9103.7999999999993</v>
      </c>
      <c r="E52" s="304">
        <f t="shared" si="29"/>
        <v>9923.1419999999998</v>
      </c>
      <c r="F52" s="304">
        <f t="shared" si="29"/>
        <v>344472.87155039993</v>
      </c>
      <c r="G52" s="305">
        <f t="shared" si="29"/>
        <v>443444.2</v>
      </c>
      <c r="H52" s="306">
        <f t="shared" si="29"/>
        <v>483354</v>
      </c>
      <c r="I52" s="306">
        <f t="shared" si="29"/>
        <v>470400.1128</v>
      </c>
      <c r="J52" s="304">
        <f t="shared" si="29"/>
        <v>125927.24124960008</v>
      </c>
      <c r="K52" s="301"/>
      <c r="L52" s="304">
        <f t="shared" si="22"/>
        <v>-2629.2391816957388</v>
      </c>
      <c r="M52" s="304">
        <f t="shared" si="24"/>
        <v>128556.48043129581</v>
      </c>
    </row>
    <row r="53" spans="2:14" x14ac:dyDescent="0.3">
      <c r="B53" s="303">
        <f t="shared" ref="B53:J53" si="30">B130</f>
        <v>44652</v>
      </c>
      <c r="C53" s="306">
        <f t="shared" si="30"/>
        <v>297549.04799999995</v>
      </c>
      <c r="D53" s="305">
        <f t="shared" si="30"/>
        <v>7459.6</v>
      </c>
      <c r="E53" s="306">
        <f t="shared" si="30"/>
        <v>8130.9640000000009</v>
      </c>
      <c r="F53" s="306">
        <f t="shared" si="30"/>
        <v>281661.67934879998</v>
      </c>
      <c r="G53" s="305">
        <f t="shared" si="30"/>
        <v>434412.4</v>
      </c>
      <c r="H53" s="306">
        <f t="shared" si="30"/>
        <v>473510</v>
      </c>
      <c r="I53" s="306">
        <f t="shared" si="30"/>
        <v>460819.93199999997</v>
      </c>
      <c r="J53" s="304">
        <f t="shared" si="30"/>
        <v>179158.25265119999</v>
      </c>
      <c r="K53" s="301"/>
      <c r="L53" s="304">
        <f t="shared" si="22"/>
        <v>-2629.2391816957388</v>
      </c>
      <c r="M53" s="304">
        <f t="shared" si="24"/>
        <v>181787.49183289573</v>
      </c>
    </row>
    <row r="54" spans="2:14" x14ac:dyDescent="0.3">
      <c r="B54" s="303">
        <f t="shared" ref="B54:J54" si="31">B131</f>
        <v>44682</v>
      </c>
      <c r="C54" s="304">
        <f t="shared" si="31"/>
        <v>276695.36999999994</v>
      </c>
      <c r="D54" s="305">
        <f t="shared" si="31"/>
        <v>7015.7</v>
      </c>
      <c r="E54" s="304">
        <f t="shared" si="31"/>
        <v>7647.1130000000003</v>
      </c>
      <c r="F54" s="304">
        <f t="shared" si="31"/>
        <v>261837.7637123999</v>
      </c>
      <c r="G54" s="305">
        <f t="shared" si="31"/>
        <v>419412.8</v>
      </c>
      <c r="H54" s="306">
        <f t="shared" si="31"/>
        <v>457160</v>
      </c>
      <c r="I54" s="306">
        <f t="shared" si="31"/>
        <v>444908.11199999996</v>
      </c>
      <c r="J54" s="304">
        <f t="shared" si="31"/>
        <v>183070.34828760006</v>
      </c>
      <c r="K54" s="301"/>
      <c r="L54" s="304">
        <f t="shared" si="22"/>
        <v>-2629.2391816957388</v>
      </c>
      <c r="M54" s="304">
        <f t="shared" si="24"/>
        <v>185699.5874692958</v>
      </c>
    </row>
    <row r="55" spans="2:14" x14ac:dyDescent="0.3">
      <c r="B55" s="303">
        <f t="shared" ref="B55:J55" si="32">B132</f>
        <v>44713</v>
      </c>
      <c r="C55" s="306">
        <f t="shared" si="32"/>
        <v>289309.69199999998</v>
      </c>
      <c r="D55" s="305">
        <f t="shared" si="32"/>
        <v>7262.9</v>
      </c>
      <c r="E55" s="306">
        <f t="shared" si="32"/>
        <v>7916.5610000000006</v>
      </c>
      <c r="F55" s="306">
        <f t="shared" si="32"/>
        <v>273851.79508919996</v>
      </c>
      <c r="G55" s="305">
        <f t="shared" si="32"/>
        <v>449028.5</v>
      </c>
      <c r="H55" s="306">
        <f t="shared" si="32"/>
        <v>489441</v>
      </c>
      <c r="I55" s="306">
        <f t="shared" si="32"/>
        <v>476323.98119999998</v>
      </c>
      <c r="J55" s="304">
        <f t="shared" si="32"/>
        <v>202472.18611080002</v>
      </c>
      <c r="K55" s="301"/>
      <c r="L55" s="304">
        <f t="shared" si="22"/>
        <v>-2629.2391816957388</v>
      </c>
      <c r="M55" s="304">
        <f t="shared" si="24"/>
        <v>205101.42529249575</v>
      </c>
    </row>
    <row r="56" spans="2:14" x14ac:dyDescent="0.3">
      <c r="B56" s="303">
        <f t="shared" ref="B56:J57" si="33">B133</f>
        <v>44743</v>
      </c>
      <c r="C56" s="304">
        <f t="shared" si="33"/>
        <v>328359.75599999999</v>
      </c>
      <c r="D56" s="305">
        <f t="shared" si="33"/>
        <v>8161.5</v>
      </c>
      <c r="E56" s="304">
        <f t="shared" si="33"/>
        <v>8896.0349999999999</v>
      </c>
      <c r="F56" s="304">
        <f t="shared" si="33"/>
        <v>310902.09327720001</v>
      </c>
      <c r="G56" s="305">
        <f t="shared" si="33"/>
        <v>476872.6</v>
      </c>
      <c r="H56" s="306">
        <f t="shared" si="33"/>
        <v>519791</v>
      </c>
      <c r="I56" s="306">
        <f t="shared" si="33"/>
        <v>505860.60119999998</v>
      </c>
      <c r="J56" s="304">
        <f t="shared" si="33"/>
        <v>194958.50792279997</v>
      </c>
      <c r="K56" s="301"/>
      <c r="L56" s="304">
        <f t="shared" si="22"/>
        <v>-30869.555602368375</v>
      </c>
      <c r="M56" s="304">
        <f t="shared" si="24"/>
        <v>225828.06352516834</v>
      </c>
    </row>
    <row r="57" spans="2:14" x14ac:dyDescent="0.3">
      <c r="B57" s="303">
        <f t="shared" si="33"/>
        <v>44774</v>
      </c>
      <c r="C57" s="306">
        <f t="shared" si="33"/>
        <v>352783.66200000001</v>
      </c>
      <c r="D57" s="305">
        <f t="shared" si="33"/>
        <v>8846.7000000000007</v>
      </c>
      <c r="E57" s="306">
        <f t="shared" si="33"/>
        <v>9642.9030000000021</v>
      </c>
      <c r="F57" s="306">
        <f t="shared" si="33"/>
        <v>333944.58665880002</v>
      </c>
      <c r="G57" s="305">
        <f t="shared" si="33"/>
        <v>482089.6</v>
      </c>
      <c r="H57" s="306">
        <f t="shared" si="33"/>
        <v>525478</v>
      </c>
      <c r="I57" s="306">
        <f t="shared" si="33"/>
        <v>511395.18959999998</v>
      </c>
      <c r="J57" s="304">
        <f t="shared" si="33"/>
        <v>177450.60294119996</v>
      </c>
      <c r="K57" s="301"/>
      <c r="L57" s="304">
        <f t="shared" ref="L57" si="34">S134</f>
        <v>-87350.188443713763</v>
      </c>
      <c r="M57" s="304">
        <f t="shared" ref="M57" si="35">J57-L57</f>
        <v>264800.79138491373</v>
      </c>
    </row>
    <row r="58" spans="2:14" ht="5.0999999999999996" customHeight="1" x14ac:dyDescent="0.3">
      <c r="B58" s="301"/>
      <c r="C58" s="301"/>
      <c r="D58" s="301"/>
      <c r="E58" s="301"/>
      <c r="F58" s="301"/>
      <c r="G58" s="301"/>
      <c r="H58" s="301"/>
      <c r="I58" s="301"/>
      <c r="J58" s="301"/>
      <c r="K58" s="301"/>
      <c r="L58" s="301"/>
      <c r="M58" s="301"/>
    </row>
    <row r="59" spans="2:14" x14ac:dyDescent="0.3">
      <c r="B59" s="300" t="s">
        <v>151</v>
      </c>
      <c r="C59" s="306">
        <f>SUM(C46:C57)</f>
        <v>4814067.5759999994</v>
      </c>
      <c r="D59" s="305">
        <f t="shared" ref="D59:J59" si="36">SUM(D46:D57)</f>
        <v>119637.6</v>
      </c>
      <c r="E59" s="306">
        <f t="shared" si="36"/>
        <v>130404.98400000001</v>
      </c>
      <c r="F59" s="306">
        <f t="shared" si="36"/>
        <v>4558140.4345343998</v>
      </c>
      <c r="G59" s="305">
        <f t="shared" si="36"/>
        <v>5384626.9999999991</v>
      </c>
      <c r="H59" s="306">
        <f t="shared" si="36"/>
        <v>5869245</v>
      </c>
      <c r="I59" s="306">
        <f t="shared" si="36"/>
        <v>5711949.2340000002</v>
      </c>
      <c r="J59" s="304">
        <f t="shared" si="36"/>
        <v>1153808.7994656002</v>
      </c>
      <c r="K59" s="301"/>
      <c r="L59" s="304">
        <f>SUM(L46:L57)</f>
        <v>-150193.59096505656</v>
      </c>
      <c r="M59" s="304">
        <f>SUM(M46:M57)</f>
        <v>1304002.3904306567</v>
      </c>
    </row>
    <row r="60" spans="2:14" x14ac:dyDescent="0.3">
      <c r="B60" s="281"/>
      <c r="C60" s="281"/>
      <c r="D60" s="281"/>
      <c r="E60" s="281"/>
      <c r="F60" s="143"/>
      <c r="G60" s="329"/>
      <c r="H60" s="281"/>
      <c r="I60" s="281"/>
      <c r="J60" s="281"/>
      <c r="K60" s="281"/>
      <c r="L60" s="281"/>
      <c r="M60" s="281"/>
    </row>
    <row r="61" spans="2:14" x14ac:dyDescent="0.3">
      <c r="B61" s="281"/>
      <c r="C61" s="281"/>
      <c r="D61" s="281"/>
      <c r="E61" s="281"/>
      <c r="F61" s="281"/>
      <c r="G61" s="281"/>
      <c r="H61" s="281"/>
      <c r="I61" s="330" t="s">
        <v>220</v>
      </c>
      <c r="J61" s="331">
        <f>J59</f>
        <v>1153808.7994656002</v>
      </c>
      <c r="K61" s="281"/>
      <c r="L61" s="352">
        <f>L59</f>
        <v>-150193.59096505656</v>
      </c>
      <c r="M61" s="352">
        <f>J61-L61</f>
        <v>1304002.3904306567</v>
      </c>
      <c r="N61" s="58" t="s">
        <v>226</v>
      </c>
    </row>
    <row r="62" spans="2:14" x14ac:dyDescent="0.3">
      <c r="B62" s="298" t="s">
        <v>205</v>
      </c>
      <c r="C62" s="298"/>
      <c r="D62" s="298"/>
      <c r="E62" s="298"/>
      <c r="N62" s="18" t="s">
        <v>227</v>
      </c>
    </row>
    <row r="63" spans="2:14" x14ac:dyDescent="0.3">
      <c r="B63" s="353" t="str">
        <f>"(1) - TAP Actual Discounts reflects sewer's "&amp;FIXED('Assumptions and Inputs'!$C$49*100, 1, 0)&amp;"% allocated portion of the Total TAP Discount."</f>
        <v>(1) - TAP Actual Discounts reflects sewer's 60.0% allocated portion of the Total TAP Discount.</v>
      </c>
      <c r="C63" s="298"/>
      <c r="D63" s="298"/>
      <c r="E63" s="298"/>
    </row>
    <row r="64" spans="2:14" x14ac:dyDescent="0.3">
      <c r="B64" s="353" t="s">
        <v>222</v>
      </c>
      <c r="C64" s="298"/>
      <c r="D64" s="298"/>
      <c r="E64" s="298"/>
    </row>
    <row r="65" spans="1:22" x14ac:dyDescent="0.3">
      <c r="B65" s="353" t="str">
        <f>"(3) &amp; (6) - Sewer TAP-R Rates per PWD Regulations - Rates and Charges Effective "&amp;TEXT('Assumptions and Inputs'!F29,)&amp;" "&amp;TEXT('Assumptions and Inputs'!G29,)&amp;"."</f>
        <v>(3) &amp; (6) - Sewer TAP-R Rates per PWD Regulations - Rates and Charges Effective PWD Regulations - Rates and Charges Effective September 1, 2021 Section 10.3(b)(1).</v>
      </c>
      <c r="C65" s="298"/>
      <c r="D65" s="298"/>
      <c r="E65" s="298"/>
    </row>
    <row r="66" spans="1:22" x14ac:dyDescent="0.3">
      <c r="B66" s="353" t="str">
        <f>"(4) &amp; (7) - Adjusted for system-wide collection factor in accordance with  "&amp;'Assumptions and Inputs'!F45&amp;" "&amp;'Assumptions and Inputs'!G45&amp;"."</f>
        <v>(4) &amp; (7) - Adjusted for system-wide collection factor in accordance with  PWD Regulations - Rates and Charges Effective September 1, 2021 Section 10.1(b)(3).</v>
      </c>
      <c r="C66" s="298"/>
      <c r="D66" s="298"/>
      <c r="E66" s="298"/>
    </row>
    <row r="67" spans="1:22" x14ac:dyDescent="0.3">
      <c r="B67" s="353" t="str">
        <f>"(5) - Updated to reflect actual billed water sales volumes for January 2022 through August 2022."</f>
        <v>(5) - Updated to reflect actual billed water sales volumes for January 2022 through August 2022.</v>
      </c>
      <c r="C67" s="298"/>
      <c r="D67" s="298"/>
      <c r="E67" s="298"/>
    </row>
    <row r="68" spans="1:22" x14ac:dyDescent="0.3">
      <c r="B68" s="354" t="s">
        <v>224</v>
      </c>
      <c r="C68" s="298"/>
      <c r="D68" s="298"/>
      <c r="E68" s="298"/>
    </row>
    <row r="69" spans="1:22" x14ac:dyDescent="0.3">
      <c r="B69" s="354" t="str">
        <f>"(9) - Over/(Under) Collection for "&amp;TEXT(B46,"MMMM YYYY")&amp;" to "&amp;TEXT(B57,"MMMM YYYY")&amp;" as calculated during the prior TAP-R Reconciliation Determination."</f>
        <v>(9) - Over/(Under) Collection for September 2021 to August 2022 as calculated during the prior TAP-R Reconciliation Determination.</v>
      </c>
      <c r="C69" s="298"/>
      <c r="D69" s="298"/>
      <c r="E69" s="298"/>
    </row>
    <row r="70" spans="1:22" x14ac:dyDescent="0.3">
      <c r="B70" s="354" t="s">
        <v>225</v>
      </c>
      <c r="C70" s="298"/>
      <c r="D70" s="298"/>
      <c r="E70" s="298"/>
    </row>
    <row r="71" spans="1:22" x14ac:dyDescent="0.3">
      <c r="B71" s="156"/>
    </row>
    <row r="72" spans="1:22" x14ac:dyDescent="0.3">
      <c r="A72" s="157" t="s">
        <v>228</v>
      </c>
      <c r="B72" s="158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</row>
    <row r="73" spans="1:22" x14ac:dyDescent="0.3"/>
    <row r="74" spans="1:22" x14ac:dyDescent="0.3">
      <c r="B74" s="116" t="s">
        <v>31</v>
      </c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</row>
    <row r="75" spans="1:22" ht="15" thickBot="1" x14ac:dyDescent="0.35">
      <c r="B75" s="116" t="s">
        <v>229</v>
      </c>
      <c r="C75" s="116"/>
      <c r="D75" s="116"/>
      <c r="E75" s="116"/>
      <c r="F75" s="116"/>
      <c r="G75" s="116"/>
      <c r="H75" s="116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</row>
    <row r="76" spans="1:22" ht="15" thickBot="1" x14ac:dyDescent="0.35">
      <c r="C76" s="152" t="s">
        <v>230</v>
      </c>
      <c r="D76" s="153"/>
      <c r="E76" s="153"/>
      <c r="F76" s="153"/>
      <c r="G76" s="153"/>
      <c r="H76" s="153"/>
      <c r="I76" s="153"/>
      <c r="J76" s="154"/>
      <c r="L76" s="160" t="s">
        <v>231</v>
      </c>
      <c r="M76" s="161"/>
      <c r="N76" s="161"/>
      <c r="O76" s="161"/>
      <c r="P76" s="161"/>
      <c r="Q76" s="161"/>
      <c r="R76" s="161"/>
      <c r="S76" s="162"/>
      <c r="U76" s="187" t="s">
        <v>217</v>
      </c>
    </row>
    <row r="77" spans="1:22" x14ac:dyDescent="0.3">
      <c r="B77" s="120" t="s">
        <v>180</v>
      </c>
      <c r="C77" s="121" t="s">
        <v>181</v>
      </c>
      <c r="D77" s="121" t="s">
        <v>182</v>
      </c>
      <c r="E77" s="121" t="s">
        <v>183</v>
      </c>
      <c r="F77" s="121" t="s">
        <v>184</v>
      </c>
      <c r="G77" s="121" t="s">
        <v>185</v>
      </c>
      <c r="H77" s="121" t="s">
        <v>186</v>
      </c>
      <c r="I77" s="121" t="s">
        <v>187</v>
      </c>
      <c r="J77" s="121" t="s">
        <v>188</v>
      </c>
      <c r="L77" s="120" t="s">
        <v>181</v>
      </c>
      <c r="M77" s="120" t="s">
        <v>182</v>
      </c>
      <c r="N77" s="120" t="s">
        <v>183</v>
      </c>
      <c r="O77" s="120" t="s">
        <v>184</v>
      </c>
      <c r="P77" s="120" t="s">
        <v>185</v>
      </c>
      <c r="Q77" s="120" t="s">
        <v>186</v>
      </c>
      <c r="R77" s="120" t="s">
        <v>187</v>
      </c>
      <c r="S77" s="121" t="s">
        <v>188</v>
      </c>
      <c r="U77" s="121" t="s">
        <v>232</v>
      </c>
    </row>
    <row r="78" spans="1:22" x14ac:dyDescent="0.3">
      <c r="B78" s="121" t="s">
        <v>179</v>
      </c>
      <c r="C78" s="121" t="s">
        <v>189</v>
      </c>
      <c r="D78" s="121" t="s">
        <v>190</v>
      </c>
      <c r="E78" s="121" t="s">
        <v>191</v>
      </c>
      <c r="F78" s="121" t="s">
        <v>189</v>
      </c>
      <c r="G78" s="121" t="s">
        <v>190</v>
      </c>
      <c r="H78" s="121" t="s">
        <v>192</v>
      </c>
      <c r="I78" s="121" t="s">
        <v>193</v>
      </c>
      <c r="J78" s="121" t="s">
        <v>194</v>
      </c>
      <c r="L78" s="121" t="s">
        <v>189</v>
      </c>
      <c r="M78" s="121" t="s">
        <v>190</v>
      </c>
      <c r="N78" s="121" t="s">
        <v>191</v>
      </c>
      <c r="O78" s="121" t="s">
        <v>189</v>
      </c>
      <c r="P78" s="121" t="s">
        <v>190</v>
      </c>
      <c r="Q78" s="121" t="s">
        <v>192</v>
      </c>
      <c r="R78" s="121" t="s">
        <v>193</v>
      </c>
      <c r="S78" s="121" t="s">
        <v>194</v>
      </c>
      <c r="U78" s="121" t="s">
        <v>233</v>
      </c>
    </row>
    <row r="79" spans="1:22" x14ac:dyDescent="0.3">
      <c r="B79" s="121"/>
      <c r="C79" s="121" t="s">
        <v>195</v>
      </c>
      <c r="D79" s="121" t="s">
        <v>196</v>
      </c>
      <c r="E79" s="121" t="s">
        <v>197</v>
      </c>
      <c r="F79" s="121" t="s">
        <v>195</v>
      </c>
      <c r="G79" s="121" t="s">
        <v>196</v>
      </c>
      <c r="H79" s="121"/>
      <c r="I79" s="121" t="s">
        <v>198</v>
      </c>
      <c r="J79" s="121"/>
      <c r="L79" s="121" t="s">
        <v>195</v>
      </c>
      <c r="M79" s="121" t="s">
        <v>196</v>
      </c>
      <c r="N79" s="121" t="s">
        <v>197</v>
      </c>
      <c r="O79" s="121" t="s">
        <v>195</v>
      </c>
      <c r="P79" s="121" t="s">
        <v>196</v>
      </c>
      <c r="Q79" s="121"/>
      <c r="R79" s="121" t="s">
        <v>198</v>
      </c>
      <c r="S79" s="121"/>
      <c r="U79" s="121"/>
    </row>
    <row r="80" spans="1:22" x14ac:dyDescent="0.3">
      <c r="B80" s="121"/>
      <c r="C80" s="122"/>
      <c r="D80" s="122"/>
      <c r="E80" s="123">
        <f>'Assumptions and Inputs'!$C$27</f>
        <v>0.69</v>
      </c>
      <c r="F80" s="124">
        <f>'Assumptions and Inputs'!$C$45</f>
        <v>0.97319999999999995</v>
      </c>
      <c r="G80" s="122"/>
      <c r="H80" s="123">
        <f>'Assumptions and Inputs'!$C$27</f>
        <v>0.69</v>
      </c>
      <c r="I80" s="124">
        <f>'Assumptions and Inputs'!$C$45</f>
        <v>0.97319999999999995</v>
      </c>
      <c r="J80" s="125"/>
      <c r="L80" s="122"/>
      <c r="M80" s="122"/>
      <c r="N80" s="123">
        <v>0.56999999999999995</v>
      </c>
      <c r="O80" s="124">
        <v>0.96540000000000004</v>
      </c>
      <c r="P80" s="122"/>
      <c r="Q80" s="123">
        <v>0.56999999999999995</v>
      </c>
      <c r="R80" s="124">
        <v>0.96540000000000004</v>
      </c>
      <c r="S80" s="125"/>
      <c r="U80" s="125"/>
    </row>
    <row r="81" spans="1:21" x14ac:dyDescent="0.3">
      <c r="B81" s="126"/>
      <c r="C81" s="127" t="s">
        <v>161</v>
      </c>
      <c r="D81" s="127" t="s">
        <v>162</v>
      </c>
      <c r="E81" s="127" t="str">
        <f>"(3) = (2) * $ "&amp;FIXED(E80,3,)&amp;"/Mcf"</f>
        <v>(3) = (2) * $ 0.690/Mcf</v>
      </c>
      <c r="F81" s="127" t="str">
        <f>"(4) = [(1) - (3)]* "&amp;FIXED(F80,4,)&amp;""</f>
        <v>(4) = [(1) - (3)]* 0.9732</v>
      </c>
      <c r="G81" s="127" t="s">
        <v>165</v>
      </c>
      <c r="H81" s="127" t="str">
        <f>"(6) = (5) * $ "&amp;FIXED(H80,3,)&amp;"/Mcf"</f>
        <v>(6) = (5) * $ 0.690/Mcf</v>
      </c>
      <c r="I81" s="128" t="str">
        <f>"(7) = (6) * "&amp;FIXED(F80,4,)&amp;""</f>
        <v>(7) = (6) * 0.9732</v>
      </c>
      <c r="J81" s="127" t="s">
        <v>199</v>
      </c>
      <c r="L81" s="127" t="s">
        <v>161</v>
      </c>
      <c r="M81" s="127" t="s">
        <v>162</v>
      </c>
      <c r="N81" s="127" t="s">
        <v>234</v>
      </c>
      <c r="O81" s="127" t="s">
        <v>235</v>
      </c>
      <c r="P81" s="127" t="s">
        <v>165</v>
      </c>
      <c r="Q81" s="127" t="s">
        <v>236</v>
      </c>
      <c r="R81" s="128" t="s">
        <v>237</v>
      </c>
      <c r="S81" s="127" t="s">
        <v>199</v>
      </c>
      <c r="U81" s="127" t="s">
        <v>238</v>
      </c>
    </row>
    <row r="82" spans="1:21" x14ac:dyDescent="0.3">
      <c r="B82" s="129"/>
      <c r="C82" s="130"/>
      <c r="D82" s="130"/>
      <c r="E82" s="130"/>
      <c r="F82" s="130"/>
      <c r="G82" s="130"/>
      <c r="H82" s="130"/>
      <c r="I82" s="196" t="s">
        <v>200</v>
      </c>
      <c r="J82" s="195">
        <v>-32058.220280959271</v>
      </c>
      <c r="L82" s="130"/>
      <c r="M82" s="130"/>
      <c r="N82" s="130"/>
      <c r="O82" s="130"/>
      <c r="P82" s="130"/>
      <c r="Q82" s="130"/>
      <c r="R82" s="196" t="s">
        <v>200</v>
      </c>
      <c r="S82" s="195">
        <v>-32058.220280959271</v>
      </c>
      <c r="U82" s="130"/>
    </row>
    <row r="83" spans="1:21" x14ac:dyDescent="0.3">
      <c r="A83" s="41"/>
      <c r="B83" s="131">
        <v>44440</v>
      </c>
      <c r="C83" s="132">
        <f>Customer!AN$11*'Assumptions and Inputs'!$C$47</f>
        <v>334263.43599999999</v>
      </c>
      <c r="D83" s="133">
        <f>Customer!AN$29/'Assumptions and Inputs'!$C$21</f>
        <v>12760.8</v>
      </c>
      <c r="E83" s="134">
        <f t="shared" ref="E83:E93" si="37">ROUND($E$80*D83, 0)</f>
        <v>8805</v>
      </c>
      <c r="F83" s="132">
        <f>(C83-E83)*$F$80</f>
        <v>316736.14991519996</v>
      </c>
      <c r="G83" s="133">
        <f>Customer!AN$34/'Assumptions and Inputs'!$C$21</f>
        <v>504318.1</v>
      </c>
      <c r="H83" s="134">
        <f>$H$80*G83</f>
        <v>347979.48899999994</v>
      </c>
      <c r="I83" s="134">
        <f>H83*$I$80</f>
        <v>338653.63869479991</v>
      </c>
      <c r="J83" s="132">
        <f>I83-F83</f>
        <v>21917.488779599953</v>
      </c>
      <c r="L83" s="132">
        <v>334263.43599999999</v>
      </c>
      <c r="M83" s="133">
        <v>12760.8</v>
      </c>
      <c r="N83" s="134">
        <v>8805</v>
      </c>
      <c r="O83" s="132">
        <v>316736.14991519996</v>
      </c>
      <c r="P83" s="133">
        <v>504318.1</v>
      </c>
      <c r="Q83" s="134">
        <v>347979</v>
      </c>
      <c r="R83" s="134">
        <v>338653.16279999999</v>
      </c>
      <c r="S83" s="132">
        <v>21917.012884800031</v>
      </c>
      <c r="U83" s="132">
        <f>J83-S83</f>
        <v>0.47589479992166162</v>
      </c>
    </row>
    <row r="84" spans="1:21" x14ac:dyDescent="0.3">
      <c r="A84" s="41"/>
      <c r="B84" s="135">
        <v>44470</v>
      </c>
      <c r="C84" s="136">
        <f>Customer!AO$11*'Assumptions and Inputs'!$C$47</f>
        <v>375320.62400000001</v>
      </c>
      <c r="D84" s="137">
        <f>Customer!AO$29/'Assumptions and Inputs'!$C$21</f>
        <v>13790</v>
      </c>
      <c r="E84" s="136">
        <f t="shared" si="37"/>
        <v>9515</v>
      </c>
      <c r="F84" s="136">
        <f t="shared" ref="F84:F93" si="38">(C84-E84)*$F$80</f>
        <v>356002.03327680001</v>
      </c>
      <c r="G84" s="137">
        <f>Customer!AO$34/'Assumptions and Inputs'!$C$21</f>
        <v>515236.4</v>
      </c>
      <c r="H84" s="136">
        <f t="shared" ref="H84:H92" si="39">$H$80*G84</f>
        <v>355513.11599999998</v>
      </c>
      <c r="I84" s="136">
        <f t="shared" ref="I84:I93" si="40">H84*$I$80</f>
        <v>345985.36449119996</v>
      </c>
      <c r="J84" s="138">
        <f t="shared" ref="J84:J93" si="41">I84-F84</f>
        <v>-10016.66878560005</v>
      </c>
      <c r="L84" s="136">
        <v>375320.62400000001</v>
      </c>
      <c r="M84" s="137">
        <v>13790</v>
      </c>
      <c r="N84" s="136">
        <v>9515</v>
      </c>
      <c r="O84" s="136">
        <v>356002.03327680001</v>
      </c>
      <c r="P84" s="137">
        <v>515236.4</v>
      </c>
      <c r="Q84" s="136">
        <v>355513</v>
      </c>
      <c r="R84" s="136">
        <v>345985.25159999996</v>
      </c>
      <c r="S84" s="138">
        <v>-10016.781676800048</v>
      </c>
      <c r="U84" s="138">
        <f t="shared" ref="U84:U88" si="42">J84-S84</f>
        <v>0.11289119999855757</v>
      </c>
    </row>
    <row r="85" spans="1:21" x14ac:dyDescent="0.3">
      <c r="A85" s="41"/>
      <c r="B85" s="131">
        <v>44501</v>
      </c>
      <c r="C85" s="132">
        <f>Customer!AP$11*'Assumptions and Inputs'!$C$47</f>
        <v>334568.90800000005</v>
      </c>
      <c r="D85" s="139">
        <f>Customer!AP$29/'Assumptions and Inputs'!$C$21</f>
        <v>12289.3</v>
      </c>
      <c r="E85" s="132">
        <f t="shared" si="37"/>
        <v>8480</v>
      </c>
      <c r="F85" s="132">
        <f t="shared" si="38"/>
        <v>317349.72526560002</v>
      </c>
      <c r="G85" s="139">
        <f>Customer!AP$34/'Assumptions and Inputs'!$C$21</f>
        <v>453477.1</v>
      </c>
      <c r="H85" s="140">
        <f t="shared" si="39"/>
        <v>312899.19899999996</v>
      </c>
      <c r="I85" s="140">
        <f t="shared" si="40"/>
        <v>304513.50046679995</v>
      </c>
      <c r="J85" s="132">
        <f t="shared" si="41"/>
        <v>-12836.224798800074</v>
      </c>
      <c r="L85" s="132">
        <v>334568.90800000005</v>
      </c>
      <c r="M85" s="139">
        <v>12289.3</v>
      </c>
      <c r="N85" s="132">
        <v>8480</v>
      </c>
      <c r="O85" s="132">
        <v>317349.72526560002</v>
      </c>
      <c r="P85" s="139">
        <v>453477.1</v>
      </c>
      <c r="Q85" s="140">
        <v>312899</v>
      </c>
      <c r="R85" s="140">
        <v>304513.30679999996</v>
      </c>
      <c r="S85" s="132">
        <v>-12836.418465600058</v>
      </c>
      <c r="U85" s="132">
        <f t="shared" si="42"/>
        <v>0.19366679998347536</v>
      </c>
    </row>
    <row r="86" spans="1:21" x14ac:dyDescent="0.3">
      <c r="A86" s="41"/>
      <c r="B86" s="135">
        <v>44531</v>
      </c>
      <c r="C86" s="141">
        <f>Customer!AQ$11*'Assumptions and Inputs'!$C$47</f>
        <v>329706.68800000008</v>
      </c>
      <c r="D86" s="142">
        <f>Customer!AQ$29/'Assumptions and Inputs'!$C$21</f>
        <v>12156.6</v>
      </c>
      <c r="E86" s="141">
        <f t="shared" si="37"/>
        <v>8388</v>
      </c>
      <c r="F86" s="141">
        <f t="shared" si="38"/>
        <v>312707.34716160008</v>
      </c>
      <c r="G86" s="142">
        <f>Customer!AQ$34/'Assumptions and Inputs'!$C$21</f>
        <v>460229.3</v>
      </c>
      <c r="H86" s="141">
        <f t="shared" si="39"/>
        <v>317558.21699999995</v>
      </c>
      <c r="I86" s="141">
        <f t="shared" si="40"/>
        <v>309047.65678439994</v>
      </c>
      <c r="J86" s="138">
        <f t="shared" si="41"/>
        <v>-3659.6903772001388</v>
      </c>
      <c r="L86" s="141">
        <v>329706.68800000008</v>
      </c>
      <c r="M86" s="142">
        <v>12156.6</v>
      </c>
      <c r="N86" s="141">
        <v>8388</v>
      </c>
      <c r="O86" s="141">
        <v>312707.34716160008</v>
      </c>
      <c r="P86" s="142">
        <v>460229.3</v>
      </c>
      <c r="Q86" s="141">
        <v>317558</v>
      </c>
      <c r="R86" s="141">
        <v>309047.44559999998</v>
      </c>
      <c r="S86" s="138">
        <v>-3659.9015616000979</v>
      </c>
      <c r="U86" s="138">
        <f t="shared" si="42"/>
        <v>0.2111843999591656</v>
      </c>
    </row>
    <row r="87" spans="1:21" x14ac:dyDescent="0.3">
      <c r="A87" s="41"/>
      <c r="B87" s="131">
        <v>44562</v>
      </c>
      <c r="C87" s="132">
        <f>Customer!AR$11*'Assumptions and Inputs'!$C$47</f>
        <v>314240.772</v>
      </c>
      <c r="D87" s="139">
        <f>Customer!AR$29/'Assumptions and Inputs'!$C$21</f>
        <v>11558.9</v>
      </c>
      <c r="E87" s="132">
        <f t="shared" si="37"/>
        <v>7976</v>
      </c>
      <c r="F87" s="132">
        <f t="shared" si="38"/>
        <v>298056.87611039996</v>
      </c>
      <c r="G87" s="139">
        <f>Customer!AR$34/'Assumptions and Inputs'!$C$21</f>
        <v>480393.5</v>
      </c>
      <c r="H87" s="140">
        <f t="shared" si="39"/>
        <v>331471.51499999996</v>
      </c>
      <c r="I87" s="140">
        <f t="shared" si="40"/>
        <v>322588.07839799993</v>
      </c>
      <c r="J87" s="132">
        <f t="shared" si="41"/>
        <v>24531.202287599968</v>
      </c>
      <c r="L87" s="132">
        <v>331733.76214666106</v>
      </c>
      <c r="M87" s="139">
        <v>12758.831624799399</v>
      </c>
      <c r="N87" s="132">
        <v>8804</v>
      </c>
      <c r="O87" s="132">
        <v>314275.24452113052</v>
      </c>
      <c r="P87" s="139">
        <v>467546.41666666669</v>
      </c>
      <c r="Q87" s="140">
        <v>322607</v>
      </c>
      <c r="R87" s="140">
        <v>313961.1324</v>
      </c>
      <c r="S87" s="132">
        <v>-314.11212113051442</v>
      </c>
      <c r="U87" s="132">
        <f t="shared" si="42"/>
        <v>24845.314408730483</v>
      </c>
    </row>
    <row r="88" spans="1:21" x14ac:dyDescent="0.3">
      <c r="A88" s="41"/>
      <c r="B88" s="135">
        <v>44593</v>
      </c>
      <c r="C88" s="141">
        <f>Customer!AS$11*'Assumptions and Inputs'!$C$47</f>
        <v>248891.52799999999</v>
      </c>
      <c r="D88" s="142">
        <f>Customer!AS$29/'Assumptions and Inputs'!$C$21</f>
        <v>9245.4</v>
      </c>
      <c r="E88" s="141">
        <f t="shared" si="37"/>
        <v>6379</v>
      </c>
      <c r="F88" s="141">
        <f t="shared" si="38"/>
        <v>236013.19224959999</v>
      </c>
      <c r="G88" s="142">
        <f>Customer!AS$34/'Assumptions and Inputs'!$C$21</f>
        <v>418521.59999999998</v>
      </c>
      <c r="H88" s="141">
        <f t="shared" si="39"/>
        <v>288779.90399999998</v>
      </c>
      <c r="I88" s="141">
        <f t="shared" si="40"/>
        <v>281040.60257279995</v>
      </c>
      <c r="J88" s="138">
        <f t="shared" si="41"/>
        <v>45027.410323199962</v>
      </c>
      <c r="L88" s="141">
        <v>331733.76214666106</v>
      </c>
      <c r="M88" s="142">
        <v>12758.831624799399</v>
      </c>
      <c r="N88" s="141">
        <v>8804</v>
      </c>
      <c r="O88" s="141">
        <v>314275.24452113052</v>
      </c>
      <c r="P88" s="142">
        <v>467546.41666666669</v>
      </c>
      <c r="Q88" s="141">
        <v>322607</v>
      </c>
      <c r="R88" s="141">
        <v>313961.1324</v>
      </c>
      <c r="S88" s="138">
        <v>-314.11212113051442</v>
      </c>
      <c r="U88" s="138">
        <f t="shared" si="42"/>
        <v>45341.522444330476</v>
      </c>
    </row>
    <row r="89" spans="1:21" x14ac:dyDescent="0.3">
      <c r="A89" s="41"/>
      <c r="B89" s="131">
        <v>44621</v>
      </c>
      <c r="C89" s="132">
        <f>Customer!AT$11*'Assumptions and Inputs'!$C$47</f>
        <v>242588.076</v>
      </c>
      <c r="D89" s="139">
        <f>Customer!AT$29/'Assumptions and Inputs'!$C$21</f>
        <v>9105.1</v>
      </c>
      <c r="E89" s="132">
        <f t="shared" si="37"/>
        <v>6283</v>
      </c>
      <c r="F89" s="132">
        <f t="shared" si="38"/>
        <v>229972.09996319999</v>
      </c>
      <c r="G89" s="139">
        <f>Customer!AT$34/'Assumptions and Inputs'!$C$21</f>
        <v>464528.5</v>
      </c>
      <c r="H89" s="140">
        <f t="shared" si="39"/>
        <v>320524.66499999998</v>
      </c>
      <c r="I89" s="140">
        <f t="shared" si="40"/>
        <v>311934.60397799994</v>
      </c>
      <c r="J89" s="132">
        <f t="shared" si="41"/>
        <v>81962.504014799953</v>
      </c>
      <c r="L89" s="132">
        <v>331733.76214666106</v>
      </c>
      <c r="M89" s="139">
        <v>12758.831624799399</v>
      </c>
      <c r="N89" s="132">
        <v>8804</v>
      </c>
      <c r="O89" s="132">
        <v>314275.24452113052</v>
      </c>
      <c r="P89" s="139">
        <v>467546.41666666669</v>
      </c>
      <c r="Q89" s="140">
        <v>322607</v>
      </c>
      <c r="R89" s="140">
        <v>313961.1324</v>
      </c>
      <c r="S89" s="132">
        <v>-314.11212113051442</v>
      </c>
      <c r="U89" s="132">
        <f t="shared" ref="U89:U93" si="43">J89-S89</f>
        <v>82276.616135930468</v>
      </c>
    </row>
    <row r="90" spans="1:21" x14ac:dyDescent="0.3">
      <c r="A90" s="41"/>
      <c r="B90" s="135">
        <v>44652</v>
      </c>
      <c r="C90" s="141">
        <f>Customer!AU$11*'Assumptions and Inputs'!$C$47</f>
        <v>198366.03200000001</v>
      </c>
      <c r="D90" s="142">
        <f>Customer!AU$29/'Assumptions and Inputs'!$C$21</f>
        <v>7460.5</v>
      </c>
      <c r="E90" s="141">
        <f t="shared" si="37"/>
        <v>5148</v>
      </c>
      <c r="F90" s="141">
        <f t="shared" si="38"/>
        <v>188039.78874240001</v>
      </c>
      <c r="G90" s="142">
        <f>Customer!AU$34/'Assumptions and Inputs'!$C$21</f>
        <v>458092.5</v>
      </c>
      <c r="H90" s="141">
        <f t="shared" si="39"/>
        <v>316083.82499999995</v>
      </c>
      <c r="I90" s="141">
        <f t="shared" si="40"/>
        <v>307612.77848999994</v>
      </c>
      <c r="J90" s="138">
        <f t="shared" si="41"/>
        <v>119572.98974759993</v>
      </c>
      <c r="L90" s="141">
        <v>331733.76214666106</v>
      </c>
      <c r="M90" s="142">
        <v>12758.831624799399</v>
      </c>
      <c r="N90" s="141">
        <v>8804</v>
      </c>
      <c r="O90" s="141">
        <v>314275.24452113052</v>
      </c>
      <c r="P90" s="142">
        <v>467546.41666666669</v>
      </c>
      <c r="Q90" s="141">
        <v>322607</v>
      </c>
      <c r="R90" s="141">
        <v>313961.1324</v>
      </c>
      <c r="S90" s="138">
        <v>-314.11212113051442</v>
      </c>
      <c r="U90" s="138">
        <f t="shared" si="43"/>
        <v>119887.10186873045</v>
      </c>
    </row>
    <row r="91" spans="1:21" x14ac:dyDescent="0.3">
      <c r="A91" s="41"/>
      <c r="B91" s="131">
        <v>44682</v>
      </c>
      <c r="C91" s="132">
        <f>Customer!AV$11*'Assumptions and Inputs'!$C$47</f>
        <v>184463.58</v>
      </c>
      <c r="D91" s="139">
        <f>Customer!AV$29/'Assumptions and Inputs'!$C$21</f>
        <v>7015.7</v>
      </c>
      <c r="E91" s="132">
        <f t="shared" si="37"/>
        <v>4841</v>
      </c>
      <c r="F91" s="132">
        <f t="shared" si="38"/>
        <v>174808.69485599999</v>
      </c>
      <c r="G91" s="139">
        <f>Customer!AV$34/'Assumptions and Inputs'!$C$21</f>
        <v>441556.1</v>
      </c>
      <c r="H91" s="140">
        <f t="shared" si="39"/>
        <v>304673.70899999997</v>
      </c>
      <c r="I91" s="140">
        <f t="shared" si="40"/>
        <v>296508.45359879994</v>
      </c>
      <c r="J91" s="132">
        <f t="shared" si="41"/>
        <v>121699.75874279995</v>
      </c>
      <c r="L91" s="132">
        <v>331733.76214666106</v>
      </c>
      <c r="M91" s="139">
        <v>12758.831624799399</v>
      </c>
      <c r="N91" s="132">
        <v>8804</v>
      </c>
      <c r="O91" s="132">
        <v>314275.24452113052</v>
      </c>
      <c r="P91" s="139">
        <v>467546.41666666669</v>
      </c>
      <c r="Q91" s="140">
        <v>322607</v>
      </c>
      <c r="R91" s="140">
        <v>313961.1324</v>
      </c>
      <c r="S91" s="132">
        <v>-314.11212113051442</v>
      </c>
      <c r="U91" s="132">
        <f t="shared" si="43"/>
        <v>122013.87086393047</v>
      </c>
    </row>
    <row r="92" spans="1:21" x14ac:dyDescent="0.3">
      <c r="A92" s="41"/>
      <c r="B92" s="135">
        <v>44713</v>
      </c>
      <c r="C92" s="141">
        <f>Customer!AW$11*'Assumptions and Inputs'!$C$47</f>
        <v>192873.128</v>
      </c>
      <c r="D92" s="142">
        <f>Customer!AW$29/'Assumptions and Inputs'!$C$21</f>
        <v>7263</v>
      </c>
      <c r="E92" s="141">
        <f t="shared" si="37"/>
        <v>5011</v>
      </c>
      <c r="F92" s="141">
        <f t="shared" si="38"/>
        <v>182827.42296959998</v>
      </c>
      <c r="G92" s="142">
        <f>Customer!AW$34/'Assumptions and Inputs'!$C$21</f>
        <v>475377.5</v>
      </c>
      <c r="H92" s="141">
        <f t="shared" si="39"/>
        <v>328010.47499999998</v>
      </c>
      <c r="I92" s="141">
        <f t="shared" si="40"/>
        <v>319219.79426999995</v>
      </c>
      <c r="J92" s="138">
        <f t="shared" si="41"/>
        <v>136392.37130039997</v>
      </c>
      <c r="L92" s="141">
        <v>331733.76214666106</v>
      </c>
      <c r="M92" s="142">
        <v>12758.831624799399</v>
      </c>
      <c r="N92" s="141">
        <v>8804</v>
      </c>
      <c r="O92" s="141">
        <v>314275.24452113052</v>
      </c>
      <c r="P92" s="142">
        <v>467546.41666666669</v>
      </c>
      <c r="Q92" s="141">
        <v>322607</v>
      </c>
      <c r="R92" s="141">
        <v>313961.1324</v>
      </c>
      <c r="S92" s="138">
        <v>-314.11212113051442</v>
      </c>
      <c r="U92" s="138">
        <f t="shared" si="43"/>
        <v>136706.48342153049</v>
      </c>
    </row>
    <row r="93" spans="1:21" x14ac:dyDescent="0.3">
      <c r="A93" s="41"/>
      <c r="B93" s="131">
        <v>44743</v>
      </c>
      <c r="C93" s="132">
        <f>Customer!AX$11*'Assumptions and Inputs'!$C$47</f>
        <v>218906.50400000002</v>
      </c>
      <c r="D93" s="139">
        <f>Customer!AX$29/'Assumptions and Inputs'!$C$21</f>
        <v>8162.2</v>
      </c>
      <c r="E93" s="132">
        <f t="shared" si="37"/>
        <v>5632</v>
      </c>
      <c r="F93" s="132">
        <f t="shared" si="38"/>
        <v>207558.74729279999</v>
      </c>
      <c r="G93" s="139">
        <f>Customer!AX$34/'Assumptions and Inputs'!$C$21</f>
        <v>507360.6</v>
      </c>
      <c r="H93" s="140">
        <f>$H$80*G93</f>
        <v>350078.81399999995</v>
      </c>
      <c r="I93" s="140">
        <f t="shared" si="40"/>
        <v>340696.70178479992</v>
      </c>
      <c r="J93" s="132">
        <f t="shared" si="41"/>
        <v>133137.95449199993</v>
      </c>
      <c r="L93" s="132">
        <v>351079.0946721253</v>
      </c>
      <c r="M93" s="139">
        <v>13502.873590323037</v>
      </c>
      <c r="N93" s="132">
        <v>9317</v>
      </c>
      <c r="O93" s="132">
        <v>332602.87053491233</v>
      </c>
      <c r="P93" s="139">
        <v>466802.37470114307</v>
      </c>
      <c r="Q93" s="140">
        <v>322094</v>
      </c>
      <c r="R93" s="140">
        <v>313461.88079999998</v>
      </c>
      <c r="S93" s="132">
        <v>-19140.989734912349</v>
      </c>
      <c r="U93" s="132">
        <f t="shared" si="43"/>
        <v>152278.94422691228</v>
      </c>
    </row>
    <row r="94" spans="1:21" x14ac:dyDescent="0.3">
      <c r="A94" s="41"/>
      <c r="B94" s="135">
        <v>44774</v>
      </c>
      <c r="C94" s="141">
        <f>Customer!AY$11*'Assumptions and Inputs'!$C$47</f>
        <v>235189.10800000001</v>
      </c>
      <c r="D94" s="142">
        <f>Customer!AY$29/'Assumptions and Inputs'!$C$21</f>
        <v>8847.9</v>
      </c>
      <c r="E94" s="141">
        <f>ROUND($E$80*D94, 0)</f>
        <v>6105</v>
      </c>
      <c r="F94" s="141">
        <f>(C94-E94)*$F$80</f>
        <v>222944.65390559999</v>
      </c>
      <c r="G94" s="142">
        <f>Customer!AY$34/'Assumptions and Inputs'!$C$21</f>
        <v>519626.9</v>
      </c>
      <c r="H94" s="141">
        <f>$H$80*G94</f>
        <v>358542.56099999999</v>
      </c>
      <c r="I94" s="141">
        <f t="shared" ref="I94" si="44">H94*$I$80</f>
        <v>348933.62036519998</v>
      </c>
      <c r="J94" s="138">
        <f>I94-F94</f>
        <v>125988.96645959999</v>
      </c>
      <c r="L94" s="141">
        <v>389769.75972305378</v>
      </c>
      <c r="M94" s="142">
        <v>14990.957521370321</v>
      </c>
      <c r="N94" s="141">
        <v>10344</v>
      </c>
      <c r="O94" s="141">
        <v>369257.1493624759</v>
      </c>
      <c r="P94" s="142">
        <v>465314.29077009577</v>
      </c>
      <c r="Q94" s="141">
        <v>321067</v>
      </c>
      <c r="R94" s="141">
        <v>312462.4044</v>
      </c>
      <c r="S94" s="138">
        <v>-56794.744962475903</v>
      </c>
      <c r="U94" s="138">
        <f t="shared" ref="U94" si="45">J94-S94</f>
        <v>182783.7114220759</v>
      </c>
    </row>
    <row r="95" spans="1:21" ht="5.0999999999999996" customHeight="1" x14ac:dyDescent="0.3"/>
    <row r="96" spans="1:21" x14ac:dyDescent="0.3">
      <c r="B96" s="201" t="s">
        <v>151</v>
      </c>
      <c r="C96" s="134">
        <f>SUM(C83:C94)</f>
        <v>3209378.3840000005</v>
      </c>
      <c r="D96" s="133">
        <f t="shared" ref="D96:I96" si="46">SUM(D83:D94)</f>
        <v>119655.4</v>
      </c>
      <c r="E96" s="134">
        <f t="shared" si="46"/>
        <v>82563</v>
      </c>
      <c r="F96" s="134">
        <f t="shared" si="46"/>
        <v>3043016.7317088</v>
      </c>
      <c r="G96" s="133">
        <f t="shared" si="46"/>
        <v>5698718.1000000006</v>
      </c>
      <c r="H96" s="134">
        <f t="shared" si="46"/>
        <v>3932115.4889999991</v>
      </c>
      <c r="I96" s="134">
        <f t="shared" si="46"/>
        <v>3826734.7938947994</v>
      </c>
      <c r="J96" s="132">
        <f>SUM(J82:J94)</f>
        <v>751659.84190504008</v>
      </c>
      <c r="L96" s="134">
        <v>4105111.0832751459</v>
      </c>
      <c r="M96" s="133">
        <v>156043.52086048972</v>
      </c>
      <c r="N96" s="134">
        <v>107673</v>
      </c>
      <c r="O96" s="134">
        <v>3890306.7426433712</v>
      </c>
      <c r="P96" s="133">
        <v>5670656.0654712394</v>
      </c>
      <c r="Q96" s="134">
        <v>3912752</v>
      </c>
      <c r="R96" s="134">
        <v>3807890.2463999996</v>
      </c>
      <c r="S96" s="132">
        <v>-114474.716524331</v>
      </c>
      <c r="U96" s="132">
        <f>J96-S96</f>
        <v>866134.5584293711</v>
      </c>
    </row>
    <row r="97" spans="2:21" x14ac:dyDescent="0.3">
      <c r="F97" s="143"/>
      <c r="G97" s="106"/>
      <c r="J97" s="145"/>
      <c r="O97" s="143"/>
      <c r="P97" s="106"/>
    </row>
    <row r="98" spans="2:21" x14ac:dyDescent="0.3">
      <c r="B98" s="18" t="s">
        <v>205</v>
      </c>
      <c r="I98" s="146" t="s">
        <v>206</v>
      </c>
      <c r="J98" s="147">
        <f>J96</f>
        <v>751659.84190504008</v>
      </c>
      <c r="K98" s="148"/>
      <c r="R98" s="146" t="s">
        <v>206</v>
      </c>
      <c r="S98" s="147">
        <f>S96</f>
        <v>-114474.716524331</v>
      </c>
      <c r="T98" s="145"/>
      <c r="U98" s="155">
        <f>J98-S98</f>
        <v>866134.5584293711</v>
      </c>
    </row>
    <row r="99" spans="2:21" x14ac:dyDescent="0.3">
      <c r="B99" s="188" t="s">
        <v>239</v>
      </c>
      <c r="L99" s="149"/>
    </row>
    <row r="100" spans="2:21" x14ac:dyDescent="0.3">
      <c r="B100" s="149" t="str">
        <f>"(1) - Updated TAP Actual Discounts reflect water's "&amp;FIXED('Assumptions and Inputs'!$C$47*100, 1, 0)&amp;"% allocated portion of the Total TAP Discount."</f>
        <v>(1) - Updated TAP Actual Discounts reflect water's 40.0% allocated portion of the Total TAP Discount.</v>
      </c>
      <c r="L100" s="149"/>
    </row>
    <row r="101" spans="2:21" x14ac:dyDescent="0.3">
      <c r="B101" s="149" t="s">
        <v>222</v>
      </c>
      <c r="L101" s="149"/>
    </row>
    <row r="102" spans="2:21" x14ac:dyDescent="0.3">
      <c r="B102" s="156" t="s">
        <v>240</v>
      </c>
      <c r="L102" s="149"/>
    </row>
    <row r="103" spans="2:21" x14ac:dyDescent="0.3">
      <c r="B103" s="149"/>
      <c r="L103" s="149"/>
    </row>
    <row r="104" spans="2:21" x14ac:dyDescent="0.3">
      <c r="B104" s="188" t="s">
        <v>241</v>
      </c>
      <c r="L104" s="149"/>
    </row>
    <row r="105" spans="2:21" x14ac:dyDescent="0.3">
      <c r="B105" s="149" t="str">
        <f>"(9) - TAP Actual Discounts reflect water's "&amp;FIXED('Assumptions and Inputs'!$C$47*100, 1, 0)&amp;"% allocated portion of the Total TAP Discount."</f>
        <v>(9) - TAP Actual Discounts reflect water's 40.0% allocated portion of the Total TAP Discount.</v>
      </c>
      <c r="L105" s="149"/>
    </row>
    <row r="106" spans="2:21" x14ac:dyDescent="0.3">
      <c r="B106" s="149" t="s">
        <v>242</v>
      </c>
      <c r="L106" s="149"/>
    </row>
    <row r="107" spans="2:21" x14ac:dyDescent="0.3">
      <c r="B107" s="149" t="s">
        <v>243</v>
      </c>
      <c r="L107" s="149"/>
    </row>
    <row r="108" spans="2:21" x14ac:dyDescent="0.3">
      <c r="B108" s="149"/>
      <c r="L108" s="149"/>
    </row>
    <row r="109" spans="2:21" x14ac:dyDescent="0.3">
      <c r="B109" s="188" t="s">
        <v>244</v>
      </c>
      <c r="L109" s="149"/>
    </row>
    <row r="110" spans="2:21" x14ac:dyDescent="0.3">
      <c r="B110" s="149" t="str">
        <f>"(3), (6), (11) &amp; (14) - Water TAP-R Rates per "&amp;TEXT('Assumptions and Inputs'!F27,)&amp;" "&amp;TEXT('Assumptions and Inputs'!G27,)&amp;"."</f>
        <v>(3), (6), (11) &amp; (14) - Water TAP-R Rates per PWD Regulations - Rates and Charges Effective September 1, 2021 Section 10.3(a)(1).</v>
      </c>
      <c r="L110" s="149"/>
    </row>
    <row r="111" spans="2:21" x14ac:dyDescent="0.3">
      <c r="B111" s="149" t="str">
        <f>"(4), (7), (12) &amp; (15) - Adjusted for system-wide collection factor in accordance with  "&amp;'Assumptions and Inputs'!F45&amp;" "&amp;'Assumptions and Inputs'!G45&amp;"."</f>
        <v>(4), (7), (12) &amp; (15) - Adjusted for system-wide collection factor in accordance with  PWD Regulations - Rates and Charges Effective September 1, 2021 Section 10.1(b)(3).</v>
      </c>
      <c r="L111" s="149"/>
    </row>
    <row r="112" spans="2:21" x14ac:dyDescent="0.3">
      <c r="B112" s="149"/>
      <c r="L112" s="149"/>
    </row>
    <row r="113" spans="1:21" x14ac:dyDescent="0.3"/>
    <row r="114" spans="1:21" x14ac:dyDescent="0.3">
      <c r="B114" s="116" t="s">
        <v>31</v>
      </c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  <c r="O114" s="116"/>
      <c r="P114" s="116"/>
      <c r="Q114" s="116"/>
      <c r="R114" s="116"/>
      <c r="S114" s="116"/>
      <c r="T114" s="116"/>
      <c r="U114" s="116"/>
    </row>
    <row r="115" spans="1:21" ht="15" thickBot="1" x14ac:dyDescent="0.35">
      <c r="B115" s="116" t="s">
        <v>245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</row>
    <row r="116" spans="1:21" ht="15" thickBot="1" x14ac:dyDescent="0.35">
      <c r="C116" s="152" t="s">
        <v>230</v>
      </c>
      <c r="D116" s="153"/>
      <c r="E116" s="153"/>
      <c r="F116" s="153"/>
      <c r="G116" s="153"/>
      <c r="H116" s="153"/>
      <c r="I116" s="153"/>
      <c r="J116" s="154"/>
      <c r="L116" s="160" t="s">
        <v>231</v>
      </c>
      <c r="M116" s="161"/>
      <c r="N116" s="161"/>
      <c r="O116" s="161"/>
      <c r="P116" s="161"/>
      <c r="Q116" s="161"/>
      <c r="R116" s="161"/>
      <c r="S116" s="162"/>
      <c r="U116" s="187" t="s">
        <v>217</v>
      </c>
    </row>
    <row r="117" spans="1:21" x14ac:dyDescent="0.3">
      <c r="B117" s="120" t="s">
        <v>180</v>
      </c>
      <c r="C117" s="120" t="s">
        <v>181</v>
      </c>
      <c r="D117" s="120" t="s">
        <v>212</v>
      </c>
      <c r="E117" s="120" t="s">
        <v>183</v>
      </c>
      <c r="F117" s="120" t="s">
        <v>184</v>
      </c>
      <c r="G117" s="120" t="s">
        <v>185</v>
      </c>
      <c r="H117" s="120" t="s">
        <v>186</v>
      </c>
      <c r="I117" s="120" t="s">
        <v>187</v>
      </c>
      <c r="J117" s="121" t="s">
        <v>188</v>
      </c>
      <c r="L117" s="120" t="s">
        <v>181</v>
      </c>
      <c r="M117" s="120" t="s">
        <v>212</v>
      </c>
      <c r="N117" s="120" t="s">
        <v>183</v>
      </c>
      <c r="O117" s="120" t="s">
        <v>184</v>
      </c>
      <c r="P117" s="120" t="s">
        <v>185</v>
      </c>
      <c r="Q117" s="120" t="s">
        <v>186</v>
      </c>
      <c r="R117" s="120" t="s">
        <v>187</v>
      </c>
      <c r="S117" s="121" t="s">
        <v>188</v>
      </c>
      <c r="U117" s="121" t="s">
        <v>232</v>
      </c>
    </row>
    <row r="118" spans="1:21" x14ac:dyDescent="0.3">
      <c r="B118" s="121" t="s">
        <v>179</v>
      </c>
      <c r="C118" s="121" t="s">
        <v>189</v>
      </c>
      <c r="D118" s="121" t="s">
        <v>213</v>
      </c>
      <c r="E118" s="121" t="s">
        <v>191</v>
      </c>
      <c r="F118" s="121" t="s">
        <v>189</v>
      </c>
      <c r="G118" s="121" t="s">
        <v>213</v>
      </c>
      <c r="H118" s="121" t="s">
        <v>192</v>
      </c>
      <c r="I118" s="121" t="s">
        <v>193</v>
      </c>
      <c r="J118" s="121" t="s">
        <v>194</v>
      </c>
      <c r="L118" s="121" t="s">
        <v>189</v>
      </c>
      <c r="M118" s="121" t="s">
        <v>213</v>
      </c>
      <c r="N118" s="121" t="s">
        <v>191</v>
      </c>
      <c r="O118" s="121" t="s">
        <v>189</v>
      </c>
      <c r="P118" s="121" t="s">
        <v>213</v>
      </c>
      <c r="Q118" s="121" t="s">
        <v>192</v>
      </c>
      <c r="R118" s="121" t="s">
        <v>193</v>
      </c>
      <c r="S118" s="121" t="s">
        <v>194</v>
      </c>
      <c r="U118" s="121" t="s">
        <v>233</v>
      </c>
    </row>
    <row r="119" spans="1:21" x14ac:dyDescent="0.3">
      <c r="B119" s="121"/>
      <c r="C119" s="121" t="s">
        <v>195</v>
      </c>
      <c r="D119" s="121" t="s">
        <v>143</v>
      </c>
      <c r="E119" s="121" t="s">
        <v>197</v>
      </c>
      <c r="F119" s="121" t="s">
        <v>195</v>
      </c>
      <c r="G119" s="121" t="s">
        <v>196</v>
      </c>
      <c r="H119" s="121"/>
      <c r="I119" s="121" t="s">
        <v>198</v>
      </c>
      <c r="J119" s="121"/>
      <c r="L119" s="121" t="s">
        <v>195</v>
      </c>
      <c r="M119" s="121" t="s">
        <v>143</v>
      </c>
      <c r="N119" s="121" t="s">
        <v>197</v>
      </c>
      <c r="O119" s="121" t="s">
        <v>195</v>
      </c>
      <c r="P119" s="121" t="s">
        <v>196</v>
      </c>
      <c r="Q119" s="121"/>
      <c r="R119" s="121" t="s">
        <v>198</v>
      </c>
      <c r="S119" s="121"/>
      <c r="U119" s="121"/>
    </row>
    <row r="120" spans="1:21" x14ac:dyDescent="0.3">
      <c r="B120" s="121"/>
      <c r="C120" s="122"/>
      <c r="D120" s="121" t="s">
        <v>196</v>
      </c>
      <c r="E120" s="123">
        <f>'Assumptions and Inputs'!$C$29</f>
        <v>1.0900000000000001</v>
      </c>
      <c r="F120" s="150">
        <f>'Assumptions and Inputs'!$C$45</f>
        <v>0.97319999999999995</v>
      </c>
      <c r="G120" s="121"/>
      <c r="H120" s="123">
        <f>'Assumptions and Inputs'!$C$29</f>
        <v>1.0900000000000001</v>
      </c>
      <c r="I120" s="124">
        <f>'Assumptions and Inputs'!$C$45</f>
        <v>0.97319999999999995</v>
      </c>
      <c r="J120" s="125"/>
      <c r="L120" s="122"/>
      <c r="M120" s="121" t="s">
        <v>196</v>
      </c>
      <c r="N120" s="123">
        <v>0.78</v>
      </c>
      <c r="O120" s="150">
        <v>0.96540000000000004</v>
      </c>
      <c r="P120" s="121"/>
      <c r="Q120" s="123">
        <v>0.78</v>
      </c>
      <c r="R120" s="124">
        <v>0.96540000000000004</v>
      </c>
      <c r="S120" s="125"/>
      <c r="U120" s="125"/>
    </row>
    <row r="121" spans="1:21" x14ac:dyDescent="0.3">
      <c r="B121" s="126"/>
      <c r="C121" s="127" t="s">
        <v>161</v>
      </c>
      <c r="D121" s="127" t="s">
        <v>162</v>
      </c>
      <c r="E121" s="127" t="str">
        <f>"(3) = (2) * $ "&amp;FIXED(E120,3,)&amp;"/Mcf"</f>
        <v>(3) = (2) * $ 1.090/Mcf</v>
      </c>
      <c r="F121" s="127" t="str">
        <f>"(4) = [(1) - (3)]* "&amp;FIXED(F120,4,)&amp;""</f>
        <v>(4) = [(1) - (3)]* 0.9732</v>
      </c>
      <c r="G121" s="127" t="s">
        <v>165</v>
      </c>
      <c r="H121" s="127" t="str">
        <f>"(6) = (5) * $ "&amp;FIXED(H120,3,)&amp;"/Mcf"</f>
        <v>(6) = (5) * $ 1.090/Mcf</v>
      </c>
      <c r="I121" s="128" t="str">
        <f>"(7) = (6) * "&amp;FIXED(F120,4,)&amp;""</f>
        <v>(7) = (6) * 0.9732</v>
      </c>
      <c r="J121" s="127" t="s">
        <v>199</v>
      </c>
      <c r="L121" s="127" t="s">
        <v>161</v>
      </c>
      <c r="M121" s="127" t="s">
        <v>162</v>
      </c>
      <c r="N121" s="127" t="s">
        <v>246</v>
      </c>
      <c r="O121" s="127" t="s">
        <v>235</v>
      </c>
      <c r="P121" s="127" t="s">
        <v>165</v>
      </c>
      <c r="Q121" s="127" t="s">
        <v>247</v>
      </c>
      <c r="R121" s="128" t="s">
        <v>237</v>
      </c>
      <c r="S121" s="127" t="s">
        <v>199</v>
      </c>
      <c r="U121" s="127" t="s">
        <v>238</v>
      </c>
    </row>
    <row r="122" spans="1:21" x14ac:dyDescent="0.3">
      <c r="B122" s="129"/>
      <c r="C122" s="130"/>
      <c r="D122" s="130"/>
      <c r="E122" s="130"/>
      <c r="F122" s="130"/>
      <c r="G122" s="130"/>
      <c r="H122" s="130"/>
      <c r="I122" s="196" t="s">
        <v>200</v>
      </c>
      <c r="J122" s="195">
        <v>-13199.81568642835</v>
      </c>
      <c r="L122" s="130"/>
      <c r="M122" s="130"/>
      <c r="N122" s="130"/>
      <c r="O122" s="130"/>
      <c r="P122" s="130"/>
      <c r="Q122" s="130"/>
      <c r="R122" s="196" t="s">
        <v>200</v>
      </c>
      <c r="S122" s="195">
        <v>-13199.81568642835</v>
      </c>
      <c r="U122" s="130"/>
    </row>
    <row r="123" spans="1:21" x14ac:dyDescent="0.3">
      <c r="A123" s="41"/>
      <c r="B123" s="131">
        <f>B83</f>
        <v>44440</v>
      </c>
      <c r="C123" s="132">
        <f>Customer!AN$11*'Assumptions and Inputs'!$C$49</f>
        <v>501395.15399999998</v>
      </c>
      <c r="D123" s="133">
        <f>Customer!AN$48/'Assumptions and Inputs'!$C$21</f>
        <v>12758.1</v>
      </c>
      <c r="E123" s="132">
        <f t="shared" ref="E123:E134" si="47">$E$120*D123</f>
        <v>13906.329000000002</v>
      </c>
      <c r="F123" s="132">
        <f t="shared" ref="F123:F133" si="48">(C123-E123)*$F$120</f>
        <v>474424.12448999996</v>
      </c>
      <c r="G123" s="133">
        <f>Customer!AN$53/'Assumptions and Inputs'!$C$21</f>
        <v>474200.5</v>
      </c>
      <c r="H123" s="134">
        <f t="shared" ref="H123:H134" si="49">ROUND($H$120*G123, 0)</f>
        <v>516879</v>
      </c>
      <c r="I123" s="134">
        <f t="shared" ref="I123:I134" si="50">H123*$I$120</f>
        <v>503026.64279999997</v>
      </c>
      <c r="J123" s="132">
        <f>I123-F123</f>
        <v>28602.518310000014</v>
      </c>
      <c r="L123" s="132">
        <v>501395.15399999998</v>
      </c>
      <c r="M123" s="133">
        <v>12758.1</v>
      </c>
      <c r="N123" s="132">
        <v>13906</v>
      </c>
      <c r="O123" s="132">
        <v>474424.44467279996</v>
      </c>
      <c r="P123" s="133">
        <v>474200.5</v>
      </c>
      <c r="Q123" s="134">
        <v>516879</v>
      </c>
      <c r="R123" s="134">
        <v>503026.64279999997</v>
      </c>
      <c r="S123" s="132">
        <v>28602.198127200012</v>
      </c>
      <c r="U123" s="132">
        <f>J123-S123</f>
        <v>0.32018280000193045</v>
      </c>
    </row>
    <row r="124" spans="1:21" x14ac:dyDescent="0.3">
      <c r="A124" s="41"/>
      <c r="B124" s="135">
        <f t="shared" ref="B124:B134" si="51">B84</f>
        <v>44470</v>
      </c>
      <c r="C124" s="136">
        <f>Customer!AO$11*'Assumptions and Inputs'!$C$49</f>
        <v>562980.93599999999</v>
      </c>
      <c r="D124" s="137">
        <f>Customer!AO$48/'Assumptions and Inputs'!$C$21</f>
        <v>13786.4</v>
      </c>
      <c r="E124" s="136">
        <f t="shared" si="47"/>
        <v>15027.176000000001</v>
      </c>
      <c r="F124" s="136">
        <f t="shared" si="48"/>
        <v>533268.59923199995</v>
      </c>
      <c r="G124" s="137">
        <f>Customer!AO$53/'Assumptions and Inputs'!$C$21</f>
        <v>484289.5</v>
      </c>
      <c r="H124" s="136">
        <f t="shared" si="49"/>
        <v>527876</v>
      </c>
      <c r="I124" s="136">
        <f t="shared" si="50"/>
        <v>513728.92319999996</v>
      </c>
      <c r="J124" s="138">
        <f>I124-F124</f>
        <v>-19539.676031999988</v>
      </c>
      <c r="L124" s="136">
        <v>562980.93599999999</v>
      </c>
      <c r="M124" s="137">
        <v>13786.4</v>
      </c>
      <c r="N124" s="136">
        <v>15027</v>
      </c>
      <c r="O124" s="136">
        <v>533268.77051519998</v>
      </c>
      <c r="P124" s="137">
        <v>484289.5</v>
      </c>
      <c r="Q124" s="136">
        <v>527876</v>
      </c>
      <c r="R124" s="136">
        <v>513728.92319999996</v>
      </c>
      <c r="S124" s="138">
        <v>-19539.847315200022</v>
      </c>
      <c r="U124" s="138">
        <f t="shared" ref="U124:U126" si="52">J124-S124</f>
        <v>0.17128320003394037</v>
      </c>
    </row>
    <row r="125" spans="1:21" x14ac:dyDescent="0.3">
      <c r="A125" s="41"/>
      <c r="B125" s="131">
        <f t="shared" si="51"/>
        <v>44501</v>
      </c>
      <c r="C125" s="132">
        <f>Customer!AP$11*'Assumptions and Inputs'!$C$49</f>
        <v>501853.36199999996</v>
      </c>
      <c r="D125" s="139">
        <f>Customer!AP$48/'Assumptions and Inputs'!$C$21</f>
        <v>12286.4</v>
      </c>
      <c r="E125" s="132">
        <f t="shared" si="47"/>
        <v>13392.176000000001</v>
      </c>
      <c r="F125" s="132">
        <f t="shared" si="48"/>
        <v>475370.42621519999</v>
      </c>
      <c r="G125" s="139">
        <f>Customer!AP$53/'Assumptions and Inputs'!$C$21</f>
        <v>428073.5</v>
      </c>
      <c r="H125" s="140">
        <f t="shared" si="49"/>
        <v>466600</v>
      </c>
      <c r="I125" s="140">
        <f t="shared" si="50"/>
        <v>454095.12</v>
      </c>
      <c r="J125" s="132">
        <f t="shared" ref="J125:J133" si="53">I125-F125</f>
        <v>-21275.306215199991</v>
      </c>
      <c r="L125" s="132">
        <v>501853.36199999996</v>
      </c>
      <c r="M125" s="139">
        <v>12286.4</v>
      </c>
      <c r="N125" s="132">
        <v>13392</v>
      </c>
      <c r="O125" s="132">
        <v>475370.59749839996</v>
      </c>
      <c r="P125" s="139">
        <v>428073.5</v>
      </c>
      <c r="Q125" s="140">
        <v>466600</v>
      </c>
      <c r="R125" s="140">
        <v>454095.12</v>
      </c>
      <c r="S125" s="132">
        <v>-21275.477498399967</v>
      </c>
      <c r="U125" s="132">
        <f t="shared" si="52"/>
        <v>0.17128319997573271</v>
      </c>
    </row>
    <row r="126" spans="1:21" x14ac:dyDescent="0.3">
      <c r="A126" s="41"/>
      <c r="B126" s="135">
        <f t="shared" si="51"/>
        <v>44531</v>
      </c>
      <c r="C126" s="141">
        <f>Customer!AQ$11*'Assumptions and Inputs'!$C$49</f>
        <v>494560.03200000001</v>
      </c>
      <c r="D126" s="142">
        <f>Customer!AQ$48/'Assumptions and Inputs'!$C$21</f>
        <v>12154.2</v>
      </c>
      <c r="E126" s="141">
        <f t="shared" si="47"/>
        <v>13248.078000000001</v>
      </c>
      <c r="F126" s="141">
        <f t="shared" si="48"/>
        <v>468412.79363279999</v>
      </c>
      <c r="G126" s="142">
        <f>Customer!AQ$53/'Assumptions and Inputs'!$C$21</f>
        <v>437813.6</v>
      </c>
      <c r="H126" s="141">
        <f t="shared" si="49"/>
        <v>477217</v>
      </c>
      <c r="I126" s="141">
        <f t="shared" si="50"/>
        <v>464427.58439999999</v>
      </c>
      <c r="J126" s="138">
        <f t="shared" si="53"/>
        <v>-3985.2092327999999</v>
      </c>
      <c r="L126" s="141">
        <v>494560.03200000001</v>
      </c>
      <c r="M126" s="142">
        <v>12154.2</v>
      </c>
      <c r="N126" s="141">
        <v>13248</v>
      </c>
      <c r="O126" s="141">
        <v>468412.8695424</v>
      </c>
      <c r="P126" s="142">
        <v>437813.6</v>
      </c>
      <c r="Q126" s="141">
        <v>477217</v>
      </c>
      <c r="R126" s="141">
        <v>464427.58439999999</v>
      </c>
      <c r="S126" s="138">
        <v>-3985.285142400011</v>
      </c>
      <c r="U126" s="138">
        <f t="shared" si="52"/>
        <v>7.5909600011073053E-2</v>
      </c>
    </row>
    <row r="127" spans="1:21" x14ac:dyDescent="0.3">
      <c r="A127" s="41"/>
      <c r="B127" s="131">
        <f t="shared" si="51"/>
        <v>44562</v>
      </c>
      <c r="C127" s="132">
        <f>Customer!AR$11*'Assumptions and Inputs'!$C$49</f>
        <v>471361.15799999994</v>
      </c>
      <c r="D127" s="139">
        <f>Customer!AR$48/'Assumptions and Inputs'!$C$21</f>
        <v>11557.8</v>
      </c>
      <c r="E127" s="132">
        <f t="shared" si="47"/>
        <v>12598.002</v>
      </c>
      <c r="F127" s="132">
        <f t="shared" si="48"/>
        <v>446468.30341919995</v>
      </c>
      <c r="G127" s="139">
        <f>Customer!AR$53/'Assumptions and Inputs'!$C$21</f>
        <v>455863.4</v>
      </c>
      <c r="H127" s="140">
        <f t="shared" si="49"/>
        <v>496891</v>
      </c>
      <c r="I127" s="140">
        <f t="shared" si="50"/>
        <v>483574.32120000001</v>
      </c>
      <c r="J127" s="132">
        <f t="shared" si="53"/>
        <v>37106.017780800059</v>
      </c>
      <c r="L127" s="132">
        <v>497600.64321999147</v>
      </c>
      <c r="M127" s="139">
        <v>12758.831624799399</v>
      </c>
      <c r="N127" s="132">
        <v>13907</v>
      </c>
      <c r="O127" s="132">
        <v>470730.65358169569</v>
      </c>
      <c r="P127" s="139">
        <v>441277.31666666671</v>
      </c>
      <c r="Q127" s="140">
        <v>480992</v>
      </c>
      <c r="R127" s="140">
        <v>468101.41439999995</v>
      </c>
      <c r="S127" s="132">
        <v>-2629.2391816957388</v>
      </c>
      <c r="U127" s="132">
        <f t="shared" ref="U127:U134" si="54">J127-S127</f>
        <v>39735.256962495798</v>
      </c>
    </row>
    <row r="128" spans="1:21" x14ac:dyDescent="0.3">
      <c r="A128" s="41"/>
      <c r="B128" s="135">
        <f t="shared" si="51"/>
        <v>44593</v>
      </c>
      <c r="C128" s="141">
        <f>Customer!AS$11*'Assumptions and Inputs'!$C$49</f>
        <v>373337.29199999996</v>
      </c>
      <c r="D128" s="142">
        <f>Customer!AS$48/'Assumptions and Inputs'!$C$21</f>
        <v>9244.5</v>
      </c>
      <c r="E128" s="141">
        <f t="shared" si="47"/>
        <v>10076.505000000001</v>
      </c>
      <c r="F128" s="141">
        <f t="shared" si="48"/>
        <v>353525.39790839993</v>
      </c>
      <c r="G128" s="142">
        <f>Customer!AS$53/'Assumptions and Inputs'!$C$21</f>
        <v>399126.4</v>
      </c>
      <c r="H128" s="141">
        <f t="shared" si="49"/>
        <v>435048</v>
      </c>
      <c r="I128" s="141">
        <f t="shared" si="50"/>
        <v>423388.71359999996</v>
      </c>
      <c r="J128" s="138">
        <f t="shared" si="53"/>
        <v>69863.31569160003</v>
      </c>
      <c r="L128" s="141">
        <v>497600.64321999147</v>
      </c>
      <c r="M128" s="142">
        <v>12758.831624799399</v>
      </c>
      <c r="N128" s="141">
        <v>13907</v>
      </c>
      <c r="O128" s="141">
        <v>470730.65358169569</v>
      </c>
      <c r="P128" s="142">
        <v>441277.31666666671</v>
      </c>
      <c r="Q128" s="141">
        <v>480992</v>
      </c>
      <c r="R128" s="141">
        <v>468101.41439999995</v>
      </c>
      <c r="S128" s="138">
        <v>-2629.2391816957388</v>
      </c>
      <c r="U128" s="138">
        <f t="shared" si="54"/>
        <v>72492.554873295769</v>
      </c>
    </row>
    <row r="129" spans="1:21" x14ac:dyDescent="0.3">
      <c r="A129" s="41"/>
      <c r="B129" s="131">
        <f t="shared" si="51"/>
        <v>44621</v>
      </c>
      <c r="C129" s="132">
        <f>Customer!AT$11*'Assumptions and Inputs'!$C$49</f>
        <v>363882.11399999994</v>
      </c>
      <c r="D129" s="139">
        <f>Customer!AT$48/'Assumptions and Inputs'!$C$21</f>
        <v>9103.7999999999993</v>
      </c>
      <c r="E129" s="132">
        <f t="shared" si="47"/>
        <v>9923.1419999999998</v>
      </c>
      <c r="F129" s="132">
        <f t="shared" si="48"/>
        <v>344472.87155039993</v>
      </c>
      <c r="G129" s="139">
        <f>Customer!AT$53/'Assumptions and Inputs'!$C$21</f>
        <v>443444.2</v>
      </c>
      <c r="H129" s="140">
        <f t="shared" si="49"/>
        <v>483354</v>
      </c>
      <c r="I129" s="140">
        <f t="shared" si="50"/>
        <v>470400.1128</v>
      </c>
      <c r="J129" s="132">
        <f t="shared" si="53"/>
        <v>125927.24124960008</v>
      </c>
      <c r="L129" s="132">
        <v>497600.64321999147</v>
      </c>
      <c r="M129" s="139">
        <v>12758.831624799399</v>
      </c>
      <c r="N129" s="132">
        <v>13907</v>
      </c>
      <c r="O129" s="132">
        <v>470730.65358169569</v>
      </c>
      <c r="P129" s="139">
        <v>441277.31666666671</v>
      </c>
      <c r="Q129" s="140">
        <v>480992</v>
      </c>
      <c r="R129" s="140">
        <v>468101.41439999995</v>
      </c>
      <c r="S129" s="132">
        <v>-2629.2391816957388</v>
      </c>
      <c r="U129" s="132">
        <f t="shared" si="54"/>
        <v>128556.48043129581</v>
      </c>
    </row>
    <row r="130" spans="1:21" x14ac:dyDescent="0.3">
      <c r="A130" s="41"/>
      <c r="B130" s="135">
        <f t="shared" si="51"/>
        <v>44652</v>
      </c>
      <c r="C130" s="141">
        <f>Customer!AU$11*'Assumptions and Inputs'!$C$49</f>
        <v>297549.04799999995</v>
      </c>
      <c r="D130" s="142">
        <f>Customer!AU$48/'Assumptions and Inputs'!$C$21</f>
        <v>7459.6</v>
      </c>
      <c r="E130" s="141">
        <f t="shared" si="47"/>
        <v>8130.9640000000009</v>
      </c>
      <c r="F130" s="141">
        <f t="shared" si="48"/>
        <v>281661.67934879998</v>
      </c>
      <c r="G130" s="142">
        <f>Customer!AU$53/'Assumptions and Inputs'!$C$21</f>
        <v>434412.4</v>
      </c>
      <c r="H130" s="141">
        <f t="shared" si="49"/>
        <v>473510</v>
      </c>
      <c r="I130" s="141">
        <f t="shared" si="50"/>
        <v>460819.93199999997</v>
      </c>
      <c r="J130" s="138">
        <f t="shared" si="53"/>
        <v>179158.25265119999</v>
      </c>
      <c r="L130" s="141">
        <v>497600.64321999147</v>
      </c>
      <c r="M130" s="142">
        <v>12758.831624799399</v>
      </c>
      <c r="N130" s="141">
        <v>13907</v>
      </c>
      <c r="O130" s="141">
        <v>470730.65358169569</v>
      </c>
      <c r="P130" s="142">
        <v>441277.31666666671</v>
      </c>
      <c r="Q130" s="141">
        <v>480992</v>
      </c>
      <c r="R130" s="141">
        <v>468101.41439999995</v>
      </c>
      <c r="S130" s="138">
        <v>-2629.2391816957388</v>
      </c>
      <c r="U130" s="138">
        <f t="shared" si="54"/>
        <v>181787.49183289573</v>
      </c>
    </row>
    <row r="131" spans="1:21" x14ac:dyDescent="0.3">
      <c r="A131" s="41"/>
      <c r="B131" s="131">
        <f t="shared" si="51"/>
        <v>44682</v>
      </c>
      <c r="C131" s="132">
        <f>Customer!AV$11*'Assumptions and Inputs'!$C$49</f>
        <v>276695.36999999994</v>
      </c>
      <c r="D131" s="139">
        <f>Customer!AV$48/'Assumptions and Inputs'!$C$21</f>
        <v>7015.7</v>
      </c>
      <c r="E131" s="132">
        <f t="shared" si="47"/>
        <v>7647.1130000000003</v>
      </c>
      <c r="F131" s="132">
        <f t="shared" si="48"/>
        <v>261837.7637123999</v>
      </c>
      <c r="G131" s="139">
        <f>Customer!AV$53/'Assumptions and Inputs'!$C$21</f>
        <v>419412.8</v>
      </c>
      <c r="H131" s="140">
        <f t="shared" si="49"/>
        <v>457160</v>
      </c>
      <c r="I131" s="140">
        <f t="shared" si="50"/>
        <v>444908.11199999996</v>
      </c>
      <c r="J131" s="132">
        <f t="shared" si="53"/>
        <v>183070.34828760006</v>
      </c>
      <c r="L131" s="132">
        <v>497600.64321999147</v>
      </c>
      <c r="M131" s="139">
        <v>12758.831624799399</v>
      </c>
      <c r="N131" s="132">
        <v>13907</v>
      </c>
      <c r="O131" s="132">
        <v>470730.65358169569</v>
      </c>
      <c r="P131" s="139">
        <v>441277.31666666671</v>
      </c>
      <c r="Q131" s="140">
        <v>480992</v>
      </c>
      <c r="R131" s="140">
        <v>468101.41439999995</v>
      </c>
      <c r="S131" s="132">
        <v>-2629.2391816957388</v>
      </c>
      <c r="U131" s="132">
        <f t="shared" si="54"/>
        <v>185699.5874692958</v>
      </c>
    </row>
    <row r="132" spans="1:21" x14ac:dyDescent="0.3">
      <c r="A132" s="41"/>
      <c r="B132" s="135">
        <f t="shared" si="51"/>
        <v>44713</v>
      </c>
      <c r="C132" s="141">
        <f>Customer!AW$11*'Assumptions and Inputs'!$C$49</f>
        <v>289309.69199999998</v>
      </c>
      <c r="D132" s="142">
        <f>Customer!AW$48/'Assumptions and Inputs'!$C$21</f>
        <v>7262.9</v>
      </c>
      <c r="E132" s="141">
        <f t="shared" si="47"/>
        <v>7916.5610000000006</v>
      </c>
      <c r="F132" s="141">
        <f t="shared" si="48"/>
        <v>273851.79508919996</v>
      </c>
      <c r="G132" s="142">
        <f>Customer!AW$53/'Assumptions and Inputs'!$C$21</f>
        <v>449028.5</v>
      </c>
      <c r="H132" s="141">
        <f t="shared" si="49"/>
        <v>489441</v>
      </c>
      <c r="I132" s="141">
        <f t="shared" si="50"/>
        <v>476323.98119999998</v>
      </c>
      <c r="J132" s="138">
        <f t="shared" si="53"/>
        <v>202472.18611080002</v>
      </c>
      <c r="L132" s="141">
        <v>497600.64321999147</v>
      </c>
      <c r="M132" s="142">
        <v>12758.831624799399</v>
      </c>
      <c r="N132" s="141">
        <v>13907</v>
      </c>
      <c r="O132" s="141">
        <v>470730.65358169569</v>
      </c>
      <c r="P132" s="142">
        <v>441277.31666666671</v>
      </c>
      <c r="Q132" s="141">
        <v>480992</v>
      </c>
      <c r="R132" s="141">
        <v>468101.41439999995</v>
      </c>
      <c r="S132" s="138">
        <v>-2629.2391816957388</v>
      </c>
      <c r="U132" s="138">
        <f t="shared" si="54"/>
        <v>205101.42529249575</v>
      </c>
    </row>
    <row r="133" spans="1:21" x14ac:dyDescent="0.3">
      <c r="A133" s="41"/>
      <c r="B133" s="131">
        <f t="shared" si="51"/>
        <v>44743</v>
      </c>
      <c r="C133" s="132">
        <f>Customer!AX$11*'Assumptions and Inputs'!$C$49</f>
        <v>328359.75599999999</v>
      </c>
      <c r="D133" s="139">
        <f>Customer!AX$48/'Assumptions and Inputs'!$C$21</f>
        <v>8161.5</v>
      </c>
      <c r="E133" s="132">
        <f t="shared" si="47"/>
        <v>8896.0349999999999</v>
      </c>
      <c r="F133" s="132">
        <f t="shared" si="48"/>
        <v>310902.09327720001</v>
      </c>
      <c r="G133" s="139">
        <f>Customer!AX$53/'Assumptions and Inputs'!$C$21</f>
        <v>476872.6</v>
      </c>
      <c r="H133" s="140">
        <f t="shared" si="49"/>
        <v>519791</v>
      </c>
      <c r="I133" s="140">
        <f t="shared" si="50"/>
        <v>505860.60119999998</v>
      </c>
      <c r="J133" s="132">
        <f t="shared" si="53"/>
        <v>194958.50792279997</v>
      </c>
      <c r="L133" s="132">
        <v>526618.64200818783</v>
      </c>
      <c r="M133" s="139">
        <v>13502.873590323037</v>
      </c>
      <c r="N133" s="132">
        <v>14718</v>
      </c>
      <c r="O133" s="132">
        <v>498181.70480236836</v>
      </c>
      <c r="P133" s="139">
        <v>440533.27470114303</v>
      </c>
      <c r="Q133" s="140">
        <v>480181</v>
      </c>
      <c r="R133" s="140">
        <v>467312.14919999999</v>
      </c>
      <c r="S133" s="132">
        <v>-30869.555602368375</v>
      </c>
      <c r="U133" s="132">
        <f t="shared" si="54"/>
        <v>225828.06352516834</v>
      </c>
    </row>
    <row r="134" spans="1:21" x14ac:dyDescent="0.3">
      <c r="A134" s="41"/>
      <c r="B134" s="135">
        <f t="shared" si="51"/>
        <v>44774</v>
      </c>
      <c r="C134" s="141">
        <f>Customer!AY$11*'Assumptions and Inputs'!$C$49</f>
        <v>352783.66200000001</v>
      </c>
      <c r="D134" s="142">
        <f>Customer!AY$48/'Assumptions and Inputs'!$C$21</f>
        <v>8846.7000000000007</v>
      </c>
      <c r="E134" s="141">
        <f t="shared" si="47"/>
        <v>9642.9030000000021</v>
      </c>
      <c r="F134" s="141">
        <f>(C134-E134)*$F$120</f>
        <v>333944.58665880002</v>
      </c>
      <c r="G134" s="142">
        <f>Customer!AY$53/'Assumptions and Inputs'!$C$21</f>
        <v>482089.6</v>
      </c>
      <c r="H134" s="141">
        <f t="shared" si="49"/>
        <v>525478</v>
      </c>
      <c r="I134" s="141">
        <f t="shared" si="50"/>
        <v>511395.18959999998</v>
      </c>
      <c r="J134" s="138">
        <f t="shared" ref="J134" si="55">I134-F134</f>
        <v>177450.60294119996</v>
      </c>
      <c r="L134" s="141">
        <v>584654.63958458055</v>
      </c>
      <c r="M134" s="142">
        <v>14990.957521370321</v>
      </c>
      <c r="N134" s="141">
        <v>16340</v>
      </c>
      <c r="O134" s="141">
        <v>553083.80724371376</v>
      </c>
      <c r="P134" s="142">
        <v>439045.1907700958</v>
      </c>
      <c r="Q134" s="141">
        <v>478559</v>
      </c>
      <c r="R134" s="141">
        <v>465733.6188</v>
      </c>
      <c r="S134" s="138">
        <v>-87350.188443713763</v>
      </c>
      <c r="U134" s="138">
        <f t="shared" si="54"/>
        <v>264800.79138491373</v>
      </c>
    </row>
    <row r="135" spans="1:21" ht="5.0999999999999996" customHeight="1" x14ac:dyDescent="0.3">
      <c r="D135" s="151"/>
      <c r="M135" s="151"/>
    </row>
    <row r="136" spans="1:21" x14ac:dyDescent="0.3">
      <c r="B136" s="201" t="s">
        <v>151</v>
      </c>
      <c r="C136" s="134">
        <f>SUM(C123:C134)</f>
        <v>4814067.5759999994</v>
      </c>
      <c r="D136" s="133">
        <f t="shared" ref="D136:I136" si="56">SUM(D123:D134)</f>
        <v>119637.6</v>
      </c>
      <c r="E136" s="134">
        <f t="shared" si="56"/>
        <v>130404.98400000001</v>
      </c>
      <c r="F136" s="134">
        <f t="shared" si="56"/>
        <v>4558140.4345343998</v>
      </c>
      <c r="G136" s="133">
        <f t="shared" si="56"/>
        <v>5384626.9999999991</v>
      </c>
      <c r="H136" s="134">
        <f t="shared" si="56"/>
        <v>5869245</v>
      </c>
      <c r="I136" s="134">
        <f t="shared" si="56"/>
        <v>5711949.2340000002</v>
      </c>
      <c r="J136" s="132">
        <f>SUM(J122:J134)</f>
        <v>1140608.9837791717</v>
      </c>
      <c r="L136" s="134">
        <v>6157666.6249127174</v>
      </c>
      <c r="M136" s="133">
        <v>156031.92086048974</v>
      </c>
      <c r="N136" s="134">
        <v>170073</v>
      </c>
      <c r="O136" s="134">
        <v>5827126.1157650566</v>
      </c>
      <c r="P136" s="133">
        <v>5351619.4654712398</v>
      </c>
      <c r="Q136" s="134">
        <v>5833264</v>
      </c>
      <c r="R136" s="134">
        <v>5676932.5248000007</v>
      </c>
      <c r="S136" s="132">
        <v>-163393.40665148501</v>
      </c>
      <c r="U136" s="132">
        <f>J136-S136</f>
        <v>1304002.3904306567</v>
      </c>
    </row>
    <row r="137" spans="1:21" x14ac:dyDescent="0.3">
      <c r="F137" s="143"/>
      <c r="J137" s="145"/>
      <c r="O137" s="143"/>
    </row>
    <row r="138" spans="1:21" x14ac:dyDescent="0.3">
      <c r="B138" s="18" t="s">
        <v>205</v>
      </c>
      <c r="I138" s="146" t="s">
        <v>206</v>
      </c>
      <c r="J138" s="147">
        <f>J136</f>
        <v>1140608.9837791717</v>
      </c>
      <c r="K138" s="148"/>
      <c r="L138" s="18" t="s">
        <v>205</v>
      </c>
      <c r="R138" s="146" t="s">
        <v>206</v>
      </c>
      <c r="S138" s="147">
        <f>S136</f>
        <v>-163393.40665148501</v>
      </c>
      <c r="T138" s="145"/>
      <c r="U138" s="155">
        <f>J138-S138</f>
        <v>1304002.3904306567</v>
      </c>
    </row>
    <row r="139" spans="1:21" x14ac:dyDescent="0.3">
      <c r="B139" s="188" t="s">
        <v>239</v>
      </c>
      <c r="L139" s="149"/>
    </row>
    <row r="140" spans="1:21" x14ac:dyDescent="0.3">
      <c r="B140" s="149" t="str">
        <f>"(1) - Updated TAP Actual Discounts reflect sewer's "&amp;FIXED('Assumptions and Inputs'!$C$49*100, 1, 0)&amp;"% allocated portion of the Total TAP Discount."</f>
        <v>(1) - Updated TAP Actual Discounts reflect sewer's 60.0% allocated portion of the Total TAP Discount.</v>
      </c>
      <c r="L140" s="149"/>
    </row>
    <row r="141" spans="1:21" x14ac:dyDescent="0.3">
      <c r="B141" s="149" t="s">
        <v>222</v>
      </c>
      <c r="L141" s="149"/>
    </row>
    <row r="142" spans="1:21" x14ac:dyDescent="0.3">
      <c r="B142" s="149" t="s">
        <v>248</v>
      </c>
      <c r="L142" s="149"/>
    </row>
    <row r="143" spans="1:21" x14ac:dyDescent="0.3">
      <c r="B143" s="149"/>
      <c r="L143" s="149"/>
    </row>
    <row r="144" spans="1:21" x14ac:dyDescent="0.3">
      <c r="B144" s="188" t="s">
        <v>241</v>
      </c>
      <c r="K144" s="58"/>
      <c r="L144" s="149"/>
    </row>
    <row r="145" spans="2:12" x14ac:dyDescent="0.3">
      <c r="B145" s="149" t="str">
        <f>"(9) - TAP Actual Discounts reflect sewer's "&amp;FIXED('Assumptions and Inputs'!$C$49*100, 1, 0)&amp;"% allocated portion of the Total TAP Discount."</f>
        <v>(9) - TAP Actual Discounts reflect sewer's 60.0% allocated portion of the Total TAP Discount.</v>
      </c>
      <c r="L145" s="149"/>
    </row>
    <row r="146" spans="2:12" x14ac:dyDescent="0.3">
      <c r="B146" s="149" t="s">
        <v>242</v>
      </c>
    </row>
    <row r="147" spans="2:12" x14ac:dyDescent="0.3">
      <c r="B147" s="149" t="s">
        <v>249</v>
      </c>
    </row>
    <row r="148" spans="2:12" x14ac:dyDescent="0.3">
      <c r="B148" s="149"/>
    </row>
    <row r="149" spans="2:12" x14ac:dyDescent="0.3">
      <c r="B149" s="188" t="s">
        <v>244</v>
      </c>
    </row>
    <row r="150" spans="2:12" x14ac:dyDescent="0.3">
      <c r="B150" s="149" t="str">
        <f>"(3), (6), (11) &amp; (14) - Sewer TAP-R Rates per "&amp;TEXT('Assumptions and Inputs'!F29,)&amp;" "&amp;TEXT('Assumptions and Inputs'!G29,)&amp;"."</f>
        <v>(3), (6), (11) &amp; (14) - Sewer TAP-R Rates per PWD Regulations - Rates and Charges Effective September 1, 2021 Section 10.3(b)(1).</v>
      </c>
    </row>
    <row r="151" spans="2:12" x14ac:dyDescent="0.3">
      <c r="B151" s="149" t="str">
        <f>"(4), (7), (12) &amp; (15) - Adjusted for system-wide collection factor in accordance with  "&amp;'Assumptions and Inputs'!F45&amp;" "&amp;'Assumptions and Inputs'!G45&amp;"."</f>
        <v>(4), (7), (12) &amp; (15) - Adjusted for system-wide collection factor in accordance with  PWD Regulations - Rates and Charges Effective September 1, 2021 Section 10.1(b)(3).</v>
      </c>
    </row>
    <row r="152" spans="2:12" x14ac:dyDescent="0.3"/>
    <row r="153" spans="2:12" x14ac:dyDescent="0.3">
      <c r="C153" s="145"/>
    </row>
    <row r="154" spans="2:12" x14ac:dyDescent="0.3">
      <c r="C154" s="145"/>
    </row>
    <row r="155" spans="2:12" x14ac:dyDescent="0.3">
      <c r="C155" s="145"/>
    </row>
    <row r="156" spans="2:12" x14ac:dyDescent="0.3">
      <c r="C156" s="145"/>
    </row>
    <row r="157" spans="2:12" x14ac:dyDescent="0.3">
      <c r="C157" s="145"/>
    </row>
    <row r="158" spans="2:12" x14ac:dyDescent="0.3">
      <c r="C158" s="145"/>
    </row>
    <row r="159" spans="2:12" x14ac:dyDescent="0.3">
      <c r="C159" s="145"/>
    </row>
    <row r="160" spans="2:12" x14ac:dyDescent="0.3"/>
    <row r="161" x14ac:dyDescent="0.3"/>
    <row r="162" x14ac:dyDescent="0.3"/>
    <row r="163" x14ac:dyDescent="0.3"/>
    <row r="164" x14ac:dyDescent="0.3"/>
    <row r="165" x14ac:dyDescent="0.3"/>
    <row r="166" x14ac:dyDescent="0.3"/>
    <row r="167" x14ac:dyDescent="0.3"/>
    <row r="168" x14ac:dyDescent="0.3"/>
    <row r="169" x14ac:dyDescent="0.3"/>
    <row r="170" x14ac:dyDescent="0.3"/>
    <row r="171" x14ac:dyDescent="0.3"/>
    <row r="172" x14ac:dyDescent="0.3"/>
  </sheetData>
  <printOptions horizontalCentered="1"/>
  <pageMargins left="0.7" right="0.7" top="1.25" bottom="0.5" header="0.3" footer="0.3"/>
  <pageSetup scale="58" orientation="landscape" r:id="rId1"/>
  <headerFooter>
    <oddHeader xml:space="preserve">&amp;R&amp;"Gisha,Regular"Schedule LKM-4
</oddHeader>
  </headerFooter>
  <ignoredErrors>
    <ignoredError sqref="C81:D81 G81 C121:D12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theme="4" tint="-0.249977111117893"/>
    <pageSetUpPr fitToPage="1"/>
  </sheetPr>
  <dimension ref="A1:Q105"/>
  <sheetViews>
    <sheetView showGridLines="0" topLeftCell="A25" zoomScaleNormal="100" zoomScaleSheetLayoutView="96" workbookViewId="0">
      <selection activeCell="F31" sqref="F31"/>
    </sheetView>
  </sheetViews>
  <sheetFormatPr defaultColWidth="0" defaultRowHeight="14.4" zeroHeight="1" x14ac:dyDescent="0.3"/>
  <cols>
    <col min="1" max="1" width="9.109375" style="18" customWidth="1"/>
    <col min="2" max="2" width="20.6640625" style="18" customWidth="1"/>
    <col min="3" max="5" width="30.6640625" style="18" customWidth="1"/>
    <col min="6" max="6" width="9.109375" style="18" customWidth="1"/>
    <col min="7" max="7" width="9.44140625" style="18" customWidth="1"/>
    <col min="8" max="15" width="9.109375" style="18" customWidth="1"/>
    <col min="16" max="17" width="0" style="18" hidden="1" customWidth="1"/>
    <col min="18" max="16384" width="9.109375" style="18" hidden="1"/>
  </cols>
  <sheetData>
    <row r="1" spans="2:8" x14ac:dyDescent="0.3"/>
    <row r="2" spans="2:8" x14ac:dyDescent="0.3">
      <c r="B2" s="356" t="s">
        <v>31</v>
      </c>
      <c r="C2" s="357"/>
      <c r="D2" s="357"/>
      <c r="E2" s="357"/>
    </row>
    <row r="3" spans="2:8" x14ac:dyDescent="0.3">
      <c r="B3" s="356" t="s">
        <v>302</v>
      </c>
      <c r="C3" s="357"/>
      <c r="D3" s="357"/>
      <c r="E3" s="357"/>
    </row>
    <row r="4" spans="2:8" x14ac:dyDescent="0.3">
      <c r="B4" s="358"/>
      <c r="C4" s="358"/>
      <c r="D4" s="358"/>
      <c r="E4" s="358"/>
    </row>
    <row r="5" spans="2:8" x14ac:dyDescent="0.3">
      <c r="B5" s="307" t="s">
        <v>180</v>
      </c>
      <c r="C5" s="339" t="s">
        <v>250</v>
      </c>
      <c r="D5" s="307" t="s">
        <v>251</v>
      </c>
      <c r="E5" s="336" t="s">
        <v>252</v>
      </c>
    </row>
    <row r="6" spans="2:8" x14ac:dyDescent="0.3">
      <c r="B6" s="308" t="s">
        <v>179</v>
      </c>
      <c r="C6" s="311" t="s">
        <v>194</v>
      </c>
      <c r="D6" s="308" t="s">
        <v>253</v>
      </c>
      <c r="E6" s="337" t="s">
        <v>254</v>
      </c>
    </row>
    <row r="7" spans="2:8" x14ac:dyDescent="0.3">
      <c r="B7" s="308"/>
      <c r="C7" s="311" t="s">
        <v>255</v>
      </c>
      <c r="D7" s="308" t="s">
        <v>255</v>
      </c>
      <c r="E7" s="337" t="s">
        <v>256</v>
      </c>
    </row>
    <row r="8" spans="2:8" x14ac:dyDescent="0.3">
      <c r="B8" s="308"/>
      <c r="C8" s="311" t="s">
        <v>257</v>
      </c>
      <c r="D8" s="319"/>
      <c r="E8" s="337" t="s">
        <v>255</v>
      </c>
    </row>
    <row r="9" spans="2:8" x14ac:dyDescent="0.3">
      <c r="B9" s="309"/>
      <c r="C9" s="366" t="s">
        <v>161</v>
      </c>
      <c r="D9" s="342" t="s">
        <v>258</v>
      </c>
      <c r="E9" s="367" t="str">
        <f>"(3) = (2) * ["&amp;FIXED('Assumptions and Inputs'!$C$56*100,2,TRUE)&amp;"% / 12]"</f>
        <v>(3) = (2) * [4.66% / 12]</v>
      </c>
    </row>
    <row r="10" spans="2:8" x14ac:dyDescent="0.3">
      <c r="B10" s="368"/>
      <c r="C10" s="369"/>
      <c r="D10" s="369"/>
      <c r="E10" s="369"/>
    </row>
    <row r="11" spans="2:8" x14ac:dyDescent="0.3">
      <c r="B11" s="370">
        <f>'E-FactorSchedule LKM-3'!B11</f>
        <v>44805</v>
      </c>
      <c r="C11" s="371">
        <f>'E-FactorSchedule LKM-3'!J11</f>
        <v>294377.17966080003</v>
      </c>
      <c r="D11" s="371">
        <f>C11</f>
        <v>294377.17966080003</v>
      </c>
      <c r="E11" s="372">
        <f>D11*('Assumptions and Inputs'!$C$56)/12</f>
        <v>1143.1647143494401</v>
      </c>
      <c r="H11" s="165"/>
    </row>
    <row r="12" spans="2:8" x14ac:dyDescent="0.3">
      <c r="B12" s="370">
        <f>'E-FactorSchedule LKM-3'!B12</f>
        <v>44835</v>
      </c>
      <c r="C12" s="371">
        <f>'E-FactorSchedule LKM-3'!J12</f>
        <v>206183.02787999995</v>
      </c>
      <c r="D12" s="371">
        <f t="shared" ref="D12:D20" si="0">D11+C12</f>
        <v>500560.20754079998</v>
      </c>
      <c r="E12" s="372">
        <f>D12*('Assumptions and Inputs'!$C$56)/12</f>
        <v>1943.84213928344</v>
      </c>
      <c r="H12" s="165"/>
    </row>
    <row r="13" spans="2:8" x14ac:dyDescent="0.3">
      <c r="B13" s="370">
        <f>'E-FactorSchedule LKM-3'!B13</f>
        <v>44866</v>
      </c>
      <c r="C13" s="371">
        <f>'E-FactorSchedule LKM-3'!J13</f>
        <v>176632.37044319999</v>
      </c>
      <c r="D13" s="371">
        <f t="shared" si="0"/>
        <v>677192.57798399997</v>
      </c>
      <c r="E13" s="372">
        <f>D13*('Assumptions and Inputs'!$C$56)/12</f>
        <v>2629.7645111712</v>
      </c>
      <c r="H13" s="165"/>
    </row>
    <row r="14" spans="2:8" x14ac:dyDescent="0.3">
      <c r="B14" s="370">
        <f>'E-FactorSchedule LKM-3'!B14</f>
        <v>44896</v>
      </c>
      <c r="C14" s="371">
        <f>'E-FactorSchedule LKM-3'!J14</f>
        <v>185852.23756799998</v>
      </c>
      <c r="D14" s="371">
        <f t="shared" si="0"/>
        <v>863044.81555199996</v>
      </c>
      <c r="E14" s="372">
        <f>D14*('Assumptions and Inputs'!$C$56)/12</f>
        <v>3351.4907003936</v>
      </c>
      <c r="H14" s="165"/>
    </row>
    <row r="15" spans="2:8" x14ac:dyDescent="0.3">
      <c r="B15" s="370">
        <f>'E-FactorSchedule LKM-3'!B15</f>
        <v>44927</v>
      </c>
      <c r="C15" s="371">
        <f>'E-FactorSchedule LKM-3'!J15</f>
        <v>149772.05433599994</v>
      </c>
      <c r="D15" s="371">
        <f t="shared" si="0"/>
        <v>1012816.869888</v>
      </c>
      <c r="E15" s="372">
        <f>D15*('Assumptions and Inputs'!$C$56)/12</f>
        <v>3933.1055113984003</v>
      </c>
      <c r="H15" s="165"/>
    </row>
    <row r="16" spans="2:8" x14ac:dyDescent="0.3">
      <c r="B16" s="370">
        <f>'E-FactorSchedule LKM-3'!B16</f>
        <v>44958</v>
      </c>
      <c r="C16" s="371">
        <f>'E-FactorSchedule LKM-3'!J16</f>
        <v>196813.98401030194</v>
      </c>
      <c r="D16" s="371">
        <f t="shared" si="0"/>
        <v>1209630.853898302</v>
      </c>
      <c r="E16" s="372">
        <f>D16*('Assumptions and Inputs'!$C$56)/12</f>
        <v>4697.3998159717394</v>
      </c>
      <c r="H16" s="165"/>
    </row>
    <row r="17" spans="2:8" x14ac:dyDescent="0.3">
      <c r="B17" s="370">
        <f>'E-FactorSchedule LKM-3'!B17</f>
        <v>44986</v>
      </c>
      <c r="C17" s="371">
        <f>'E-FactorSchedule LKM-3'!J17</f>
        <v>196192.46901232231</v>
      </c>
      <c r="D17" s="371">
        <f t="shared" si="0"/>
        <v>1405823.3229106243</v>
      </c>
      <c r="E17" s="372">
        <f>D17*('Assumptions and Inputs'!$C$56)/12</f>
        <v>5459.2805706362578</v>
      </c>
      <c r="H17" s="165"/>
    </row>
    <row r="18" spans="2:8" x14ac:dyDescent="0.3">
      <c r="B18" s="370">
        <f>'E-FactorSchedule LKM-3'!B18</f>
        <v>45017</v>
      </c>
      <c r="C18" s="371">
        <f>'E-FactorSchedule LKM-3'!J18</f>
        <v>195569.54026051541</v>
      </c>
      <c r="D18" s="371">
        <f t="shared" si="0"/>
        <v>1601392.8631711397</v>
      </c>
      <c r="E18" s="372">
        <f>D18*('Assumptions and Inputs'!$C$56)/12</f>
        <v>6218.7422853145936</v>
      </c>
      <c r="H18" s="165"/>
    </row>
    <row r="19" spans="2:8" x14ac:dyDescent="0.3">
      <c r="B19" s="370">
        <f>'E-FactorSchedule LKM-3'!B19</f>
        <v>45047</v>
      </c>
      <c r="C19" s="371">
        <f>'E-FactorSchedule LKM-3'!J19</f>
        <v>194945.194660176</v>
      </c>
      <c r="D19" s="371">
        <f t="shared" si="0"/>
        <v>1796338.0578313158</v>
      </c>
      <c r="E19" s="372">
        <f>D19*('Assumptions and Inputs'!$C$56)/12</f>
        <v>6975.7794579116098</v>
      </c>
      <c r="H19" s="165"/>
    </row>
    <row r="20" spans="2:8" x14ac:dyDescent="0.3">
      <c r="B20" s="370">
        <f>'E-FactorSchedule LKM-3'!B20</f>
        <v>45078</v>
      </c>
      <c r="C20" s="371">
        <f>'E-FactorSchedule LKM-3'!J20</f>
        <v>194319.42910982459</v>
      </c>
      <c r="D20" s="371">
        <f t="shared" si="0"/>
        <v>1990657.4869411404</v>
      </c>
      <c r="E20" s="372">
        <f>D20*('Assumptions and Inputs'!$C$56)/12</f>
        <v>7730.3865742880953</v>
      </c>
      <c r="H20" s="165"/>
    </row>
    <row r="21" spans="2:8" x14ac:dyDescent="0.3">
      <c r="B21" s="370">
        <f>'E-FactorSchedule LKM-3'!B21</f>
        <v>45108</v>
      </c>
      <c r="C21" s="371">
        <f>'E-FactorSchedule LKM-3'!J21</f>
        <v>193692.2405011924</v>
      </c>
      <c r="D21" s="371">
        <f>D20+C21</f>
        <v>2184349.7274423325</v>
      </c>
      <c r="E21" s="372">
        <f>D21*('Assumptions and Inputs'!$C$56)/12</f>
        <v>8482.5581082343924</v>
      </c>
      <c r="H21" s="165"/>
    </row>
    <row r="22" spans="2:8" x14ac:dyDescent="0.3">
      <c r="B22" s="370">
        <f>'E-FactorSchedule LKM-3'!B22</f>
        <v>45139</v>
      </c>
      <c r="C22" s="371">
        <f>'E-FactorSchedule LKM-3'!J22</f>
        <v>193064.59891920694</v>
      </c>
      <c r="D22" s="371">
        <f>D21+C22</f>
        <v>2377414.3263615393</v>
      </c>
      <c r="E22" s="372">
        <f>D22*('Assumptions and Inputs'!$C$56)/12</f>
        <v>9232.2923007039772</v>
      </c>
      <c r="H22" s="165"/>
    </row>
    <row r="23" spans="2:8" x14ac:dyDescent="0.3">
      <c r="B23" s="368" t="s">
        <v>151</v>
      </c>
      <c r="C23" s="373"/>
      <c r="D23" s="374"/>
      <c r="E23" s="373">
        <f>SUM(E11:E22)</f>
        <v>61797.806689656747</v>
      </c>
    </row>
    <row r="24" spans="2:8" x14ac:dyDescent="0.3">
      <c r="B24" s="359"/>
      <c r="C24" s="360"/>
      <c r="D24" s="361"/>
      <c r="E24" s="360"/>
    </row>
    <row r="25" spans="2:8" x14ac:dyDescent="0.3">
      <c r="B25" s="359"/>
      <c r="C25" s="360"/>
      <c r="D25" s="375" t="s">
        <v>203</v>
      </c>
      <c r="E25" s="376">
        <f>'I-Factor PRIOR Sch LKM-6'!K87</f>
        <v>606.74150120013201</v>
      </c>
    </row>
    <row r="26" spans="2:8" x14ac:dyDescent="0.3">
      <c r="B26" s="358"/>
      <c r="C26" s="362"/>
      <c r="D26" s="358"/>
      <c r="E26" s="363"/>
    </row>
    <row r="27" spans="2:8" x14ac:dyDescent="0.3">
      <c r="B27" s="358"/>
      <c r="C27" s="358"/>
      <c r="D27" s="364" t="s">
        <v>259</v>
      </c>
      <c r="E27" s="365">
        <f>E23+E25</f>
        <v>62404.548190856876</v>
      </c>
      <c r="F27" s="148" t="s">
        <v>260</v>
      </c>
    </row>
    <row r="28" spans="2:8" x14ac:dyDescent="0.3">
      <c r="B28" s="379" t="s">
        <v>205</v>
      </c>
      <c r="C28" s="298"/>
      <c r="D28" s="298"/>
      <c r="E28" s="63"/>
    </row>
    <row r="29" spans="2:8" x14ac:dyDescent="0.3">
      <c r="B29" s="353" t="s">
        <v>261</v>
      </c>
      <c r="C29" s="298"/>
      <c r="D29" s="298"/>
    </row>
    <row r="30" spans="2:8" x14ac:dyDescent="0.3">
      <c r="B30" s="353" t="str">
        <f>"(3) Interest calculated monthly based on 1-year interest rate for constant maturity U.S. Treasury Securities"</f>
        <v>(3) Interest calculated monthly based on 1-year interest rate for constant maturity U.S. Treasury Securities</v>
      </c>
      <c r="C30" s="298"/>
      <c r="D30" s="298"/>
    </row>
    <row r="31" spans="2:8" x14ac:dyDescent="0.3">
      <c r="B31" s="380" t="str">
        <f>"as published in the Federal Reserve Statistical Release H.15 (519) on "&amp;TEXT('Assumptions and Inputs'!$C$57,"MMMM DD, YYYY")&amp;"."</f>
        <v>as published in the Federal Reserve Statistical Release H.15 (519) on December 01, 2022.</v>
      </c>
      <c r="C31" s="298"/>
      <c r="D31" s="298"/>
    </row>
    <row r="32" spans="2:8" x14ac:dyDescent="0.3"/>
    <row r="33" spans="2:8" x14ac:dyDescent="0.3">
      <c r="B33" s="279" t="s">
        <v>31</v>
      </c>
      <c r="C33" s="280"/>
      <c r="D33" s="280"/>
      <c r="E33" s="280"/>
    </row>
    <row r="34" spans="2:8" x14ac:dyDescent="0.3">
      <c r="B34" s="279" t="s">
        <v>303</v>
      </c>
      <c r="C34" s="280"/>
      <c r="D34" s="280"/>
      <c r="E34" s="280"/>
    </row>
    <row r="35" spans="2:8" x14ac:dyDescent="0.3"/>
    <row r="36" spans="2:8" x14ac:dyDescent="0.3">
      <c r="B36" s="307" t="s">
        <v>180</v>
      </c>
      <c r="C36" s="339" t="s">
        <v>250</v>
      </c>
      <c r="D36" s="307" t="s">
        <v>251</v>
      </c>
      <c r="E36" s="336" t="s">
        <v>252</v>
      </c>
    </row>
    <row r="37" spans="2:8" x14ac:dyDescent="0.3">
      <c r="B37" s="308" t="s">
        <v>179</v>
      </c>
      <c r="C37" s="311" t="s">
        <v>194</v>
      </c>
      <c r="D37" s="308" t="s">
        <v>253</v>
      </c>
      <c r="E37" s="337" t="s">
        <v>254</v>
      </c>
    </row>
    <row r="38" spans="2:8" x14ac:dyDescent="0.3">
      <c r="B38" s="308"/>
      <c r="C38" s="311" t="s">
        <v>262</v>
      </c>
      <c r="D38" s="308" t="s">
        <v>262</v>
      </c>
      <c r="E38" s="337" t="s">
        <v>256</v>
      </c>
    </row>
    <row r="39" spans="2:8" x14ac:dyDescent="0.3">
      <c r="B39" s="308"/>
      <c r="C39" s="311" t="s">
        <v>263</v>
      </c>
      <c r="D39" s="319"/>
      <c r="E39" s="337" t="s">
        <v>262</v>
      </c>
    </row>
    <row r="40" spans="2:8" x14ac:dyDescent="0.3">
      <c r="B40" s="309"/>
      <c r="C40" s="366" t="s">
        <v>161</v>
      </c>
      <c r="D40" s="342" t="s">
        <v>258</v>
      </c>
      <c r="E40" s="367" t="str">
        <f>"(3) = (2) * ["&amp;FIXED('Assumptions and Inputs'!$C$56*100,2,TRUE)&amp;"% / 12]"</f>
        <v>(3) = (2) * [4.66% / 12]</v>
      </c>
    </row>
    <row r="41" spans="2:8" x14ac:dyDescent="0.3">
      <c r="B41" s="368"/>
      <c r="C41" s="369"/>
      <c r="D41" s="369"/>
      <c r="E41" s="369"/>
    </row>
    <row r="42" spans="2:8" x14ac:dyDescent="0.3">
      <c r="B42" s="370">
        <f>'E-FactorSchedule LKM-3'!B48</f>
        <v>44805</v>
      </c>
      <c r="C42" s="371">
        <f>'E-FactorSchedule LKM-3'!J48</f>
        <v>435670.12389119994</v>
      </c>
      <c r="D42" s="371">
        <f>C42</f>
        <v>435670.12389119994</v>
      </c>
      <c r="E42" s="372">
        <f>D42*('Assumptions and Inputs'!$C$56)/12</f>
        <v>1691.8523144441599</v>
      </c>
      <c r="H42" s="169"/>
    </row>
    <row r="43" spans="2:8" x14ac:dyDescent="0.3">
      <c r="B43" s="370">
        <f>'E-FactorSchedule LKM-3'!B49</f>
        <v>44835</v>
      </c>
      <c r="C43" s="371">
        <f>'E-FactorSchedule LKM-3'!J49</f>
        <v>308608.38642000005</v>
      </c>
      <c r="D43" s="371">
        <f>D42+C43</f>
        <v>744278.51031120005</v>
      </c>
      <c r="E43" s="372">
        <f>D43*('Assumptions and Inputs'!$C$56)/12</f>
        <v>2890.2815483751601</v>
      </c>
      <c r="H43" s="169"/>
    </row>
    <row r="44" spans="2:8" x14ac:dyDescent="0.3">
      <c r="B44" s="370">
        <f>'E-FactorSchedule LKM-3'!B50</f>
        <v>44866</v>
      </c>
      <c r="C44" s="371">
        <f>'E-FactorSchedule LKM-3'!J50</f>
        <v>264620.58726479998</v>
      </c>
      <c r="D44" s="371">
        <f t="shared" ref="D44:D51" si="1">D43+C44</f>
        <v>1008899.097576</v>
      </c>
      <c r="E44" s="372">
        <f>D44*('Assumptions and Inputs'!$C$56)/12</f>
        <v>3917.8914955868004</v>
      </c>
      <c r="H44" s="169"/>
    </row>
    <row r="45" spans="2:8" x14ac:dyDescent="0.3">
      <c r="B45" s="370">
        <f>'E-FactorSchedule LKM-3'!B51</f>
        <v>44896</v>
      </c>
      <c r="C45" s="371">
        <f>'E-FactorSchedule LKM-3'!J51</f>
        <v>277969.62715199997</v>
      </c>
      <c r="D45" s="371">
        <f t="shared" si="1"/>
        <v>1286868.7247279999</v>
      </c>
      <c r="E45" s="372">
        <f>D45*('Assumptions and Inputs'!$C$56)/12</f>
        <v>4997.3402143603998</v>
      </c>
      <c r="H45" s="169"/>
    </row>
    <row r="46" spans="2:8" x14ac:dyDescent="0.3">
      <c r="B46" s="370">
        <f>'E-FactorSchedule LKM-3'!B52</f>
        <v>44927</v>
      </c>
      <c r="C46" s="371">
        <f>'E-FactorSchedule LKM-3'!J52</f>
        <v>222176.42150399997</v>
      </c>
      <c r="D46" s="371">
        <f t="shared" si="1"/>
        <v>1509045.1462319999</v>
      </c>
      <c r="E46" s="372">
        <f>D46*('Assumptions and Inputs'!$C$56)/12</f>
        <v>5860.1253178676006</v>
      </c>
      <c r="H46" s="169"/>
    </row>
    <row r="47" spans="2:8" x14ac:dyDescent="0.3">
      <c r="B47" s="370">
        <f>'E-FactorSchedule LKM-3'!B53</f>
        <v>44958</v>
      </c>
      <c r="C47" s="371">
        <f>'E-FactorSchedule LKM-3'!J53</f>
        <v>294384.02401545306</v>
      </c>
      <c r="D47" s="371">
        <f t="shared" si="1"/>
        <v>1803429.1702474528</v>
      </c>
      <c r="E47" s="372">
        <f>D47*('Assumptions and Inputs'!$C$56)/12</f>
        <v>7003.3166111276087</v>
      </c>
      <c r="H47" s="169"/>
    </row>
    <row r="48" spans="2:8" x14ac:dyDescent="0.3">
      <c r="B48" s="370">
        <f>'E-FactorSchedule LKM-3'!B54</f>
        <v>44986</v>
      </c>
      <c r="C48" s="371">
        <f>'E-FactorSchedule LKM-3'!J54</f>
        <v>293453.21131848358</v>
      </c>
      <c r="D48" s="371">
        <f t="shared" si="1"/>
        <v>2096882.3815659364</v>
      </c>
      <c r="E48" s="372">
        <f>D48*('Assumptions and Inputs'!$C$56)/12</f>
        <v>8142.893248414387</v>
      </c>
      <c r="H48" s="169"/>
    </row>
    <row r="49" spans="2:8" x14ac:dyDescent="0.3">
      <c r="B49" s="370">
        <f>'E-FactorSchedule LKM-3'!B55</f>
        <v>45017</v>
      </c>
      <c r="C49" s="371">
        <f>'E-FactorSchedule LKM-3'!J55</f>
        <v>292521.25119077321</v>
      </c>
      <c r="D49" s="371">
        <f t="shared" si="1"/>
        <v>2389403.6327567096</v>
      </c>
      <c r="E49" s="372">
        <f>D49*('Assumptions and Inputs'!$C$56)/12</f>
        <v>9278.850773871889</v>
      </c>
      <c r="H49" s="169"/>
    </row>
    <row r="50" spans="2:8" x14ac:dyDescent="0.3">
      <c r="B50" s="370">
        <f>'E-FactorSchedule LKM-3'!B56</f>
        <v>45047</v>
      </c>
      <c r="C50" s="371">
        <f>'E-FactorSchedule LKM-3'!J56</f>
        <v>291586.19259026414</v>
      </c>
      <c r="D50" s="371">
        <f t="shared" si="1"/>
        <v>2680989.8253469737</v>
      </c>
      <c r="E50" s="372">
        <f>D50*('Assumptions and Inputs'!$C$56)/12</f>
        <v>10411.177155097415</v>
      </c>
      <c r="H50" s="169"/>
    </row>
    <row r="51" spans="2:8" x14ac:dyDescent="0.3">
      <c r="B51" s="370">
        <f>'E-FactorSchedule LKM-3'!B57</f>
        <v>45078</v>
      </c>
      <c r="C51" s="371">
        <f>'E-FactorSchedule LKM-3'!J57</f>
        <v>290649.97726473695</v>
      </c>
      <c r="D51" s="371">
        <f t="shared" si="1"/>
        <v>2971639.8026117105</v>
      </c>
      <c r="E51" s="372">
        <f>D51*('Assumptions and Inputs'!$C$56)/12</f>
        <v>11539.867900142142</v>
      </c>
      <c r="H51" s="169"/>
    </row>
    <row r="52" spans="2:8" x14ac:dyDescent="0.3">
      <c r="B52" s="370">
        <f>'E-FactorSchedule LKM-3'!B58</f>
        <v>45108</v>
      </c>
      <c r="C52" s="371">
        <f>'E-FactorSchedule LKM-3'!J58</f>
        <v>289711.62735178869</v>
      </c>
      <c r="D52" s="371">
        <f t="shared" ref="D52" si="2">D51+C52</f>
        <v>3261351.4299634993</v>
      </c>
      <c r="E52" s="372">
        <f>D52*('Assumptions and Inputs'!$C$56)/12</f>
        <v>12664.914719691589</v>
      </c>
      <c r="H52" s="169"/>
    </row>
    <row r="53" spans="2:8" x14ac:dyDescent="0.3">
      <c r="B53" s="370">
        <f>'E-FactorSchedule LKM-3'!B59</f>
        <v>45139</v>
      </c>
      <c r="C53" s="371">
        <f>'E-FactorSchedule LKM-3'!J59</f>
        <v>288771.13817881054</v>
      </c>
      <c r="D53" s="371">
        <f>D52+C53</f>
        <v>3550122.5681423098</v>
      </c>
      <c r="E53" s="372">
        <f>D53*('Assumptions and Inputs'!$C$56)/12</f>
        <v>13786.30930628597</v>
      </c>
      <c r="H53" s="169"/>
    </row>
    <row r="54" spans="2:8" x14ac:dyDescent="0.3">
      <c r="B54" s="368" t="s">
        <v>151</v>
      </c>
      <c r="C54" s="373"/>
      <c r="D54" s="374"/>
      <c r="E54" s="373">
        <f>SUM(E42:E53)</f>
        <v>92184.820605265122</v>
      </c>
    </row>
    <row r="55" spans="2:8" x14ac:dyDescent="0.3">
      <c r="B55" s="53"/>
      <c r="C55" s="143"/>
      <c r="D55" s="168"/>
      <c r="E55" s="143"/>
    </row>
    <row r="56" spans="2:8" x14ac:dyDescent="0.3">
      <c r="B56" s="326"/>
      <c r="C56" s="143"/>
      <c r="D56" s="377" t="s">
        <v>203</v>
      </c>
      <c r="E56" s="378">
        <f>'I-Factor PRIOR Sch LKM-6'!K116</f>
        <v>922.912574399449</v>
      </c>
    </row>
    <row r="57" spans="2:8" x14ac:dyDescent="0.3">
      <c r="B57" s="281"/>
      <c r="C57" s="281"/>
      <c r="D57" s="281"/>
      <c r="E57" s="355"/>
    </row>
    <row r="58" spans="2:8" x14ac:dyDescent="0.3">
      <c r="B58" s="281"/>
      <c r="C58" s="281"/>
      <c r="D58" s="330" t="s">
        <v>259</v>
      </c>
      <c r="E58" s="331">
        <f>E54+E56</f>
        <v>93107.733179664574</v>
      </c>
      <c r="F58" s="148" t="s">
        <v>260</v>
      </c>
    </row>
    <row r="59" spans="2:8" x14ac:dyDescent="0.3">
      <c r="B59" s="379" t="s">
        <v>205</v>
      </c>
      <c r="C59" s="298"/>
      <c r="D59" s="298"/>
      <c r="E59" s="63"/>
    </row>
    <row r="60" spans="2:8" x14ac:dyDescent="0.3">
      <c r="B60" s="353" t="s">
        <v>264</v>
      </c>
      <c r="C60" s="298"/>
      <c r="D60" s="298"/>
    </row>
    <row r="61" spans="2:8" x14ac:dyDescent="0.3">
      <c r="B61" s="353" t="str">
        <f>"(3) Interest calculated monthly based on 1-year interest rate for constant maturity U.S. Treasury Securities"</f>
        <v>(3) Interest calculated monthly based on 1-year interest rate for constant maturity U.S. Treasury Securities</v>
      </c>
      <c r="C61" s="298"/>
      <c r="D61" s="298"/>
    </row>
    <row r="62" spans="2:8" x14ac:dyDescent="0.3">
      <c r="B62" s="380" t="str">
        <f>"as published in the Federal Reserve Statistical Release H.15 (519) on "&amp;TEXT('Assumptions and Inputs'!$C$57,"MMMM DD, YYYY")&amp;"."</f>
        <v>as published in the Federal Reserve Statistical Release H.15 (519) on December 01, 2022.</v>
      </c>
      <c r="C62" s="298"/>
      <c r="D62" s="298"/>
    </row>
    <row r="63" spans="2:8" x14ac:dyDescent="0.3"/>
    <row r="64" spans="2:8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</sheetData>
  <printOptions horizontalCentered="1"/>
  <pageMargins left="0.7" right="0.7" top="1" bottom="0.5" header="0.3" footer="0.3"/>
  <pageSetup scale="77" orientation="portrait" r:id="rId1"/>
  <headerFooter>
    <oddHeader>&amp;R&amp;"Gisha,Regular"Schedule LKM-5</oddHeader>
  </headerFooter>
  <ignoredErrors>
    <ignoredError sqref="C9:D9 C40:D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00982D-8269-4AA5-8785-B9434E7EBCC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6C3F40-B0F4-4A67-85FA-26666D3E85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CBEB41-F426-4BDF-A050-C7432E7090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Home</vt:lpstr>
      <vt:lpstr>Table of Contents</vt:lpstr>
      <vt:lpstr>Assumptions and Inputs</vt:lpstr>
      <vt:lpstr>Customer</vt:lpstr>
      <vt:lpstr>Summary Sch LKM-1</vt:lpstr>
      <vt:lpstr>C-Factor Sch LKM-2</vt:lpstr>
      <vt:lpstr>E-FactorSchedule LKM-3</vt:lpstr>
      <vt:lpstr>E-Factor PRIOR Sch LKM-4</vt:lpstr>
      <vt:lpstr>I-Factor Sch LKM-5</vt:lpstr>
      <vt:lpstr>I-Factor PRIOR Sch LKM-6</vt:lpstr>
      <vt:lpstr>Rates</vt:lpstr>
      <vt:lpstr>'C-Factor Sch LKM-2'!Print_Area</vt:lpstr>
      <vt:lpstr>'E-Factor PRIOR Sch LKM-4'!Print_Area</vt:lpstr>
      <vt:lpstr>'E-FactorSchedule LKM-3'!Print_Area</vt:lpstr>
      <vt:lpstr>'I-Factor PRIOR Sch LKM-6'!Print_Area</vt:lpstr>
      <vt:lpstr>'I-Factor Sch LKM-5'!Print_Area</vt:lpstr>
      <vt:lpstr>Rates!Print_Area</vt:lpstr>
      <vt:lpstr>'Summary Sch LKM-1'!Print_Area</vt:lpstr>
      <vt:lpstr>'Table of Contents'!Print_Area</vt:lpstr>
    </vt:vector>
  </TitlesOfParts>
  <Manager/>
  <Company>Black &amp; Veatch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Merritt, Brian L.</dc:creator>
  <cp:keywords/>
  <dc:description/>
  <cp:lastModifiedBy>L Morgan</cp:lastModifiedBy>
  <cp:revision/>
  <cp:lastPrinted>2023-03-21T01:13:27Z</cp:lastPrinted>
  <dcterms:created xsi:type="dcterms:W3CDTF">2018-04-12T12:14:16Z</dcterms:created>
  <dcterms:modified xsi:type="dcterms:W3CDTF">2023-03-21T01:15:05Z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